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2600" sheetId="1" r:id="rId4"/>
  </sheets>
  <definedNames/>
  <calcPr/>
</workbook>
</file>

<file path=xl/sharedStrings.xml><?xml version="1.0" encoding="utf-8"?>
<sst xmlns="http://schemas.openxmlformats.org/spreadsheetml/2006/main" count="4262" uniqueCount="3102">
  <si>
    <t>name</t>
  </si>
  <si>
    <t>Description</t>
  </si>
  <si>
    <t>img</t>
  </si>
  <si>
    <t>Role</t>
  </si>
  <si>
    <t>Rolelink</t>
  </si>
  <si>
    <t>National origin</t>
  </si>
  <si>
    <t>National originlink</t>
  </si>
  <si>
    <t>Manufacturer</t>
  </si>
  <si>
    <t>Manufacturerlink</t>
  </si>
  <si>
    <t>Status</t>
  </si>
  <si>
    <t>Number built</t>
  </si>
  <si>
    <t>Variants</t>
  </si>
  <si>
    <t>Crew</t>
  </si>
  <si>
    <t>Capacity</t>
  </si>
  <si>
    <t>Length</t>
  </si>
  <si>
    <t>Wingspan</t>
  </si>
  <si>
    <t>Wing area</t>
  </si>
  <si>
    <t>Empty weight</t>
  </si>
  <si>
    <t>Gross weight</t>
  </si>
  <si>
    <t>Fuel capacity</t>
  </si>
  <si>
    <t>Powerplant</t>
  </si>
  <si>
    <t>Propellers</t>
  </si>
  <si>
    <t>Cruise speed</t>
  </si>
  <si>
    <t>Stall speed</t>
  </si>
  <si>
    <t>Range</t>
  </si>
  <si>
    <t>Rate of climb</t>
  </si>
  <si>
    <t>Wing loading</t>
  </si>
  <si>
    <t>Designer</t>
  </si>
  <si>
    <t>Designerlink</t>
  </si>
  <si>
    <t>First flight</t>
  </si>
  <si>
    <t>Introduction</t>
  </si>
  <si>
    <t>Produced</t>
  </si>
  <si>
    <t>Height</t>
  </si>
  <si>
    <t>Max takeoff weight</t>
  </si>
  <si>
    <t>Main rotor diameter</t>
  </si>
  <si>
    <t>Maximum speed</t>
  </si>
  <si>
    <t>Endurance</t>
  </si>
  <si>
    <t>Service ceiling</t>
  </si>
  <si>
    <t>Aspect ratio</t>
  </si>
  <si>
    <t>Developed from</t>
  </si>
  <si>
    <t>Developed fromlink</t>
  </si>
  <si>
    <t>Width</t>
  </si>
  <si>
    <t>Never exceed speed</t>
  </si>
  <si>
    <t>g limits</t>
  </si>
  <si>
    <t>Power/mass</t>
  </si>
  <si>
    <t>Guns</t>
  </si>
  <si>
    <t>Length de-rigged</t>
  </si>
  <si>
    <t>Width de-rigged (without tailplane)</t>
  </si>
  <si>
    <t>Height de-rigged</t>
  </si>
  <si>
    <t>Airfoil</t>
  </si>
  <si>
    <t>Maximum glide ratio</t>
  </si>
  <si>
    <t>Rate of sink</t>
  </si>
  <si>
    <t>Retired</t>
  </si>
  <si>
    <t>Primary user</t>
  </si>
  <si>
    <t>Primary userlink</t>
  </si>
  <si>
    <t>Time to altitude</t>
  </si>
  <si>
    <t>Take-off run</t>
  </si>
  <si>
    <t>Landing run</t>
  </si>
  <si>
    <t>Range against fighter sized targets (km)</t>
  </si>
  <si>
    <t>Main rotor area</t>
  </si>
  <si>
    <t>Disk loading</t>
  </si>
  <si>
    <t>Variantslink</t>
  </si>
  <si>
    <t>Take-off distance</t>
  </si>
  <si>
    <t>Landing distance</t>
  </si>
  <si>
    <t>Landing speed</t>
  </si>
  <si>
    <t>Upper wingspan</t>
  </si>
  <si>
    <t>Ferry range</t>
  </si>
  <si>
    <t>Hardpoints</t>
  </si>
  <si>
    <t>Other</t>
  </si>
  <si>
    <t>Type</t>
  </si>
  <si>
    <t>Typelink</t>
  </si>
  <si>
    <t>Serial</t>
  </si>
  <si>
    <t>Bore</t>
  </si>
  <si>
    <t>Stroke</t>
  </si>
  <si>
    <t>Displacement</t>
  </si>
  <si>
    <t>Dry weight</t>
  </si>
  <si>
    <t>Cooling system</t>
  </si>
  <si>
    <t>Power output</t>
  </si>
  <si>
    <t>First flightlink</t>
  </si>
  <si>
    <t>Introductionlink</t>
  </si>
  <si>
    <t>Lower wingspan</t>
  </si>
  <si>
    <t>Built by</t>
  </si>
  <si>
    <t>Built bylink</t>
  </si>
  <si>
    <t>Registration</t>
  </si>
  <si>
    <t>Owners and operators</t>
  </si>
  <si>
    <t>Owners and operatorslink</t>
  </si>
  <si>
    <t>Last flight</t>
  </si>
  <si>
    <t>Fate</t>
  </si>
  <si>
    <t>Preserved at</t>
  </si>
  <si>
    <t>Preserved atlink</t>
  </si>
  <si>
    <t>Time to 3,000 m (9,842 ft)</t>
  </si>
  <si>
    <t>Fuel consumption mpg</t>
  </si>
  <si>
    <t>Fuel consumption</t>
  </si>
  <si>
    <t>Takeoff distance to 50 ft (15 m)</t>
  </si>
  <si>
    <t>Recommended spraying speed</t>
  </si>
  <si>
    <t>Take off-run to 50 ft (15 m)</t>
  </si>
  <si>
    <t>Primary users</t>
  </si>
  <si>
    <t>Primary userslink</t>
  </si>
  <si>
    <t>Producedlink</t>
  </si>
  <si>
    <t>Ballistic parachute</t>
  </si>
  <si>
    <t>Bombs</t>
  </si>
  <si>
    <t>In service</t>
  </si>
  <si>
    <t>Absolute ceiling</t>
  </si>
  <si>
    <t>Take-off distance to 50 ft (15 m)</t>
  </si>
  <si>
    <t>Landing distance from 50 ft (15 m)</t>
  </si>
  <si>
    <t>Landing distance from 50 ft (15 m)</t>
  </si>
  <si>
    <t>Rockets</t>
  </si>
  <si>
    <t>Retiredlink</t>
  </si>
  <si>
    <t>Number builtlink</t>
  </si>
  <si>
    <t>Landing Speed</t>
  </si>
  <si>
    <t>Speed</t>
  </si>
  <si>
    <t>Place of origin</t>
  </si>
  <si>
    <t>Place of originlink</t>
  </si>
  <si>
    <t>Designed</t>
  </si>
  <si>
    <t>Mass</t>
  </si>
  <si>
    <t>Warhead</t>
  </si>
  <si>
    <t>Warhead weight</t>
  </si>
  <si>
    <t>Engine</t>
  </si>
  <si>
    <t>Enginelink</t>
  </si>
  <si>
    <t>Propellant</t>
  </si>
  <si>
    <t>Propellantlink</t>
  </si>
  <si>
    <t>References</t>
  </si>
  <si>
    <t>Altitude Radial Rocket</t>
  </si>
  <si>
    <t>The Altitude Radial Rocket is an American amateur-built aircraft, produced by the Altitude Group of Overland Park, Kansas. The aircraft is supplied as a kit for amateur construction.[1] The aircraft features a cantilever low-wing, a two-seats-in-tandem enclosed cockpit under a bubble canopy, fixed conventional landing gear or retractable tricycle landing gear and a single radial engine in tractor configuration.[1] The aircraft is made from composites. The wing span and area as well as gross weight varies depending on the model. The Radial Rocket's recommended engine power range is 360 to 400 hp (268 to 298 kW) and the standard engine used is the 360 hp (268 kW) Vedeneyev M-14P four-stroke powerplant.[1] As of 2017[update], six examples had been registered in the United States with the Federal Aviation Administration.[2] Data from Kitplanes[1]General characteristics Performance</t>
  </si>
  <si>
    <t>//upload.wikimedia.org/wikipedia/commons/thumb/2/22/RadialRocketRG_01.jpg/300px-RadialRocketRG_01.jpg</t>
  </si>
  <si>
    <t>Amateur-built aircraft</t>
  </si>
  <si>
    <t>https://en.wikipedia.org/Amateur-built aircraft</t>
  </si>
  <si>
    <t>United States</t>
  </si>
  <si>
    <t>https://en.wikipedia.org/United States</t>
  </si>
  <si>
    <t>Altitude Group</t>
  </si>
  <si>
    <t>https://en.wikipedia.org/Altitude Group</t>
  </si>
  <si>
    <t>In production (2011)</t>
  </si>
  <si>
    <t>{}</t>
  </si>
  <si>
    <t>one</t>
  </si>
  <si>
    <t>one passenger</t>
  </si>
  <si>
    <t>22.2 ft (6.8 m)</t>
  </si>
  <si>
    <t>26.8 ft (8.2 m)</t>
  </si>
  <si>
    <t>93.9 sq ft (8.72 m2)</t>
  </si>
  <si>
    <t>1,720 lb (780 kg)</t>
  </si>
  <si>
    <t>2,575 lb (1,168 kg)</t>
  </si>
  <si>
    <t>65 U.S. gallons (250 L; 54 imp gal)</t>
  </si>
  <si>
    <t>1 × Vedeneyev M-14P nine cylinder, air-cooled, four stroke radial engine, 360 hp (270 kW)</t>
  </si>
  <si>
    <t>4-bladed constant speed propeller</t>
  </si>
  <si>
    <t>242 mph (389 km/h, 210 kn)</t>
  </si>
  <si>
    <t>70 mph (110 km/h, 61 kn)</t>
  </si>
  <si>
    <t>1,200 mi (1,900 km, 1,000 nmi)</t>
  </si>
  <si>
    <t>3,500 ft/min (18 m/s)</t>
  </si>
  <si>
    <t>27.4 lb/sq ft (134 kg/m2)</t>
  </si>
  <si>
    <t>Aeryon Scout</t>
  </si>
  <si>
    <t>Aeryon Scout is a small reconnaissance unmanned aerial vehicle (UAV) that was designed and built by Aeryon Labs of Waterloo, Ontario, Canada. The vehicle was developed between 2007 and 2009 and produced from 2009-2015. Production has been completed and it is no longer advertised for sale on the company website.[1] The Scout is a vertical take-off and landing VTOL quadcopter requiring no launch equipment. It can hover in a fixed position and weighs 3.0 lb (1.4 kg) without payload.[2] The Scout is a quadcopter in layout, with four rotors mounted on booms and four landing gear legs. Payloads are mounted underneath the fuselage on a gimbal mount.[3] The Scout can be operated beyond the line of sight up to 3 kilometres (1.9 miles) from the user, with a designed operational altitude above ground level of 300 to 500 feet at flying speeds of up to 50 kilometres per hour (31 miles per hour) and an endurance of 25 minutes.[2][4] The Scout's design allows flight in adverse weather conditions and it has been flown in wind speeds of 80 kilometres per hour (50 mph) and temperatures ranging from −30 °C to +50 °C. All communications are digital and encrypted, which reduces the risk of hijacking and video interception.[3] The Scout is controlled with a Tablet PC-based interface.[5] This system differs from the customary method of joystick control in allowing users to operate the vehicle with minimal training. The Scout is piloted by pointing to an area on the map.[2] Height is controlled using a scroll on the touch screen interface. The system operates using custom or commercially available map data in several formats including MrSID. Real-time maps can also be used during flight and the Scout can be flown real-time by the operator or pre-programmed to fly a series of GPS waypoints. The Scout constantly monitors external conditions such as wind speed, as well as internal functions, such as battery level, allowing it to make an automated decisions en route to return home, land immediately or hover and wait.[2] The Scout has a quick-change payload interface with common interfaces including USB and Ethernet, which allows custom payloads to be developed. The system is able to detect the type of payload connected, and configure it and operate it appropriately. The payload capacity of the system is 250 g (0.55 lb). Offered payloads include gimbal-mounted digital still and video cameras, a near-IR camera for remote sensing, a FLIR night-vision camera and a stabilized 10x Optical Zoom camera.[3] General characteristics Performance Avionics    Related lists</t>
  </si>
  <si>
    <t>//upload.wikimedia.org/wikipedia/commons/thumb/7/79/Aeryon_Scout_In_Flight.jpg/300px-Aeryon_Scout_In_Flight.jpg</t>
  </si>
  <si>
    <t>Miniature UAV</t>
  </si>
  <si>
    <t>https://en.wikipedia.org/Miniature UAV</t>
  </si>
  <si>
    <t>Aeryon Labs</t>
  </si>
  <si>
    <t>https://en.wikipedia.org/Aeryon Labs</t>
  </si>
  <si>
    <t>Production completed</t>
  </si>
  <si>
    <t>none</t>
  </si>
  <si>
    <t>0.8 m (2 ft 7 in)</t>
  </si>
  <si>
    <t>1.4 kg (3.1 lb)</t>
  </si>
  <si>
    <t>4 × Intelligent LiPo battery Electric motor</t>
  </si>
  <si>
    <t>0.3 m (1 ft 0 in) diameter</t>
  </si>
  <si>
    <t>40 km/h (25 mph, 22 kn)</t>
  </si>
  <si>
    <t>3.0 km (2.0 mi, 1.7 nmi)</t>
  </si>
  <si>
    <t>2 m/s (390 ft/min)</t>
  </si>
  <si>
    <t>2009–2015</t>
  </si>
  <si>
    <t>0.30 m (1 ft 0 in)</t>
  </si>
  <si>
    <t>1.7 kg (3.74 lb)</t>
  </si>
  <si>
    <t>4 × 0.8 m (2 ft 7 in)</t>
  </si>
  <si>
    <t>50 km/h (31 mph, 27 kn)</t>
  </si>
  <si>
    <t>24 minutes</t>
  </si>
  <si>
    <t>333 m (1,000 ft) AGL 5,000 m (15,000 ft) ASL</t>
  </si>
  <si>
    <t>Airborne Fun</t>
  </si>
  <si>
    <t>The Airborne Fun is a series of Australian high-wing, single and two-place, hang gliders, designed and produced by Airborne Windsports of Redhead, New South Wales and introduced in the early 2000s.[1] The Fun series are all intended to be beginner hang gliders used for recreational flying and flight training.[1] The Fun 190 model is made from aluminum tubing, with the single-surface wing covered in Dacron sailcloth. Its 10.45 m (34.3 ft) span wing is cable braced with a single kingpost supporting the ground wires. The nose angle is 118° and the aspect ratio is 5.51:1. The aircraft is certified as DHV 1.[1] Data from Bertrand[1]General characteristics</t>
  </si>
  <si>
    <t>Hang glider</t>
  </si>
  <si>
    <t>https://en.wikipedia.org/Hang glider</t>
  </si>
  <si>
    <t>Australia</t>
  </si>
  <si>
    <t>https://en.wikipedia.org/Australia</t>
  </si>
  <si>
    <t>Airborne Windsports</t>
  </si>
  <si>
    <t>https://en.wikipedia.org/Airborne Windsports</t>
  </si>
  <si>
    <t>In production</t>
  </si>
  <si>
    <t>10.89 m (35 ft 9 in)</t>
  </si>
  <si>
    <t>21.2 m2 (228 sq ft)</t>
  </si>
  <si>
    <t>Airborne Redback</t>
  </si>
  <si>
    <t>The Airborne Redback is an Australian two-seat flying wing ultralight trike designed and produced by Airborne Windsports.[1] The aircraft is named for the native Australian Redback spider.[1] The aircraft was designed to comply with the Fédération Aéronautique Internationale microlight category, including the category's maximum gross weight of 450 kg (992 lb). The aircraft has a maximum gross weight of 401 kg (884 lb). It features a cable-braced hang glider-style high-wing, weight-shift controls, a two-seats-in-tandem open cockpit, tricycle landing gear and a single engine in pusher configuration.[1] The aircraft's Wizard model wing is made from bolted-together aluminium tubing, with its single surface covered in Dacron sailcloth. Its 9.96 m (32.7 ft) span wing is supported by a single tube-type kingpost and uses an "A" frame control bar. The standard powerplant is the 37 kW (50 hp) Rotax 503 twin cylinder, air-cooled, two-stroke aircraft engine.[1] When introduced the Redback was a single configuration model, with no cockpit fairing and no options available. In 2012 the model has evolved and offers tundra tires, intake and exhaust silencer, training bars and an aero-tow system as optional equipment.[1][2] Reviewers Noel Bertrand et al., writing about the no-options approach in 2003 said, "The Red Back only exists in one configuration with no options — an intelligent course of action taken by this Australian manufacturer made possible by the very complete specification...All the right ingredients are there; Australian and American pilots adore them."[1] Data from Bertrand[1]General characteristics Performance</t>
  </si>
  <si>
    <t>Ultralight trike</t>
  </si>
  <si>
    <t>https://en.wikipedia.org/Ultralight trike</t>
  </si>
  <si>
    <t>9.96 m (32 ft 8 in)</t>
  </si>
  <si>
    <t>17.6 m2 (189 sq ft)</t>
  </si>
  <si>
    <t>165 kg (364 lb)</t>
  </si>
  <si>
    <t>401 kg (884 lb)</t>
  </si>
  <si>
    <t>44 litres (9.7 imp gal; 12 US gal)</t>
  </si>
  <si>
    <t>1 × Rotax 503 twin cylinder, two-stroke, air-cooled aircraft engine, 37 kW (50 hp)</t>
  </si>
  <si>
    <t>67 km/h (42 mph, 36 kn)</t>
  </si>
  <si>
    <t>45 km/h (28 mph, 24 kn)</t>
  </si>
  <si>
    <t>2.9 m/s (570 ft/min)</t>
  </si>
  <si>
    <t>93 km/h (58 mph, 50 kn)</t>
  </si>
  <si>
    <t>Airdrome Bleriot Model XI</t>
  </si>
  <si>
    <t>The Airdrome Bleriot Model XI, also referred to as the Airdrome Bleriot XI, is an American amateur-built aircraft, designed and produced by Airdrome Aeroplanes, of Holden, Missouri. The aircraft is supplied as a kit for amateur construction.[1] The aircraft is available as a full-scale or 3/4 replica of the French Blériot XI 1909 pioneer aircraft that was designed by Louis Blériot and used to fly across the English Channel on 25 July 1909. The replica is built from modern materials and powered by modern engines.[1] The Airdrome Bleriot Model XI features a cable-braced monoplane layout, a single-seat open cockpit, fixed conventional landing gear and a single engine in tractor configuration.[1] The aircraft is made from steel and aluminum, with its flying surfaces covered in doped aircraft fabric. The full scale Airdrome Bleriot Model XI has a wingspan of 28.6 ft (8.7 m) and a wing area of 187 sq ft (17.4 m2). The standard engine used on the full-scale version is the 110 hp (82 kW) four stroke Rotec R2800 radial engine, while the 3/4 scale version uses a Volkswagen air-cooled engine. Building time from the factory-supplied full scale kit is estimated at 375 hours by the manufacturer.[1][2] Three examples of the full scale and one 3/4 kit had been completed by December 2011.[1] Data from Kitplanes[1]General characteristics Performance</t>
  </si>
  <si>
    <t>Airdrome Aeroplanes</t>
  </si>
  <si>
    <t>https://en.wikipedia.org/Airdrome Aeroplanes</t>
  </si>
  <si>
    <t>3 (full scale, 2011)1 (3/4 scale, 2011)</t>
  </si>
  <si>
    <t>28.6 ft (8.7 m)</t>
  </si>
  <si>
    <t>187 sq ft (17.4 m2)</t>
  </si>
  <si>
    <t>654 lb (297 kg)</t>
  </si>
  <si>
    <t>1,014 lb (460 kg)</t>
  </si>
  <si>
    <t>14 U.S. gallons (53 L; 12 imp gal)</t>
  </si>
  <si>
    <t>1 × Rotec R2800 seven cylinder, air-cooled, four stroke radial engine, 110 hp (82 kW)</t>
  </si>
  <si>
    <t>2-bladed wooden</t>
  </si>
  <si>
    <t>50 mph (80 km/h, 43 kn)</t>
  </si>
  <si>
    <t>32 mph (51 km/h, 28 kn)</t>
  </si>
  <si>
    <t>100 mi (160 km, 87 nmi)</t>
  </si>
  <si>
    <t>900 ft/min (4.6 m/s)</t>
  </si>
  <si>
    <t>5.4 lb/sq ft (26 kg/m2)</t>
  </si>
  <si>
    <t>Blériot XI</t>
  </si>
  <si>
    <t>https://en.wikipedia.org/Blériot XI</t>
  </si>
  <si>
    <t>Alpi Syton AH 130</t>
  </si>
  <si>
    <t>The Alpi Syton AH 130 is an Italian helicopter that was developed from the RotorWay Exec and is produced by Alpi Aviation of Pordenone.[1] The RotorWay Exec was developed into a turbine-powered version in 1996 by AvioTecnica of Italy and marketed as the AvioTecnica ES-101 Raven. In 2008 the Raven design was acquired by Alpi and further developed.[1] The AH 130 externally resembles the RotorWay Exec. It features a single main rotor, a two-seats-in side-by-side configuration enclosed cockpit, skid-type landing gear and a 130 hp (97 kW) Solar T62 auxiliary power unit employed as a turboshaft engine. Its 7.63 m (25.0 ft) diameter two-bladed rotor has a chord of 20 cm (7.9 in). The aircraft has an empty weight of 290 kg (639 lb) and a gross weight of 580 kg (1,279 lb), giving a useful load of 290 kg (639 lb). With full fuel of 90 litres (20 imp gal; 24 US gal) the payload is 225 kg (496 lb).[1] Data from Bayerl and Alpi Aviation[1][2]General characteristics Performance</t>
  </si>
  <si>
    <t>//upload.wikimedia.org/wikipedia/commons/thumb/5/51/Alpi_Syton_AH_130_April_2011.jpg/300px-Alpi_Syton_AH_130_April_2011.jpg</t>
  </si>
  <si>
    <t>Helicopter</t>
  </si>
  <si>
    <t>https://en.wikipedia.org/Helicopter</t>
  </si>
  <si>
    <t>Italy</t>
  </si>
  <si>
    <t>https://en.wikipedia.org/Italy</t>
  </si>
  <si>
    <t>Alpi Aviation</t>
  </si>
  <si>
    <t>https://en.wikipedia.org/Alpi Aviation</t>
  </si>
  <si>
    <t>In production (2013)</t>
  </si>
  <si>
    <t>8.84 m (29 ft 0 in)</t>
  </si>
  <si>
    <t>290 kg (639 lb)</t>
  </si>
  <si>
    <t>580 kg (1,279 lb)</t>
  </si>
  <si>
    <t>90 litres (20 imp gal; 24 US gal)</t>
  </si>
  <si>
    <t>1 × Solar T62 turboshaft, 97 kW (130 hp)</t>
  </si>
  <si>
    <t>185 km/h (115 mph, 100 kn)</t>
  </si>
  <si>
    <t>275 km (171 mi, 148 nmi)</t>
  </si>
  <si>
    <t>8.5 m/s (1,670 ft/min)</t>
  </si>
  <si>
    <t>2.40 m (7 ft 10 in)</t>
  </si>
  <si>
    <t>7.63 m (25 ft 0 in)</t>
  </si>
  <si>
    <t>190 km/h (120 mph, 100 kn)</t>
  </si>
  <si>
    <t>5,000 m (16,400 ft)</t>
  </si>
  <si>
    <t>RotorWay Exec and AvioTecnica ES-101 Raven</t>
  </si>
  <si>
    <t>https://en.wikipedia.org/RotorWay Exec and AvioTecnica ES-101 Raven</t>
  </si>
  <si>
    <t>1.60 m (5 ft 3 in)</t>
  </si>
  <si>
    <t>210 km/h (130 mph, 110 kn)</t>
  </si>
  <si>
    <t>Airo 1</t>
  </si>
  <si>
    <t>The Airo 1 is a United Arab Emirates ultralight and light-sport aircraft produced by Airo Aviation of the Ras Al Khaimah Free Trade Zone. The aircraft is supplied as a complete ready-to-fly-aircraft.[1][2] The aircraft is a licensed development of the Italian Euro Ala JetFox and was designed to comply with the Fédération Aéronautique Internationale microlight rules and also the US light-sport aircraft rules. It features a strut-braced high-wing, a two-seats-in-side-by-side configuration enclosed cockpit, fixed tricycle landing gear and a single engine in tractor configuration. The company claims it was accepted as a US LSA in 2008 but it did not appear on the official Federal Aviation Administration 2016 list of S-LSAs.[1][2][3][4][5] The aircraft is made from bolted-together aluminum tubing, with its flying surfaces covered in doped aircraft fabric. Its 9.78 m (32.1 ft) span wing employs V-struts and jury struts. Standard engines available are the 80 hp (60 kW) Rotax 912UL and the 100 hp (75 kW) Rotax 912ULS four-stroke powerplants. The engine is mounted on the main keel tube that runs from the tail to the engine, mounting the engine above the cockpit.[1][2] Data from Bayerl and Tacke[1][2]General characteristics Performance</t>
  </si>
  <si>
    <t>Ultralight aircraft and Light-sport aircraft</t>
  </si>
  <si>
    <t>https://en.wikipedia.org/Ultralight aircraft and Light-sport aircraft</t>
  </si>
  <si>
    <t>United Arab Emirates</t>
  </si>
  <si>
    <t>https://en.wikipedia.org/United Arab Emirates</t>
  </si>
  <si>
    <t>Airo Aviation</t>
  </si>
  <si>
    <t>https://en.wikipedia.org/Airo Aviation</t>
  </si>
  <si>
    <t>9.78 m (32 ft 1 in)</t>
  </si>
  <si>
    <t>14.62 m2 (157.4 sq ft)</t>
  </si>
  <si>
    <t>278 kg (613 lb)</t>
  </si>
  <si>
    <t>450 kg (992 lb)</t>
  </si>
  <si>
    <t>59 litres (13 imp gal; 16 US gal)</t>
  </si>
  <si>
    <t>1 × Rotax 912ULS four cylinder, liquid and air-cooled, four stroke, 75 kW (101 hp)</t>
  </si>
  <si>
    <t>3-bladed composite ground adjustable</t>
  </si>
  <si>
    <t>150 km/h (93 mph, 81 kn)</t>
  </si>
  <si>
    <t>60 km/h (37 mph, 32 kn)</t>
  </si>
  <si>
    <t>6 m/s (1,200 ft/min)</t>
  </si>
  <si>
    <t>30.8 kg/m2 (6.3 lb/sq ft)</t>
  </si>
  <si>
    <t>175 km/h (109 mph, 94 kn)</t>
  </si>
  <si>
    <t>Euro Ala JetFox</t>
  </si>
  <si>
    <t>https://en.wikipedia.org/Euro Ala JetFox</t>
  </si>
  <si>
    <t>Airbet Girabet</t>
  </si>
  <si>
    <t>The Airbet Girabet is a family of Spanish autogyros, designed and produced by Airbet of Barcelona.  They are all supplied as complete ready-to-fly-aircraft.[1] The Girabet family of designs all feature a single main rotor, tricycle landing gear and Rotax two-stroke and four-stroke engines mounted in pusher configuration. The aircraft fuselage is made from curved steel and aluminum tubing and mounts a cruciform tail. All rotor blades and other dynamic components are built by the company in-house. All models fit pre-rotators to shorten take-off distances.[1] Data from Bayerl[1]General characteristics Performance</t>
  </si>
  <si>
    <t>//upload.wikimedia.org/wikipedia/commons/thumb/4/48/Airbet_escola_de_vol_i_2_autogirs_-_Aerosport_2013_%28Igualada%29.JPG/300px-Airbet_escola_de_vol_i_2_autogirs_-_Aerosport_2013_%28Igualada%29.JPG</t>
  </si>
  <si>
    <t>Autogyro</t>
  </si>
  <si>
    <t>https://en.wikipedia.org/Autogyro</t>
  </si>
  <si>
    <t>Spain</t>
  </si>
  <si>
    <t>https://en.wikipedia.org/Spain</t>
  </si>
  <si>
    <t>Airbet</t>
  </si>
  <si>
    <t>https://en.wikipedia.org/Airbet</t>
  </si>
  <si>
    <t>120 kg (265 lb)</t>
  </si>
  <si>
    <t>230 kg (507 lb)</t>
  </si>
  <si>
    <t>42 litres (9.2 imp gal; 11 US gal)</t>
  </si>
  <si>
    <t>1 × Rotax 582 two cylinder, air-cooled, two stroke aircraft engine, 48 kW (64 hp)</t>
  </si>
  <si>
    <t>3-bladed composite</t>
  </si>
  <si>
    <t>105 km/h (65 mph, 57 kn)</t>
  </si>
  <si>
    <t>9 m/s (1,800 ft/min)</t>
  </si>
  <si>
    <t>7.3 m (23 ft 11 in)</t>
  </si>
  <si>
    <t>140 km/h (87 mph, 76 kn)</t>
  </si>
  <si>
    <t>Airborne Edge</t>
  </si>
  <si>
    <t>The Airborne Edge is a line of Australian two-seat ultralight trikes designed and produced by Airborne Windsports of Redhead, New South Wales. The aircraft are supplied as a completed aircraft and not as a kit.[1][2][3][4] The Edge features a cable-braced hang glider-style high-wing, weight-shift controls, a single-seat, open cockpit, tricycle landing gear and a single engine in pusher configuration. It has been produced in many different sub-models and is known in 2012 as the Classic.[1][2] The aircraft wing is made from bolted-together aluminium tubing, with its single or optionally double surface wing covered in Dacron sailcloth. Its 33.3 ft (10.1 m) span wing is supported by a single tube-type kingpost and uses an "A" frame control bar. The landing gear features suspension on all three wheels, with the main gear bungee suspended and the nose wheel suspended with rubber blocks. The nose wheel steering includes a dampener and drum brakes. The main wing support mast folds down to allow wing installation. The aircraft can be broken-down for ground transport or storage and assembly for flight can be accomplished in 30 minutes.[1] The Edge includes full dual controls for flight training, including dual steering, dual control bar extenders and two throttles. Engines supplied include the twin cylinder, two-stroke air-cooled 50 hp (37 kW) Rotax 503 or the liquid-cooled 64 hp (48 kW) Rotax 582.[1] The Edge was flown in west Africa in aerial support of an elephant conservation project and was also used in Indonesia to monitor endangered orangutan populations.[5] Data from Cliche[1]General characteristics Performance</t>
  </si>
  <si>
    <t>//upload.wikimedia.org/wikipedia/commons/thumb/6/63/N269D_Airborne_Edge_X_%2810145650115%29.jpg/300px-N269D_Airborne_Edge_X_%2810145650115%29.jpg</t>
  </si>
  <si>
    <t>33 ft 4 in (10.16 m)</t>
  </si>
  <si>
    <t>408 lb (185 kg)</t>
  </si>
  <si>
    <t>900 lb (408 kg)</t>
  </si>
  <si>
    <t>12.7 U.S. gallons (48 L; 10.6 imp gal)</t>
  </si>
  <si>
    <t>1 × Rotax 582 twin cylinder, two-stroke, liquid-cooled aircraft engine, 64 hp (48 kW)</t>
  </si>
  <si>
    <t>55 mph (89 km/h, 48 kn)</t>
  </si>
  <si>
    <t>35 mph (56 km/h, 30 kn)</t>
  </si>
  <si>
    <t>750 ft/min (3.8 m/s)</t>
  </si>
  <si>
    <t>+6/-3</t>
  </si>
  <si>
    <t>Airdrome Eindecker E-III</t>
  </si>
  <si>
    <t>The Airdrome Eindecker E-III is a single-seat, mid-wing, conventional landing gear fighter aircraft replica produced in kit form by Airdrome Aeroplanes of Holden, Missouri.[1][2][3][4][5][6][7] The Airdrome Eindecker E-III is a 3/4 scale replica of the First World War Fokker Eindecker E.III, the protagonist of the Fokker Scourge of the summer of 1915 when, equipped with a single synchronized Maxim machine gun, the Fokker E.III achieved air superiority over the western front.[1][2][3][4][5][7] The replica E-III was designed to give aircraft homebuilders the opportunity to construct a replica fighter and was intended to appeal to the pilot who is also a history buff. The aircraft fits into the US FAR 103 Ultralight Vehicles category and has a standard empty weight of 238 lb (108 kg) when equipped with the standard 50 hp (37 kW) Rotax 503 engine. Optionally a 38 hp (28 kW) half Volkswagen air-cooled engine can be used, putting the aircraft in the US Experimental - Amateur-built category.[1][5][7]Several other engines in the power range 30–40 kW (40–54 hp) can be fitted, including the Solo Flight Solo 40, Rotax 447 and Hirth F23.[8] Other engines fitted to aircraft on the UK register include the Warner Scarab 145 and the Continental C85-12.[9]  The fuselage is constructed from pre-welded 4130 steel tube, along with aluminum tubing that is bolted and riveted together. The wing is conventional aluminum construction, wire braced from a short kingpost and the whole aircraft is covered with aircraft fabric. Unlike the original E-III, which utilized wing-warping, the replica has ailerons. The landing gear is bungee suspended. The engine cowling consists of a spun aluminum nose bowl with a sheet metal wrap-around.[1][5][7] The kits are supplied complete including paint and fabric, except for the engine, propeller and instruments. Of note, the kit does not include a replica machine gun. The factory estimates that an average builder can complete the aircraft kit in 300 hours.[1][5] The company claims that the aircraft kit can be assembled using "normal hand tools consisting of hacksaw, hand drill, file, pop rivet gun, wrenches, and hand nico press tool. Area required for construction should be approximate the size of a single car garage".[5] Twenty one examples had been completed by December 2011.[6] Seven of these remained on the  UK register in 2019.[9] Data from Cliche, Aerocrafter, Kitplanes, Airdrome Aeroplanes[1][2][3][4][5]General characteristics Performance Armament   Aircraft of comparable role, configuration, and era</t>
  </si>
  <si>
    <t>//upload.wikimedia.org/wikipedia/commons/thumb/7/74/Airdrome_Aeroplanes_Fokker_E-III_scale_replica_N540ZM.jpg/300px-Airdrome_Aeroplanes_Fokker_E-III_scale_replica_N540ZM.jpg</t>
  </si>
  <si>
    <t>World War I replica fighter</t>
  </si>
  <si>
    <t>https://en.wikipedia.org/World War I replica fighter</t>
  </si>
  <si>
    <t>21 (2011)</t>
  </si>
  <si>
    <t>242 lb (110 kg) useful load, no passengers</t>
  </si>
  <si>
    <t>18 ft 0 in (5.49 m)</t>
  </si>
  <si>
    <t>30 ft 0 in (9.15 m)</t>
  </si>
  <si>
    <t>96 sq ft (8.93 m2)</t>
  </si>
  <si>
    <t>238 lb (108 kg)</t>
  </si>
  <si>
    <t>1 × Rotax 503 two cylinder, two-stroke, 50 hp (37 kW)</t>
  </si>
  <si>
    <t>57 mph (92 km/h, 50 kn)</t>
  </si>
  <si>
    <t>28 mph (45 km/h, 24 kn)</t>
  </si>
  <si>
    <t>80 mi (130 km, 70 nmi)</t>
  </si>
  <si>
    <t>1,100 ft/min (5.6 m/s)</t>
  </si>
  <si>
    <t>5.0 lb/sq ft (24.4 kg/m2)</t>
  </si>
  <si>
    <t>Robert Baslee</t>
  </si>
  <si>
    <t>480 lb (218 kg)</t>
  </si>
  <si>
    <t>63 mph (102 km/h, 55 kn)</t>
  </si>
  <si>
    <t>Fokker E.III</t>
  </si>
  <si>
    <t>https://en.wikipedia.org/Fokker E.III</t>
  </si>
  <si>
    <t>9.6 lb/hp (0.24 kW/kg)</t>
  </si>
  <si>
    <t>1 X replica Maxim machine gun (not supplied with kit)</t>
  </si>
  <si>
    <t>Akaflieg Darmstadt D-28 Windspiel</t>
  </si>
  <si>
    <t>The Akaflieg Darmstadt D-28 Windspiel  (English: Italian Greyhound) was a single-seat, high-performance sailplane designed in Germany in the early 1930s.  Intended to exploit a growing understanding of thermal soaring, it was small and manoeuvrable, with a 12 m span; silk-covered for lightness, it weighed less (empty) than its pilots.  It held the world straight-line distance record for a time in 1934. The Akademische Fliegergruppe of the Technical University of Darmstadt was first formed in 1921.  It was, and is, a group of aeronautical students who design and construct aircraft as part of their studies and with the help and encouragement of their university. They began with gliders optimised for hill soaring with long span, high aspect ratio wings.  By the early 1930s, partly through the experiences of the Darmstadt Musterle in the US, there was a better understanding of "blue" thermals and the Darmstadt group sought to exploit these small, weak currents with a light, manoeuvrable aircraft that could stay within their rising columns. The result was the D-28 Windspiel, combining a 12 m (39 ft 4 in) span with the lowest weight achievable with the plywood and fabric materials of the time.[2][3] The D-28 was a wood-framed aircraft with a high, cantilever, single-spar wing, Akaflieg's established layout. It utilised the high-lift-to-drag ratio Göttingen 535 profile that Akaflieg had used on the Konsul and Darmstadt, though thinned by 10% to reduce drag.  The structure also followed Akaflieg's previous use of wooden frames and stress-bearing plywood skin on the fuselage and leading edges of flying surfaces, with fabric covering elsewhere, but with greater attention to precision, the removal of unneeded material and metering of adhesives.  The wing leading edge ply was only 1 mm (0.039 in) thick, and the fuselage was constructed without longerons. Instead of the standard aircraft linen, for lightness the Windspiel was covered in silk. The empty weight of the completed Windspiel was 55.5 kg (112 lb), a good deal less than that of most of its pilots.[2] In plan, the wing was straight-tapered with elliptical tips.  The whole of the trailing edge was occupied by camber-changing flaperons, attached to selected ribs rather than to a subsidiary spar as usual, another weight-saving measure.  The hinge gap was sealed with 500 μm (0.02 in) ply strips.  The wing was mounted, as with several earlier Akaflieg sailplane, on a narrow, faired pylon, with the cockpit in front of it and under the leading edge. The upper fuselage from the nose to the front of the pylon was detachable in a single piece, together with the cellophane single curvature glazing, so the pilot could access the cockpit. The Windspiel's fuselage was slender and oval in cross section, with a short skid under the centre section and small tail bumper as an undercarriage.  The horizontal tail was straight-tapered, with the tailplane fixed to the top of the fuselage and carrying elevators with a central cut-out for rudder movement. The tall, straight-edged rudder was an all-moving one, but of an unusual design, divided vertically into two sections, with the front part carrying the rear surface.  When the front surface moved, the larger-area, deeper rear surface further deflected by the same amount again, presenting a cambered surface.  As on the Konsul, the rudder and ailerons were interconnected to ease yaw correction in turns.[2] The date of the first flight is uncertain, but building was planned to start over the winter of 1931–32,[3] and the Windspiel was performing record flights by early 1934.[4]  As its careful construction was slow, taking some 7,000 hours,[2] a 1933 date is plausible. In flight it achieved the tight turns required to stay within small thermals; a medium-level turn with a bank angle of 25° produced an 80 m (260 ft) radius circle.[2] After its 1935 accident and rebuild, the Windspiel was a little heavier, but the only major alteration was the separation of the full-span flaperons into inboard flaps and outboard ailerons.[2] On 16 June 1934[Notes 1] the Windspiel, piloted by Hans Fischer, set a new world glider straight-line distance record of 240 km (149 mi) with a flight from Griesheim, Darmstadt to Thonneheim, Montmédy in France.[4] On 9 June 1935 Fischer demonstrated the manoeuvrability of the Windspiel at an aircraft display day organised by the Aero Club de Portugal at the Amadora airfield near Lisbon. Glider aerobatics were a novelty at the time.[5] The accident which led to the rebuild as the D-28B occurred at Griesheim in 1935.  The D-28 was on the ground with Fischer aboard when an aircraft landed on the glider.  It was wrecked but Fischer escaped with bruising. Rebuilt about 12% heavier, it was still capable of good performance.  Hans Osann flew it from Darmstadt into the Netherlands, a distance of 275 km (171 mi).  At the ISTUS meeting at Salzburg in 1937, he was one of a group to fly across the Alps.[2] Later the D-28B was one of a group of sailplanes that pioneered thermal soaring in the Sahara. Though it flew well enough, this experiment with a very light glider did not lead to a new sailplane class.  Its performance was not superior to larger, long-span aircraft which were cheaper to build and more robust in the air and on the ground.[2] Data from Sailplanes 1920–1945[2]Flugzeug-Typenbuch. Handbuch der deutschen Luftfahrt- und Zubehör-Industrie 1944[6]General characteristics Performance</t>
  </si>
  <si>
    <t>Single-seat glider</t>
  </si>
  <si>
    <t>https://en.wikipedia.org/Single-seat glider</t>
  </si>
  <si>
    <t>Germany</t>
  </si>
  <si>
    <t>https://en.wikipedia.org/Germany</t>
  </si>
  <si>
    <t>Akaflieg Darmstadt</t>
  </si>
  <si>
    <t>https://en.wikipedia.org/Akaflieg Darmstadt</t>
  </si>
  <si>
    <t>5.98 m (19 ft 7 in)</t>
  </si>
  <si>
    <t>12.00 m (39 ft 4 in)</t>
  </si>
  <si>
    <t>11.4 m2 (123 sq ft)</t>
  </si>
  <si>
    <t>72 kg (159 lb) structure</t>
  </si>
  <si>
    <t>152 kg (335 lb) in flight</t>
  </si>
  <si>
    <t>13.3 kg/m2 (2.7 lb/sq ft)</t>
  </si>
  <si>
    <t>R. Kosin and R. Schomerus[1]</t>
  </si>
  <si>
    <t>1.07 m (3 ft 6 in)</t>
  </si>
  <si>
    <t>12.5 m (41 ft)</t>
  </si>
  <si>
    <t>1.2 m (3 ft 11 in)</t>
  </si>
  <si>
    <t>1.45 m (4 ft 9 in)</t>
  </si>
  <si>
    <t>Göttingen 535 thinned by 10%</t>
  </si>
  <si>
    <t>0.58 m/s (114 ft/min) at 48 km/h (30 mph; 26 kn)</t>
  </si>
  <si>
    <t>Akaflieg Darmstadt D-34</t>
  </si>
  <si>
    <t>The Akaflieg Darmstadt D-34 sailplanes were a series of experimental single seat sailplanes, designed at the University of Darmstadt in the 1950s and early 1960s to explore the structural and aerodynamic advantages of the then emerging plastics and composite materials. The Akademische Fliegergruppe of the Technical University of Darmstadt (Akaflieg Darmstadt) was first formed in 1921. It was, and is, a group of aeronautical students who design and construct aircraft as part of their studies and with the help and encouragement of their University. The 1955 D-34 was their first post-World War II design and formed the basis for a series of experimental sailplanes which explored new materials, airfoils and construction methods.[2] The D-34 was a small single seat sailplane, all variants having a wingspan of only 12.65 m (41.5 ft). The first three variants shared a common, single piece, wing of straight tapered plan with a root to tip chord ratio of 2.03 and an area of 8.0 m2 (86 sq ft). There were small, cigar shaped tip fairings, termed salmons. The profile was the thick (21% thickness-to-chord ratio) NACA 644621, intended to produce laminar flow over the front 40% of the wing. It was formed around a three box spar of pine and plywood, its cells filled with plastic foam.  The spar was less deep than the wing and the surface profile was shaped in ply over a small number of full chord ribs plus a carefully shaped plastic foam block filling.[2] The wing was attached to the top of the fuselage, with cockpit immediately ahead under a removable, smooth, single piece canopy which was faired into the leading edge and extended almost to the nose. To avoid wing surface irregularities the D-34 had airbrakes mounted on the lower fuselage under the wing leading edge, opening like rear hinged car doors.  A deep, faired skid served as undercarriage; there was no tail skid. The plywood skinned, oval section fuselage tapered uniformly to the rear. The D-34 had a T-tail with a straight tapered, round tipped, tabbed horizontal surface.  The original fin was upright and of narrow chord, carrying a rudder much wider than the tailplane, with a straight, raked trailing edge.[2] The D-34a first flew in 1955. Flight testing showed that the novel wing construction worked well, but that both the ailerons and vertical rear surfaces needed more area.  This was addressed by extending the trailing edges of the ailerons beyond those of the wings and extending the rudder rearwards, giving it a more rounded appearance.  At the same time a rudder tab was fitted, the fin chord increased and a dorsal fillet added. Various cockpit modifications were also made, including a new, longer version which reached forward over an extended forward fuselage to the small metal nose cone. The fuselage mounted airbrakes were not a success.[2] In 1957 another group of students produced the modified D-34b Aphrodite, with G. Jacoby[1] chiefly responsible for the redesign.  It is not certain if this was a new airframe or a rebuild of the D-34a, but it used the same wing design apart from the inclusion of flaps, capable of 60° deflections and longer, lower chord ailerons which extended over the rest of the trailing edge outboard of the flaps.  The flaps replaced the unsatisfactory airbrakes of the D-34a but the enlarged ailerons did not produce effective lateral control.  The D-34b kept the longer forward fuselage of the modified D-34a, though with a less extended canopy, but had the original D-34 fin and rudder. The upper fuselage behind the cockpit was raised and more strongly faired over the wing, smoothing the upper fuselage line over the trailing edge. It had a retractable monowheel undercarriage and small tailskid in place of the bulky main skid of the D-34a.  These changes raised the empty weight from the 128 kg (282 lb) of the D-34a to 141 kg (311 lb). By the time the performance was tested in 1960 the D-34b was showing signs of age but still returned a best glide ratio of 28.3:1, very respectable for a 12.65 m (41.5 ft) span glider.[2] The D-34c B'phrodite was designed by M. Rade and flew in 1958. The main change was to the fuselage, with the original stressed-ply covered, wood-framed structure replaced by a fabric covered steel frame. The monowheel was non-retractable and the wingtip salmons removed. The empty weight was decreased by 4 kg (8.8 lb).[3] The last variant was the D-34 of 1960.  Designed, amongst others, by Gerhard Waibel, it kept the D-34b fuselage and tail but married it to a wing of new construction methods, different profile and larger area whilst keeping the same span as the earlier models.  To achieve the latter both root and tip chords were increased by about 12%. The wings had 1° of dihedral and 2° of forward sweep. The salmons were replaced by rounded tips and the ailerons were longer and wider than those of the D-34b; just inboard of them inboard spoilers replaced the flaps.  Structurally the wing was very different; there was no main spar. The front 60%, from a light, balsa filled nose to a plywood auxiliary spar, was a glass reinforced plastic (GRP) shell with a stiffening paper honeycomb filling.  Ailerons and airbrakes were attached to the auxiliary spar.  Behind it, the wing had ribs covered with a GRP/plastic foam sandwich.  Careful construction kept the local "waviness" to less than 20 μm (0.00079 in).[2] Though it had a lower aspect ratio (17.5) than the D-34b (20) because of the increased wing area, the D-34d had an improved best glide ratio of 35.1:1. Like the earlier variants, it was not intended as a production or competition aircraft, but as vehicle for the development of students' experience with the new materials of the time.[2] The D-34c D-4644 may be viewed with prior permission in the German Gliding Museum on the Wasserkuppe.[4]  A section of the D-34d wing is also there.[2] Data from Sailplanes 1945–1965[2]General characteristics Performance</t>
  </si>
  <si>
    <t>Experimental single seat sailplane</t>
  </si>
  <si>
    <t>https://en.wikipedia.org/Experimental single seat sailplane</t>
  </si>
  <si>
    <t>2 or 3</t>
  </si>
  <si>
    <t>6.40 m (21 ft 0 in)</t>
  </si>
  <si>
    <t>12.65 m (41 ft 6 in)</t>
  </si>
  <si>
    <t>9.2 m2 (99 sq ft)</t>
  </si>
  <si>
    <t>160 kg (353 lb)</t>
  </si>
  <si>
    <t>255 kg (562 lb)</t>
  </si>
  <si>
    <t>65 km/h (40 mph, 35 kn) [3]</t>
  </si>
  <si>
    <t>29.4 kg/m2 (6.0 lb/sq ft)</t>
  </si>
  <si>
    <t>D-34a: W. Sarnes and H. J. Merklein[1]</t>
  </si>
  <si>
    <t>NACA 643618</t>
  </si>
  <si>
    <t>0.7 m/s (140 ft/min) minimum[3]</t>
  </si>
  <si>
    <t>Parnall Plover</t>
  </si>
  <si>
    <t>The Parnall Plover was a British single-seat naval fighter aircraft of the 1920s.  Designed and built by George Parnall &amp; Co. for use on Royal Navy aircraft carriers, it was ordered into small-scale production but after extensive evaluation, the Fairey Flycatcher was preferred for large-scale service. The Parnall Plover was designed by Harold Bolas, chief designer of the reformed George Parnall &amp; Co. to meet the requirements of the British Air Ministry Specification 6/22 for a single-seat fighter aircraft. The successful aircraft was to replace the Nieuport Nightjar and be powered by a Bristol Jupiter or Armstrong Siddeley Jaguar engine capable of being operated from aircraft carriers or as a floatplane. The Plover was a single-bay biplane of wood-and-fabric construction, fitted with full-span flaps and could be fitted with a conventional wheeled undercarriage or floats (with wheels protruding through the bottom of the floats). The first prototype flew in late 1922, powered by a Bristol Jupiter.  Two more prototypes followed, with the second a floatplane, also powered by a Jupiter and the third a landplane powered by a Jaguar engine.[1] The three prototypes proved to be similar in performance to the competing Fairey Flycatcher, with small orders being placed for both types, ten for the Plover, to allow more detailed operational evaluation.[2] Six Plovers entered service with 403 and 404 Fleet Fighter Flights of the Royal Air Force in 1923, allowing the type to be evaluated in service against the Flycatcher and the Nightjar, which both types were planned to replace. The Flycatcher was preferred, being a more popular aircraft to fly as well as being easier to rig, replacing the Plover in 1924.[1] One aircraft was entered on the civil register as G-EBON and was flown in the 1919 King's Cup Air Race, the Plover retired from the race due to fuel flow problems.[3] G-EBON crashed and was destroyed in January 1929. Data from The Complete Book of Fighters[4]General characteristics Performance Armament   Aircraft of comparable role, configuration, and era</t>
  </si>
  <si>
    <t>//upload.wikimedia.org/wikipedia/commons/thumb/f/f7/Parnell_Plover_02.jpg/300px-Parnell_Plover_02.jpg</t>
  </si>
  <si>
    <t>Fighter</t>
  </si>
  <si>
    <t>United Kingdom</t>
  </si>
  <si>
    <t>Parnall &amp; Co</t>
  </si>
  <si>
    <t>https://en.wikipedia.org/Parnall &amp; Co</t>
  </si>
  <si>
    <t>23 ft 0 in (7.01 m)</t>
  </si>
  <si>
    <t>29 ft 0 in (8.84 m)</t>
  </si>
  <si>
    <t>306 sq ft (28.4 m2)</t>
  </si>
  <si>
    <t>2,035 lb (923 kg)</t>
  </si>
  <si>
    <t>2,984 lb (1,354 kg)</t>
  </si>
  <si>
    <t>× Bristol Jupiter III 9-cylinder air-cooled radial pistone engine, 436 hp (325 kW)</t>
  </si>
  <si>
    <t>2-bladed fixed-pitch propeller</t>
  </si>
  <si>
    <t>9.75 lb/sq ft (47.6 kg/m2)</t>
  </si>
  <si>
    <t>Harold Bolas</t>
  </si>
  <si>
    <t>https://en.wikipedia.org/Harold Bolas</t>
  </si>
  <si>
    <t>12 ft 0 in (3.66 m)</t>
  </si>
  <si>
    <t>142 mph (229 km/h, 123 kn)</t>
  </si>
  <si>
    <t>23,000 ft (7,000 m)</t>
  </si>
  <si>
    <t>0.15 hp/lb (0.25 kW/kg)</t>
  </si>
  <si>
    <t>2x fixed forward-firing .303 in Vickers machine guns</t>
  </si>
  <si>
    <t>Royal Air Force</t>
  </si>
  <si>
    <t>https://en.wikipedia.org/Royal Air Force</t>
  </si>
  <si>
    <t>20,000 ft (6,096 m) in 25 minutes 12 seconds</t>
  </si>
  <si>
    <t>Alisport Silent 2 Electro</t>
  </si>
  <si>
    <t>The Alisport Silent 2 Electro is an Italian mid-wing, single-seat motor glider, designed and produced by Alisport of Cremella and provided as a complete ready-to-fly aircraft. The aircraft was introduced at the Aero show held in Friedrichshafen in 2011.[1] The Silent 2 Electro was derived from the Alisport Silent 2 Targa and differs primarily in having the front electric sustainer with its nose-mounted electric motor and propeller and associated batteries and controllers. It was originally called the Silent Targa E.[1] The aircraft is made from composites and features a T-tail. The wing skins are made from a composite sandwich built over pultruded carbon fibre spars. Its 13.3 m (43.6 ft) span, elliptical planform wing employs a 16% IMD 050 airfoil, has an area of 8.9 m2 (96 sq ft) and mounts flaperons. The bubble canopy tips up for access and has a built-in vent. The landing gear consists of a retractable main monowheel gear, a fixed (or optionally steerable) tail wheel and faired polymer wing tip wheels. The 22 kW (30 hp) electric motor is powered by two lithium polymer battery packs mounted near the aircraft's center of gravity, totalling a capacity of 4.3 kWh and weighing 15.5 kg (34.2 lbs). The nose-mounted propeller folds alongside the aircraft's nose when not powered to reduce drag and self-deploys when power is applied. The propeller mounting location eliminates the need for a retractable pylon and allows instant restarts of the engine without preparation, at any time in flight.[1][2] The take-off distance on asphalt is 140 m (459 ft) and the engine gives a climb rate of 2.0 m/s (400 ft/min).[2] Data from World Directory of Leisure Aviation 2011–12 and Alisport[1][2]General characteristics Performance</t>
  </si>
  <si>
    <t>//upload.wikimedia.org/wikipedia/en/thumb/2/28/Silent_2_Electro_at_Reno.jpg/300px-Silent_2_Electro_at_Reno.jpg</t>
  </si>
  <si>
    <t>Motor glider</t>
  </si>
  <si>
    <t>https://en.wikipedia.org/Motor glider</t>
  </si>
  <si>
    <t>Alisport</t>
  </si>
  <si>
    <t>https://en.wikipedia.org/Alisport</t>
  </si>
  <si>
    <t>6.35 m (20 ft 10 in)</t>
  </si>
  <si>
    <t>13.3 m (43 ft 8 in)</t>
  </si>
  <si>
    <t>8.9 m2 (96 sq ft)</t>
  </si>
  <si>
    <t>205 kg (452 lb)</t>
  </si>
  <si>
    <t>315 kg (694 lb)</t>
  </si>
  <si>
    <t>2-bladed composite, 1.0 m (3 ft 3 in) diameter</t>
  </si>
  <si>
    <t>65 km/h (40 mph, 35 kn)</t>
  </si>
  <si>
    <t>2.0 m/s (390 ft/min)</t>
  </si>
  <si>
    <t>35.4 kg/m2 (7.3 lb/sq ft)</t>
  </si>
  <si>
    <t>1.25 m (4 ft 1 in)</t>
  </si>
  <si>
    <t>Alisport Silent 2 Targa</t>
  </si>
  <si>
    <t>https://en.wikipedia.org/Alisport Silent 2 Targa</t>
  </si>
  <si>
    <t>220 km/h (140 mph, 120 kn)</t>
  </si>
  <si>
    <t>+5.3 g / -2.65 g at 150 km/h and 315 kg</t>
  </si>
  <si>
    <t>16% IMD 050</t>
  </si>
  <si>
    <t>0.6 m/s (120 ft/min) at 85 km/h (53 mph)</t>
  </si>
  <si>
    <t>Naval Research Laboratory Flyrt</t>
  </si>
  <si>
    <t>The Naval Research Laboratory Flyrt, or Flying Radar Target, was a small electric-powered unmanned aerial vehicle developed by the United States Naval Research Laboratory to serve as an expendable radar decoy for the defense of United States Navy ships. Tested in the fall of 1993, it was considered successful but was not ordered into production. Begun in 1991,[1] the Flyrt program was intended to produce an expendable decoy drone, not requiring any new aboardship infrastructure, for the defense of warships against radar-guided antiship missiles.[2] It produced a drone that was of conventional configuration, having a low-mounted, folding wing and a cruciform tail section; an electric motor was mounted in the nose of the aircraft. Launch was via a rocket booster, providing 1.6 seconds of thrust,[3] from the Mark 137 launcher of the Mark 36 SRBOC system;[2] the use of the Mark 36 launcher put a constraint on the possible size of the drone,[4] which was designed to compact into a package the size of a standard NATO Mark 36 chaff rocket.[2] The tail fins would unfold immediately on launch, while the wing would deploy and motor start after burnout as the aircraft coasted to the apogee of a ballistic trajectory. The expendable Flyrt carried a radio repeater with two antennae for spoofing enemy radar signals.[3] Following a series of ballistic tests to verify compatibility of the launcher,[5] the Flyrt trial program moved to full-scale tests of the vehicle, with the drone's first flight coming on 9 September 1993.[6] Thirteen drones were constructed for the program, conducted at the NRL's Chesapeake Bay Detachment, which was considered successful; however, no production was undertaken.[3] Data from Parsch 2006[3]General characteristics Performance   Aircraft of comparable role, configuration, and era  Related lists</t>
  </si>
  <si>
    <t>//upload.wikimedia.org/wikipedia/commons/thumb/0/0c/Naval_Research_Laboratory_FLYRT.jpg/300px-Naval_Research_Laboratory_FLYRT.jpg</t>
  </si>
  <si>
    <t>Radar decoy drone</t>
  </si>
  <si>
    <t>Naval Research Laboratory</t>
  </si>
  <si>
    <t>https://en.wikipedia.org/Naval Research Laboratory</t>
  </si>
  <si>
    <t>None</t>
  </si>
  <si>
    <t>25 pounds (11 kg) payload</t>
  </si>
  <si>
    <t>8 ft (2.4 m)</t>
  </si>
  <si>
    <t>132 lb (60 kg) including booster</t>
  </si>
  <si>
    <t>80 mph (130 km/h, 70 kn)</t>
  </si>
  <si>
    <t>United States Navy</t>
  </si>
  <si>
    <t>https://en.wikipedia.org/United States Navy</t>
  </si>
  <si>
    <t>Republic SD-4 Swallow</t>
  </si>
  <si>
    <t>The Republic SD-4 Swallow was an early high-speed reconnaissance drone developed by Republic Aviation for the United States Army. Intended for use by the U.S. Army Signal Corps to target tactical ballistic missiles, it was cancelled before the first prototype could be completed, and did not see operational service. Contracts were awarded by the U.S. Army in 1960 for development of a high-speed, long-range reconnaissance drone to provide targeting information to the Army's tactical ballistic missile force; competing designs for the requirement were developed by Republic Aviation, which proposed an 'clean-sheet' aircraft given the designation SD-4 Swallow, and Fairchild Aircraft, which developed a variant of the Bull Goose decoy missile as the SD-5 Osprey.[1] Given the full designation AN/USD-4 for its overall system,[2] the SD-4 was of tailless delta configuration,[1] with power provided by a Pratt &amp; Whitney J60 turbojet, the military version of the civilian JT12 engine;[3] two Arrow 2 jet-assisted takeoff-type rocket boosters allowing for zero length launch from a specially-designed trailer.[4]   In a similar fashion to Republic's smaller SD-3 drone, the Swallow was equipped with an interchangeable nose section allowing for aerial photography, infrared photography, or radar systems to be installed depending on mission needs.[4] Capable of operating in any weather conditions,[5] recovery following the completion of the SD-4's mission was to be by parachute.[4]  Before any flight test vehicles were constructed,[1] the program was cancelled in January of 1961 due to cost constraints.[6] Data from Parsch 2004[2]General characteristics PerformanceNewcome states the SD-4 and SD-5 were subsonic.[1]   Aircraft of comparable role, configuration, and era  Related lists Citations Bibliography</t>
  </si>
  <si>
    <t>Reconnaissance drone</t>
  </si>
  <si>
    <t>Republic Aviation</t>
  </si>
  <si>
    <t>https://en.wikipedia.org/Republic Aviation</t>
  </si>
  <si>
    <t>30 ft 5 in (9.27 m)</t>
  </si>
  <si>
    <t>11 ft 6 in (3.51 m)</t>
  </si>
  <si>
    <t>3,500 lb (1,588 kg)</t>
  </si>
  <si>
    <t>1 × Pratt &amp; Whitney J60-3 turbojet, 2,900 lbf (13 kN) thrust</t>
  </si>
  <si>
    <t>300 mi (480 km, 260 nmi)</t>
  </si>
  <si>
    <t>Mach 1.5</t>
  </si>
  <si>
    <t>60,000 ft (18,000 m)</t>
  </si>
  <si>
    <t>United States Army</t>
  </si>
  <si>
    <t>https://en.wikipedia.org/United States Army</t>
  </si>
  <si>
    <t>Stemal III</t>
  </si>
  <si>
    <t>The Semal III was a parasol wing test bed for a wing with variable camber, intended to increase the  speed range of aircraft and to lower landing speeds. It was based on a Nieuport 80. Stefan Malinowski's several aircraft designs were all named Stemal, the first syllables of his names joined together. The Stemal III was a test-bed for his ideas for extending the speed range of aircraft using variable camber wings, which he had begun to develop at the beginning of World War I whilst studying the Gustave Eiffel wind tunnel results[1] on the lift generated by cambered aerofoil sections. His first experiments were with a modified Caudron wing but the external mechanism he used increased the drag unacceptably. Instead, he developed a wing with ribs which were flexible aft of the main, forward, spar together with an internal, rear spar, cam-based mechanism to bend them.[2] Malinkowski then took the device though aerodynamic tests in wind tunnels in Italy and made some initial practical tests with Ansaldo in Turin, all with encouraging results. The first full scale wing panel for structural and operational tests was built in 1921 at Bydgoszcz, in the workshops of the military flying school there. As a result Malinkowski obtained support from the Department of Aerial Navigation to build and fly a complete wing.[2] The test aircraft was originally built as a Nieuport 80 biplane, a two seat trainer variant of the Nieuport 12 fighter aircraft. With its wings and the rear cockpit removed and with a new empennage, it was converted to a parasol wing monoplane.  The Malinowski wing was held over the fuselage on each side with two outward-leaning inverted V-struts from the upper fuselage to front and rear spars and wire-braced above from a strut pyramid above the wing centre and below with wires from the lower fuselage longerons. The  camber changes were confined to the central part of the wing so that the ailerons were unaffected.[2] Piloted by Jerzy Kossowski, the Stemal III flew for the first time in late August 1922. The subsequent trials yielded promising results, with take-off and landing distances halved, rate of climb increased by 33% and service ceiling by 20%. Its stalling speed was reduced from 70 km/h (43 mph; 38 kn) without camber to 48 km/h (30 mph; 26 kn) with camber and its speed range, about 1:3.4, was much better than that of any of its contemporaries.[2] These tests generated some interest, particularly at the Technical Services of Aerodynamics (S.T.Aè) in Paris in 1924, leading to studies by Hanriot of a similar wing. In 1925 the Warsaw Technical University made air-tunnel measurements on a wing with a greater camber range over its full span, controlled with a simplified mechanism.[2] Apart from the Stemal III, the only other aircraft to incorporate the variable-camber wing was Malinowski's Dziaba, a highly ambitious flying wing glider. This should have competed in the Second Polish Glider Contest, held in August 1923. It attended  but was badly damaged in the run-up to its first launch and though it was repaired before the end of the competition a lack of wind kept it on the ground.[3] Funding problems limited any further wing development by Malinowski and although he sold his patents in November 1925, nothing more was made of them.[2]  Data from Cynk (1971)[2] Performance without camber changing unless notedGeneral characteristics Performance</t>
  </si>
  <si>
    <t>Experimental aircraft</t>
  </si>
  <si>
    <t>Poland</t>
  </si>
  <si>
    <t>https://en.wikipedia.org/Poland</t>
  </si>
  <si>
    <t>One</t>
  </si>
  <si>
    <t>7.15 m (23 ft 5 in)</t>
  </si>
  <si>
    <t>9 m (29 ft 6 in)</t>
  </si>
  <si>
    <t>12 m2 (130 sq ft)</t>
  </si>
  <si>
    <t>620 kg (1,367 lb)</t>
  </si>
  <si>
    <t>800 kg (1,764 lb)</t>
  </si>
  <si>
    <t>1 × Le Rhône 9-cylinder rotary, 82 kW (110 hp)</t>
  </si>
  <si>
    <t>2-bladed</t>
  </si>
  <si>
    <t>70 km/h (43 mph, 38 kn) minimum speed; 48 kilometres per hour (30 mph; 26 kn) with camber changing</t>
  </si>
  <si>
    <t>Stefan Malinowski</t>
  </si>
  <si>
    <t>Late August 1922</t>
  </si>
  <si>
    <t>165 km/h (103 mph, 89 kn)</t>
  </si>
  <si>
    <t>3,000 m (9,800 ft) 3,600 m (11,800 ft) with camber changing</t>
  </si>
  <si>
    <t>16 min to 1,000 m (3,300 ft); 12 min with camber changing</t>
  </si>
  <si>
    <t>60 m (200 ft);  30 m (98 ft) with camber changing</t>
  </si>
  <si>
    <t>70 m (230 ft); 35 m (115 ft) with camber changing</t>
  </si>
  <si>
    <t>Kaman K-16B</t>
  </si>
  <si>
    <t>The Kaman K-16B was an experimental vertical-takeoff-and-landing aircraft that was constructed by Kaman Aircraft for the United States Navy in 1959 to evaluate the tiltwing concept. Converted from a Grumman Goose amphibian, the K-16B underwent extensive wind tunnel and tethered testing, but was not flown before the project was terminated in 1962. During the late 1950s, there was extensive interest in the vertical takeoff and landing concept for aircraft, with multiple experimental types ordered to develop the technology for potential service. The United States Navy contracted with Kaman Aircraft of Bloomfield, Connecticut to build a testbed based on the company's 'rotorprop' concept for tiltwing aircraft,[1] using a Grumman JRF-5 Goose amphibian and other existing parts to reduce the cost and time necessary.[2] The fuselage and tail of the Goose were mated to a new tilting wing and engine configuration;[3] the maximum angle of incidence allowed was only 50 degrees; the rotorprop was expected to provide sufficient thrust to allow VTOL operations despite the low angle.[1] Delivered in late 1959, the K-16B underwent extensive wind tunnel testing, along with some tethered hops, to evaluate the tiltwing configuration's aerodynamic characteristics.[4] Flight testing was originally anticipated to begin in the fall of 1960,[2] however these preliminary tests continued into 1962.[5] That year the project was cancelled with the aircraft having not conducted its first free flight.[4] The prototype K-16B is on display at the New England Air Museum in Windsor Locks, Connecticut.[4] Data from Jane's 1959–1960[2] and the New England Air Museum.[4] All performance data estimated.General characteristics Performance  Related development Aircraft of comparable role, configuration, and era  Related lists</t>
  </si>
  <si>
    <t>//upload.wikimedia.org/wikipedia/commons/thumb/6/60/Kaman_K-16B_with_wing_tilted.jpg/300px-Kaman_K-16B_with_wing_tilted.jpg</t>
  </si>
  <si>
    <t>Experimental tiltwing</t>
  </si>
  <si>
    <t>Kaman Aircraft</t>
  </si>
  <si>
    <t>https://en.wikipedia.org/Kaman Aircraft</t>
  </si>
  <si>
    <t>38 ft 4 in (11.68 m)</t>
  </si>
  <si>
    <t>34 ft 0 in (10.36 m)</t>
  </si>
  <si>
    <t>6,500 lb (2,948 kg)</t>
  </si>
  <si>
    <t>8,000 lb (3,628.74 kg)</t>
  </si>
  <si>
    <t>2 × General Electric YT58-GE-2A turboshafts, 1324.9 hp (988 kW)  each</t>
  </si>
  <si>
    <t>3-bladed Kaman, 14 ft 10 in (4.5 m) diameter</t>
  </si>
  <si>
    <t>250 mi (402.3 km, 217.24 nmi)</t>
  </si>
  <si>
    <t>19 ft 2 in (5.84 m)</t>
  </si>
  <si>
    <t>200 mph (321.9 km/h, 173.8 kn)</t>
  </si>
  <si>
    <t>16,000 ft (4,876.8 m)</t>
  </si>
  <si>
    <t>Grumman G-21 Goose</t>
  </si>
  <si>
    <t>https://en.wikipedia.org/Grumman G-21 Goose</t>
  </si>
  <si>
    <t>PADC Hummingbird</t>
  </si>
  <si>
    <t>The PADC Hummingbird was a light utility helicopter that was developed by the Philippine Aerospace Development Corporation to reduce dependence on second-hand aircraft for the Philippine Air Force.[2] During the 1980s the Philippine Air Force (PAF) attempted to reduce its dependence upon American second-hand aircraft by starting its own indigenous aircraft programs. The first program was a single-engine trainer plane, designated the PADC Defiant 300, that could also be armed and used in the counter-insurgency role. The second was a Philippine-made light utility helicopter named the "Hummingbird". The two aircraft programs were supported by members of the Armed Forces of the Philippines, but were not allowed to proceed by the government until July 1997, when President Fidel Ramos authorized spending for the project. The Philippine Aerospace Development Corporation (PADC) undertook the development effort.[citation needed] Ramos was succeeded shortly thereafter by President Joseph Estrada, whose government immediately conducted a review of the Defiant and Hummingbird programs. The review concluded that the two projects, which were only a year old at that point, were likely to be unjustifiably lengthy and expensive. As a result, both were immediately terminated. Another factor was that the Hummingbird was in fact essentially an unlicensed copy of the MBB/Eurocopter Bo 105C and Eurocopter had threatened to sue the Philippine government. PADC had been involved with the assembly and maintenance on the helicopters, first acquired during the 1970s. To avoid the impending legal battle, the PAF cancelled the program. As of 2012, no attempt had been made to revive the Defiant or develop another helicopter program.[2][3]  Related development Aircraft of comparable role, configuration, and era  Related lists</t>
  </si>
  <si>
    <t>Light utility helicopter</t>
  </si>
  <si>
    <t>https://en.wikipedia.org/Light utility helicopter</t>
  </si>
  <si>
    <t>Philippines</t>
  </si>
  <si>
    <t>Philippine Aerospace Development Corporation</t>
  </si>
  <si>
    <t>https://en.wikipedia.org/Philippine Aerospace Development Corporation</t>
  </si>
  <si>
    <t>Cancelled</t>
  </si>
  <si>
    <t>1 prototype</t>
  </si>
  <si>
    <t>8 May 1998[1]</t>
  </si>
  <si>
    <t>MBB/Eurocopter Bo 105C</t>
  </si>
  <si>
    <t>https://en.wikipedia.org/MBB/Eurocopter Bo 105C</t>
  </si>
  <si>
    <t>Philippine Air Force</t>
  </si>
  <si>
    <t>https://en.wikipedia.org/Philippine Air Force</t>
  </si>
  <si>
    <t>Shaanxi KJ-500</t>
  </si>
  <si>
    <t>The KJ-500 (Chinese: 空警-500; pinyin: Kōngjǐng Wǔbǎi; literally: "Air Warning 500") is a third-generation airborne early warning and control (AEW&amp;C) aircraft used by the Chinese People's Liberation Army Air Force. It was built by Shaanxi Aircraft Corporation,[2] and is based on the Y-9 airframe. Since the beginning of the 21st century, the detection range and the accuracy of airborne radars has been increasing, fighters equipped with various types of air-to-air missiles and low-altitude cruise missiles continue to improve in performance, creating a demand for a more capable AEW&amp;C. To address the above issues, China started the development of the KJ-500, its third AEW&amp;C, in the late 2000s. The KJ-500 was required to have three important features, which are good detection capability, good identification ability, and quick responsiveness. The KJ-500 was also required to the core force of the informatized combat system, its equipped technology has four major characteristics which are networking, multi-functionality, high-integration and light weight.[3] The aircraft carries a fixed dorsal radome containing three AESA radar arrays for 360 degree coverage, and is said to be more efficient than the two-planar 'balance beam' array design used on the earlier KJ-200. Production of older AEW&amp;C types have reported ceased in 2018 in response to the KJ-500 reaching full operational capability. Limited performance parameters of KJ-500 have been published as follows:[6]</t>
  </si>
  <si>
    <t>//upload.wikimedia.org/wikipedia/commons/thumb/a/ad/KJ-500_%28cropped%29.jpg/300px-KJ-500_%28cropped%29.jpg</t>
  </si>
  <si>
    <t>Airborne early warning and control (AEW&amp;C)</t>
  </si>
  <si>
    <t>https://en.wikipedia.org/Airborne early warning and control (AEW&amp;C)</t>
  </si>
  <si>
    <t>China</t>
  </si>
  <si>
    <t>Shaanxi Aircraft Corporation</t>
  </si>
  <si>
    <t>https://en.wikipedia.org/Shaanxi Aircraft Corporation</t>
  </si>
  <si>
    <t>17+[1]</t>
  </si>
  <si>
    <t>Shaanxi Y-9</t>
  </si>
  <si>
    <t>https://en.wikipedia.org/Shaanxi Y-9</t>
  </si>
  <si>
    <t>470[7]</t>
  </si>
  <si>
    <t>Zalewski W.Z.II</t>
  </si>
  <si>
    <t>The Zalewski W.Z.II was a simple glider designed and built in Poland in 1912 by Władysław Zalewski who, after Poland regained its independence in 1918, became a well-known designer of both aircraft and aircraft engines.  The Zalewski W.Z.II was the first of Władysław Zalewski's designs to be built and flown, as the completion of the W.Z.I, a powered biplane designed in 1909 when Zalewski was only seventeen, was ended by political events. It had a two-part wing of rectangular plan, apart from rounded tips. Each half-wing was a fabric covered wooden structure with a main spar at about mid-chord and two auxiliary spars, one of them forming the leading edge. Wing-warping rather than ailerons provided lateral control. The wings were wire-braced from structures both above and below the fuselage frame, two transverse V-struts above, leaning together to form a pyramid and two below, joined to a longitudinal member that acted as a shock absorbing landing skid. The wires reached the outer part of each wing panel via a vertical kingpost mounted on the main spar and extending both above and below the wing.[1] The very basic fuselage was just a horizontal, cross-braced wooden girder with the pilot strapped to the longerons[2] at mid-chord and sitting on a bicycle seat held below the wings by wires. With legs extended for take-off or landing, his feet reached well below the landing skid. The empennage was of the cruciform type with vertical fins carrying separate rudders, the upper one operated by the same hand-lever that controlled the wing-warping and the lower one by a rudder bar. Another hand-lever controlled the elevator.[1] The W.Z.II was built in Zalewski's workshop at Milanówek in only three weeks in the spring of 1912 and flight testing soon began. Initially, handling was poor but this was cured by stiffening the fuselage with extra wire bracing and by small changes to the vertical tail. It was launched in that year by two helpers, each with a separate rope and with Zalewski kicking the ground to take off from a hill. These flights only covered about 50 m (160 ft) at a height of 1 m (3.3 ft) in light winds, though distances increased in 1913 when it was launched by four or six assistants.[1] Data from Cynk, 1971[1]General characteristics</t>
  </si>
  <si>
    <t>Foot-launched glider</t>
  </si>
  <si>
    <t>https://en.wikipedia.org/Foot-launched glider</t>
  </si>
  <si>
    <t>Władysław Zalewski</t>
  </si>
  <si>
    <t>https://en.wikipedia.org/Władysław Zalewski</t>
  </si>
  <si>
    <t>4.8 m (15 ft 9 in)</t>
  </si>
  <si>
    <t>7.5 m (24 ft 7 in)</t>
  </si>
  <si>
    <t>9.5 m2 (102 sq ft)</t>
  </si>
  <si>
    <t>24 kg (53 lb)</t>
  </si>
  <si>
    <t>40 km/h (25 mph, 22 kn) [2]</t>
  </si>
  <si>
    <t>2.0 m (6 ft 7 in) [2]</t>
  </si>
  <si>
    <t>1.7 m/s (330 ft/min) [2]</t>
  </si>
  <si>
    <t>Arrow Coax Livella Uno</t>
  </si>
  <si>
    <t>The Arrow Coax Livella Uno (transl. First Level) is a German helicopter under development by Arrow Coax Ultra Light Helicopter of Hornhausen and introduced at the AERO Friedrichshafen airshow in 2015. The aircraft is intended to be supplied as a kit for amateur construction.[1] The Livella Uno was designed to comply with the US FAR 103 Ultralight Vehicles and the European 120 kg class ultralight aircraft rules. It features a dual coaxial main rotors, with an inverted V-tail, a single open-air pilot's seat without a windshield, tricycle landing gear and a 40 hp (30 kW) Wankel Aixro XH40 engine.[1] The aircraft fuselage is made from tubing. Its two-bladed rotors have a diameter of 3.8 m (12.5 ft). The aircraft has a typical empty weight of 85 kg (187 lb) and a gross weight of 195 kg (430 lb), giving a useful load of 110 kg (243 lb).[1] The aircraft mounts a Galaxy Rescue System ballistic parachute in the rotor mast. It also has a small electric motor to power the rotor system from a battery in the event of an engine failure, allowing five minutes of power to land, since the low inertia rotor blades may not support autorotation.[2] Data from Tacke[1]General characteristics Performance</t>
  </si>
  <si>
    <t>Arrow Coax Ultra Light Helicopter</t>
  </si>
  <si>
    <t>https://en.wikipedia.org/Arrow Coax Ultra Light Helicopter</t>
  </si>
  <si>
    <t>Under development (2015)</t>
  </si>
  <si>
    <t>at least one</t>
  </si>
  <si>
    <t>85 kg (187 lb)</t>
  </si>
  <si>
    <t>195 kg (430 lb)</t>
  </si>
  <si>
    <t>1 × Aixro XH40 liquid-cooled, Wankel aircraft engine, 30 kW (40 hp)</t>
  </si>
  <si>
    <t>90 km/h (56 mph, 49 kn)</t>
  </si>
  <si>
    <t>2 × 3.8 m (12 ft 6 in)</t>
  </si>
  <si>
    <t>110 km/h (68 mph, 59 kn)</t>
  </si>
  <si>
    <t>23 m2 (250 sq ft)</t>
  </si>
  <si>
    <t>8.5 kg/m2 (1.7 lb/sq ft)</t>
  </si>
  <si>
    <t>IRI T22B</t>
  </si>
  <si>
    <t>The IRI T22B is an Italian helicopter that was designed and produced by Italian Rotors Industries of Aprilia, Lazio. Now out of production, when it was available the aircraft was supplied complete and ready-to-fly.[1] The company seems to have been founded about 2013 and gone out of business in June 2016, ending production.[2][3] The T22B features a single main rotor and tail rotor, a two-seats-in side-by-side configuration enclosed cockpit with a windshield, skid landing gear and a four-cylinder, air-cooled, four stroke 160 hp (119 kW) Lycoming O-320-B2C aircraft engine.[1] The aircraft fuselage is made from composites. Its two-bladed rotor has a diameter of 7.6 m (24.9 ft). The aircraft has a typical empty weight of 355 kg (783 lb) and a gross weight of 650 kg (1,433 lb), giving a useful load of 295 kg (650 lb). With full fuel of 70 litres (15 imp gal; 18 US gal), the payload for the crew, passenger and baggage is 244 kg (538 lb).[1] In 2015, reviewer Werner Pfaendler described the T22B's design as "elegant".[1] Data from Tacke[1]General characteristics Performance</t>
  </si>
  <si>
    <t>Italian Rotors Industries</t>
  </si>
  <si>
    <t>https://en.wikipedia.org/Italian Rotors Industries</t>
  </si>
  <si>
    <t>Production completed (2016)</t>
  </si>
  <si>
    <t>355 kg (783 lb)</t>
  </si>
  <si>
    <t>650 kg (1,433 lb)</t>
  </si>
  <si>
    <t>70 litres (15 imp gal; 18 US gal)</t>
  </si>
  <si>
    <t>1 × Lycoming O-320-B2C four cylinder, air-cooled, four stroke aircraft engine, 120 kW (160 hp)</t>
  </si>
  <si>
    <t>5 m/s (980 ft/min)</t>
  </si>
  <si>
    <t>7.6 m (24 ft 11 in)</t>
  </si>
  <si>
    <t>195 km/h (121 mph, 105 kn)</t>
  </si>
  <si>
    <t>45 m2 (480 sq ft)</t>
  </si>
  <si>
    <t>14.4 kg/m2 (2.9 lb/sq ft)</t>
  </si>
  <si>
    <t>https://en.wikipedia.org/IRI T250A</t>
  </si>
  <si>
    <t>Rotorschmiede VA115</t>
  </si>
  <si>
    <t>The Rotorschmiede VA115 is a German helicopter, designed  and produced by Rotorschmiede GmbH of Munich, introduced at the AERO Friedrichshafen airshow in 2015. The aircraft is supplied complete and ready-to-fly.[1] The aircraft first flew in the summer of 2015.[1] The VA115 was designed to comply with the US FAR 103 Ultralight Vehicles regulations, as well as the German 120 kg class and European Class 6 microlight helicopter rules. As its designation indicates, the aircraft has a standard empty weight of 115 kg (254 lb).[1] The VA115 features dual, coaxial main rotors with NACA 23012 airfoils, a single-seat open cockpit without a windshield, tricycle landing gear and a two-cylinder, air-cooled, two stroke, fuel-injected 50 hp (37 kW) Hirth F23 engine.[1] The aircraft fuselage is made from metal tubing, with a small cockpit fairing. Its dual two-bladed rotors each have diameters of 4.5 m (14.8 ft). The aircraft has a typical empty weight of 115 kg (254 lb) and a gross weight of 275 kg (606 lb), giving a useful load of 160 kg (353 lb). With full fuel of 19 litres (4.2 imp gal; 5.0 US gal) the payload for the pilot and baggage is 146 kg (322 lb).[1] Reviewer Werner Pfaendler, described the VA115 as "beautifully engineered".[1] Data from Tacke and manufacturer[1][2]General characteristics Performance</t>
  </si>
  <si>
    <t>Rotorschmiede GmbH</t>
  </si>
  <si>
    <t>https://en.wikipedia.org/Rotorschmiede GmbH</t>
  </si>
  <si>
    <t>In production (2017)</t>
  </si>
  <si>
    <t>3.7 m (12 ft 2 in)</t>
  </si>
  <si>
    <t>114 kg (251 lb)</t>
  </si>
  <si>
    <t>275 kg (606 lb)</t>
  </si>
  <si>
    <t>19 litres (4.2 imp gal; 5.0 US gal)</t>
  </si>
  <si>
    <t>1 × Hirth F23 two cylinder, air-cooled, two stroke, fuel-injected aircraft engine, 37 kW (50 hp)</t>
  </si>
  <si>
    <t>Summer 2015</t>
  </si>
  <si>
    <t>2.6 m (8 ft 6 in)</t>
  </si>
  <si>
    <t>2 × 4.5 m (14 ft 9 in)</t>
  </si>
  <si>
    <t>130 km/h (81 mph, 70 kn)</t>
  </si>
  <si>
    <t>4 hrs</t>
  </si>
  <si>
    <t>1.6 m (5 ft 3 in)</t>
  </si>
  <si>
    <t>NACA 23012</t>
  </si>
  <si>
    <t>32 m2 (340 sq ft)</t>
  </si>
  <si>
    <t>8.6 kg/m2 (1.8 lb/sq ft)</t>
  </si>
  <si>
    <t>Antares A-10 Solo</t>
  </si>
  <si>
    <t>The Antares A-10 Solo is a Ukrainian ultralight trike designed and produced by Antares Aircraft. The aircraft is supplied as a kit for amateur construction or complete and ready-to-fly.[1] The A-10 Solo is a single-seat derivative of the two-seat Antares MA-32. It was designed to comply with the Fédération Aéronautique Internationale microlight category, including the category's maximum gross weight of 450 kg (992 lb). The aircraft has a maximum gross weight of 450 kg (992 lb). The A-10 is distributed as a kit in the United States where it is approved for the Experimental - Amateur-built category.[1] The aircraft design features a cable-braced hang glider-style high-wing, weight-shift controls, a single-seat open cockpit with a cockpit fairing, tricycle landing gear with wheel pants and a single engine in pusher configuration.[1] The aircraft is made from bolted-together aluminum tubing, with a single-piece composite mainwheel spring system and a titanium front wheel fork for off-airport landings. The double surface wing covered in Dacron sailcloth. Its 10 m (32.8 ft) span wing is supported by a single tube-type kingpost and uses an "A" frame weight-shift control bar. Optionally a "topless" wing, lacking the kingpost, can be fitted. The powerplant is a twin cylinder, air-cooled, two-stroke, dual-ignition 50 hp (37 kW) Rotax 503 engine or optionally a 40 hp (30 kW) Rotax 447 engine.[1]  The aircraft has an empty weight of 170 kg (375 lb) and a gross weight of 450 kg (992 lb), giving a useful load of 280 kg (617 lb). With full fuel of 19 litres (4.2 imp gal; 5.0 US gal) the payload is 266 kg (586 lb).[1] A number of different wings can be fitted to the basic carriage, including the standard Aeros Stranger 2, or Aeros Still 17. Optional wings include the Aeros Stranger 2M, Aeros Stream 16 or Aeros Profi[1] Data from Tacke and Antares USA[1][2]General characteristics Performance</t>
  </si>
  <si>
    <t>Ukraine</t>
  </si>
  <si>
    <t>https://en.wikipedia.org/Ukraine</t>
  </si>
  <si>
    <t>Antares Aircraft</t>
  </si>
  <si>
    <t>https://en.wikipedia.org/Antares Aircraft</t>
  </si>
  <si>
    <t>In production (2018)</t>
  </si>
  <si>
    <t>2.51 m (8 ft 3 in)</t>
  </si>
  <si>
    <t>10 m (32 ft 10 in)</t>
  </si>
  <si>
    <t>14 m2 (150 sq ft)</t>
  </si>
  <si>
    <t>170 kg (375 lb)</t>
  </si>
  <si>
    <t>1 × Rotax 503 twin cylinder, air-cooled, two stroke aircraft engine with "E" gearbox with a reduction ratio of 2.62</t>
  </si>
  <si>
    <t>3-bladed ground adjustable</t>
  </si>
  <si>
    <t>83 km/h (52 mph, 45 kn)</t>
  </si>
  <si>
    <t>43 km/h (27 mph, 23 kn)</t>
  </si>
  <si>
    <t>6,200 m (20,300 ft)</t>
  </si>
  <si>
    <t>Antares MA-32</t>
  </si>
  <si>
    <t>https://en.wikipedia.org/Antares MA-32</t>
  </si>
  <si>
    <t>+6/-2</t>
  </si>
  <si>
    <t>Działowski D.K.D.1</t>
  </si>
  <si>
    <t>The Działowski D.K.D.1 was the first powered aircraft designed by Stanislaw Działowski. It was a low-power high-wing monoplane with a cabin for one passenger. After attending an aviation exhibition in Warsaw in 1927 it was badly damaged when the engine failed as it left and it did not fly again. In the early 1920s Stanisław Działowski was head of aircraft assembly at the military flying school at Bydgoszcz. He and his brother Mieczysław began aircraft design with a glider, the Bydgodaszczanka, which flew at the 1925 Second Polish Glider Contest.[1][2] In the same year they began work on the D.K.D.1. The surname initials D.K.D were those of the two brothers and of Jan Kruger, a local shoemaker who provided some funding and also bought the Gabriel brothers the Haacke engine that had been used in the Gabriel P 5 and P 6. The wing was built in the military workshop but they were later forced out to a cellar in the town.[1] The D.K.D.1 was a high wing aircraft with an enclosed cabin for one passenger and an open cockpit for the pilot. It had a one-piece wooden wing of trapezoidal plan with an unswept leading edge, built around two spars and fabric covered. The wing was braced with V-struts from the lower fuselage longerons to the spars. The aircraft first flew with the wing centrally fixed directly to the top of the fuselage but flight testing revealed poor forward visibility from the cockpit and the wing was raised a short distance on four vertical, faired struts, allowing the pilot to look forward under the wing. There was a large, deep cut-out in the trailing edge over the cockpit. The generous balances on its ailerons extended beyond the squared wing tips.[1] The D.K.D.1 was powered by a 22 kW (30 hp) Haacke HFM-2  air-cooled flat twin engine mounted onto the rectangular section steel tube fuselage frame under single-curvature duralumin sheet, with its cylinder heads exposed for cooling. Behind it the deep, flat-sided fuselage was fabric covered apart from its rounded, plywood covered decking. The enclosed, single seat passenger cabin was immediately behind the engine and ahead of the cockpit. It had a small window on each side and was entered by a port-side door.[1] Both fin and tailplane, the latter located on top of the fuselage, were small and rectangular in shape, mounting large, balanced control surfaces. These were also approximately rectangular but the bottom of the rudder was cut at an angle to allow the one-piece elevator to operate. All the rear surfaces were wooden framed and fabric covered.[1] Its undercarriage was fixed and of the tailskid type, with mainwheels with rubber cord shock absorbers on a single axle. The axle was mounted on short steel tube V-struts hinged from the lower fuselage longerons, with further steel struts from both the longerons and central fuselage underside to the axle's centre.[1] The D.K.D.1 first flew in February 1926, piloted by Muślewski and the early tests led to the raising of the wing noted above and to other changes to the centre-section. Its designer also flew it and in late April 1927 took it to an aviation exhibition  held in Warsaw. His 300 km (190 mi; 160 nmi), bad weather leg from Toruń to Warsaw has been reported as "the first long cross-country flight to be made on a Polish-designed lightplane".[1][3] Their earlier base at Bydgodaszcz had become unreceptive to civilian flying but another regiment at Kraków was much more sympathetic, so he attempted to take the D.K.D.1 there. Early in the flight the old Haacke engine failed and the D.K.D.1 was badly damaged in the emergency landing. Its remains were taken to Kraków and parts of it were used in the group's next aircraft, the D.K.D.3.[1] Data from Cynk (1971)[1]General characteristics Performance</t>
  </si>
  <si>
    <t>//upload.wikimedia.org/wikipedia/commons/thumb/0/0b/Dzialowski_D.K.D.1_Les_Ailes_May_19%2C1927.jpg/300px-Dzialowski_D.K.D.1_Les_Ailes_May_19%2C1927.jpg</t>
  </si>
  <si>
    <t>Two seat cabin monoplane</t>
  </si>
  <si>
    <t>One passenger</t>
  </si>
  <si>
    <t>5.5 m (18 ft 1 in)</t>
  </si>
  <si>
    <t>8.4 m (27 ft 7 in)</t>
  </si>
  <si>
    <t>12.1 m2 (130 sq ft)</t>
  </si>
  <si>
    <t>220 kg (485 lb)</t>
  </si>
  <si>
    <t>395 kg (871 lb)</t>
  </si>
  <si>
    <t>1 ×  Haacke HFM-2  air-cooled flat twin engine, 22 kW (30 hp)</t>
  </si>
  <si>
    <t>100 km/h (62 mph, 54 kn) [4]</t>
  </si>
  <si>
    <t>65 km/h (40 mph, 35 kn) [4]</t>
  </si>
  <si>
    <t>Stanisław Działowski</t>
  </si>
  <si>
    <t>1.9 m (6 ft 3 in)</t>
  </si>
  <si>
    <t>120 km/h (75 mph, 65 kn) at sea level</t>
  </si>
  <si>
    <t>Gôttingen 441</t>
  </si>
  <si>
    <t>80 m (260 ft)</t>
  </si>
  <si>
    <t>100 m (330 ft)</t>
  </si>
  <si>
    <t>Medwecki and Nowakowski M.N.5</t>
  </si>
  <si>
    <t>The Medwecki and Nowakowski M.N.5 was an economical Polish trainer aircraft initially aimed at the club market, though there was also some military interest. It performed well but lacked a constructor after Samolot became insolvent in 1930, so only one was completed.  The increasing number of Polish aeroclubs in the early 1930s called for a suitable training aircraft. LOPP, the group that encouraged Polish air-mindedness put out a call for suitable designs, powered by a 60 kW (80 hp) engine, that would be cheap to buy and to run. Three designs received development contracts, the PZL 5, the Sido S.1 and the M.N.5. The latter was designed by Józef Medwecki and Zygmund Nowakowski, both of whom worked for Samolot. With the company's help, two M.N.5 airframes were built, one for static load testing and the other for flight.[1]  The wood-framed M.N.5 was a single bay biplane with stagger and a large interplane gap to ease cockpit access. The equal span upper and lower wings were both in two parts with rectangular plans out to blunted tips. They were built around pairs of spars and largely covered with fabric, together with some plywood.  Upper and lower wings were braced together with conventional N-form interplane struts but in addition a long steel tube strut, larger in diameter than the others, ran in the plane of the forward spars from the top of the interplane strut down to the lower spar just outboard of the root. As well as replacing flying wires, this strut supported the leading edge of the lower wing when the wings were disconnected from the root and folded back alongside the fuselage, hinging on the rear spars.  The wing root was strengthened by an inverted V-strut from its spars to the upper fuselage longeron. The upper centre section was formed by an aerofoil section fuel tank, held over the upper fuselage by three pairs of struts, the forward-most leaning rearwards to the forward spar and the others, in parallel, outwards to the rear spars. Only the lower wing was mounted with dihedral; it also carried the M.N.5's full span, narrow chord ailerons. With wings folded, the M.N.5 was 3 m (9 ft 10 in) wide.[1] The M.N.5 was powered by a 60 kW (80 hp) Armstrong Siddeley Genet five-cylinder radial engine enclosed by a Townend ring. The mostly wooden fuselage had four longerons connected by frames, though the forward part was reinforced with steel tubes. Its covering, including rounded decking, was plywood. There were two cockpits in tandem, fitted with dual control. The instructor sat in front under the wing and the student just aft of the trailing edge. Behind the pupil's cockpit there was a third seat under a detachable ply cover.[1] Its curved and slightly pointed empennage was steel-framed and fabric-covered with a rudder that extended down to the keel. The tailplane's angle of incidence could be adjusted in flight. There were separate elevators, each identical to each other and to the rudder, keeping costs down.[1] The M.N.5 had a wide track, divided undercarriage with mainwheels on cranked half-axles hinged from the fuselage underside centreline;  a Vickers oleo strut from the stub wing and a radius arm formed a V-strut on each side. Its short tailskid had a vertical, rubber cord shock absorber.[1] It flew for the first time on 21 August 1932 from Poznań-Ławica.  Early testing revealed some stability problems which were overcome by moving the engine forward 300 mm (11.8 in) in a longer nose.[1] The M.N.5 was then flown by both civil and service pilots, who remarked on its good handling and  manoeuvrability.  The Department of Aeronautics, looking for a replacement for its Hanriots, was enthusiastic and the construction of a second prototype to speed development was proposed. Unfortunately, as Samolot was in the process of liquidation, another builder had to be found. The Ministry proposed PZL who were developing the PZL 5 and showed no interest in helping a competitor, so no more N.M.5s were built.[1] The lone example was bought by the Vilnius aeroclub in 1931 and, registered as SP-AEH, served them for many years. It took part in many rallies and competed in regional and national championships.[1] Data from Cynk (1971)[1]General characteristics Performance</t>
  </si>
  <si>
    <t>//upload.wikimedia.org/wikipedia/commons/thumb/7/7b/MN-5_IV_KKST.jpg/300px-MN-5_IV_KKST.jpg</t>
  </si>
  <si>
    <t>Civil trainer aircraft</t>
  </si>
  <si>
    <t>https://en.wikipedia.org/Civil trainer aircraft</t>
  </si>
  <si>
    <t>One pilot</t>
  </si>
  <si>
    <t>One or two passengers/pupil</t>
  </si>
  <si>
    <t>7.3 m (23 ft 11 in) (initially 7.0 m (23 ft 0 in))</t>
  </si>
  <si>
    <t>410 kg (904 lb)</t>
  </si>
  <si>
    <t>780 kg (1,720 lb)</t>
  </si>
  <si>
    <t>1 × Armstrong Siddeley Genet I 5-cxylinder radial, 60 kW (80 hp)</t>
  </si>
  <si>
    <t>Józef Medwecki and Zygmund Nowakowski</t>
  </si>
  <si>
    <t>2.85 m (9 ft 4 in)</t>
  </si>
  <si>
    <t>145 km/h (90 mph, 78 kn) at sea level</t>
  </si>
  <si>
    <t>4 hr</t>
  </si>
  <si>
    <t>4,800 m (15,700 ft)</t>
  </si>
  <si>
    <t>Göttingen 593</t>
  </si>
  <si>
    <t>65 km/h (40 mph; 35 kn)</t>
  </si>
  <si>
    <t>Rogalski and Wigura R.W.1</t>
  </si>
  <si>
    <t>The Rogalski and Wigura R.W.1 was designed and built by a pair of students at Warsaw Technical University in 1927. The single example was a two-seat parasol-wing monoplane which entered two national competitions, served the Warsaw Academic Aeroclub and also towed an advertising banner. The Seckja Lotnicza (SL) or Aeronautical Section of Warsaw Technical University, set up in 1916 by Ryszard Bartel and revived in 1921, played a significant part in the growth of Polish club flying. The 1925 Drzewiecki JD-2 was the first of their powered aircraft designs to be built and the second, designed by SL members Stanislaw Rogalski and Stanislaw Wigura, was the R.W.1. Its construction in the SL workshop was funded by LOPP and they were helped by staff from the factory of E. Plage and T. Laśkiewicz.[1] Its parasol wing was trapezoidal in plan and had an aerodynamically semi-thick section. It was built in two parts, each based on two spars. In front of the forward spar the wing was plywood-covered, with fabric aft. The two halves were joined centrally and held over the fuselage on a pair of transverse inverted-V cabane struts. On each side a pair of parallel struts from the spars to the lower fuselage longeron provided the primary wing bracing.[1] The R.W.1 was powered by a 45 hp (34 kW) Anzani 6 six-cylinder radial engine. Fuel tanks, together holding 70 l (15 imp gal; 18 US gal), were in the wing roots. Behind the engine fire wall the simple fuselage had a tapered, rectangular section, built around four longerons and frames and ply covered. It contained two open cockpits in tandem under the wing, fitted with dual control.  The empennage was conventional with its tailplane mounted on top of the fuselage and with a rounded vertical tail. The tail surfaces were built in a similar way to the wings and the rear control surfaces, like the ailerons, were unbalanced.[1] The mainwheels of its fixed landing gear were on a single axle with rubber shock absorbers at each end and supported by steel V-struts from the lower longerons. There was a tailskid under the fin.[1] It flew for the first time in about September 1927.[1] Very soon after its first flight the R.W.1 competed in the First National Lightplane Contest, held in Warsaw in early October 1927. During this event the Anzani engine, which had a history of unreliability, failed, and the airframe was damaged in the subsequent emergency landing. After repair it was used by the Warsaw Academic Aeroclub.[1] In 1928 it generated some revenue for the club by acting as an air-advertisement tug for a coffee firm. In late October it took part in the Second National Lightplane Contest, again held at Warsaw. It qualified in twelfth place, but a take-off accident broke off the rear fuselage, after which the R.W.1 did not fly again.[1] Its designers teamed up with Jerzy Drzewiecki, another Warsaw student, and some twenty-two designs were built under the joint RWD acronym.[1] Data from Cynk (1971)[1]General characteristics Performance</t>
  </si>
  <si>
    <t>//upload.wikimedia.org/wikipedia/commons/thumb/d/df/Rogalski_and_Wigura_R.W.1_Les_Ailes_November_17%2C1927.jpg/300px-Rogalski_and_Wigura_R.W.1_Les_Ailes_November_17%2C1927.jpg</t>
  </si>
  <si>
    <t>Light aircraft</t>
  </si>
  <si>
    <t>5.9 m (19 ft 4 in)</t>
  </si>
  <si>
    <t>10.1 m (33 ft 2 in)</t>
  </si>
  <si>
    <t>15.3 m2 (165 sq ft)</t>
  </si>
  <si>
    <t>300 kg (661 lb)</t>
  </si>
  <si>
    <t>465 kg (1,025 lb)</t>
  </si>
  <si>
    <t>70 l (15 imp gal; 18 US gal)</t>
  </si>
  <si>
    <t>1 × Anzani 6 6-cylinder radial, 34 kW (45 hp)</t>
  </si>
  <si>
    <t>Stanislaw Rogalski and Stanislaw Wigura</t>
  </si>
  <si>
    <t>120 km/h (75 mph, 65 kn)</t>
  </si>
  <si>
    <t>Svenska Aero Falken</t>
  </si>
  <si>
    <t>The Svenska Aero Falken was a Swedish trainer aircraft. Two were built, with different engines and were used by the Swedish Air Force.  The Falken trainer, closely related to the Jaktfalken fighter, was derived from the earlier Piraten. It was a single bay biplane with unswept, constant chord, thin section wings.  Both wings were built around rectangular section steel spars and were fabric covered. They were mounted with light dihedral but with stagger so strong that the forward lower spar was directly below the upper aft one. Because of the stagger and a slightly shorter lower wing the N-form interplane struts leant both forwards and outwards.  The upper wing was supported over the fuselage by a cabane formed by a pair of lateral, inverted V-struts to the forward spar and a single, transverse inverted V to the aft spar. There were long, broad ailerons on both upper and lower wings, externally linked by streamlined tubes.[1]  The Falken could be powered by one of two radial engines, either a five-cylinder, 101 kW (135 hp) Armstrong-Siddeley Mongoose or a seven-cylinder 150 kW (200 hp) Armstrong-Siddeley Lynx.[1] The Mongoose-powered version was known as the SA-12 Skolfalken and the Lynx-powered one as the SA-13 Övningsfalken.[2]  Behind the engine the fuselage was built around a tube steel structure. It was flat sided and fabric covered, though it had aluminium covered, rounded decking. The Falken's two open tandem cockpits were fitted with dual control; the forward one was under a cut-out in the trailing edge and the other over a similar cut-out in the lower wing.[1] Its empennage was conventional, with a semi-elliptical tailplane mounted on top of the fuselage and braced from below on each side by a single strut. Its angle of incidence was ground-adjustable. It carried parallel chord elevators with a cut-out for rudder movement.  The fin, small and roughly triangular, mounted a straight-edged, upright balanced rudder. Like most of the Falken, these surfaces were formed from steel tubes and fabric covered.[1] The Falken had conventional, fixed landing gear. The mainwheels were on a single axle, separated by 1.65 m (65 in). The axle ends were mounted via rubber cord shock absorbers to the crosspiece of a frame consisting of three legs from the lower fuselage on each side and stabilised by a V-strut to the crosspiece centre.[1] The Skolfalken's first flight was in September 1929, though the exact date is not known. The Övningsfalken was flying by early 1930.[2] The first and only SA-12 Skolfalken went to the Swedish Air Force Flight Academy at Ljungbyhed, where it was known by the Air Force basic trainer designation Sk 8. Tests resulted in a new vertical tail, flat-topped and without the earlier prominent balance horn.  It remained there for a while and was later moved to Malmö where it ended its 386 hours of flying in 1939 on a May bonfire.[2] There was also only one SA-13 Övningsfalken; this, known as the Ö 8 (Ö denoted an advanced trainer), was tested in the first half of 1930 but was lost a few months later.[3] Data from Les Ailes, December 1929[1]General characteristics Performance</t>
  </si>
  <si>
    <t>//upload.wikimedia.org/wikipedia/commons/thumb/5/5e/Svenska_SA-12_Skolfalken_left_front_Aero_Digest_April%2C1930.jpg/300px-Svenska_SA-12_Skolfalken_left_front_Aero_Digest_April%2C1930.jpg</t>
  </si>
  <si>
    <t>Trainer aircraft</t>
  </si>
  <si>
    <t>https://en.wikipedia.org/Trainer aircraft</t>
  </si>
  <si>
    <t>Sweden</t>
  </si>
  <si>
    <t>https://en.wikipedia.org/Sweden</t>
  </si>
  <si>
    <t>Svenska Aero</t>
  </si>
  <si>
    <t>https://en.wikipedia.org/Svenska Aero</t>
  </si>
  <si>
    <t>One instructor, one pupil</t>
  </si>
  <si>
    <t>7.60 m (24 ft 11 in)</t>
  </si>
  <si>
    <t>25.30 m2 (272.3 sq ft)</t>
  </si>
  <si>
    <t>700 kg (1,543 lb)</t>
  </si>
  <si>
    <t>1,120 kg (2,469 lb)</t>
  </si>
  <si>
    <t>1 × Armstrong Siddeley Lynx 7-cylinder radial engine radial, 150 kW (200 hp)</t>
  </si>
  <si>
    <t>3.05 m (10 ft 0 in)</t>
  </si>
  <si>
    <t>205 km/h (127 mph, 111 kn) at ground level</t>
  </si>
  <si>
    <t>3 h 50 min</t>
  </si>
  <si>
    <t>4 min to 1,000 m (3,300 ft)</t>
  </si>
  <si>
    <t>78 km/h (48 mph; 42 kn)</t>
  </si>
  <si>
    <t>9.40 m (30 ft 10 in)</t>
  </si>
  <si>
    <t>Air Creation Pixel</t>
  </si>
  <si>
    <t>The Air Creation Pixel is a French ultralight trike, designed and produced by Air Creation of Aubenas. The aircraft is supplied complete and ready-to-fly or as a kit for amateur construction.[1] The Pixel was designed to comply with the Fédération Aéronautique Internationale microlight category, the US FAR 103 Ultralight Vehicles rules and the German 120 kg class. The aircraft has a standard empty weight of 95 kg (209 lb).[1] The aircraft design features a cable-braced hang glider-style high-wing, weight-shift controls, a single-seat open cockpit without a cockpit fairing, tricycle landing gear and a single engine in pusher configuration.[1] The aircraft is made from bolted-together aluminum tubing, with its double surface wing covered in Dacron sailcloth. Its 8.8 m (28.9 ft) span iFun 13 wing has an area of 13 m2 (140 sq ft), is supported by a single tube-type kingpost and uses an "A" frame weight-shift control bar. The powerplant is a single-cylinder, air-cooled, two-stroke, single-ignition 36 hp (27 kW) Polini Thor 250 engine.[1] The aircraft has an empty weight of 95 kg (209 lb) and a gross weight of 250 kg (551 lb), giving a useful load of 155 kg (342 lb). With full fuel of 16 litres (3.5 imp gal; 4.2 US gal) the payload is 144 kg (317 lb) for pilot and baggage.[1] A number of different wings can be fitted to the basic carriage, although the purpose-designed iFun 13 is standard. That wing is available as a "short pack" with optional rigid struts to facilitate hangar storage folded with the wing remaining on the trike carriage. The iFun 13 has a speed range of 41 to 110 km/h (25 to 68 mph).[1][2] The Pixel is available in the XC model, which includes a windshield, instrument panel, electric starter, hand throttle, canvas siding and baggage storage compartment. A pneumatic ballistic parachute is optional and adds 4 kg (9 lb) to the empty weight.[1][2] Data from Tacke and manufacturer[1][2]General characteristics Performance</t>
  </si>
  <si>
    <t>France</t>
  </si>
  <si>
    <t>https://en.wikipedia.org/France</t>
  </si>
  <si>
    <t>Air Creation</t>
  </si>
  <si>
    <t>https://en.wikipedia.org/Air Creation</t>
  </si>
  <si>
    <t>8.8 m (28 ft 10 in)</t>
  </si>
  <si>
    <t>13 m2 (140 sq ft)</t>
  </si>
  <si>
    <t>95 kg (209 lb)</t>
  </si>
  <si>
    <t>250 kg (551 lb)</t>
  </si>
  <si>
    <t>16 litres (3.5 imp gal; 4.2 US gal)</t>
  </si>
  <si>
    <t>1 × Polini Thor 250 single-cylinder, air-cooled, two stroke aircraft engine, 27 kW (36 hp)</t>
  </si>
  <si>
    <t>2-bladed fixed pitch</t>
  </si>
  <si>
    <t>80 km/h (50 mph, 43 kn)</t>
  </si>
  <si>
    <t>4 m/s (790 ft/min)</t>
  </si>
  <si>
    <t>19.2 kg/m2 (3.9 lb/sq ft)</t>
  </si>
  <si>
    <t>Innovator Mosquito Air</t>
  </si>
  <si>
    <t>The Innovator Mosquito Air is a Canadian helicopter produced by Innovator Technologies of Rockyview, Alberta. The aircraft is supplied as a kit for amateur construction.[1] The Mosquito Air was designed to comply with the United States FAR 103 Ultralight Vehicles, including the category's maximum empty weight of 254 lb (115 kg). The aircraft has a standard empty weight of 254 lb (115 kg). It features a single main rotor and tail rotor, a single-seat open cockpit without a windshield, skid landing gear and a two-cylinder, air-cooled, two-stroke 64 hp (48 kW) Zanzottera MZ 202 engine.[1] The aircraft fuselage is made from bolted-together 6061-T6 aluminium tubing, with a carbon fibre tail boom and support struts. Its two-bladed rotor has a diameter of 5.5 m (18.0 ft) and a chord of 17 cm (6.7 in). The cyclic control is routed via the centre of the rotor mast and the main rotor transmission is a poly "V" belt. The aircraft has a typical empty weight of 115 kg (254 lb) and a gross weight of 240 kg (529 lb), giving a useful load of 125 kg (276 lb). With full fuel of 19 litres (4.2 imp gal; 5.0 US gal) the payload for the pilot and baggage is 111 kg (245 lb).[1] Reviewer Werner Pfaendler describes the design as "simple, but intelligent and reliable".[1] The Mosquito Air is the basis for the enclosed cockpit Mosquito XE.[1] Data from Tacke[1]General characteristics Performance</t>
  </si>
  <si>
    <t>Canada</t>
  </si>
  <si>
    <t>https://en.wikipedia.org/Canada</t>
  </si>
  <si>
    <t>Innovator Technologies</t>
  </si>
  <si>
    <t>https://en.wikipedia.org/Innovator Technologies</t>
  </si>
  <si>
    <t>Mosquito XE</t>
  </si>
  <si>
    <t>115 kg (254 lb)</t>
  </si>
  <si>
    <t>240 kg (529 lb)</t>
  </si>
  <si>
    <t>1 × Zanzottera MZ 202 twin cylinder, air-cooled, two-stroke aircraft engine, 48 kW (64 hp)</t>
  </si>
  <si>
    <t>102 km/h (63 mph, 55 kn)</t>
  </si>
  <si>
    <t>24 m2 (260 sq ft)</t>
  </si>
  <si>
    <t>10 kg/m2 (2.0 lb/sq ft)</t>
  </si>
  <si>
    <t>https://en.wikipedia.org/Mosquito XE</t>
  </si>
  <si>
    <t>Republic SD-3 Snooper</t>
  </si>
  <si>
    <t>The Republic SD-3 Snooper was an early reconnaissance drone developed by Republic Aviation for the United States Army. It was evaluated by the Army Signal Corps in 1959, but did not enter operational service. The Guided Missiles Division of Republic Aviation was awarded a contract for development of a short-range reconnaissance drone in 1957,[1] winning a competition conducted by the U.S. Army to fill the requirement. Given the overall designation AN/USD-3 for the entire system, and sometimes referred to as Sky Spy,[2] the Snooper was of twin-boom configuration, a single Continental IO-200 horizontally-opposed piston engine being mounted in a pusher configuration.[3] The drone was capable of flying for up to 30 minutes, allowing it to overfly multiple reconnaissance targets during a single flight.[1] Launch was from a zero-length launch setup, two rocket boosters burning solid fuel being used to assist the aircraft into flight; following a mission, which could either use autopilot control following a programmed course or radio command guidance from a ground station,[3] the Snooper would land via parachute; airbags were installed in the airframe to cushion the landing.[1] The SD-3's nose section was designed to be interchangeable among a number of payloads; options included television, aerial photography, infrared photography, or radar systems.[4] Revealed to the press in late 1958,[5] the SD-3 first flew in January 1959; following manufacturer's trials, the U.S. Army ordered fifty pre-production aircraft to conduct a full evaluation of the system.[3] Although the trials, conducted by the Signal Corps,[6] were considered successful,[1] the Army cancelled the SD-3 program at the end of the trials.[7] However, the SD-3's twin-boom pusher design would become commonly used by unmanned aerial vehicles in later years.[2] Data from Parsch 2004[3]General characteristics Performance   Aircraft of comparable role, configuration, and era  Related lists</t>
  </si>
  <si>
    <t>//upload.wikimedia.org/wikipedia/commons/b/bf/Republic_SD-3_Snooper.jpg</t>
  </si>
  <si>
    <t>15 ft 3 in (4.65 m)</t>
  </si>
  <si>
    <t>11 ft 2 in (3.40 m)</t>
  </si>
  <si>
    <t>1,000 lb (454 kg)</t>
  </si>
  <si>
    <t>1 × Continental IO-200 horizontally opposed piston engine, 100 hp (75 kW)</t>
  </si>
  <si>
    <t>300 mph (480 km/h, 260 kn)</t>
  </si>
  <si>
    <t>30 minutes</t>
  </si>
  <si>
    <t>20,000 ft (6,100 m)</t>
  </si>
  <si>
    <t>Trixy Liberty</t>
  </si>
  <si>
    <t>The Trixy Liberty is an Austrian autogyro designed and produced by Trixy Aviation Products of Dornbirn. The aircraft is supplied complete and ready-to-fly.[1] The Liberty was designed as an entry-level, open cockpit gyroplane, although it has an optional cabin canopy enclosure. It features a single main rotor, a two-seats-in tandem open cockpit with a windshield, tricycle landing gear without wheel pants, plus a tail caster and a four-cylinder, liquid and air-cooled, four stroke 100 hp (75 kW) Rotax 912 or turbocharged 115 hp (86 kW) Rotax 914 engine in pusher configuration.[1] The aircraft fuselage is made from composites. Its two-bladed rotor has a diameter of 8.4 m (27.6 ft). The aircraft has a typical empty weight of 245 kg (540 lb) and a gross weight of 560 kg (1,235 lb), giving a useful load of 315 kg (694 lb).[1] Unlike many other autogyro builders, Trixy Aviation uses a swash plate in its rotor head designs, rather than a tilt head. This makes the design more sensitive to fly and requires special type training.[1] Data from Tacke and manufacturer[1][2]General characteristics Performance</t>
  </si>
  <si>
    <t>Austria</t>
  </si>
  <si>
    <t>https://en.wikipedia.org/Austria</t>
  </si>
  <si>
    <t>Trixy Aviation Products</t>
  </si>
  <si>
    <t>https://en.wikipedia.org/Trixy Aviation Products</t>
  </si>
  <si>
    <t>4.9 m (16 ft 1 in)</t>
  </si>
  <si>
    <t>1 × Rotax 912ULS four cylinder, liquid and air-cooled, four stroke aircraft engine, 75 kW (100 hp)</t>
  </si>
  <si>
    <t>2.8 m (9 ft 2 in)</t>
  </si>
  <si>
    <t>2,400 m (8,000 ft)</t>
  </si>
  <si>
    <t>1.88 m (6 ft 2 in)</t>
  </si>
  <si>
    <t>55 m2 (590 sq ft)</t>
  </si>
  <si>
    <t>10.2 kg/m2 (2.1 lb/sq ft)</t>
  </si>
  <si>
    <t>Aerotechnics Skyhopper-3000</t>
  </si>
  <si>
    <t>The Aerotechnics Skyhopper-3000 is a German ultralight trike that was designed and produced by Aerotechnics of Brandenburg. Now out of production, when it was available it was supplied complete and ready-to-fly.[1] The company seems to have been founded about 2010, gone out of business in 2016 and production ended by that time.[2] The Skyhopper-3000 is a nanotrike that was designed to comply with the Fédération Aéronautique Internationale microlight category, the US FAR 103 Ultralight Vehicles rules and the German 120 kg class. The aircraft is German DULV certified.[1] The design features a cable-braced hang glider-style high-wing, weight-shift controls, a single-seat  open-frame cockpit without a cockpit fairing, tricycle landing gear and a single engine in pusher configuration.[1] The aircraft is made from titanium tubing, with its double surface wing covered in Dacron sailcloth. Its wing is supported by a single tube-type kingpost and uses an "A" frame weight-shift control bar. The powerplant is an air-cooled, single-cylinder, two-stroke, 27 hp (20 kW) Cisco C-Max engine. The aircraft has an empty weight of 26 kg (57 lb), including the powerplant, but excluding the wing. It has a gross weight of 155 kg (342 lb).[1] A number of different hang glider wings can be fitted to the basic carriage. The carriage and wing can be folded for ground transportation.[1] The Skyhopper-3000 has also been used for towing hang gliders aloft.[1] Data from Tacke[1]General characteristics Performance</t>
  </si>
  <si>
    <t>Aerotechnics EPV GmbH</t>
  </si>
  <si>
    <t>https://en.wikipedia.org/Aerotechnics EPV GmbH</t>
  </si>
  <si>
    <t>26 kg (57 lb) plus wing weight</t>
  </si>
  <si>
    <t>155 kg (342 lb)</t>
  </si>
  <si>
    <t>9 litres (2.0 imp gal; 2.4 US gal)</t>
  </si>
  <si>
    <t>1 × Cisco C-Max single-cylinder, air-cooled, two stroke aircraft engine, 20 kW (27 hp)</t>
  </si>
  <si>
    <t>35 km/h (22 mph, 19 kn)</t>
  </si>
  <si>
    <t>4.5 m/s (890 ft/min)</t>
  </si>
  <si>
    <t>Fly Air Trike Moster</t>
  </si>
  <si>
    <t>The Fly Air Trike Moster is a Bulgarian ultralight trike that was designed and produced by Fly Air Limited of Trudovec. The design is supplied complete and ready-to-fly.[1] The Trike Moster was designed to comply with the Fédération Aéronautique Internationale microlight category, the German 120 kg class and the US FAR 103 Ultralight Vehicles rules. The design has a standard empty weight of 32 kg (71 lb).[1] The aircraft design features a cable-braced hang glider-style high-wing, weight-shift controls, a single-seat open cockpit without a cockpit fairing, tricycle landing gear and a single engine in pusher configuration.[1] The aircraft is made from square steel tubing, with its single or double surface wing covered in Dacron sailcloth. The wing is supported by a single tube-type kingpost and uses an "A" frame weight-shift control bar. The powerplant is a single-cylinder, air-cooled, two-stroke, single-ignition 25 hp (19 kW) Vittorazi Moster 185 engine, although other engines can also be fitted.[1] The aircraft has an empty weight of 32 kg (71 lb) without the wing and a gross weight of 200 kg (441 lb). The airframe was designed to be folded up and ground transported in the trunk of an automobile, with the wing carried on the roof.[1] A number of different wings can be fitted to the basic carriage as it was designed to accept most standard hang gliding wings.[1] Data from Tacke[1]General characteristics Performance</t>
  </si>
  <si>
    <t>Bulgaria</t>
  </si>
  <si>
    <t>https://en.wikipedia.org/Bulgaria</t>
  </si>
  <si>
    <t>Fly Air Limited</t>
  </si>
  <si>
    <t>https://en.wikipedia.org/Fly Air Limited</t>
  </si>
  <si>
    <t>19 m2 (200 sq ft)</t>
  </si>
  <si>
    <t>32 kg (71 lb)</t>
  </si>
  <si>
    <t>200 kg (441 lb)</t>
  </si>
  <si>
    <t>12 litres (2.6 imp gal; 3.2 US gal)</t>
  </si>
  <si>
    <t>1 × Vittorazi Moster 185 single-cylinder, air-cooled, two stroke aircraft engine, 19 kW (25 hp)</t>
  </si>
  <si>
    <t>2-bladed fixed pitch, wooden</t>
  </si>
  <si>
    <t>10.5 kg/m2 (2.2 lb/sq ft)</t>
  </si>
  <si>
    <t>Boland 1911 Tailless Biplane</t>
  </si>
  <si>
    <t>The Boland 1911 Tailless Biplane was an American pioneering aircraft. At the end of 1909, Wilbur R. Kimball bought Dr. William Greene's 1909 biplane and took it to Rahway, New Jersey where he and Frank Boland removed the tail and began experimenting with a novel control system that eventually led to the first Boland Brothers 'jibbed' tailless biplane.[1] Frank Boland was convinced that a traditional tail rudder and ailerons/wing warping was unnecessary to provide lateral control for an airplane. He started experimenting with different control mechanisms in 1908. More enthusiastic and daring than skilled engineer, Boland and Kimball spent 1910 experimenting with, crashing and rebuilding the Greene biplane while they worked out and refined what Boland called the 'jibbed' control.[1][2] The resulting airplane was very easy to fly. To go left or right, you would turn the wheel in the direction you wished to go and up and down was controlled by pushing and pulling on the control wheel. From a description of his flight in Mineola, Long Island[3] in 1911: "There is no grandstand play about Boland's flying. He just gets in the machine and off he goes turning as he leaves the ground, if he likes, which no other aviator thinks of doing. He just imagines himself in an automobile and drives accordingly. He says he never bothers about lateral balance or other minor things like that."[1] Boland was very much into the adventure of discovery and flying. Appearance was of little concern to him. A quote from the same article describes the condition of his aircraft: "No attempt has been made to refine the machine, to have nicely finished woodwork, or neat sockets and turnbuckles.The cloth is rusty from the weather and has been on for about a year, part of the time no shed being provided for the machine at all—he just leaves it out like a lazy farmer would his plow. Some ribs have one curve, some another, sometimes they are flat, due to weather conditions. Out under the elevator hang four sash weights which some time in the past aided the housewife to raise her kitchen window. All Boland wants to do is fly and he doesn't care a hang for looks."[1] From Aeronautics magazine Nov. 1911 issue describing the operation of the wing jib control illustrated on the right: "According to Mr. Boland, the operation of the machine is the same as that of an automobile, with the exception of the elevator which works in the accepted manner. In order to turn to the left the wheel is turned to the left, the machine swinging around easily and banking itself properly. When the turn is complete the wheel is brought back to center and "that's all there is to it". The jibs are triangular in shape with a balancing portion, and are pivoted at the points A and B as shown in this sketch, the wire C from the wheel going to the lower corner. When the wheel is turned, the lower corner of the jib is pulled in, thus presenting an obliquely inclined surface, offering resistance on that side."[1] General characteristics Performance</t>
  </si>
  <si>
    <t>//upload.wikimedia.org/wikipedia/commons/thumb/9/9c/Boland_1911_Tailless_Biplane.jpg/300px-Boland_1911_Tailless_Biplane.jpg</t>
  </si>
  <si>
    <t>Pioneer era aircraft</t>
  </si>
  <si>
    <t>https://en.wikipedia.org/Pioneer era aircraft</t>
  </si>
  <si>
    <t>Boland Airplane and Motor Company</t>
  </si>
  <si>
    <t>https://en.wikipedia.org/Boland Airplane and Motor Company</t>
  </si>
  <si>
    <t>20 ft 6 in (6.25 m)</t>
  </si>
  <si>
    <t>29 ft 6 in (8.99 m)</t>
  </si>
  <si>
    <t>800 lb (363 kg)</t>
  </si>
  <si>
    <t>1 × Boland 60hp V-8 water-cooled piston engine, 60 hp (45 kW)</t>
  </si>
  <si>
    <t>Frank Boland</t>
  </si>
  <si>
    <t>https://en.wikipedia.org/Frank Boland</t>
  </si>
  <si>
    <t>Greene 1909 Biplane</t>
  </si>
  <si>
    <t>https://en.wikipedia.org/Greene 1909 Biplane</t>
  </si>
  <si>
    <t>AJI T-610 Super Pinto</t>
  </si>
  <si>
    <t>The AJI T-610 Super Pinto was a trainer aircraft developed by American Jet Industries (AJI) as a modified version of the Temco TT Pinto. The T-610 Super Pinto started as a 1968 conversion of the United States Navy's Temco TT Pinto two-seat jet trainer. AJI modified the aircraft for light attack by changing the eng1plant with the General Electric CJ610-6 turbojet engine and extending the fuselage by 10 inches. It featured a modified wing, wingtip fuel tanks, and a swept vertical stabilizer as well as provision for two underwing hardpoints. The prototype first flew on June 28, 1968. The aircraft flew very well and later improved in power three fold, with only 20 pounds more weight compared to the original design. The United States Air Force (USAF) evaluated the Super Pinto during its PAVE COIN program in 1971 but it did not receive a contract with either the USAF or Turkey.[citation needed] Consequently, the company decided to sell the whole project and struck a deal with the Philippine government, whereby AJI relinquished all rights on the Super Pinto design. In a US$1.25 million deal, the Philippine Air Force (PAF)'s Self-Reliance Development Wing bought the rights for the work drawings, patents, design, flight test data, and process sheets for the manufacture of the aircraft on November 8, 1976, as well as one U.S.-built prototype, which became the first Philippine T-610 (now known as the Calí or "hawk"), and an additional fuselage. The deal included the exclusive rights to market military and commercial versions internationally. The second T-610 was produced locally, and both aircraft were flight tested satisfactorily in Manila, creating high expectations to build a national aircraft industry in the Philippines. They carried the numbers 44233 and 44234, which echoed U.S. Navy Pinto serials 144233 and 144234. The two aircraft differed mainly in that "233" had the one-piece canopy of the original Pinto, while "234" had a two-piece canopy. It would be logical to conclude that "44233" was originally the Navy's 144233, but there is no evidence of this. Both Navy Pintos are still existent on the American civil register and pretty much active. The Calí program started to encounter economic problems, and after the Marcos administration collapsed, the project was shelved. The resurrection of the Calí program was considered on various occasions. In the mid-1980s, four separate versions were targeted for possible production: a single-seat light strike aircraft that could carry up to 1,600 kg of stores for COIN operations; a tandem-seat primary jet trainer; a quick change version of the trainer that could be rapidly converted as a strike aircraft; and an executive version with a wider pressurized cabin seating five passengers. At that time, the PAF foresaw the Calí as a possible replacement for no less than its Beechcraft T-34 Mentors, SIAI-Marchetti SF.260s, North American T-28D Trojans, Lockheed T-33s and even its North American F-86F Sabres, with a planned operational life of about 15 years. The commonality of the CJ610-6 engine with the country's Northrop F-5 fighter force was especially viewed as a key element. [2] At the 1988 Farnborough Airshow, it was announced that American company Avstar Inc., in collaboration with Shenyang Aircraft Corporation of the People's Republic of China, Pacific Marketing Consultants Inc. of San Francisco, and Plymouth Ltd. of Hong Kong, planned to revive the Super Pinto. Under the terms of "an agreement in principle" between the four parties, the Avstar T-100 Super Mustang was to be built at Shenyang under license from Plymouth, with final assembly and avionics installation taking place in the U.S., and marketed by the two U.S. companies. A prototype, powered by a General Electric J85 turbojet, was undergoing flight testing in the U.S. The General Electric J85 is a small single-shaft turbojet engine. Military versions produce up to 2,950 lbf (13.1 kN) of thrust dry; afterburning variants can reach up to 5,000 lbf (22 kN). The engine, depending upon additional equipment and specific model, weighs from 300 to 500 pounds (140 to 230 kg). In 1988; production T-100s were expected to be powered by either this engine or a Williams FJ44. The T-100 scheme came in direct contradiction with the Philippines having the exclusive rights to market the Super Pinto internationally, so the exclusivity clause might have been invalidated by Manila's not having produced any new aircraft over the past decade. By the end, nothing came of the Super Mustang project either. As recently as 2009 a government official[who?] stated that the Super Pinto could still be produced if only to take advantage of the licensing rights that had been purchased. [2] If produced today, the Calí could incorporate locally produced composite materials on some major components. An appeal to the private sector was made to take part in the development and manufacture of "the first Philippine jet" on a cost-sharing and profit-sharing scheme. However, the current state of that program remains unknown.[3][4][5][2][6] In December 2016, five of the TT-1 Pinto series still appeared on the U.S. civil roster[9] (one with an expired certificate[10]), down from seven, four of them Super Pintos, in 2011.[11] As of late 2015, one T-610 prototype was still preserved at the Philippine Air Force Museum.[8] [12] Data from Jane's all the World Aircraft 1972-73,[7] secretprojects.co.uk,[2] aircraft-catalog.com,[13] armyman.info,[1] flightglobal.com[14]General characteristics Performance Armament Related development   Related lists</t>
  </si>
  <si>
    <t>//upload.wikimedia.org/wikipedia/commons/thumb/5/5a/VillamorMuseumjf0130_16_%28cropped_and_adjusted%29.JPG/300px-VillamorMuseumjf0130_16_%28cropped_and_adjusted%29.JPG</t>
  </si>
  <si>
    <t>United States / Philippines</t>
  </si>
  <si>
    <t>American Jet Industries / Philippine Air Force</t>
  </si>
  <si>
    <t>https://en.wikipedia.org/American Jet Industries / Philippine Air Force</t>
  </si>
  <si>
    <t>4 prototypes[1]</t>
  </si>
  <si>
    <t>Two (pilot and instructor)</t>
  </si>
  <si>
    <t>9.57 m (31 ft 5 in)</t>
  </si>
  <si>
    <t>9.09 m (29 ft 10 in) with tip tanks; (10.31 m (33 ft 9 in) without tip tanks</t>
  </si>
  <si>
    <t>13.94 m2 (150.0 sq ft)</t>
  </si>
  <si>
    <t>1,542 kg (3,400 lb)</t>
  </si>
  <si>
    <t>1,048 l (277 US gal; 231 imp gal) [with tip tanks]</t>
  </si>
  <si>
    <t>1 × General Electric CJ610-4 non-afterburning turbojet, 12.7 kN (2,850 lbf) thrust</t>
  </si>
  <si>
    <t>121 km/h (75 mph, 65 kn) flaps down</t>
  </si>
  <si>
    <t>1,570 km (976 mi, 848 nmi) internal fuel</t>
  </si>
  <si>
    <t>47 m/s (9,300 ft/min)</t>
  </si>
  <si>
    <t>3.48 m (11 ft 5 in)</t>
  </si>
  <si>
    <t>3,628 kg (7,998 lb)</t>
  </si>
  <si>
    <t>843 km/h (524 mph, 455 kn) at 7,620 m (25,000 ft) and 2,041 kg (4,500 lb) aircraft gross weight</t>
  </si>
  <si>
    <t>5.5 hours</t>
  </si>
  <si>
    <t>15,240 m (50,000 ft)</t>
  </si>
  <si>
    <t>Temco TT Pinto</t>
  </si>
  <si>
    <t>https://en.wikipedia.org/Temco TT Pinto</t>
  </si>
  <si>
    <t>760 km/h (472 mph, 410 kn) at 4,570 m (14,990 ft)</t>
  </si>
  <si>
    <t>2,062 km (1,281 mi, 1,113 nmi)</t>
  </si>
  <si>
    <t>6 underwing hardpoints with a capacity of up to 3,500 kg (7,700 lb) of stores, with provisions to carry combinations of</t>
  </si>
  <si>
    <t>2 × 7.62 mm caliber machine guns</t>
  </si>
  <si>
    <t>Keystone XOK</t>
  </si>
  <si>
    <t>The Keystone XOK was an American biplane observation floatplane developed for the United States Navy during the early 1930s. In 1929, the Navy issued requirements calling for an observation floatplane intended for service aboard Omaha class light cruisers, readily convertible to wheels or floats and light enough to operate from the cruiser-type catapult.[1] Prototypes were ordered from Keystone-Loening (then a subsidiary of Curtiss-Wright),  Berliner-Joyce and Vought, and designated as the XOK-1,  XOJ-1 and XO4U-1 respectively. The Keystone design was a conventional biplane of mixed metal and fabric construction, with the pilot and observer seated in tandem in open cockpits. It made its first flight on January 5, 1931.[1] On April 15, 1931, during a demonstration before naval officials, the XOK-1 broke up in flight after the cowling detached itself and smashed into the wings and tailplane.[1]  With the Berliner-Joyce and Vought prototypes nearly ready for trials, the Bureau of Aeronautics elected to discontinue further development of the XOK-1. Eventually, the Berliner-Joyce's entry was selected for production. Data from [1]General characteristics Performance Armament   Aircraft of comparable role, configuration, and era  Related lists</t>
  </si>
  <si>
    <t>Observation floatplane</t>
  </si>
  <si>
    <t>Keystone Aircraft</t>
  </si>
  <si>
    <t>https://en.wikipedia.org/Keystone Aircraft</t>
  </si>
  <si>
    <t>2 (pilot and observer)</t>
  </si>
  <si>
    <t>29 ft 10 in (9.09 m)</t>
  </si>
  <si>
    <t>34 ft 8 in (10.57 m)</t>
  </si>
  <si>
    <t>293 sq ft (27.2 m2)</t>
  </si>
  <si>
    <t>2,219 lb (1,007 kg)</t>
  </si>
  <si>
    <t>3,395 lb (1,540 kg)</t>
  </si>
  <si>
    <t>1 × Wright R-975 radial engine, 400 hp (300 kW)</t>
  </si>
  <si>
    <t>330 mi (530 km, 290 nmi) estimated</t>
  </si>
  <si>
    <t>139 mph (224 km/h, 121 kn) at sea level</t>
  </si>
  <si>
    <t>19,900 ft (6,100 m)</t>
  </si>
  <si>
    <t>1× fixed, forward firing .30 in machine gun; 1× flexibly mounted .30 in machine gun in the rear cockpit</t>
  </si>
  <si>
    <t>Prototype</t>
  </si>
  <si>
    <t>https://en.wikipedia.org/Prototype</t>
  </si>
  <si>
    <t>A8357</t>
  </si>
  <si>
    <t>Chaise 4B</t>
  </si>
  <si>
    <t>The Chaise 4B is an aircraft engine designed and built in France during the 1930s, unusual in being an inverted air-cooled 14º  V-4. During the early 1930s Societe Anonyme Omnium Metallurgique et Industriel / Etablissements Chaise et Cie, commonly known as Moteurs Chaise, designed and produced a compact lightweight four-cylinder aircraft engine developing 130–155 hp (97–116 kW). To reduce overall dimensions and length of crankshaft Chaise designed an inverted V-4 with a very small vee angle of  14º. With staggered banks the 4B was both narrow and short.[1] The light alloy (R.R.50) crankcase supported the major components of the engine. Heat treated steel cylinders were bolted to the crankcase and light alloy (R.R.50) cylinder heads were screwed onto the barrels. Accessories were mounted at the rear with magnetos driven by camshafts running either side of the crankcase, which also operated the valves by pushrods and rocker arms with triple concentric return springs.[1] Data from Le moteur Chaise 4-B 4 cylindres inversés[1]</t>
  </si>
  <si>
    <t>Societe Anonyme Omnium Metallurgique et Industriel</t>
  </si>
  <si>
    <t>https://en.wikipedia.org/Societe Anonyme Omnium Metallurgique et Industriel</t>
  </si>
  <si>
    <t>660 mm (26 in)</t>
  </si>
  <si>
    <t>480 mm (19 in)</t>
  </si>
  <si>
    <t>air-cooled inverted 14º V-4</t>
  </si>
  <si>
    <t>125 mm (4.9 in)</t>
  </si>
  <si>
    <t>140 mm (5.5 in)</t>
  </si>
  <si>
    <t>7 l (430 cu in)</t>
  </si>
  <si>
    <t>135 kg (298 lb)</t>
  </si>
  <si>
    <t>Air</t>
  </si>
  <si>
    <t>130 hp (97 kW) at 2100 rpm, 155 hp (116 kW) at 2300 rpm</t>
  </si>
  <si>
    <t>Gabriel P 6</t>
  </si>
  <si>
    <t>The Gabriel P 6 was a Polish training aircraft and the P 7 a tourer. The difference between them was the wing configuration, chosen to optimise their speed range for their role, so the P 6 was a biplane and the P 7 a parasol wing aircraft. After their first powered design, the single seat P 5, the Gabriel brothers considered the different requirements of two seat trainers and tourers. Both needed to handle well, ideally with similar characteristics, but the trainer required lower landing speeds and the tourer higher cruise speeds.  They decided that economical solutions would share engines, fuselages, landing gears and wings but that the trainer should be a biplane with a cantilever lower wing and the tourer, without the lower wing, a parasol wing monoplane. The same airframe was flown in both the biplane (P 6) and parasol (P 7) configurations. Like the Gabriel P 5, the new aircraft was strongly influenced by the Fokker D.VII.[1] The P 6 was an all wood aircraft. Both of its wings were tapered in plan and were built around two spars with plywood covering. The upper wing was mounted over the fuselage by a cabane of inverted V-struts from the upper fuselage and braced on each side with a parallel pair of struts from the spars to the lower longeron. The lower wing was attached to the lower longerons.[1] The trainer was powered by a 48–52 kW (65–70 hp) four cylinder, water-cooled inline Mercedes engine.[1][2] The forward part of its rectangular section fuselage was covered with aluminium sheet and the rest with plywood. There were two cockpits in tandem, equipped with dual control though with flight instruments only in the rear seat. Its empennage was externally braced, with ply-covered fin and tailplane carrying fabric covered control surfaces.[1] Its fixed landing gear, with a track of 1.6 m (5 ft 3 in), was of the tailskid type, with mainwheels on a single axle held via rubber ring shock absorbers on V-struts from the lower longerons.[1] The Gabriel P 6, the first Polish designed two seat trainer, was flown for the first time in late May 1924, piloted by Jan Gabriel at Bydgoszcz. It was subsequently tested by pilots from the Bydgoszcz pilot's school, who reported that it handled well.[1] Later in 1924 the lower wing was removed, a straightforward alteration in the absence of interplane struts, and the aircraft was flown successfully as the Gabriel P 7. With only 63% of the P 6's wing area but slightly lighter the P 7 had both maximum and landing speeds that were 20 km/h (12 mph; 11 kn) faster than the P 6. The Polish aeronautical authorities showed no more interest in the P 6 and P 7 than they had in the P 5. No funding was gained and, although Pawel Gabriel had designed a new high wing, low power ultralight, the P 7 was the Gabriels' last aircraft to fly.[1] Data from Cynk (1971)[1] except where notedGeneral characteristics Performance</t>
  </si>
  <si>
    <t>Training aircraft</t>
  </si>
  <si>
    <t>https://en.wikipedia.org/Training aircraft</t>
  </si>
  <si>
    <t>Pawel and Jan Gabriel</t>
  </si>
  <si>
    <t>One student, one instructor</t>
  </si>
  <si>
    <t>5.8 m (19 ft 0 in)</t>
  </si>
  <si>
    <t>8.6 m (28 ft 3 in)</t>
  </si>
  <si>
    <t>16.5 m2 (178 sq ft)</t>
  </si>
  <si>
    <t>480 kg (1,058 lb)</t>
  </si>
  <si>
    <t>720 kg (1,587 lb)</t>
  </si>
  <si>
    <t>120 l (26 imp gal; 32 US gal)</t>
  </si>
  <si>
    <t>1 × Mercedes 4-cylinder, water-cooled inline, 48–52 kW (65–70 hp)</t>
  </si>
  <si>
    <t>2-bladed Gabriel, wooden</t>
  </si>
  <si>
    <t>150 km/h (93 mph, 81 kn) [3]</t>
  </si>
  <si>
    <t>60 km/h (37 mph, 32 kn) [3]</t>
  </si>
  <si>
    <t>1,100 km (680 mi, 590 nmi) [3]</t>
  </si>
  <si>
    <t>2.6 m/s (510 ft/min) [3]</t>
  </si>
  <si>
    <t>Pawel Gabriel</t>
  </si>
  <si>
    <t>late May 1924</t>
  </si>
  <si>
    <t>2.1 m (6 ft 11 in) [3]</t>
  </si>
  <si>
    <t>3,000 m (9,800 ft)</t>
  </si>
  <si>
    <t>60 km/h (37 mph; 32 kn)</t>
  </si>
  <si>
    <t>Samolot Sp.I</t>
  </si>
  <si>
    <t>The low-powered Samolot Sp.I, designed in Poland in the mid-1920s, was intended to explore the characteristics of a proposed single seat fighter. The project did not receive government support and only one Sp.1 was built. The designer of the Samolot Sp.1 was Piotr Tulacz, the technical director of Samolot. A private venture, it was intended to be a research development vehicle for a more powerful fighter aircraft and, in addition, to demonstrate to the Government that high performance aircraft could be built with Polish materials.[1] The Samolot Sp.1 was a braced parasol wing monoplane. Its two-part wing, rectangular in plan apart from blunted tips, was moderately thick. Each half-wing was built around a pair of wooden spars and was covered with plywood, then joined centrally and supported just above the fuselage on cabane struts. Primary wing bracing was provided on each side by a parallel pair of steel struts, enclosed in wooden streamlined cladding, from the lower fuselage to the wing spars.[1] It had been designed to accept radial engines in the 60–89 kW (80–120 hp) power range and when the Sp.I was completed in the mid-1926 the only available engine was an elderly six-cylinder Anzani 6A-4 which gave 67 kW (90 hp). This was housed under a circular cross-section metal cowling with its cylinder heads protruding for cooling. The cowling blended smoothly into the rest of the fuselage which was a 2 mm (0.08 in) thick ply-skinned semi-monocoque, tapering to the rear. The pilot's open cockpit was just behind the trailing edge of the wing, where there was a small cut-out to improve his field of view. The Sp.1's tailplane and fin were integral parts of the fuselage and also ply covered, as were the control surfaces; the elevators were divided.[1] The Sp.I had a conventional, fixed undercarriage with a track of 1.50 m (4 ft 11 in). The mainwheels were on a single axle with rubber-cord shock absorbers, mounted on steel V struts from the fuselage at the base of the wing struts. These struts, like the wing bracing, were clad in wood streamlining.[1] The first flight, flown by Samolot's chief test-pilot Edmond Holodynski at Poznan-Lawica, was in July 1926. Further flight-testing showed a lack of power but also some handling problems and instabilities.  The latter were soon corrected by a reduction in fuselage length and some rudder modifications and the aircraft was re-engined with a 89 kW (120 hp) Salmson 9Ac, a nine-cylinder modern radial. As a result, the Sp.I handled well and bettered its calculated performance.[1] Despite its good performance, Samolot failed to get Government funding and Sp.I development was abandoned. It did leave a legacy, in that some of the engineers who had worked on its design subsequently joined the design team of the successful PWS-10, another braced parasol wing aircraft.[1] Data from Cynk (1971)[1]General characteristics Performance</t>
  </si>
  <si>
    <t>//upload.wikimedia.org/wikipedia/commons/thumb/8/8c/Samolot_SP.I_Annuaire_de_L%27A%C3%A9ronautique_1931.jpg/300px-Samolot_SP.I_Annuaire_de_L%27A%C3%A9ronautique_1931.jpg</t>
  </si>
  <si>
    <t>Single seat research aircraft</t>
  </si>
  <si>
    <t>Samolot</t>
  </si>
  <si>
    <t>https://en.wikipedia.org/Samolot</t>
  </si>
  <si>
    <t>6.1 m (20 ft 0 in)</t>
  </si>
  <si>
    <t>8.92 m (29 ft 3 in)</t>
  </si>
  <si>
    <t>15 m2 (160 sq ft)</t>
  </si>
  <si>
    <t>530 kg (1,168 lb)</t>
  </si>
  <si>
    <t>715 kg (1,576 lb)</t>
  </si>
  <si>
    <t>130 l (29 imp gal; 34 US gal)</t>
  </si>
  <si>
    <t>1 × Salmson 9AC 9-cylinder, air-cooled radial, 89 kW (120 hp)</t>
  </si>
  <si>
    <t>Piotr Tulacz</t>
  </si>
  <si>
    <t>2.3 m (7 ft 7 in)</t>
  </si>
  <si>
    <t>Dewoitine 26A</t>
  </si>
  <si>
    <t>Robin DR500</t>
  </si>
  <si>
    <t>The Robin DR500 Président is a wooden low wing monoplane, manufactured by Robin Aircraft and marketed as a top-of-the-range DR400.[1]  It has a tricycle undercarriage, 4+1 seating configuration, is powered by a more powerful 200CV fuel-injected Lycoming engine and is larger and better-equipped than the standard DR.400.[2] The Robin DR500 concept first originated in the 1980s as the DR.400 NGL or Nouvelle Génération Large, but the idea was not resurrected until the late 1990s by the new owners of Robin Aircraft.  It took its name from the HR.100/250TR Président of 1974.[3]  Known and marketed as the DR.500, it is actually an extension of the DR.400's type certificate, so is sometimes referenced in official documents as the DR400/500.  It was intended to fill the niche between 180 hp fixed undercarriage and 250 hp retractable undercarriage aircraft,[2] with 1500 km range at cruise speeds of 260 km/h (143kt).[4]  The maiden flight of prototype F-WZZY was on 29 May 1997 with Daniel Müller as test pilot.  18 were produced in 1999 and 9 in 2000.[4] Compared to the original DR.400, the DR.500 has a larger engine cowling and a larger bubble-like canopy like that on the R3000 or X4, making the cabin 40 cm longer, 10 cm wider at the shoulders and providing 5 cm more headroom.[2]  Like the Jodel D140, it has five seatbelts.  The DR.500 has a new instrument panel, finished in grey and beige, and leather seats as standard; electric trim and electrically-operated flaps are also standard.  The wing is slightly thicker than that on the DR.400, and it benefits from new, more streamlined wheel fairings.  The DR.500 is powered by a fuel-injected 200 hp Lycoming driving a two-blade Hartzell variable-pitch propeller.  There is a gas strut to keep the externally-accessible luggage compartment door open.  Total fuel capacity is 275 litres: two 40l wing tanks, 105l under the floor, and an optional 90l tank under the baggage compartment.[2] Data from Masse p. 195General characteristics Performance</t>
  </si>
  <si>
    <t>//upload.wikimedia.org/wikipedia/commons/thumb/a/ad/Robin_DR.500-200i_President_%27G-TYER%27_%2812890500965%29.jpg/300px-Robin_DR.500-200i_President_%27G-TYER%27_%2812890500965%29.jpg</t>
  </si>
  <si>
    <t>Four-seat light aircraft</t>
  </si>
  <si>
    <t>Avions Pierre Robin</t>
  </si>
  <si>
    <t>https://en.wikipedia.org/Avions Pierre Robin</t>
  </si>
  <si>
    <t>7.05 m (23 ft 2 in)</t>
  </si>
  <si>
    <t>8.72 m (28 ft 7.25 in)</t>
  </si>
  <si>
    <t>14.20 m2 (152.85 sq ft)</t>
  </si>
  <si>
    <t>1 × Lycoming IO-360-A flat-four piston engine , 134 kW (180 hp)</t>
  </si>
  <si>
    <t>260 km/h (161 mph, 140 kn)</t>
  </si>
  <si>
    <t>1,500 km (930 mi, 810 nmi)</t>
  </si>
  <si>
    <t>5.0 m/s (1,000 ft/min)</t>
  </si>
  <si>
    <t>2.23 m (7 ft 3.75 in)</t>
  </si>
  <si>
    <t>Robin DR.400</t>
  </si>
  <si>
    <t>https://en.wikipedia.org/Robin DR.400</t>
  </si>
  <si>
    <t>https://en.wikipedia.org/1997</t>
  </si>
  <si>
    <t>https://en.wikipedia.org/1999</t>
  </si>
  <si>
    <t>Greene 1910 Biplane</t>
  </si>
  <si>
    <t>In early 1910, Dr. William Greene designed, built and sold the successor to his own 1909 biplane in Mineola, Long Island at the Aeronautic Society's facility. This aircraft was a fairly conventional biplane in the Farman style. By mid April 1910, Greene had left New York City and moved to Rochester, NY to start a company to produce aircraft of his own design. Greene built the first of his 1910 biplanes for Roy W. Crosby of San Francisco, CA. This aircraft was originally equipped with a Curtiss motor but on later models, he used the Elbridge 2-stroke Featherweight motor instead.[1] The aircraft was designed to provide lateral control in a way that avoided the Wright brothers patent. It was equipped with a single forward elevator and a horizontal stabilizer with a movable rudder in the rear. The elevator was wired to work in conjunction with a flap that was attached to the trailing edge of the horizontal stabilizer. Ailerons were attached to the rear wing struts and were actuated by a Curtiss style shoulder control. Later models had wingspans of 30 ft (9.14 m) and 37 ft (11.28 m)[2]  General characteristics Performance</t>
  </si>
  <si>
    <t>//upload.wikimedia.org/wikipedia/commons/thumb/4/46/Greene_1910_Biplane.jpg/300px-Greene_1910_Biplane.jpg</t>
  </si>
  <si>
    <t>29 ft (8.8 m)</t>
  </si>
  <si>
    <t>1 × Curtiss B-8 V-8 air-cooled piston engine, 40 hp (30 kW)</t>
  </si>
  <si>
    <t>Dr. William Greene</t>
  </si>
  <si>
    <t>https://en.wikipedia.org/Dr. William Greene</t>
  </si>
  <si>
    <t>Electricsports ES-Trike</t>
  </si>
  <si>
    <t>The Electricsports ES-Trike is a German electric-powered ultralight trike produced by Electricsports GmbH of Ostrach. The aircraft is supplied complete and ready-to-fly.[1] The design is a collaboration between Wolfgang Zanki, who specializes in carbon fibre composites, Toni Roth, who builds electric-powered harnesses and Meinrad Reisch, who builds electric paramotors.[1] In its single seat model, the ES-Trike was designed to comply with the Fédération Aéronautique Internationale microlight category, the German 120 kg class and the US FAR 103 Ultralight Vehicles rules.[1] The aircraft design features a cable-braced hang glider-style high-wing, weight-shift controls, a single-seat open cockpit with a cockpit fairing, tricycle landing gear and a single piston engine or electric motor in pusher configuration.[1] The airframe is made from carbon fibre and titanium, with its single or double surface wing covered in Dacron sailcloth. The wing is supported by a single tube-type kingpost and uses an "A" frame weight-shift control bar. The powerplants offered are the Polini Thor 100 or 200 piston engine or the Flytec HPD 10 electric motor of 13.5 kW (18 hp). The automatically folding carbon fibre propeller is mounted on a 70 cm (28 in) shaft to allow it to operate in less-disturbed air.[1] The airframe has a basic weight of 6 kg (13 lb), to which can be added the carbon fibre complete fuselage fairing, which weighs 1.5 kg (3 lb). With the motor and battery the weight is 25 to 28 kg (55 to 62 lb).[1] A number of different wings can be fitted to the basic carriage, including single and double surface wings. The aircraft's performance depends greatly on the wing that is selected.[1] Data from Tacke[1]General characteristics</t>
  </si>
  <si>
    <t>Electricsports GmbH</t>
  </si>
  <si>
    <t>https://en.wikipedia.org/Electricsports GmbH</t>
  </si>
  <si>
    <t>1 × Flytec HPD 10 electric motor, 13.5 kW (18.1 hp)</t>
  </si>
  <si>
    <t>2-bladed carbon fibre, folding</t>
  </si>
  <si>
    <t>Aeros ANT</t>
  </si>
  <si>
    <t>The Aeros ANT (Aeros Nanolight Trike) is a Ukrainian ultralight trike, designed and produced by Aeros of Kyiv. The aircraft is supplied complete and ready-to-fly.[1] The aircraft was designed in the mid-2010s to comply with the Fédération Aéronautique Internationale microlight category, including the category's maximum gross weight of 450 kg (992 lb). The aircraft has a maximum gross weight of 185 kg (408 lb). The design meets the US FAR 103 Ultralight Vehicles rules, including the category's maximum empty weight of 254 lb (115 kg) and has also been certified in the German 120 kg class.[1] The ANT is a nanotrike, with an emphasis on lightness, simplicity and low-cost. It features a cable-braced hang glider-style high-wing, weight-shift controls, a single-seat open cockpit without a cockpit fairing, tricycle landing gear without wheel pants and a single engine in pusher configuration.[1] The ANT is supplied with a carrying bag into which the aircraft fuselage frame can be stowed for ground transport by automobile, after folding up the airframe. A separate bag holds the hang glider wing. The aircraft can be derigged for ground transportation in 6 minutes and can be set up to fly in 30 minutes.[1] The aircraft is made from bolted-together aluminum tubing, with its single surface, or optionally double surface wing covered in Dacron sailcloth. The wing is supported by a single tube-type kingpost and uses an "A" frame weight-shift control bar. The powerplant is a single-cylinder, air-cooled, two-stroke, single-ignition 25 hp (19 kW) Cors-Air M25Y engine, normally used for powered paragliders. The Cors-Air M25Y engine is equipped with a clutch that allows the propeller to stop at idle engine speeds. A Bailey engine is optional.[1][2] With the Cors-Air engine and a single surface wing, the ANT has an empty weight of 76 kg (168 lb) and a gross weight of 185 kg (408 lb), giving a useful load of 109 kg (240 lb). With full fuel of 19 litres (4.2 imp gal; 5.0 US gal) the payload is 95 kg (209 lb).[1] A number of different wings can be fitted to the basic carriage, including the basic Aeros Discus T, a version of the Discus hang glider wing for nanotrikes, that comes in two sizes, Discus 14T and 15T. The Fox T wing is a slow and maneuverable wing that can also be fitted. Higher performance can be obtained with the Combat T wing, a topless hang glider wing adapted for nanotrikes.[1][3] Data from Tacke[1]General characteristics Performance</t>
  </si>
  <si>
    <t>//upload.wikimedia.org/wikipedia/commons/thumb/4/48/Z-Aeros_Ant_%2846779466945%29.jpg/300px-Z-Aeros_Ant_%2846779466945%29.jpg</t>
  </si>
  <si>
    <t>Aeros</t>
  </si>
  <si>
    <t>https://en.wikipedia.org/Aeros</t>
  </si>
  <si>
    <t>Electric Ride E-Bird</t>
  </si>
  <si>
    <t>9.6 m2 (103 sq ft)</t>
  </si>
  <si>
    <t>76 kg (168 lb)</t>
  </si>
  <si>
    <t>185 kg (408 lb)</t>
  </si>
  <si>
    <t>1 × Cors-Air M25Y single-cylinder, air-cooled, two stroke aircraft engine, 19 kW (25 hp)</t>
  </si>
  <si>
    <t>3.5 m/s (690 ft/min)</t>
  </si>
  <si>
    <t>19.3 kg/m2 (4.0 lb/sq ft)</t>
  </si>
  <si>
    <t>https://en.wikipedia.org/Electric Ride E-Bird</t>
  </si>
  <si>
    <t>Hungaro Copter</t>
  </si>
  <si>
    <t>The Hungaro Copter is a Hungarian helicopter produced by Hungaro Copter Limited of Verpelét, an affiliate of the Hungarian SteelRiders company. The lead engineer for the design was Zoltán Juhász.[1] The aircraft is supplied as a kit for amateur construction.[2] The aircraft was designed to comply with the European microlight aircraft rules. It features a single main rotor and tail rotor, a single-seat enclosed cockpit with a fairing, or an open cockpit without a windshield, skid landing gear and a four-cylinder, four stroke 135 hp (101 kW) Subaru EJ22 or 160 hp (119 kW) Subaru EJ25 automotive conversion engine. The six-cylinder 125 hp (93 kW) D-Motor LF39 powerplant has also been used.[2] The aircraft fuselage is made from welded steel tubing. Its two-bladed rotor has a diameter of 7.0 m (23.0 ft). The aircraft has a typical empty weight of 300 kg (661 lb) and a gross weight of 430 kg (948 lb), giving a useful load of 130 kg (287 lb).[2] The construction time from the supplied kit is estimated as 300 hours.[2] Data from Tacke[2]General characteristics Performance</t>
  </si>
  <si>
    <t>//upload.wikimedia.org/wikipedia/commons/thumb/8/83/Hungaro_Copter.jpg/300px-Hungaro_Copter.jpg</t>
  </si>
  <si>
    <t>Hungary</t>
  </si>
  <si>
    <t>https://en.wikipedia.org/Hungary</t>
  </si>
  <si>
    <t>Hungaro Copter Limited</t>
  </si>
  <si>
    <t>https://en.wikipedia.org/Hungaro Copter Limited</t>
  </si>
  <si>
    <t>In production (2015)</t>
  </si>
  <si>
    <t>430 kg (948 lb)</t>
  </si>
  <si>
    <t>1 × Subaru EJ22 four cylinder, liquid-cooled, four stroke automotive conversion engine, 101 kW (135 hp)</t>
  </si>
  <si>
    <t>6.5 m/s (1,280 ft/min)</t>
  </si>
  <si>
    <t>7.0 m (23 ft 0 in)</t>
  </si>
  <si>
    <t>38 m2 (410 sq ft)</t>
  </si>
  <si>
    <t>11.3 kg/m2 (2.3 lb/sq ft)</t>
  </si>
  <si>
    <t>Medwecki and Nowakowski M.N.3</t>
  </si>
  <si>
    <t>The Medwecki and Nowakowski M.N.3 or just M.N.3 was a low-powered, four seat, Polish aircraft flown in 1928. The sole example was modified into a more powerful two-seater which served aeroclubs until World War II. After the Medwecki HL 2 was badly damaged in a forced landing during the First National Lightplane Contest held in Poland in October 1927, Jozef Medwecki chose not to rebuild it for the following year's contest but to submit a new design. His collaboration with Zygmunt Nowakowski produced the single engine, four seat, braced  parasol wing M.N.3. They received funding from L.O.P.P and assistance from Samolot, Medwecki's employer.[1] The M.N.3's wing was built in two parts around pairs of wooden spars and was plywood covered. It was essentially rectangular in plan, though with rounded tips and a small central cut-out in the trailing edge to improve the pilot's field of view. The half-wings joined over the fuselage, supported on a low cabane, but parallel steel tubes, enclosed in wooden streamlined fairings and stiffened with lighter N-struts between the lower fuselage and the spars, provided the primary bracing.[1] The four seat M.N.3 had been designed to be powered by a 45 kW (60 hp) engine but initially all that was available was a loaned and reconditioned Anzani 6 six cylinder radial which produced 34 kW (45 hp). It was mounted, uncowled in the nose. The fuselage had a rectangular section apart from the rounded upper decking and held two tandem cockpits, each wide enough to seat two side by side. The forward seats were under the wing and the other, seating the pilot, below the trailing edge. As on the Medwecki HL 2 the forward seats were entered via a car-type door with a special lock that maintained the integrity of the upper longeron; the cockpit, without the obstacle of the wing, could be entered over its side.[1] The M.N.3's empennage was conventional, with a triangular fin mounting an essentially rectangular rudder. Its tailplane was mounted near the top of the fuselage and was rigidly braced, though its angle of incidence was ground-adjustable. The elevators were divided to allow rudder movement. The fixed landing gear was also conventional, with mainwheels on a single axle supported on V-struts from the lower fuselage longerons below the wing strut joints.  Rubber cords in the apexes of the V-struts acted as shock absorbers.[1] The first flight was made in late September 1928. Despite the lack of power it was able to carry three passengers and handled well. Without the passengers it could perform simple aerobatics. On the flight to the Second National Lightplane Contest in late October it suffered engine problems and had to make an emergency landing.[1] Though it was not seriously damaged in the landing, its designers decided to convert the M.N.3 into a two-seater, designated the M.N.4. Partly because they were busy working on their final joint design, the Medwecki and Nowakowski M.N.5, and partly because of the closure of Samolot, the conversion was not completed until 1932. The main improvement was replacement of the Anzani engine by a 45 kW (60 hp) Cirrus III upright four-cylinder, air-cooled inline.  In addition, the front cockpit and the wing strut fairings were removed. These changes increased the empty weight by 34%. Its maximum speed was 148 km/h (92 mph; 80 kn), it could climb to 1,000 m (3,300 ft) in 4 min 20 s and had a service ceiling of 3,900 m (12,800 ft).[1] After obtaining its certificate of airworthiness the sole N.M.4 was used by the P.W.S. flying club for about a year, then moved to the Gdańsk club where it flew into the late 30s, participating in many meetings and regional and national competitions. In 1933 it competed in the Fifth National Lightplane Contest. Flown by Stefan Krynski, it came eleventh out of twenty-six.[1] Data from Cynk (1971)[1]General characteristics Performance</t>
  </si>
  <si>
    <t>Four seat touring aircraft</t>
  </si>
  <si>
    <t>Three passengers</t>
  </si>
  <si>
    <t>7.1 m (23 ft 4 in)</t>
  </si>
  <si>
    <t>11 m (36 ft 1 in)</t>
  </si>
  <si>
    <t>18.5 m2 (199 sq ft)</t>
  </si>
  <si>
    <t>680 kg (1,499 lb)</t>
  </si>
  <si>
    <t>1 × Anzani 6 6-cylinder radial engine, 34 kW (45 hp)</t>
  </si>
  <si>
    <t>300 km (190 mi, 160 nmi) fully loaded</t>
  </si>
  <si>
    <t>Jozef Medwecki and Zygmunt Nowakowski</t>
  </si>
  <si>
    <t>late September 1928</t>
  </si>
  <si>
    <t>2.25 m (7 ft 5 in)</t>
  </si>
  <si>
    <t>Göttingen 655</t>
  </si>
  <si>
    <t>58 km/h (36 mph; 31 kn)</t>
  </si>
  <si>
    <t>Silesia S-3</t>
  </si>
  <si>
    <t>The Silesia S-3 was the first design from the Polish Sopora brothers to fly. It was a low power, single seat, high wing light aircraft. Only one was built and its flying time was limited. Three brothers, Edward, Paul and Wojciech Sopora set up an aircraft-building workshop in 1923 at Chorzów, calling it the Pierwsza Śląska Fabryka Samolotów (First Silesian Aircraft Factory). Their first product was a light, low-powered, high wing monoplane, the Silesia S-3.[1] Its wood-framed, thin section wing was in two parts joined to the upper fuselage longerons and was fabric covered. It was entirely wire-braced from a high, central cabane above the fuselage and a short cabane from its underside.[1] The C-3 was powered by a 22 kW (30 hp) Haacke HFM-2, a flat-twin mounted with its cylinders projecting outside the fuselage for cooling. Behind the engine the fuselage was flat-sided, with a steel-tube frame of rectangular section and fabric covering. The single, open cockpit was behind the upper cabane. Its empennage was wood-framed and fabric covered;  the tailplane, on top of the fuselage, was wire braced to the top of a rounded fin. The rudder was also rounded in profile.[1] Its fixed landing gear was of the tailskid type. The mainwheels were on a single axle which was mounted on two transverse tubes joining the apexes of two V-struts from the lower fuselage longerons.[1] The S-3 was completed by October 1923 and in early November it made its first flight, piloted by Klosek, from the army field at Panewniki near Ligota. Several modifications followed, in particular addressing some longitudinal stability problems experienced on the first flight. On 16 November Klosek began its official flight trials in front of army observers. It made three flights, each lasting 10–15 minutes, reaching speeds of about 100 km/h (62 mph; 54 kn), taking off in 70–100 m (230–330 ft) and with landing runs of 120–150 m (390–490 ft). The S-3 continued to make short flights into 1924 but after a landing accident the Soporas decided that its Haake engine should be removed to power their next design, the Silesia S-4 and the S-3 was abandoned.[1] Data from General:Cynk (1971).[1] Performance:[2]General characteristics Performance</t>
  </si>
  <si>
    <t>//upload.wikimedia.org/wikipedia/commons/thumb/3/35/Silesia_S-3.jpg/300px-Silesia_S-3.jpg</t>
  </si>
  <si>
    <t>Single seat light aircraft</t>
  </si>
  <si>
    <t>Pierwsza Śląska Fabryka Samolotów</t>
  </si>
  <si>
    <t>4.5 m (14 ft 9 in)</t>
  </si>
  <si>
    <t>345 kg (761 lb)</t>
  </si>
  <si>
    <t>1 × Haacke HFM-2 air-cooled flat twin engine, 22 kW (30 hp)</t>
  </si>
  <si>
    <t>85 km/h (53 mph, 46 kn)</t>
  </si>
  <si>
    <t>65 km/h (40 mph, 35 kn) minimum speed</t>
  </si>
  <si>
    <t>80 km (50 mi, 43 nmi)</t>
  </si>
  <si>
    <t>Sopora brothers</t>
  </si>
  <si>
    <t>Early November 1923</t>
  </si>
  <si>
    <t>2.55 m (8 ft 4 in)</t>
  </si>
  <si>
    <t>100 km/h (62 mph, 54 kn)</t>
  </si>
  <si>
    <t>Boland 1911 Conventional Biplane</t>
  </si>
  <si>
    <t>The Boland 1911 Conventional Biplane was an American pioneering aircraft. During the winter of 1911-1912, Frank Boland built a conventional pusher biplane. Boland built this aircraft to compare it with the tailless aircraft that he'd been building for the 3 previous years.[1] Frank Boland wanted to make sure that he fully understood the dynamics of a conventional biplane so, in the winter of 1911-12, he constructed an aircraft of his own design in Mineola, Long Island. This conventional pusher biplane had an interconnected  forward and rear elevator. A movable rudder is mounted in the rear. Roll control was achieved using wing warping. Boland used this aircraft to contrast with the performance of his unorthodox tailless 'jibbed' biplane that he had completed the previous October.[1] Boland flew this plane throughout the winter in the snowy fields of Mineola. The aircraft was designed for an axle and a pair of wheels, but they were never mounted. In the icy conditions, taking off and landing using just the skids was fine.[1] This was the only conventional biplane constructed by Boland. After flying this aircraft through the winter, he disassembled the aircraft in the spring and returned to the development of his tailless aircraft.[1] From Aeronautics magazine Feb 1912 issue describing the operation of the wing warping system illustrated to the right: "The wings can be warped down by swinging the steering lever. As one side is warped down, the other side is free to bend up under the air pressure. The warping wires are normally taut and keep these ribs bent down to their regular curve. The curve is 21/3 inches deep, at 16 inches back. The front and rear beams are exactly the same height from the ground, the ribs going under the rear beam."[1] General characteristics Performance</t>
  </si>
  <si>
    <t>//upload.wikimedia.org/wikipedia/commons/thumb/b/be/Boland_1911_Conventional_biplane.jpg/300px-Boland_1911_Conventional_biplane.jpg</t>
  </si>
  <si>
    <t>30 ft 4 in (9.25 m)</t>
  </si>
  <si>
    <t>750 lb (340 kg)</t>
  </si>
  <si>
    <t>10 US gal (38 l; 8.3 imp gal)</t>
  </si>
  <si>
    <t>60 mph (97 km/h, 52 kn)</t>
  </si>
  <si>
    <t>https://en.wikipedia.org/Boland 1911 Tailless Biplane</t>
  </si>
  <si>
    <t>Aerostar AG-6</t>
  </si>
  <si>
    <t>The Aerostar AG-6 (also known as the IAR AG-6) was a prototype Romanian agricultural aircraft of the late 1980s, developed for IAv, of Bacău. The company was later known as Aerostar.  The AG-6 was a single-engine biplane, of which a single example was built, with no production following. In 1986, a team led by the engineer Constantin Rosca began work at the Romanian Aviation Institute on the design of a single-engine agricultural aircraft, the AG-6.[1] The AG-6 was a single-engine tractor biplane with a fixed tailwheel undercarriage,[2] and had a similar layout to the American Grumman Ag-Cat.[1] The aircraft's fuselage was of welded steel tube construction, with the forward fuselage and wings covered in duralumin and the rear fuselage fabric covered. The pilot sat in an enclosed cockpit aft of the wings, with a glassfibre hopper  for liquid or powered agricultural chemicals fitted forward of the cockpit. The aircraft was powered by a Soviet Vedeneyev M14P radial engine, rated at 190 kilowatts (260 hp) which drove a two-bladed variable-pitch propeller.[2] A prototype was built at the Bacău factory of IAv (Intreprinderea de Avione) (now Aerostar), making its first flight on 12 January 1989.[3] In 1991, the Romanian aircraft industry was privatised, but a shortage of finance resulted in several projects, including the AG-6, being abandoned.[4] Only the single prototype was built.[5] Data from Jane's All The World's Aircraft 1992–93[2]General characteristics Performance</t>
  </si>
  <si>
    <t>Agricultural aircraft</t>
  </si>
  <si>
    <t>Romania</t>
  </si>
  <si>
    <t>https://en.wikipedia.org/Romania</t>
  </si>
  <si>
    <t>Aerostar</t>
  </si>
  <si>
    <t>https://en.wikipedia.org/Aerostar</t>
  </si>
  <si>
    <t>Prototype only</t>
  </si>
  <si>
    <t>1,050 l (280 US gal; 230 imp gal)</t>
  </si>
  <si>
    <t>6.96 m (22 ft 10 in)</t>
  </si>
  <si>
    <t>26.00 m2 (279.9 sq ft)</t>
  </si>
  <si>
    <t>917 kg (2,022 lb)</t>
  </si>
  <si>
    <t>200 l (53 US gal; 44 imp gal)</t>
  </si>
  <si>
    <t>1 × Vedeneyev M14P nine-cylinder air-cooled radial engine, 270 kW (360 hp)</t>
  </si>
  <si>
    <t>150–175 km/h (93–109 mph, 81–94 kn) (working speed)</t>
  </si>
  <si>
    <t>110 km/h (68 mph, 59 kn) (power off)</t>
  </si>
  <si>
    <t>530 km (330 mi, 290 nmi) (30 minute reserves)</t>
  </si>
  <si>
    <t>3.20 m (10 ft 6 in)</t>
  </si>
  <si>
    <t>1,900 kg (4,189 lb) (restricted category)</t>
  </si>
  <si>
    <t>5,000 m (16,000 ft)</t>
  </si>
  <si>
    <t>10.56 m (34 ft 8 in)</t>
  </si>
  <si>
    <t>10.26 m (33 ft 8 in)</t>
  </si>
  <si>
    <t>Aviolanda AT-21</t>
  </si>
  <si>
    <t>The Aviolanda AT-21 was a target drone developed in the Netherlands by Aviolanda. Powered by a pulsejet engine, it was the Netherlands' first drone to be successfully developed, and saw limited use in the late 1950s and early 1960s. Developed in 1955,[1] the AT-21 was of conventional aircraft design,[2] with a high-mounted, constant-chord monoplane wing and a twin tail empennage. Power was provided by a SNECMA AS-11 Ecrevisse pulsejet, mounted in a fairing underneath the aircraft's fuselage; the construction of the airframe made extensive use of plastic in the nose and tail, with the center-section being of metal construction, and the wings and tail were made of foam-filled plastic with metal stabilizers and rudders.[1] Launch was by JATO-type booster rockets from a zero-length launch ramp; a trolley for conventional takeoff from a runway was also available. Control was by  radio commands from a remote guidance station, set up like an aircraft cockpit; if radio contact was lost, the parachute recovery system would automatically deploy. The parachutes could also be manually released at the end of a mission; the wing and tail would be separated by explosive bolts upon landing to simplify recovery and reduce the risk of damage during the process.[1] Endurance was up to one hour, and it was possible to fit a payload of cameras for aerial reconnaissance duties.[3] The first flight of the AT-21 took place in late 1955.[1] The first Dutch drone to successfully complete development,[3] it entered service with the Royal Dutch Navy.[4] Production of the AT-21 continued through 1958.[5] Data from Ordway and Wakeford,[3] Jane's All the World's Aircraft 1958-59[6]General characteristics Performance   Aircraft of comparable role, configuration, and era  Related lists</t>
  </si>
  <si>
    <t>Target drone</t>
  </si>
  <si>
    <t>Netherlands</t>
  </si>
  <si>
    <t>Aviolanda</t>
  </si>
  <si>
    <t>https://en.wikipedia.org/Aviolanda</t>
  </si>
  <si>
    <t>3.6 m (11 ft 10 in)</t>
  </si>
  <si>
    <t>1.44 m2 (15.5 sq ft)</t>
  </si>
  <si>
    <t>120 l (31.7 US gal; 26.4 imp gal)</t>
  </si>
  <si>
    <t>1 × SNECMA AS.11 pulsejet, 0.85 kN (190 lbf) thrust</t>
  </si>
  <si>
    <t>285 km/h (177 mph, 154 kn) at 1,500–3,000 m (4,921–9,843 ft)</t>
  </si>
  <si>
    <t>6.17 m/s (1,215 ft/min) at sea level</t>
  </si>
  <si>
    <t>1 m (3 ft 3 in)</t>
  </si>
  <si>
    <t>330 km/h (210 mph, 180 kn) at sea level</t>
  </si>
  <si>
    <t>60-70 minutes</t>
  </si>
  <si>
    <t>Royal Netherlands Navy</t>
  </si>
  <si>
    <t>https://en.wikipedia.org/Royal Netherlands Navy</t>
  </si>
  <si>
    <t>Blohm &amp; Voss Ae 607</t>
  </si>
  <si>
    <t>The Blohm &amp; Voss Ae 607 was a jet-powered flying wing design drawn up by Blohm &amp; Voss in 1945. Very little is known about it and its existence was only confirmed in 2017. Early in 1945, a Blohm &amp; Voss (B&amp;V) aircraft designer called Thieme began work on Drawing Number Ae 607, within the standard drawing numbering system at B&amp;V. His design for a jet fighter was radically different from anything that B&amp;V had done before. A flying wing, it approximated to a 45° delta planform.[1][2] Reports of its existence were not confirmed until 2017, when the drawing was published. No Project number is recorded for the design and its intended status is unknown.[3] An all-wing design, the centre section has a V-shaped lower profile deepening its keel and is sharply tapered both front and rear, while the outer sections are sharply swept at approximately 45° and tapered, giving the leading edge a sweep greater than 45° and the trailing edge an M-shaped outline from above. The wing tips are turned down, giving them a slight anhedral. A jet engine duct runs down the centre, with the Heinkel-Hirth HeS 011 engine installed towards the rear. A small tail fin is placed above the jet exhaust duct, while the pilot's cockpit is set just in front of the engine, but still well aft, and is offset to one side to give the pilot room alongside the intake duct. It is covered by a teardrop canopy. Two small, low aspect ratio and untapered canard foreplanes sweep forward from either side of the nose intake. The undercarriage comprises main wheels retracting outwards and twin tailwheels retracting on either side of the engine exhaust duct. On the ground, it sits with a marked nose-up attitude.[3] Estimated performance is unknown.[4] Data from Masters, 1982[4]General characteristics Armament  This aircraft-related article is a stub. You can help Wikipedia by expanding it.</t>
  </si>
  <si>
    <t>Blohm &amp; Voss</t>
  </si>
  <si>
    <t>https://en.wikipedia.org/Blohm &amp; Voss</t>
  </si>
  <si>
    <t>Design project</t>
  </si>
  <si>
    <t>7.4 m (24 ft 3 in)</t>
  </si>
  <si>
    <t>7.8 m (25 ft 7 in)</t>
  </si>
  <si>
    <t>1 × Heinkel-Hirth HeS 011 turbojet, 12.75 kN (2,866 lbf) thrust</t>
  </si>
  <si>
    <t>Thieme</t>
  </si>
  <si>
    <t>3 x 30 mm cannon.</t>
  </si>
  <si>
    <t>Radioplane OQ-6</t>
  </si>
  <si>
    <t>The Radioplane OQ-6 was a target drone developed by the Radioplane Company under the designation RP-14 and evaluated by the United States Army Air Forces for service use. A small number were procured, but major production contracts were cancelled by the end of World War II. The Radioplane RP-14 was a small aircraft of conventional design, with a strut-braced monoplane wing and conventional empennage; power was from a Righter O-45 four-cylinder horizontally-opposed piston engine. An improved version, the RP-15, replaced the O-45 with a McCulloch O-90. The airframe was improved over the company's preceding OQ-3, with improved streamlining.[1] The RP-14 first flew in November 1944; designated OQ-6 by the U.S. Army Air Forces (USAAF), evaluation led to the development of the improved RP-15, designated OQ-6A, and orders for production of the aircraft in quantity were placed. These orders were cancelled due to the end of World War II; however, some OQ-6s, redesignated XOQ-6A, were still in service with the United States Air Force (USAF) in 1948.[1] Data from Parsch 2003[1]General characteristics Performance     Related lists</t>
  </si>
  <si>
    <t>https://en.wikipedia.org/Target drone</t>
  </si>
  <si>
    <t>Radioplane Company</t>
  </si>
  <si>
    <t>https://en.wikipedia.org/Radioplane Company</t>
  </si>
  <si>
    <t>10 ft (3.0 m)</t>
  </si>
  <si>
    <t>14 ft (4.3 m)</t>
  </si>
  <si>
    <t>295 lb (134 kg)</t>
  </si>
  <si>
    <t>1 × Righter O-45 horizontally-opposed piston engine, 22 hp (16 kW)</t>
  </si>
  <si>
    <t>168 mph (270 km/h, 146 kn)</t>
  </si>
  <si>
    <t>United States Army Air Forces</t>
  </si>
  <si>
    <t>https://en.wikipedia.org/United States Army Air Forces</t>
  </si>
  <si>
    <t>Quander Micropfeil</t>
  </si>
  <si>
    <t>The Quander Micropfeil (English: Small Arrow) is a German ultralight trike that was designed and is produced by UL Flugzeugbau Quander of Petershagen. The aircraft is supplied complete and ready to fly.[1] The Micropfeil was designed to comply with the Fédération Aéronautique Internationale microlight category and the US FAR 103 Ultralight Vehicles rules. It features a cable-braced hang glider-style high wing, weight-shift controls, a single-seat open cockpit without a cockpit fairing, tricycle landing gear and a single engine in pusher configuration.[1] The aircraft is made from bolted-together aluminum tubing, with its double surface Schönleber Speed 14 m2 (150 sq ft) wing covered in Dacron sailcloth. The 10.8 m (35.4 ft) span wing is supported by a single tube-type kingpost and uses an "A" frame weight-shift control bar. The wing is supported by a two-tube structure. The powerplant is a twin-cylinder, air-cooled, two-stroke, single-ignition 40 hp (30 kW) Rotax 447 engine.[1] The aircraft has an empty weight of 80 kg (176 lb) and a gross weight of 300 kg (661 lb), giving a useful load of 220 kg (485 lb). With full fuel of 25 litres (5.5 imp gal; 6.6 US gal) the payload is 206 kg (454 lb).[1] Data from Bayerl[1]General characteristics Performance</t>
  </si>
  <si>
    <t>Quander</t>
  </si>
  <si>
    <t>https://en.wikipedia.org/Quander</t>
  </si>
  <si>
    <t>In production (2014)</t>
  </si>
  <si>
    <t>10.8 m (35 ft 5 in)</t>
  </si>
  <si>
    <t>80 kg (176 lb)</t>
  </si>
  <si>
    <t>25 litres (5.5 imp gal; 6.6 US gal)</t>
  </si>
  <si>
    <t>1 × Rotax 447 twin cylinder, air-cooled, two stroke aircraft engine, 30 kW (40 hp)</t>
  </si>
  <si>
    <t>4-bladed composite</t>
  </si>
  <si>
    <t>42 km/h (26 mph, 23 kn)</t>
  </si>
  <si>
    <t>21.4 kg/m2 (4.4 lb/sq ft)</t>
  </si>
  <si>
    <t>Aero Eli Servizi Yo-Yo 222</t>
  </si>
  <si>
    <t>The Aero Eli Servizi Yo-Yo 222 (sometimes written YoYo) is an Italian helicopter designed and produced by Aero Eli Servizi of L'Aquila. The aircraft is supplied complete and ready-to-fly.[1] The Yo-Yo 222 was initially designed for a higher gross weight of 495 kg (1,091 lb), but later versions were lightened to allow a gross weight of 450 kg (992 lb) to qualify under the European Class 6 microlight helicopter rules. The aircraft features a single main rotor and tail rotor, a two-seats-in side-by-side configuration enclosed cockpit, skid landing gear and an American-made four-cylinder, air-cooled, four stroke 172 hp (128 kW) Lycoming O-320 engine.[1] Greatly resembling the Robinson R22, reviewer Werner Pfaendler, describes it as "obviously the result of a close look at the world's bestselling two-seater helicopter, the R22."[1] For lightness the aircraft fuselage is made with extensive use of carbon fiber reinforced polymer and fibreglass. Its two-bladed rotor has a diameter of 7.66 m (25.1 ft). The initial version of the aircraft has a typical empty weight of 322 kg (710 lb) and a gross weight of 495 kg (1,091 lb), giving a useful load of 173 kg (381 lb). With full fuel of 68 litres (15 imp gal; 18 US gal) the payload for the pilot, passenger and baggage is 124 kg (273 lb).[1] Data from Manufacturer[2] and Tacke[1]General characteristics Performance</t>
  </si>
  <si>
    <t>Aero Eli Servizi Costruzioni Aeronautiche</t>
  </si>
  <si>
    <t>https://en.wikipedia.org/Aero Eli Servizi Costruzioni Aeronautiche</t>
  </si>
  <si>
    <t>322 kg (710 lb)</t>
  </si>
  <si>
    <t>495 kg (1,091 lb)</t>
  </si>
  <si>
    <t>68 litres (15 imp gal; 18 US gal)</t>
  </si>
  <si>
    <t>1 × Lycoming O-320 four cylinder, air-cooled, four stroke aircraft engine, 128 kW (172 hp)</t>
  </si>
  <si>
    <t>172 km/h (107 mph, 93 kn)</t>
  </si>
  <si>
    <t>690 km (429 mi, 373 nmi)</t>
  </si>
  <si>
    <t>7.66 m (25 ft 2 in)</t>
  </si>
  <si>
    <t>187 km/h (116 mph, 101 kn)</t>
  </si>
  <si>
    <t>46 m2 (500 sq ft)</t>
  </si>
  <si>
    <t>10.8 kg/m2 (2.2 lb/sq ft)</t>
  </si>
  <si>
    <t>Avimech Dragonfly DF-1</t>
  </si>
  <si>
    <t>The Avimech Dragonfly DF-1 is an American helicopter produced by Avimech International Aircraft, Inc. of Tucson, Arizona. Originally developed in Switzerland, the aircraft is supplied complete and ready-to-fly.[1] The DF-1 was designed to comply with the US FAR 103 Ultralight Vehicles aircraft rules, including the category's maximum empty weight of 254 lb (115 kg). The aircraft has a standard empty weight of 234 lb (106 kg). It features a single main rotor and tail rotor, a single-seat, open cockpit without a windshield, skid landing gear with ground handling wheels.[1] The rotor is driven by tip jets fueled by hydrogen peroxide, which emits only water vapour and oxygen as exhaust products. The tail rotor is fitted only for directional control as it is not required to counteract torque, as the tip jet system does not require torque compensation.[1] The aircraft fuselage is made from steel and aluminum tubing. Its two-bladed rotor has a diameter of 19.7 ft (6.0 m). The aircraft has a typical empty weight of 234 lb (106 kg) and a gross weight of 794 lb (360 kg), giving a useful load of 560 lb (254 kg).[1] Data from Tacke[1]General characteristics Performance</t>
  </si>
  <si>
    <t>Avimech International Aircraft, Inc.</t>
  </si>
  <si>
    <t>https://en.wikipedia.org/Avimech International Aircraft, Inc.</t>
  </si>
  <si>
    <t>234 lb (106 kg)</t>
  </si>
  <si>
    <t>794 lb (360 kg)</t>
  </si>
  <si>
    <t>18 U.S. gallons (68 L; 15 imp gal)</t>
  </si>
  <si>
    <t>2 × tip jet reaction motors</t>
  </si>
  <si>
    <t>40 mph (65 km/h, 35 kn)</t>
  </si>
  <si>
    <t>690 ft/min (3.5 m/s)</t>
  </si>
  <si>
    <t>19 ft 8 in (6 m)</t>
  </si>
  <si>
    <t>115 mph (185 km/h, 100 kn)</t>
  </si>
  <si>
    <t>305 sq ft (28.3 m2)</t>
  </si>
  <si>
    <t>12.7 lb/sq ft (62 kg/m2)</t>
  </si>
  <si>
    <t>Konner K1</t>
  </si>
  <si>
    <t>The Konner K1 is an Italian helicopter designed and produced by Konner Srl of Amaro, Friuli. The aircraft is supplied complete and ready-to-fly.[1] The K1 was designed to comply with the European Class 6 microlight helicopter rules. It features a single main rotor and tail rotor, a two-seats-in side-by-side configuration enclosed cockpit with a windshield, skid landing gear and a 250 hp (186 kW) Konner TK-250 turboshaft engine.[1] The aircraft fuselage is made from carbon fibre. Its three-bladed rotor has a diameter of 6.80 m (22.3 ft). The aircraft has a typical empty weight of 290 kg (639 lb) and a gross weight of 450 kg (992 lb), giving a useful load of 160 kg (353 lb). With full fuel of 140 litres (31 imp gal; 37 US gal) the payload for the pilot, passengers and baggage is 31 kg (68 lb).[1] The Konner TK-250 turboshaft engine includes full FADEC control that uses only three positions: stop, idle and flight. The powerplant weighs only 50 kg (110 lb) and will burn JP-1, JP-4, diesel fuel or biodiesel.[1] The design has an electrical power system to aid autorotation in the event of main engine loss in flight.[1] Data from Tacke and manufacturer[1][2]General characteristics Performance</t>
  </si>
  <si>
    <t>//upload.wikimedia.org/wikipedia/commons/thumb/f/f6/Konner_K1_helicopter_4.jpg/300px-Konner_K1_helicopter_4.jpg</t>
  </si>
  <si>
    <t>Konner Srl</t>
  </si>
  <si>
    <t>https://en.wikipedia.org/Konner Srl</t>
  </si>
  <si>
    <t>140 litres (31 imp gal; 37 US gal)</t>
  </si>
  <si>
    <t>1 × Konner TK-250 turboshaft engine, 190 kW (250 hp)</t>
  </si>
  <si>
    <t>213 km/h (132 mph, 115 kn)</t>
  </si>
  <si>
    <t>592 km (368 mi, 320 nmi)</t>
  </si>
  <si>
    <t>13 m/s (2,600 ft/min)</t>
  </si>
  <si>
    <t>6.80 m (22 ft 4 in)</t>
  </si>
  <si>
    <t>250 km/h (160 mph, 130 kn)</t>
  </si>
  <si>
    <t>4,600 m (15,000 ft)</t>
  </si>
  <si>
    <t>36 m2 (390 sq ft)</t>
  </si>
  <si>
    <t>12.5 kg/m2 (2.6 lb/sq ft)</t>
  </si>
  <si>
    <t>LAE Ultrasport 496T</t>
  </si>
  <si>
    <t>The LAE Ultrasport 496T is a Cypriot helicopter that was produced by LAE Helicopters Cyprus of Larnaca.  Now out of production, when it was available the aircraft was supplied complete and ready-to-fly.[1] The aircraft was reportedly in production in 2015, but by the end of 2017 production had ended in favour of the new LAE Piranha.[1] The Ultrasport 496T is derived from the American Sportscopter Ultrasport 496, replacing the two-stroke powerplant with a turboshaft engine.[1] The 496T was designed to comply with the European Class 6 microlight helicopter rules. It features a single main rotor and tail rotor, a two-seats-in side-by-side configuration enclosed cockpit with a windshield, skid landing gear and a  160 hp (119 kW) Solar T62 turbine engine.[1] The aircraft fuselage is made from composites. It has a two-bladed main and a ring-mounted tailrotor. The aircraft has a typical empty weight of 260 kg (573 lb) and a gross weight of 450 kg (992 lb), giving a useful load of 190 kg (419 lb).[1] Reviewer Werner Pfaendler, noted that it has "an exceptional power to weight ratio".[1] Data from Tacke[1]General characteristics</t>
  </si>
  <si>
    <t>Cyprus</t>
  </si>
  <si>
    <t>https://en.wikipedia.org/Cyprus</t>
  </si>
  <si>
    <t>LAE Helicopters Cyprus</t>
  </si>
  <si>
    <t>https://en.wikipedia.org/LAE Helicopters Cyprus</t>
  </si>
  <si>
    <t>260 kg (573 lb)</t>
  </si>
  <si>
    <t>1 × Solar T62 turboshaft engine, 120 kW (160 hp)</t>
  </si>
  <si>
    <t>American Sportscopter Ultrasport 496</t>
  </si>
  <si>
    <t>https://en.wikipedia.org/American Sportscopter Ultrasport 496</t>
  </si>
  <si>
    <t>SKT Skyrider 06</t>
  </si>
  <si>
    <t>The SKT Skyrider 06 is a Swiss helicopter, designed and produced by SKT Swiss Kopter Technology SA of Ambrì. It was first flown in 2013 and entered series production in January 2014. The aircraft is supplied complete and ready-to-fly.[1] The Skyrider development was started in December 2011. In June 2013 the company was formed to produce the aircraft and the first production examples were completed in January 2014.[1][2][3] The design features a single main rotor and tail rotor, a two-seats-in side-by-side configuration enclosed cockpit with a windshield, skid landing gear and a four-cylinder, liquid-cooled, four stroke 155 hp (116 kW) Italian MW Fly B22 AeroPower piston engine.[1][2][3] The aircraft fuselage is made from steel tubing, with a carbon fibre composite cockpit and tailboom. The aircraft's composite three-bladed main rotor has a diameter of 7.0 m (23.0 ft). The composite tail rotor has two blades and a diameter of 1.4 m (4.6 ft). The cabin width is 130 cm (51.2 in). The aircraft has a gross weight of 600 kg (1,323 lb). With full fuel of 110 litres (24 imp gal; 29 US gal) the payload for the pilot, passengers and baggage is 230 kg (507 lb).[1][4] Reviewer Werner Pfaendler, describes it as an "elegant design".[1] By January 2018 one example had been registered in Canada with Transport Canada under the Special Certificate of Airworthiness Limited category.[5] Data from Tacke and manufacturer[1][4]General characteristics Performance</t>
  </si>
  <si>
    <t>Switzerland</t>
  </si>
  <si>
    <t>https://en.wikipedia.org/Switzerland</t>
  </si>
  <si>
    <t>SKT Swiss Kopter Technology SA</t>
  </si>
  <si>
    <t>https://en.wikipedia.org/SKT Swiss Kopter Technology SA</t>
  </si>
  <si>
    <t>2.00 m (6.57 ft)</t>
  </si>
  <si>
    <t>600 kg (1,323 lb)</t>
  </si>
  <si>
    <t>110 litres (24 imp gal; 29 US gal)</t>
  </si>
  <si>
    <t>1 × MW Fly B22 AeroPower four cylinder, liquid-cooled, four stroke aircraft engine, 116 kW (155 hp)</t>
  </si>
  <si>
    <t>157 km/h (98 mph, 85 kn)</t>
  </si>
  <si>
    <t>7.5 m/s (1,480 ft/min)</t>
  </si>
  <si>
    <t>January 2014 - present</t>
  </si>
  <si>
    <t>2.28 m (7 ft 6 in)</t>
  </si>
  <si>
    <t>200 km/h (120 mph, 110 kn)</t>
  </si>
  <si>
    <t>5 hours and 10 minutes</t>
  </si>
  <si>
    <t>3,000 m (10,000 ft)</t>
  </si>
  <si>
    <t>200 km/h (124 mph, 108 kn)</t>
  </si>
  <si>
    <t>15.7 kg/m2 (3.2 lb/sq ft)</t>
  </si>
  <si>
    <t>Winner B150</t>
  </si>
  <si>
    <t>The Winner B150 is a Belgian helicopter that was designed and produced by Winner SBS of Dinant. Now out of production, when it was available the aircraft was supplied complete and ready-to-fly-aircraft or as a kit for amateur construction.[1] The B150 was designed to comply with the French CNSK rules. It features a single main rotor and tail rotor, a two-seats-in side-by-side configuration enclosed cockpit with a bubble windshield, skid landing gear and a 160 hp (119 kW) Solar T62T-32 turboshaft engine.[1] The aircraft fuselage is made from aluminum and composites. Its two-bladed rotor has a diameter of 7.67 m (25.2 ft) and a chord of 19 cm (7.5 in). The aircraft has a typical empty weight of 400 kg (882 lb) and a gross weight of 700 kg (1,543 lb), giving a useful load of 300 kg (661 lb). With full fuel of 165 litres (36 imp gal; 44 US gal) the payload for the pilot, passenger and baggage is 157 kg (346 lb).[1] Reviewer Werner Pfaendler, describes the design as providing "easy and fun flying".[1] Production of the B150 was suspended due to deficiencies in the Solar T62 powerplant. The company said, "it was decided to abandon the Solar T62 turbine; this second-hand power source appeared to be obsolete, difficult to find in a proper condition and with limited performance". Instead the company redesigned the airframe to accept a 200 hp (149 kW) piston engine as the B200 and also a 250 hp (186 kW) TS100 turboshaft engine as the B250.[2] Data from Tacke[1]General characteristics Performance</t>
  </si>
  <si>
    <t>Belgium</t>
  </si>
  <si>
    <t>https://en.wikipedia.org/Belgium</t>
  </si>
  <si>
    <t>Winner SCS</t>
  </si>
  <si>
    <t>https://en.wikipedia.org/Winner SCS</t>
  </si>
  <si>
    <t>Production completed (2017)</t>
  </si>
  <si>
    <t>400 kg (882 lb)</t>
  </si>
  <si>
    <t>165 litres (36 imp gal; 44 US gal)</t>
  </si>
  <si>
    <t>1 × Solar T62T-32 turboshaft aircraft engine, 120 kW (160 hp)</t>
  </si>
  <si>
    <t>7.67 m (25 ft 2 in)</t>
  </si>
  <si>
    <t>189 km/h (117 mph, 102 kn)</t>
  </si>
  <si>
    <t>15.2 kg/m2 (3.1 lb/sq ft)</t>
  </si>
  <si>
    <t>Electravia Monotrace-E</t>
  </si>
  <si>
    <t>The Electravia Monotrace-E is a French electric ultralight trike that was produced by Electravia of Vaumeilh and based on the AEF Monotrace. Now out of production, when it was available it was supplied complete and ready-to-fly.[1] The Monotrace-E was designed as a soaring motor glider, to comply with the Fédération Aéronautique Internationale microlight category and the US FAR 103 Ultralight Vehicles rules.[1] The aircraft design features a cable-braced hang glider-style high-wing, weight-shift controls, a single-seat open cockpit with a cockpit fairing, tricycle landing gear and a single electric motor in pusher configuration.[1] The aircraft is made from bolted-together aluminum tubing and composite materials, with its double surface wing covered in Dacron sailcloth. Its 10 m (32.8 ft) span wing is supported by a single tube-type kingpost and uses an "A" frame weight-shift control bar. The powerplant is a 26 hp (19 kW) E-Motor GMPE 102 electric motor, powered by a Kokam battery pack and driving an E-Props propeller, giving about 25 minutes endurance.[1] The aircraft has an empty weight of 85 kg (187 lb) and a gross weight of 193 kg (425 lb), giving a payload of 108 kg (238 lb).[1] Data from Tacke[1]General characteristics Performance</t>
  </si>
  <si>
    <t>Electric ultralight trike</t>
  </si>
  <si>
    <t>https://en.wikipedia.org/Electric ultralight trike</t>
  </si>
  <si>
    <t>Electravia</t>
  </si>
  <si>
    <t>https://en.wikipedia.org/Electravia</t>
  </si>
  <si>
    <t>16 m2 (170 sq ft)</t>
  </si>
  <si>
    <t>193 kg (425 lb)</t>
  </si>
  <si>
    <t>1 × E-Motor GMPE 102 electric motor and a Kokam battery pack, 19 kW (26 hp)</t>
  </si>
  <si>
    <t>2-bladed E-Props carbon fibre</t>
  </si>
  <si>
    <t>12.1 kg/m2 (2.5 lb/sq ft)</t>
  </si>
  <si>
    <t>75 km/h (47 mph, 40 kn)</t>
  </si>
  <si>
    <t>AEF Monotrace</t>
  </si>
  <si>
    <t>https://en.wikipedia.org/AEF Monotrace</t>
  </si>
  <si>
    <t>Fairchild SD-5 Osprey</t>
  </si>
  <si>
    <t>The Fairchild SD-5 Osprey was an early high-speed reconnaissance drone developed by Fairchild Aircraft for the United States Army. Intended for use by the U.S. Army Signal Corps to target tactical ballistic missiles, it was cancelled before the first prototype could be completed, and did not see operational service. In 1960 the U.S. Army issued a requirement for the development of a high-speed, long-range reconnaissance drone to provide targeting information to the Army's tactical ballistic missile force; contracts for competing designs were awarded to Republic Aviation, which proposed an all-new design given the designation SD-4 Swallow, and Fairchild Aircraft, which developed a variant of the Bull Goose decoy missile as the SD-5 Osprey.[1] Given the full designation AN/USD-5 for its overall system,[2] the SD-5 was of tailless delta configuration,[3]   with power provided by a Pratt &amp; Whitney J60 turbojet (the military version of the civilian JT12 engine);[4] a single rocket booster of the jet-assisted takeoff type, giving 40,000 lbf (180 kN) thrust for 3 seconds, allowed for zero length launch from a specially-designed trailer. Recovery following the mission was by parachute, with airbags used to cushion the landing; sensors including infrared scanners, side-looking airborne radar (SLAR) and optical mapping were available for use, and could be recovered following the mission, or transmitted during the mission via telemetry.[2] Guidance during the mission was provided by an inertial navigation system and autopilot.[1] The first flight of the SD-5 took place in May 1960;[2] fifteen prototypes were constructed for the test program, with Fairchild quoting a cost per drone of $350,000-$400,000 USD for production aircraft.[5] An operational date of 1964 was anticipated; however, due to the cost of the program, the SD-5 was cancelled in November 1962 before entering service.[2] Data from Parsch 2004[2]General characteristics Performance  Related development Aircraft of comparable role, configuration, and era  Related lists Citations Bibliography</t>
  </si>
  <si>
    <t>//upload.wikimedia.org/wikipedia/commons/thumb/f/f7/Fairchild_SD-5_Osprey_on_launcher.jpg/300px-Fairchild_SD-5_Osprey_on_launcher.jpg</t>
  </si>
  <si>
    <t>Fairchild Aircraft</t>
  </si>
  <si>
    <t>https://en.wikipedia.org/Fairchild Aircraft</t>
  </si>
  <si>
    <t>36 ft 8 in (11.18 m)</t>
  </si>
  <si>
    <t>24 ft 8 in (7.52 m)</t>
  </si>
  <si>
    <t>9,000 lb (4,082 kg)</t>
  </si>
  <si>
    <t>1 × Pratt &amp; Whitney J60 turbojet, 3,000 lbf (13 kN) thrust</t>
  </si>
  <si>
    <t>1,000 mi (1,600 km, 870 nmi)</t>
  </si>
  <si>
    <t>Mach 0.7</t>
  </si>
  <si>
    <t>35,000 ft (11,000 m)</t>
  </si>
  <si>
    <t>Fairchild SM-73 Bull Goose</t>
  </si>
  <si>
    <t>https://en.wikipedia.org/Fairchild SM-73 Bull Goose</t>
  </si>
  <si>
    <t>Lockheed Aequare</t>
  </si>
  <si>
    <t>The Lockheed Aequare (Latin: "to equalize") was an unmanned aerial vehicle developed by the Lockheed Missiles and Space Company for the United States Air Force. It was intended for launch from an F-4 Phantom II fighter-bomber, and would carry a remote sensor array and laser designator for use by the launching aircraft. The system was evaluated in the mid 1970s, but did not enter operational service. Development of the Aequare was initiated in 1973 with the awarding of a contract from the Defense Advanced Research Projects Agency (DARPA) to the Lockheed Missiles and Space Company for the development of an expendable miniature air-launched remotely piloted vehicle (later known as unmanned aerial vehicle) for use by the United States Air Force (USAF) to find and designate targets for strike aircraft in high-threat environments.[1] The resulting aircraft, produced under subcontract by Windecker Industries,[1] was equipped with a folding 7 ft 6 in (2.29 m) wing and a pusher ducted fan powered by a McCulloch MC-101 engine, and was intended to be launched from a SUU-42 flare dispenser,[2] which would be released from a McDonnell Douglas F-4 Phantom II fighter-bomber at approximately 24,000 feet (7,300 m) and descend under parachute. Upon deployment of the main parachute, the Aequare would be released, starting its engine and flying under radio command guidance from a ground station,[3] with imagery and telemetry transmitted through a datalink,[1] with the launching aircraft acting as a relay using the CTU-2 datalink pod.[4] The Aequare was equipped with cameras for aerial reconnaissance and also was fitted with a laser designator to allow the launching F-4, or other aircraft, to attack targets found by the UAV.[2] The Aequare first flew in mid-1975;[2] between 15 and 20 prototype aircraft were produced. Following the end of the system's flight trials in March 1976,[1] no production was undertaken.[2] A development of the Aequare, SAVIOR (Small Aerial Vehicle for Observation, Intelligence, and Reconnaissance), jointly produced by LMSC and Windecker, used the fuselage and engine of Aequare mated to a new fixed wing and landing gear configuration; it was used to research autopilot design and launch-and-recovery techniques for unmanned aerial vehicles.[5] Data from Parsch 2004[2]General characteristics Performance   Aircraft of comparable role, configuration, and era  Related lists Citations Bibliography</t>
  </si>
  <si>
    <t>Lockheed Missiles and Space Company</t>
  </si>
  <si>
    <t>https://en.wikipedia.org/Lockheed Missiles and Space Company</t>
  </si>
  <si>
    <t>15-20</t>
  </si>
  <si>
    <t>7 ft 5 in (2.26 m)</t>
  </si>
  <si>
    <t>7 ft 6 in (2.29 m)</t>
  </si>
  <si>
    <t>140 lb (64 kg)</t>
  </si>
  <si>
    <t>1 × McCulloch MC-101 two-stroke single-cylinder engine, 12.5 hp (9.3 kW)</t>
  </si>
  <si>
    <t>200 mi (320 km, 170 nmi)</t>
  </si>
  <si>
    <t>United States Air Force</t>
  </si>
  <si>
    <t>https://en.wikipedia.org/United States Air Force</t>
  </si>
  <si>
    <t>Windecker Industries</t>
  </si>
  <si>
    <t>https://en.wikipedia.org/Windecker Industries</t>
  </si>
  <si>
    <t>Affordaplane</t>
  </si>
  <si>
    <t>The Affordaplane (sometimes written Afford-A-Plane) is an American plans-built, high wing, strut-braced, single engine, tractor configuration, conventional landing gear equipped ultralight aircraft for the US FAR 103 Ultralight Vehicles rules.  Designed by Dave Edwards, it is intended for amateur construction.[1] The aircraft plans claim it can be built out of readily sourced and inexpensive materials using common tools in 150 to 250 hours construction time.[3] The Affordaplane is constructed of an 6061 T-6 aluminum tube fuselage and other structural components, using both square and round aluminum tube.  Wings are a "ladder-type" cross-brace structure supported by struts and covered in doped fabric. Builders have the option of constructing the ribs out of aluminum tube or rigid foam. Instead of welding, structural components are attached with riveted or bolted aluminum gussets. The cockpit is exposed with a plexiglass or Lexan windshield. The controls are conventional 3-axis.[citation needed] When built as a Part 103 ultralight, the aircraft is intended to be powered by a 26 hp (19 kW) Rotax 277, 35 hp (26 kW) Rotax 377, or similar engine. Heavier and more powerful engines including the Rotax 503 may also be used, but will result in exceeding the FAR Part 103 254 pound (115 kg) empty weight limit, if the aircraft is otherwise built as designed. The plans recommend Rotax engines, but the Half VW, Kawasaki 340 and Kawasaki 440 have also been used.[4] The Affordaplane has a unique single acting aileron control surface approximately the entire length of the wing.  Some builders have configured these as flaperons but the plans do not include details for this modification.[5] The plans are drawn as a single-seat version.  At least one builder has constructed a two-seat, tandem version.[6] Data from Ultralight News,[1] Pilot Mix.[4]General characteristics Performance   Aircraft of comparable role, configuration, and era</t>
  </si>
  <si>
    <t>//upload.wikimedia.org/wikipedia/commons/thumb/3/30/Affordaplane_TA-1_on_a_sunset_flight_over_Pearland_Texas.jpg/300px-Affordaplane_TA-1_on_a_sunset_flight_over_Pearland_Texas.jpg</t>
  </si>
  <si>
    <t>Ultralight aircraft</t>
  </si>
  <si>
    <t>https://en.wikipedia.org/Ultralight aircraft</t>
  </si>
  <si>
    <t>Affordaplane Aircraft</t>
  </si>
  <si>
    <t>https://en.wikipedia.org/Affordaplane Aircraft</t>
  </si>
  <si>
    <t>Plans available</t>
  </si>
  <si>
    <t>At least 12, 5 registered with FAA[2]</t>
  </si>
  <si>
    <t>one (ultralight configuration)</t>
  </si>
  <si>
    <t>17 ft 3 in (5.26 m)</t>
  </si>
  <si>
    <t>27 ft 5 in (8.36 m)</t>
  </si>
  <si>
    <t>123 sq ft (11.4 m2)</t>
  </si>
  <si>
    <t>254 lb (115 kg)</t>
  </si>
  <si>
    <t>540 lb (245 kg)</t>
  </si>
  <si>
    <t>5 US gallons (19 litres)</t>
  </si>
  <si>
    <t>1 × Rotax 277 2-stroke gasoline, 26 hp (19 kW)</t>
  </si>
  <si>
    <t>2, 3, or 4-bladed composite (preferred) or wood (prop varies by builder configuration)</t>
  </si>
  <si>
    <t>26 mph (42 km/h, 23 kn)</t>
  </si>
  <si>
    <t>150 mi (240 km, 130 nmi) estimated</t>
  </si>
  <si>
    <t>1,000 ft/min (5.1 m/s) estimated</t>
  </si>
  <si>
    <t>4.39 lb/sq ft (21.4 kg/m2) Part 103 compliant at MTOW</t>
  </si>
  <si>
    <t>Dave Edwards[1]</t>
  </si>
  <si>
    <t>5 ft 0 in (1.52 m) varies by main landing gear wheel diameter</t>
  </si>
  <si>
    <t>63 mph (101 km/h, 55 kn)</t>
  </si>
  <si>
    <t>10,000 ft (3,000 m) estimated</t>
  </si>
  <si>
    <t>75 mph (121 km/h, 65 kn)</t>
  </si>
  <si>
    <t>CBB O2</t>
  </si>
  <si>
    <t>The CBB O2 (often styled O²) is a family of French ultralight trikes, designed by Bruno Bouron and produced by CBB ULM of Montreuil-Bellay. The aircraft is supplied complete and ready to fly.[1] The O2 was designed to comply with the Fédération Aéronautique Internationale microlight category, including the category's maximum gross weight of 450 kg (992 lb). The aircraft has a maximum gross weight of 450 kg (992 lb).[1] The aircraft design features a cable-braced hang glider-style high wing supported by a curved mount, weight-shift controls, a two-seats-in-tandem open cockpit with a small cockpit fairing, tricycle landing gear with wheel pants and a single engine in pusher configuration.[1] The aircraft is made from bolted-together aluminum tubing, with its double-surface wing covered in Dacron sailcloth. Its 9.38 m (30.8 ft) span wing is supported by a single tube-type kingpost and uses an "A" frame weight-shift control bar. The powerplant is a twin-cylinder, liquid-cooled, two-stroke, dual-ignition 64 hp (48 kW) Rotax 582 engine or a four-cylinder, air- and liquid-cooled, four-stroke, dual-ignition 80 hp (60 kW) Rotax 912UL engine. At one time the twin-cylinder, air-cooled, four-stroke, dual-ignition 60 hp (45 kW) HKS 700E engine was offered, but its use on the O2 had been discontinued by 2015. By 2018 the HKS powerplant had returned as an option.[1][2] In its O2 SW 582 version, the aircraft has an empty weight of 172 kg (379 lb) and a gross weight of 450 kg (992 lb), giving a useful load of 278 kg (613 lb). With full fuel of 52 litres (11 imp gal; 14 US gal), the payload is 241 kg (531 lb).[1] An improved model of the basic O2 carriage is the O2B.[3] A number of different wings can be fitted to the basic carriage, including the standard La Mouette Oryx.[1] Data from Tacke[1]General characteristics Performance</t>
  </si>
  <si>
    <t>CBB ULM</t>
  </si>
  <si>
    <t>https://en.wikipedia.org/CBB ULM</t>
  </si>
  <si>
    <t>9.38 m (30 ft 9 in)</t>
  </si>
  <si>
    <t>12.9 m2 (139 sq ft)</t>
  </si>
  <si>
    <t>172 kg (379 lb)</t>
  </si>
  <si>
    <t>52 litres (11 imp gal; 14 US gal)</t>
  </si>
  <si>
    <t>1 × Rotax 582 twin cylinder, liquid-cooled, two stroke aircraft engine, 48 kW (64 hp)</t>
  </si>
  <si>
    <t>4-bladed fixed pitch</t>
  </si>
  <si>
    <t>5.4 m/s (1,060 ft/min)</t>
  </si>
  <si>
    <t>34.9 kg/m2 (7.1 lb/sq ft)</t>
  </si>
  <si>
    <t>Bruno Bouron</t>
  </si>
  <si>
    <t>135 km/h (84 mph, 73 kn)</t>
  </si>
  <si>
    <t>EDM Aerotec CoAX 2D/2R</t>
  </si>
  <si>
    <t>The EDM Aerotec CoAX 2D/2R is a series of German coaxial main rotor helicopters designed and produced by EDM Aerotec of Geisleden. The aircraft is supplied complete and ready-to-fly.[1] The CoAX 2D/2R was originally known as the FLIP 2 (Fly In Perfection) and is a derivative of the FLIP 1, a conventional helicopter with a main and tail rotor.[1] The CoAX 2D/2R was designed to comply with the European Class 6 microlight helicopter rules, including the category's maximum takeoff weight of 450 kg (992 lb). Design testing commenced in 2012.[1]  The design features dual coaxial main rotors, a two-seats-in side-by-side configuration enclosed cockpit and skid landing gear with ground handling wheels. The two variants use different power plants. [1] The aircraft fuselage is made from composites. Its dual composite two-bladed main rotors have a diameter of 6.50 m (21.3 ft). The aircraft has a typical empty weight of 283 kg (624 lb) and a gross weight of 450 kg (992 lb), giving a useful load of 167 kg (368 lb). With full fuel of 48 litres (11 imp gal; 13 US gal) the payload for the pilot, passengers and baggage is 132 kg (291 lb).[1][2] Data from Tacke and manufacturer[1][2]General characteristics Performance</t>
  </si>
  <si>
    <t>//upload.wikimedia.org/wikipedia/commons/thumb/3/31/EDM_Aerotec_CoAX_2D_D-MDEU_at_Aero_Friedrichshafen_2016.jpg/300px-EDM_Aerotec_CoAX_2D_D-MDEU_at_Aero_Friedrichshafen_2016.jpg</t>
  </si>
  <si>
    <t>EDM Aerotec</t>
  </si>
  <si>
    <t>https://en.wikipedia.org/EDM Aerotec</t>
  </si>
  <si>
    <t>Polar Star (airplane)</t>
  </si>
  <si>
    <t>Polar Star is the airplane used by polar explorer Lincoln Ellsworth, an early adaptor of airplanes for polar exploration and worked closely with Robert Peary.[1] Polar Star was an all-metal Northrop Gamma, which had a low-wing, reducing the effects of winds and wide skis that could be swapped with wheels or pontoons and a cruising range of 5,000 mi (4,300 nmi; 8,000 km).[1] Polar Star shipped to the Antarctic in 1934 on HMAS Wyatt Earp, based in Norway. Australian explorer Sir Hubert Wilkins was the advisor and Norwegian-American explorer Bernt Balchen served as the first pilot. The expedition reached the Bay of Whales by ship on 6 January 1934, and Ellsworth intended to make a round-trip flight with Balchen between the Bay of Whales and the Weddell Sea. However, the skis broke on the ice.[2] In September 1934 a second attempt to fly Polar Star in the Antarctic was unsuccessful as well.[2] Finally, in late 1935, Ellsworth's third attempt with a new pilot, Herbert Hollick-Kenyon, was successful.[3] The aircraft flew for 14 hours and, although the fuselage was damaged on landing, the aircraft was able to fly again.[2] For this achievement, Ellsworth was awarded the National Geographic Society’s Hubbard Medal by President Franklin D. Roosevelt in April 1936 for distinction within exploration, discovery and research. Also in 1936 he was declared an honorary member of the Norwegian Geographical Society.[4] In 1936, Ellsworth donated Polar Star to the Smithsonian Institution in Washington, DC. It is now housed at the National Air and Space Museum.[2]</t>
  </si>
  <si>
    <t>//upload.wikimedia.org/wikipedia/commons/thumb/6/64/Northrop_2B_Gamma_Polar_Star.jpg/300px-Northrop_2B_Gamma_Polar_Star.jpg</t>
  </si>
  <si>
    <t>Northrop</t>
  </si>
  <si>
    <t>https://en.wikipedia.org/Northrop</t>
  </si>
  <si>
    <t>Northrop 2B Gamma</t>
  </si>
  <si>
    <t>https://en.wikipedia.org/Northrop 2B Gamma</t>
  </si>
  <si>
    <t>NR12269</t>
  </si>
  <si>
    <t>Lincoln Ellsworth</t>
  </si>
  <si>
    <t>https://en.wikipedia.org/Lincoln Ellsworth</t>
  </si>
  <si>
    <t>preserved</t>
  </si>
  <si>
    <t>National Air and Space Museum</t>
  </si>
  <si>
    <t>https://en.wikipedia.org/National Air and Space Museum</t>
  </si>
  <si>
    <t>PAF XT-004 Layang</t>
  </si>
  <si>
    <t>The PAF XT-004 Layang was a basic trainer aircraft developed by the Philippine Air Force's Air Force Research and Development Center (AFRDC).[2] After an intensified and revitalized self-reliance program in 1996, the XT-004 project, code-named "Layang", was developed by the PAFRDC in Villamor Air Base, Pasay. It is a single-engine aircraft powered by a 350 hp Allison Model 250-B17D turboshaft engine and is constructed from aluminum with a semi-monocoque structure. According to the PAFRDC, the aircraft jigs and fixtures have already been built since 1985, but lack of funds hindered the completion of the project.[2]  Aircraft of comparable role, configuration, and era  Related lists</t>
  </si>
  <si>
    <t>Basic trainer aircraft</t>
  </si>
  <si>
    <t>https://en.wikipedia.org/Basic trainer aircraft</t>
  </si>
  <si>
    <t>21 July 1996[1]</t>
  </si>
  <si>
    <t>SIAI-Marchetti SF.260</t>
  </si>
  <si>
    <t>https://en.wikipedia.org/SIAI-Marchetti SF.260</t>
  </si>
  <si>
    <t>Naval Aircraft Factory XOSN</t>
  </si>
  <si>
    <t>The Naval Aircraft Factory XOSN was an American biplane observation floatplane developed by the Naval Aircraft Factory for the United States Navy during the late 1930s. In 1936, the Navy asked all interested aircraft manufacturers to submit bids for a new observation-scout aircraft, capable of operating from either water or land, but primarily intended for service on battleships and cruisers for gunnery spotting.[1]  Three companies – Stearman Aircraft, Vought and the Naval Aircraft Factory - submitted aircraft to meet the requirements. The Naval Aircraft Factory design, assigned the designation XOSN-1,[2] was a two-seat biplane of mixed metal and fabric construction, with the pilot and observer seated in tandem in a fully enclosed cockpit. Innovations included automatic leading-edge slats on the upper wing and an I-strut bracing system that eliminated the need for interplane bracing wires. Provisions were made for either float or wheeled landing gear of a conventional taildragger type. The XOSN-1 was delivered for official trials in May 1938 and evaluated along with the other entrants. After Vought's monoplane XOS2U-1 was selected for production, the XOSN-1 was assigned to the Naval Academy at Annapolis where it was used as a trainer until mid-1944.[2] Data from [2]General characteristics Performance Armament   Aircraft of comparable role, configuration, and era  Related lists</t>
  </si>
  <si>
    <t>//upload.wikimedia.org/wikipedia/commons/thumb/5/52/Ray_Wagner_Collection_Photo_%2815466612604%29.jpg/300px-Ray_Wagner_Collection_Photo_%2815466612604%29.jpg</t>
  </si>
  <si>
    <t>Naval Aircraft Factory</t>
  </si>
  <si>
    <t>https://en.wikipedia.org/Naval Aircraft Factory</t>
  </si>
  <si>
    <t>34 ft (10 m)</t>
  </si>
  <si>
    <t>36 ft (11 m)</t>
  </si>
  <si>
    <t>376 sq ft (34.9 m2)</t>
  </si>
  <si>
    <t>3,771 lb (1,710 kg)</t>
  </si>
  <si>
    <t>5,516 lb (2,502 kg)</t>
  </si>
  <si>
    <t>1 × Pratt &amp; Whitney R-1340 radial engine, 550 hp (410 kW)</t>
  </si>
  <si>
    <t>925 mi (1,489 km, 804 nmi)</t>
  </si>
  <si>
    <t>13 ft (4.0 m)</t>
  </si>
  <si>
    <t>160 mph (260 km/h, 140 kn) at 6,000 feet (1,800 m)</t>
  </si>
  <si>
    <t>14,900 ft (4,500 m)</t>
  </si>
  <si>
    <t>Zalewski W.Z.XI Kogutek</t>
  </si>
  <si>
    <t>The Zalewski W.Z.XI Kogutek I (Cockerel I) was a basic, single seat sport aircraft designed and built in Poland in the 1920s. Its engine was also designed and built by Zalewski, making it the first all-Polish aircraft to fly. After a series of numbered but unbuilt designs, Władyslaw Zalewski spent his spare time evolving the simplest and cheapest single seat aircraft on which to learn to fly. He concentrated on lightness and good handling rather than performance and, since he had no external funding, reused material from his first but uncompleted pre-war W.Z.I biplane. The W.Z.XI was the result. Part-time construction began slowly in 1926 in his workshop at Milanówek, though in the following spring Zalewski made a determined attempt to have it ready for the First National Lightplane Contest, scheduled for that autumn. Despite his efforts the first flight, piloted by Zbigniew Babinski, took it to nearby Warsaw only on the final day of the Contest.[1] The shoulder wings of the Kogutek were rectangular in plan, each built around two spars and fabric covered. They were mounted on the upper fuselage longerons with some dihedral. The W.Z.I legacy gave the wings a thin section, so they were wire braced, the upper wires attached above the fuselage to a pyramid of four struts placed between the engine and cockpit. The lower wires were fixed to the lower fuselage longerons. Both sets reached the outer parts of the wings via kingposts attached to the forward spars which projected both above and below, an anachronistic feature by the later 1920s. Its ailerons occupied most of the trailing edges and increased in chord outwards.[1] The fuselage of the W.X.XI had a rectangular section structure defined by four longerons and  was plywood-covered. .The ply upper fuselage decking was rounded, interrupted by an open cockpit at mid-chord. Its engine was a Zalewski WZ.18 13 kW (18 hp), five cylinder radial engine designed and built in 1923, housed in a blunt, metal cowling with its cylinders partly exposed for cooling. A hinged mounting allowed easy access for servicing. Fuel and oil tanks were behind the engine[1] The empennage  of the W.Z.XI was conventional though large, with wooden structures and fabric covering. The horizontal tail was mounted at mid-fuselage and had an unusual plan which led to the "Cockerel" name: the wire-braced tailplane's leading edges tapered strongly from the root with concave curvature out to forward projecting spurs. It carried a single, semi-elliptical elevator. Its fin had a similar profile to the tailplane and mounted an unbalanced, semi-circular rudder working above the elevator.[1] The W.Z.XI's conventional, fixed landing gear also followed earlier practice. The wheels, with rubber cord shock absorbers, were on a single axle attached to two skids mounted on the lower fuselage sides with a pair of cross-bracing struts between them.[1] After its appearance at the Contest,  Babinski flew the W.Z.XI around the country to increase awareness of aviation. It took part in the Second National Lightplane Contest in 1928 but engine problems restricted it to ninth place, though it did win a Ministry of Transport prize for the shortest landing distance (70 m (230 ft)).[1] In 1930 it appeared in its last National Lightplane Contest, the third, but was forced to retire. It remained active until February 1934 when SP-AEF was deleted from the Polish civil register.[2]  It was replaced by the more advanced Zalewski W.Z.XII Kogutek II.[1] Data from Cynk, 1971[1]General characteristics Performance</t>
  </si>
  <si>
    <t>//upload.wikimedia.org/wikipedia/commons/thumb/3/36/WZ-XI_Kogutek.jpg/300px-WZ-XI_Kogutek.jpg</t>
  </si>
  <si>
    <t>Single-seat sports</t>
  </si>
  <si>
    <t>5 m (16 ft 5 in)</t>
  </si>
  <si>
    <t>7.86 m (25 ft 9 in)</t>
  </si>
  <si>
    <t>10 m2 (110 sq ft)</t>
  </si>
  <si>
    <t>205 kg (452 lb) normal loaded</t>
  </si>
  <si>
    <t>1 × Zalewski W.Z.18 five cylinder radial, 13 kW (18 hp)   at 2,400 rpm</t>
  </si>
  <si>
    <t>2-bladed Zalewski</t>
  </si>
  <si>
    <t>56 km/h (35 mph, 30 kn) minimum</t>
  </si>
  <si>
    <t>Władyslaw Zalewski</t>
  </si>
  <si>
    <t>1.8 m (5 ft 11 in)</t>
  </si>
  <si>
    <t>2.5 hr</t>
  </si>
  <si>
    <t>St Cyr 2A</t>
  </si>
  <si>
    <t>70 m (230 ft)</t>
  </si>
  <si>
    <t>Bulté RB.1</t>
  </si>
  <si>
    <t>The Bulté RB.1 was a Belgian training and touring biplane first flown in 1928. Five examples flew with clubs and with private owners in contests and rallies.  Until June 1928 Renée Bulté had been head of design with Ateliers de Construction Aéronautique de Zeebruges, usually known as ZACCO and one of the pioneers of all-metal aircraft manufacture. He left them to found his own company, Avions Bulté &amp; Cie. Its first product, the RB.1 tandem seat training aircraft, flew towards the end of the year.[1] The RB.1 was a simple, conventional, two-bay biplane with thin-section, equal span wings mounted without stagger. One feature of the design was the interchangeability of components; as an example, the wing panels were identical. Such interchangeability reduced the stocks of spares required.  The lower wings were attached to the lower fuselage structure and the upper ones to a fuselage-wide centre section held well above the fuselage by four upright cabane struts from the upper fuselage. Both upper and lower wing-sets were mounted with 3° of dihedral and were braced together with two pairs of identical, parallel interplane struts on each side, assisted by the usual wire cross-bracing.  Both had short, broad-chord ailerons which reached the wingtips and were externally interconnected. Structurally, each wing was built around two spruce spars and had plywood-covered leading edges.[1] The trainer was powered by an 89 kW (120 hp) Anzani 6 six-cylinder radial engine in the nose, fitted with a narrow-chord ring cowling. Immediately behind the engine the fuselage was five-sided, rectangular below but sloping on top, and was covered with aluminium sheets back to the wing leading edge. This region contained both fuel and oil tanks.  Behind it, the fuselage was formed around four wooden longerons, ash to the rear of the cockpit and spruce further aft. The ash-framed part had three-ply covered sides and a thin aluminium underside and the rear fuselage was canvas covered, including domed rear decking.[1] Normally the instructor and student sat one behind the other in a long, single, open cockpit, equipped with dual control.  The front seat was under the wing but the rear one was behind the trailing edge, which had a rectangular cut-out for better upward vision.  Alternatively, the seats could be arranged tightly side-by-side, though with slight stagger, which allowed single controls to be shared and eased communication.[1] The RB.1's empennage was conventional, with a broad-chord, rectangular plan tailplane mounted on top of the fuselage and carrying elevators with a large central cut-out for rudder movement. Its triangular fin mounted a parallelogram profile rudder which reached down to the keel.[1] It had conventional, fixed landing gear, with its mainwheels on a single axle and a wide track of about 2 m (79 in). The axle was joined through rubber cord shock absorbers to a fixed pair of transverse steel tubes supported by a pair of steel V-struts mounted on the lower fuselage longerons. Its tailskid was externally mounted on a little steel tube pyramid, with a knee-type rubber cord shock absorber.[1] The Bulté RB.1 first flew towards the end of 1928, though the exact date is not known. Five appeared on the Belgian civil aircraft register between 1929 and 1931.[2] One took part in the Tour du France des Avions de Tourisme around France in May 1931[3] and another in the Auvergne rally in July that year.[4] In the UK sales efforts were handled by Sealandair[5] but no examples were registered.[6] Data from Les Ailes, November 1928 [1]General characteristics Performance</t>
  </si>
  <si>
    <t>//upload.wikimedia.org/wikipedia/commons/thumb/2/25/Bult%C3%A9_RB.1_Les_Ailes_November_8%2C1928.jpg/300px-Bult%C3%A9_RB.1_Les_Ailes_November_8%2C1928.jpg</t>
  </si>
  <si>
    <t>Training and touring aircraft</t>
  </si>
  <si>
    <t>https://en.wikipedia.org/Training and touring aircraft</t>
  </si>
  <si>
    <t>Avions Bulté &amp; Cie SA</t>
  </si>
  <si>
    <t>Two</t>
  </si>
  <si>
    <t>7.84 m (25 ft 9 in)</t>
  </si>
  <si>
    <t>10.88 m (35 ft 8 in)</t>
  </si>
  <si>
    <t>32.90 m2 (354.1 sq ft)</t>
  </si>
  <si>
    <t>560 kg (1,235 lb)</t>
  </si>
  <si>
    <t>840 kg (1,852 lb)</t>
  </si>
  <si>
    <t>1 × Anzani 6 6-cylinder radial, 89 kW (120 hp)</t>
  </si>
  <si>
    <t>55 km/h (34 mph, 30 kn) minimum speed</t>
  </si>
  <si>
    <t>600 km (370 mi, 320 nmi)</t>
  </si>
  <si>
    <t>25.5 kg/m2 (5.2 lb/sq ft)</t>
  </si>
  <si>
    <t>René Bulté</t>
  </si>
  <si>
    <t>late 1928</t>
  </si>
  <si>
    <t>2.71 m (8 ft 11 in)</t>
  </si>
  <si>
    <t>125 km/h (78 mph, 67 kn) at ground level</t>
  </si>
  <si>
    <t>4,200 m (13,800 ft) absolute</t>
  </si>
  <si>
    <t>Dynali H3 EasyFlyer</t>
  </si>
  <si>
    <t>The Dynali H3 EasyFlyer, now known as the Sport, is a Belgian helicopter designed and produced by the Dynali of the Thines district of Nivelles. The aircraft is supplied complete and ready-to-fly-aircraft or as a kit for amateur construction.[1] The H3 was designed for the flight training, utility and personal-use roles. It was designed to comply with the European Class 6 microlight helicopter rules, in particular the French Class 6 Microlight Category, at a gross weight of 450 kg (992 lb). It features a single main rotor and tail rotor, a two-seats-in side-by-side configuration enclosed cockpit with a bubble canopy, skid landing gear and a four-cylinder, liquid and air-cooled, four stroke 100 hp (75 kW) Rotax 912ULS engine, a Dynali-developed fuel-injected 110 hp (82 kW) conversion Rotax 912ULS-1 engine or a 115 hp (86 kW) turbocharged Rotax 914 powerplant.[1][2] The aircraft's gross weight varies from 450 kg (992 lb) for the microlight category, with heavier weights available depending on installed power in other national categories, such as light-sport aircraft. With the Rotax 912ULS engine, the gross weight is 500 kg (1,102 lb), 550 kg (1,213 lb) with the Rotax 912ULS-1 and 600 kg (1,323 lb) with the Rotax 914.[1][2] The aircraft fuselage frame is made from welded stainless steel tubing. Its two-bladed rotor has a diameter of 7.14 m (23.4 ft) and a chord of 18.5 cm (7.3 in). With the Rotax 914 engine the aircraft has a typical empty weight of 290 kg (639 lb) and a gross weight of 600 kg (1,323 lb), giving a useful load of 310 kg (683 lb). With full fuel of 60 litres (13 imp gal; 16 US gal) the payload for the pilot, passenger and baggage is 267 kg (589 lb).[1][2] Data from Tacke and manufacturer[1][3]General characteristics Performance</t>
  </si>
  <si>
    <t>//upload.wikimedia.org/wikipedia/commons/thumb/f/fb/Dynali_H3_EasyFlyer_at_AERO_Friedrichshafen_2018_%281X7A4533%29.jpg/300px-Dynali_H3_EasyFlyer_at_AERO_Friedrichshafen_2018_%281X7A4533%29.jpg</t>
  </si>
  <si>
    <t>Dynali Helicopter Company</t>
  </si>
  <si>
    <t>https://en.wikipedia.org/Dynali Helicopter Company</t>
  </si>
  <si>
    <t>285 kg (628 lb)</t>
  </si>
  <si>
    <t>500 kg (1,102 lb) in the LSA category</t>
  </si>
  <si>
    <t>60 litres (13 imp gal; 16 US gal)</t>
  </si>
  <si>
    <t>4.6 m/s (900 ft/min)</t>
  </si>
  <si>
    <t>7.14 m (23 ft 5 in)</t>
  </si>
  <si>
    <t>3 hours</t>
  </si>
  <si>
    <t>155 km/h (96 mph, 84 kn)</t>
  </si>
  <si>
    <t>40 m2 (430 sq ft)</t>
  </si>
  <si>
    <t>IRI T250A</t>
  </si>
  <si>
    <t>The IRI T250A is an Italian helicopter that was designed and produced by Italian Rotors Industries of Aprilia, Lazio and introduced in 2015. Now out of production, when it was available the aircraft was supplied complete and ready-to-fly.[1] The company seems to have been founded about 2013 and gone out of business in June 2016, ending production.[2][3] The T250A features a single main rotor and tail rotor, a two-seats-in side-by-side configuration enclosed cockpit with a windshield, skid landing gear and a 250 hp (186 kW) PBS TS 100 turboshaft engine made by PBS Velká Bíteš.[1] The aircraft fuselage is made from composites. Its two-bladed rotor has a diameter of 7.6 m (24.9 ft). The aircraft has a typical empty weight of 295 kg (650 lb) and a gross weight of 650 kg (1,433 lb), giving a useful load of 355 kg (783 lb). With full fuel of 130 litres (29 imp gal; 34 US gal) the payload for the crew, passenger and baggage is 261 kg (575 lb).[1] The aircraft was built to ISO 9001 and EN 9100 standards.[1] Data from Tacke[1]General characteristics Performance</t>
  </si>
  <si>
    <t>295 kg (650 lb)</t>
  </si>
  <si>
    <t>130 litres (29 imp gal; 34 US gal)</t>
  </si>
  <si>
    <t>1 × PBS TS 100 turboshaft engine, 190 kW (250 hp)</t>
  </si>
  <si>
    <t>11 m/s (2,200 ft/min)</t>
  </si>
  <si>
    <t>https://en.wikipedia.org/IRI T22B</t>
  </si>
  <si>
    <t>Bye Aerospace Sun Flyer</t>
  </si>
  <si>
    <t>The Bye Aerospace Sun Flyer (also previously known as the Aero Electric Aircraft Corporation Sun Flyer) is an electric aircraft that was developed from the PC-Aero Elektra One by Bye Aerospace's Aero Electric Aircraft Corporation division of Denver, Colorado, United States, introduced in 2015. The company had a license agreement and engineering contract for the design with Calin Gologan, the Elektra One's designer.[1][2] The aircraft features composite construction, a cantilever low-wing, a single-seat, enclosed cockpit under a bubble canopy, fixed tricycle landing gear with wheel pants and a single electric motor in tractor configuration.[1][2] The Sun Flyer differed from the PC-Aero Elektra One by incorporating new landing gear, propeller and instruments. It provided a prototype for a proposed two-seater that was to have four Panasonic lithium-ion batteries, along with solar panels installed on the wings, horizontal tail and on the fuselage behind the canopy. This two-seater was intended to be certified for day and night Visual Flight Rules. The proposed two-seat version of the Sun Flyer eventually led to a new design, the Bye Aerospace Sun Flyer 2 instead.[1] The Spartan College of Aeronautics and Technology had reserved the first 20 two-seat models that were to be produced.[3] Data from Aviation Week and Aviation Pros[1][2]General characteristics Performance</t>
  </si>
  <si>
    <t>Bye Aerospace</t>
  </si>
  <si>
    <t>https://en.wikipedia.org/Bye Aerospace</t>
  </si>
  <si>
    <t>Experimental prototype only (2015)</t>
  </si>
  <si>
    <t>1 × electric motor powered by lithium-ion batteries and solar panels</t>
  </si>
  <si>
    <t>Calin Gologan</t>
  </si>
  <si>
    <t>The Electric Ride E-Bird is a German electric ultralight trike developed and produced by Electric Ride of Baierbrunn. The aircraft is supplied complete and ready-to-fly.[1] The E-Bird is an electric-powered development of the Aeros ANT. It was designed to comply with the Fédération Aéronautique Internationale microlight category, German 120 kg class and the US FAR 103 Ultralight Vehicles rules.[1] The aircraft design features a cable-braced hang glider-style high-wing, weight-shift controls, a single-seat open cockpit without a cockpit fairing, tricycle landing gear and a single electric motor in pusher configuration.[1] The aircraft is made from bolted-together aluminum tubing, with its double surface "topless" Aeros Combat wing covered in Dacron sailcloth. Its 10 m (32.8 ft) span wing uses an "A" frame weight-shift control bar. The powerplant is an electric motor rated at 16 kW (21 hp) for take-off and 12 kW (16 hp) continuous, powered by a 5.85 kWh battery. The maximum sound in flight is under 47 dB.[1][2] The aircraft has an empty weight of 106 kg (234 lb) and a gross weight of 194 kg (428 lb), giving a useful load of 88 kg (194 lb). Like the ANT it is based upon the E-Bird van be folded up and transported and carried in an automobile trunk.[1] Data from Tacke[1]General characteristics Performance</t>
  </si>
  <si>
    <t>Electric Ride GmbH</t>
  </si>
  <si>
    <t>https://en.wikipedia.org/Electric Ride GmbH</t>
  </si>
  <si>
    <t>12.8 m2 (138 sq ft)</t>
  </si>
  <si>
    <t>106 kg (234 lb)</t>
  </si>
  <si>
    <t>194 kg (428 lb)</t>
  </si>
  <si>
    <t>1 × electric motor with a 5.85 kWh battery, 16 kW (21 hp)</t>
  </si>
  <si>
    <t>2-bladed folding, carbon fibre</t>
  </si>
  <si>
    <t>15.15 kg/m2 (3.10 lb/sq ft)</t>
  </si>
  <si>
    <t>https://en.wikipedia.org/Aeros ANT</t>
  </si>
  <si>
    <t>PAF XT-001 Marko 1</t>
  </si>
  <si>
    <t>The PAF XT-001 Marko 1 was a basic trainer aircraft developed by the Philippine Air Force Self-Reliance Development Wing (PAFSRDW).[1] It was designed and built by the Self-Reliance Development Wing of the Philippine Air Force in 1975 from locally designed jigs and fixtures. It closely resembles the SIAI-Marchetti SF.260MP trainer, but with modified wingtips and cockpit. The prototype was initially thought to be a modified SF.260MP. Comparison of data with those for the SF.260MP indicates a slight increase in wingspan (though not in gross wing area), a lower empty weight, and (despite a similar powerplant and identical maximum takeoff weight) a slightly reduced performance. The first test flight was on May 21, 1975.[1][2] Data from Jane's All The World's Aircraft 1978–79[3]General characteristics Performance  Aircraft of comparable role, configuration, and era  Related lists</t>
  </si>
  <si>
    <t>10.10 m2 (108.7 sq ft)</t>
  </si>
  <si>
    <t>1 × Lycoming O-540-E4A5 6-cylinder air-cooled horizontally-opposed piston engine, 194 kW (260 hp)</t>
  </si>
  <si>
    <t>2-bladed propeller</t>
  </si>
  <si>
    <t>2.4 m (7 ft 10 in)</t>
  </si>
  <si>
    <t>1,200 kg (2,646 lb)</t>
  </si>
  <si>
    <t>260 km/h (160 mph, 140 kn)</t>
  </si>
  <si>
    <t>SIAI-Marchetti SF.260MP</t>
  </si>
  <si>
    <t>https://en.wikipedia.org/SIAI-Marchetti SF.260MP</t>
  </si>
  <si>
    <t>SkyCruiser Autogyro SkyCruiser</t>
  </si>
  <si>
    <t>The SkyCruiser Autogyro SkyCruiser is a series of Hungarian autogyros designed and produced by SkyCruiser Autogyro KFT of Inárcs. It was publicly introduced at the AERO Friedrichshafen airshow in 2014. The aircraft is supplied complete and ready-to-fly.[1] The SkyCruiser features a single main rotor, a two-seats-in tandem open cockpit with a windshield, tricycle landing gear with wheel pants, plus a tail caster and a four-cylinder, liquid and air-cooled, four stroke 115 hp (86 kW) Rotax 914 turbocharged engine or modified 125 hp (93 kW) turbocharged Rotax 912 in pusher configuration.[1][2] The aircraft fuselage is made from composites and has a two-bladed rotor with a diameter of 8.4 m (27.6 ft) and an electronic pre-rotator. The aircraft has a gross weight of 560 kg (1,235 lb).[1] The design features an automatic propeller system. When the electronic pre-rotator for the main rotor is engaged the pusher propeller automatically goes to flat pitch and creates no thrust. When the pilot moved the control stick aft to take-off the propeller automatically goes to best climb setting.[1] In 2011 an improved version was introduced called the SC-200 "New Face", with aesthetic changes, including a more rounded cockpit fairing and wider cockpit seating. The original model was then renamed the "SC-200 Standard".[3] Data from Tacke[1]General characteristics Performance</t>
  </si>
  <si>
    <t>SkyCruiser Autogyro KFT</t>
  </si>
  <si>
    <t>https://en.wikipedia.org/SkyCruiser Autogyro KFT</t>
  </si>
  <si>
    <t>104 litres (23 imp gal; 27 US gal)</t>
  </si>
  <si>
    <t>1 × Rotax 914 four cylinder, liquid and air-cooled, four stroke turbocharged aircraft engine, 86 kW (115 hp)</t>
  </si>
  <si>
    <t>145 km/h (90 mph, 78 kn)</t>
  </si>
  <si>
    <t>Arrow Sport</t>
  </si>
  <si>
    <t>The Arrow Sport was a two-seat sporting biplane aircraft built in the United States in the 1920s and 1930s. The plane was designed by Swen Swanson and it was of largely conventional configuration with tailskid undercarriage, but was interesting in that the pilot and passenger sat side by side in the open cockpit, and because as originally designed, the fully cantilever wings lacked interplane struts – the upper wing attaching directly to the top of the fuselage. This latter feature proved so alarming to many prospective pilots that the manufacturer later supplied N-type struts that were of no real function other than to allay the aviators' fears. Nine biplane Sports remain registered in the United States as of 2020, mostly in museums and private collections,[1] including: Data from American airplane specifications[8]General characteristics Performance   Aircraft of comparable role, configuration, and era</t>
  </si>
  <si>
    <t>//upload.wikimedia.org/wikipedia/commons/thumb/3/39/Arrow_Sport_Lakeland_FL_18.04.07R.jpg/300px-Arrow_Sport_Lakeland_FL_18.04.07R.jpg</t>
  </si>
  <si>
    <t>Sports plane</t>
  </si>
  <si>
    <t>Arrow Aircraft and Motors</t>
  </si>
  <si>
    <t>https://en.wikipedia.org/Arrow Aircraft and Motors</t>
  </si>
  <si>
    <t>ca. 100</t>
  </si>
  <si>
    <t>{'Sport': ' Two-seat sporting biplane, powered by a 60-hp (45-kW) LeBlond radial piston engine.', 'Sport 85': ' 85\xa0hp Leblond radial, extra four degrees of dihedrial on lower wing.', 'Sport A2': 'ort A2-40Sport A2-60 60\xa0hp (45\xa0kW) LeBlond radial enginesSport A2-66Sport A2-90 TangerineSport A2-100 100\xa0hp (75\xa0kW) Kinner C-5[6]', '[object HTMLElement]': {}, 'Sport A2-60': '0\xa0hp (45\xa0kW) ', 'Sport A2-100': '00\xa0hp (75\xa0kW) ', 'Sport Pursuit': 'renamed ', 'Sport K': 'n 1935) – Improved version, powered by a 100-hp (75-kW) ', 'Sport V-8': 'renamed the ', 'Model F': '– Two-seat ', 'Sport M': ' Model F with a 125\xa0hp (93\xa0kW) '}</t>
  </si>
  <si>
    <t>1 passenger</t>
  </si>
  <si>
    <t>19 ft 3 in (5.87 m)</t>
  </si>
  <si>
    <t>25 ft 10 in (7.87 m)</t>
  </si>
  <si>
    <t>183 sq ft (17.0 m2)</t>
  </si>
  <si>
    <t>1,346 lb (611 kg)</t>
  </si>
  <si>
    <t>1 × LeBlond 5D radial engine, 60 hp (45 kW)</t>
  </si>
  <si>
    <t>85 mph (137 km/h, 74 kn)</t>
  </si>
  <si>
    <t>30 mph (48 km/h, 26 kn)</t>
  </si>
  <si>
    <t>Sven Swanson</t>
  </si>
  <si>
    <t>100 mph (160 km/h, 87 kn)</t>
  </si>
  <si>
    <t>14,000 ft (4,300 m)</t>
  </si>
  <si>
    <t>Auster Agricola</t>
  </si>
  <si>
    <t>The Auster B8 Agricola was a commercially unsuccessful British agricultural aircraft designed for the aerial topdressing market which opened up in New Zealand in the early 1950s. Constructed of fabric over a corrosion-proofed steel frame, the design featured a large high-lift low-set monoplane wing, external control cables, fixed tailwheel undercarriage and a somewhat angular fuselage. It had an aft cabin that could seat two passengers, a hopper over the centre of the wing which could hold 750 kg of superphosphate in the topdressing role, or 654 litres of spray as a crop duster. The pilot sat forward of the hopper over the wing leading edge, a position which gave a good field of view compared with the American practice of placing the pilot behind the hopper, though this view was somewhat restricted by the extensive canopy joinery and bulky rear decking.  The Agricola's handling was generally described favourably, particularly its slow speed performance and controls, while its rugged and simple construction allowed for easy maintenance and repair.  The aircraft was utilitarian rather than attractive; one website has short-listed the Agricola in a competition for the ugliest aircraft of all time[citation needed]. The type was first flown in 1955.   It was out-competed in its target market by the PAC Fletcher and attempts to sell the type for aerial application work in Britain, Australia and Europe met with little success.  Only nine were made before production ceased.  Of these ZK-BXO, is the sole survivor.  Restored by John Stephenson of Whitianga, it was operated for many years by him as both a historic aircraft and personal transport.  BXO was sold to the UK in 2005 and re-registered as G-CBOA. In March 2016, the aircraft was once again sold to New Zealand. Data from British Civil Aircraft since 1919 Volume 1[1]General characteristics Performance</t>
  </si>
  <si>
    <t>//upload.wikimedia.org/wikipedia/commons/thumb/6/68/ZK-CCU.jpg/300px-ZK-CCU.jpg</t>
  </si>
  <si>
    <t>https://en.wikipedia.org/Agricultural aircraft</t>
  </si>
  <si>
    <t>Auster</t>
  </si>
  <si>
    <t>https://en.wikipedia.org/Auster</t>
  </si>
  <si>
    <t>1 model survives</t>
  </si>
  <si>
    <t>144 imperial gallons (650 L) insecticide[2] or1,700 lb; 760 kg dry fertiliser[3] or2 passengers[2]</t>
  </si>
  <si>
    <t>28 ft 1 in (8.56 m)</t>
  </si>
  <si>
    <t>42 ft 0 in (12.80 m)</t>
  </si>
  <si>
    <t>254.7 sq ft (23.66 m2)</t>
  </si>
  <si>
    <t>1,920 lb (871 kg)</t>
  </si>
  <si>
    <t>1 × Continental O-470-B air-cooled flat-six engine, 240 hp (180 kW)</t>
  </si>
  <si>
    <t>101 mph (163 km/h, 88 kn)</t>
  </si>
  <si>
    <t>35 mph (56 km/h, 30 kn) (flaps down, power off)[5]</t>
  </si>
  <si>
    <t>220 mi (350 km, 190 nmi)</t>
  </si>
  <si>
    <t>610 ft/min (3.1 m/s)</t>
  </si>
  <si>
    <t>8 ft 4 in (2.54 m)</t>
  </si>
  <si>
    <t>3,840 lb (1,742 kg)</t>
  </si>
  <si>
    <t>127 mph (204 km/h, 110 kn)</t>
  </si>
  <si>
    <t>20,000 ft (6,100 m) (No payload), 10,500 ft (3,200 m) (3,675 lb (1,667 kg) weight)[5]</t>
  </si>
  <si>
    <t>Avian Java</t>
  </si>
  <si>
    <t>The Avian Java is a British high-wing, single-place, advanced sports hang glider, designed by Steve Elkins and Neil Hammerton and produced by Avian Limited of Hope Valley, Derbyshire.[1][2] The Java was designed as an advanced recreational hang glider. It was later developed into the "topless" Java Comp 150 which dispensed with the kingpost and top wire rigging, although it retained the lower flying wires. The Java Comp 150 later evolved into the Avian Cheetah competition glider. All Java models are British Hang Gliding and Paragliding Association certified.[1] The Java 155 model is typical of the line and is made from aluminum tubing, with the wing covered in Dacron sailcloth. Its 10.0 m (32.8 ft) span wing has a nose angle of 125° and an aspect ratio of 7.0:1. The acceptable pilot hook-in weight is 70 to 110 kg (150 to 240 lb).[1] The Java 155 can be folded up to a 31 kg (68 lb) package, 5.9 m (19.4 ft) in length for ground transportation on a car top. It can also be further broken down to a length of 4.6 m (15.1 ft) when required for airline or similar space-restricted travel.[2] Data from Avian[2]General characteristics Performance</t>
  </si>
  <si>
    <t>https://en.wikipedia.org/United Kingdom</t>
  </si>
  <si>
    <t>Avian Limited</t>
  </si>
  <si>
    <t>https://en.wikipedia.org/Avian Limited</t>
  </si>
  <si>
    <t>10.0 m (32 ft 10 in)</t>
  </si>
  <si>
    <t>14.4 m2 (155 sq ft)</t>
  </si>
  <si>
    <t>29.5 kg (65 lb) rigged ready for flight</t>
  </si>
  <si>
    <t>139.5 kg (308 lb)</t>
  </si>
  <si>
    <t>24 km/h (15 mph, 13 kn)</t>
  </si>
  <si>
    <t>Steve Elkins and Neil Hammerton</t>
  </si>
  <si>
    <t>113 km/h (70 mph, 61 kn) in smooth air</t>
  </si>
  <si>
    <t>0.86 m/s (169 ft/min)</t>
  </si>
  <si>
    <t>https://en.wikipedia.org/Avian Cheetah</t>
  </si>
  <si>
    <t>Aviatik Alliance Aleks-251</t>
  </si>
  <si>
    <t>The Aviatik Alliance Aleks-251 is a twin engine, parasol wing amphibious aircraft designed and built in Russia in the early 2010s.  It can carry up to six passengers. The Alleks-251 has had a long development time. The project was first made public in 2003 by the Rida design bureau, who intended to make the first flight in late 2004. There were no further progress reports until the foundation of the Aviatik Alliance Company and the appearance of the near-complete prototype at the Moscow Salon in August 2009.[1] The aircraft flew for the first time on 10 September 2010.[2] The Aleks-251 is mostly constructed of metal, only using composites in the nosecone, engine cowlings and fin tip. It has a parallel chord, square tipped wing with a full-span combination of slotted ailerons and flaps. The parasol configuration allows the twin 127 kW (170 hp) LOM 332S inverted inline engines to be mounted forward of and under the wing, close together.  The wing is braced to the fuselage with a pair of inverted V-struts to the engine mountings.[1] The hull of the Aleks-251 has a single step and is divided into six watertight compartments.  The cabin, 3.10 m (10 ft 2 in) long, 1.40 m (4 ft 7 in) wide and 1.30 m (4 ft 3 in) high seats the pilot and six passengers in three rows, the central one with three seat, the front pair just ahead of the wing leading edge but behind the propeller disks. Other seating configurations, e.g. for medical evacuation with a stretcher and two attendants, are possible. Access is by hinged transparencies. A straight edged, swept back fin carries both the horn-balanced rudder and, at about ⅓ height, the parallel chord, strongly dihedralled tailplane. The port elevator and, in production aircraft the rudder, have trim tabs.[1] On water the Aleks-251 is stabilized by a pair of floats, each mounted on a single strut which rotates their float to the wing tip once airborne. On land it has a fully retractable tailwheel undercarriage.  The cantilever main legs rotate forwards by much more than 90° to retract the wheels into the upper nose forward of the cabin windscreen. A MVEN ballistic recovery parachute is fitted.[1] Well before the first flight Aviatik Alliance had announced that production aircraft would have different engines, possibly turboprops, but that a choice had not yet been made.[1]  Data from Jane's All the World's Aircraft 2011/12[1]General characteristics Performance Avionics</t>
  </si>
  <si>
    <t>//upload.wikimedia.org/wikipedia/commons/thumb/9/90/Aviatik-Alliance_ALEX-251.jpg/300px-Aviatik-Alliance_ALEX-251.jpg</t>
  </si>
  <si>
    <t>Six seat amphibious aircraft</t>
  </si>
  <si>
    <t>https://en.wikipedia.org/Six seat amphibious aircraft</t>
  </si>
  <si>
    <t>Russia</t>
  </si>
  <si>
    <t>https://en.wikipedia.org/Russia</t>
  </si>
  <si>
    <t>Aviatik Alliance</t>
  </si>
  <si>
    <t>up to 6 passengers</t>
  </si>
  <si>
    <t>10.54 m (34 ft 7 in)</t>
  </si>
  <si>
    <t>13.20 m (43 ft 4 in)</t>
  </si>
  <si>
    <t>19.80 m2 (213.1 sq ft) gross</t>
  </si>
  <si>
    <t>1,610 kg (3,549 lb)</t>
  </si>
  <si>
    <t>700 L (185 US gal, 154 Imp gal)</t>
  </si>
  <si>
    <t>2 × LOM M332S four cylinder piston, 127 kW (170 hp) each in prototype</t>
  </si>
  <si>
    <t>2-bladed, 1.855 m (6 ft 1 in) diameter</t>
  </si>
  <si>
    <t>95 km/h (59 mph, 51 kn)</t>
  </si>
  <si>
    <t>740 km (460 mi, 400 nmi) with 30 min reserves, 4 passengers</t>
  </si>
  <si>
    <t>4.0 m/s (790 ft/min) maximum, at sea level</t>
  </si>
  <si>
    <t>126.3 kg/m2 (25.9 lb/sq ft)</t>
  </si>
  <si>
    <t>Aleksey Tantsyrev and Sergey Popov</t>
  </si>
  <si>
    <t>3.66 m (12 ft 0 in) on land</t>
  </si>
  <si>
    <t>2,500 kg (5,512 lb) production aircraft; prototype 2,100 kg (4,630 lb)</t>
  </si>
  <si>
    <t>240 km/h (150 mph, 130 kn) estimated for production aircraft maximum take-off weight, are the other performance figures</t>
  </si>
  <si>
    <t>2,200 km (1,400 mi, 1,200 nmi)</t>
  </si>
  <si>
    <t>Pomilio Gamma</t>
  </si>
  <si>
    <t>The Pomilio Gamma was an Italian fighter prototype of 1918. The Pomilio company of Turin designed and manufactured the Gamma, a wooden, single-seat, single-bay biplane with wings of unequal span, the upper wing being of greater span than the lower. It was powered by a 149-kilowatt (200-horsepower) SPA 6A water-cooled engine driving a two-bladed tractor propeller. It had fixed, tailskid landing gear.[1] The Gamma prototype first flew early in 1918. An Italian official commission observed a demonstration of it, and concluded that although it was fast and had good maneuverability, its rate of climb was insufficient to merit a production order.[2] Pomilio responded to the Gamma's shortcomings by building a second prototype, the Gamma IF, fitted with a more powerful Isotta Fraschini V6 engine rated at 186 kilowatts (250 horsepower). An official commission saw a demonstration of the Gamma IF in 1918, but at first could not agree on whether it merited a production order. During the final weeks of World War I, the commission finally decided to order a small number of Gamma IF fighters, although the Gamma IF never entered active service.[3] Data from Green, William, and Gordon Swanborough The Complete Book of Fighters: An Illustrated Encyclopedia of Every Fighter Aircraft Built and Flown, New York: SMITHMARK Publishers, 1994,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.mw-selflink{font-weight:inherit}ISBN 0-8317-3939-8General characteristics Performance Notes:</t>
  </si>
  <si>
    <t>//upload.wikimedia.org/wikipedia/commons/thumb/8/84/Pomilio_Gamma.jpg/300px-Pomilio_Gamma.jpg</t>
  </si>
  <si>
    <t>https://en.wikipedia.org/Fighter</t>
  </si>
  <si>
    <t>Pomilio</t>
  </si>
  <si>
    <t>https://en.wikipedia.org/Pomilio</t>
  </si>
  <si>
    <t>6.30 m (20 ft 8 in)</t>
  </si>
  <si>
    <t>7.99 m (26 ft 2.5 in)</t>
  </si>
  <si>
    <t>21.90 m2 (235.74 sq ft)</t>
  </si>
  <si>
    <t>950 kg (2,094 lb)</t>
  </si>
  <si>
    <t>1 × Isotta Fraschini V6 piston , 186 kW (250 hp)</t>
  </si>
  <si>
    <t>225 km/h (140 mph, 120 kn)</t>
  </si>
  <si>
    <t>https://en.wikipedia.org/1918</t>
  </si>
  <si>
    <t>7 min 30 sec</t>
  </si>
  <si>
    <t>Aéro Services Guépard Guépy</t>
  </si>
  <si>
    <t>The Aéro Services Guépard Guépy is a French two-seat microlight cabin monoplane designed and built by Aéro Services Guépard to meet the FAI Microlight standard, it is also sold as a kit of parts for amateur construction.[1][2][3] The Guépy is a smaller variant of the Guépard 912 and is a cabin monoplane with a braced high-mounted wing, it has a fixed tricycle landing gear and an enclosed cabin for two sitting in side-by-side configuration. The Guépy is built from welded steel tube with tubular wing spars and aluminium ribs, the Club variant has a fabric covered wing. Although capable of using a range of engines a 80 hp (60 kW) Jabiru 2200 four-stroke or a 64 hp (48 kW) Rotax 582 two-stroke powerplant is normally used.[1][2][3] Data from World Directory of Leisure Aviation 2005/2006 and 2015/16[1][3]General characteristics Performance</t>
  </si>
  <si>
    <t>Microlight cabin monoplane</t>
  </si>
  <si>
    <t>https://en.wikipedia.org/Microlight cabin monoplane</t>
  </si>
  <si>
    <t>Aéro Services Guépard</t>
  </si>
  <si>
    <t>https://en.wikipedia.org/Aéro Services Guépard</t>
  </si>
  <si>
    <t>oner passenger</t>
  </si>
  <si>
    <t>9.7 m (31 ft 10 in)</t>
  </si>
  <si>
    <t>50 litres (11 imp gal; 13 US gal)</t>
  </si>
  <si>
    <t>1 × Jabiru 2200 , 60 kW (80 hp)</t>
  </si>
  <si>
    <t>170 km/h (110 mph, 92 kn)</t>
  </si>
  <si>
    <t>472.5 kg (1,042 lb)</t>
  </si>
  <si>
    <t>Auster Avis</t>
  </si>
  <si>
    <t>The Auster Avis was a four-seat light aircraft developed from the Auster Autocrat. It featured a redesigned fuselage incorporating four doors and a circular cross-section towards the tail, new undercarriage, and new wing flaps. It was planned in two versions, the Mk 1 for civil use, and the Mk 2 for military and air ambulance duties. However, only two prototypes were built, and Auster abandoned the project in favour of the Auster J-5 Autocar. Data from Jane's all the World's Aircraft 1949-50,[1] The Incomplete Guide to Airfoil Usage[2]General characteristics Performance  This article on an aircraft of the 1940s is a stub. You can help Wikipedia by expanding it.</t>
  </si>
  <si>
    <t>Utility aircraft</t>
  </si>
  <si>
    <t>3 pax</t>
  </si>
  <si>
    <t>23 ft 7 in (7.18 m)</t>
  </si>
  <si>
    <t>36 ft 4 in (11.07 m)</t>
  </si>
  <si>
    <t>185 sq ft (17.2 m2)</t>
  </si>
  <si>
    <t>1,480 lb (671 kg)</t>
  </si>
  <si>
    <t>2,550 lb (1,157 kg)</t>
  </si>
  <si>
    <t>Fuel</t>
  </si>
  <si>
    <t>1 × de Havilland Gipsy Major 10 4-cylinder inverted air-cooled in-line piston engine, 145 hp (108 kW)   maximum at 2,550rpm;  108 hp (81 kW) continuous at 2,300 rpm</t>
  </si>
  <si>
    <t>2-bladed Weybridge wooden fixed pitch propeller</t>
  </si>
  <si>
    <t>100 mph (160 km/h, 87 kn) fully loaded</t>
  </si>
  <si>
    <t>40 mph (64 km/h, 35 kn) fully loaded, flaps down</t>
  </si>
  <si>
    <t>500 mi (800 km, 430 nmi) fully loaded in still-air</t>
  </si>
  <si>
    <t>510 ft/min (2.6 m/s) fully loaded</t>
  </si>
  <si>
    <t>13.8 lb/sq ft (67 kg/m2) fully loaded</t>
  </si>
  <si>
    <t>late 1947</t>
  </si>
  <si>
    <t>6 ft 5.5 in (1.969 m) tail down, propeller horizontal</t>
  </si>
  <si>
    <t>115 mph (185 km/h, 100 kn) fully loaded</t>
  </si>
  <si>
    <t>12,000 ft (3,700 m) fully loaded</t>
  </si>
  <si>
    <t>Auster Autocrat</t>
  </si>
  <si>
    <t>https://en.wikipedia.org/Auster Autocrat</t>
  </si>
  <si>
    <t>17.5 lb/hp (10.6 kg/kW) fully loaded at 2,300 rpm; 14.9333 lb/hp (9.0836 kg/kW) at 2,200 rpm</t>
  </si>
  <si>
    <t>185 yd (169 m) in 5 mph (4.3 kn; 8.0 km/h) wind</t>
  </si>
  <si>
    <t>130 yd (120 m) in 5 mph (4.3 kn; 8.0 km/h) wind</t>
  </si>
  <si>
    <t>13+1⁄3 mpg‑imp (4.7 km/L)</t>
  </si>
  <si>
    <t>0.525 lb/mi (0.148 kg/km)</t>
  </si>
  <si>
    <t>Avama Stylus</t>
  </si>
  <si>
    <t>The Avama Stylus is a Slovak light-sport aircraft, designed and produced by Avama of Poprad and introduced at AERO Friedrichshafen in 2010. The aircraft is supplied as a kit for amateur construction or as a complete ready-to-fly-aircraft.[1][2] The aircraft was designed to comply with the US light-sport aircraft rules as a joint venture with SK Model. It features a strut-braced high-wing a two-seats-in-side-by-side configuration enclosed cockpit, fixed tricycle landing gear or conventional landing gear and a single engine in tractor configuration.[1][2] The Stylus' fuselage is made from welded steel tubing while the wing structure is aluminum. The fuselage and flying surfaces are covered in a mix of preformed plastic and doped aircraft fabric. Its 9.5 m (31.2 ft) span wing employs a dual spar design with V-struts and jury struts. The standard engine is the 80 hp (60 kW) Rotax 912UL or the 100 hp (75 kW) Rotax 912ULS four-stroke powerplant.[1][2] Data from Bayerl and Avama[1][3]General characteristics Performance</t>
  </si>
  <si>
    <t>Light-sport aircraft</t>
  </si>
  <si>
    <t>https://en.wikipedia.org/Light-sport aircraft</t>
  </si>
  <si>
    <t>Slovakia</t>
  </si>
  <si>
    <t>https://en.wikipedia.org/Slovakia</t>
  </si>
  <si>
    <t>Avama</t>
  </si>
  <si>
    <t>https://en.wikipedia.org/Avama</t>
  </si>
  <si>
    <t>6.02 m (19 ft 9 in)</t>
  </si>
  <si>
    <t>9.5 m (31 ft 2 in)</t>
  </si>
  <si>
    <t>76 litres (17 imp gal; 20 US gal)</t>
  </si>
  <si>
    <t>1 × Rotax 912UL four cylinder, liquid and air-cooled, four stroke aircraft engine, 60 kW (80 hp)</t>
  </si>
  <si>
    <t>160 km/h (99 mph, 86 kn)</t>
  </si>
  <si>
    <t>62 km/h (39 mph, 33 kn)</t>
  </si>
  <si>
    <t>2010-present</t>
  </si>
  <si>
    <t>2.17 m (7 ft 1 in)</t>
  </si>
  <si>
    <t>+4/-2</t>
  </si>
  <si>
    <t>Auster Alpine</t>
  </si>
  <si>
    <t>The Auster J/5 Alpine was a 1950s British single-engined four-seat high-wing training and touring monoplane built by Auster Aircraft Limited at Rearsby, Leicestershire. The Alpine was a hybrid aircraft based on the fuselage of the J/5 Aiglet Trainer fitted with the wings from the J-1 Autocrat. The prototype was converted from an Auster J-5L Aiglet Trainer. Data from British Civil Aircraft since 1919[1]General characteristics Performance  Media related to Auster Alpine at Wikimedia Commons</t>
  </si>
  <si>
    <t>//upload.wikimedia.org/wikipedia/commons/thumb/7/7c/Auster_J5R_Alpine_W.Mountford_22.06.96R.jpg/300px-Auster_J5R_Alpine_W.Mountford_22.06.96R.jpg</t>
  </si>
  <si>
    <t>Trainer/tourer</t>
  </si>
  <si>
    <t>Auster Aircraft Limited</t>
  </si>
  <si>
    <t>https://en.wikipedia.org/Auster Aircraft Limited</t>
  </si>
  <si>
    <t>{'Auster J/5R Alpine': ' production version with ', 'Auster J/5Q Alpine': ' lower-powered version with a '}</t>
  </si>
  <si>
    <t>2 passengers[2]</t>
  </si>
  <si>
    <t>23 ft 6 in (7.16 m)</t>
  </si>
  <si>
    <t>36 ft 0 in (10.97 m)</t>
  </si>
  <si>
    <t>1,464 lb (664 kg)</t>
  </si>
  <si>
    <t>32 imp gal (38 US gal; 150 L)[2]</t>
  </si>
  <si>
    <t>1 × de Havilland Gipsy Major 10 four-cylinder air-cooled inverted piston engine, 145 hp (108 kW)</t>
  </si>
  <si>
    <t>112 mph (180 km/h, 97 kn)</t>
  </si>
  <si>
    <t>460 mi (740 km, 400 nmi)</t>
  </si>
  <si>
    <t>1,025 ft/min (5.21 m/s)</t>
  </si>
  <si>
    <t>6 ft 6 in (1.98 m)</t>
  </si>
  <si>
    <t>2,250 lb (1,021 kg)</t>
  </si>
  <si>
    <t>128 mph (206 km/h, 111 kn)</t>
  </si>
  <si>
    <t>22,000 ft (6,700 m)</t>
  </si>
  <si>
    <t>Auster J/5 Aiglet Trainer</t>
  </si>
  <si>
    <t>https://en.wikipedia.org/Auster J/5 Aiglet Trainer</t>
  </si>
  <si>
    <t>630 ft (190 m)[2]</t>
  </si>
  <si>
    <t>Auster Arrow</t>
  </si>
  <si>
    <t>The Auster J/2 Arrow is a 1940s British single-engined two-seat high-wing touring monoplane built by Auster Aircraft Limited at Rearsby, Leicestershire, England. The Arrow was designed as a successor to the pre-war Taylorcraft Plus C monoplane. A development aircraft, a side-by-side two-seater first flew in 1946 powered by a Lycoming O-145-B3 flat four air-cooled engine.[1] Import restrictions on the sale in the United Kingdom (UK) of American-built engines resulted in most of the 44 aircraft completed being exported, mainly to Australia.[1] In later life, examples were re-imported to the UK, where several examples remained active in 2011. Data from Jane's All the World's Aircraft 1951–52[2]General characteristics Performance   Aircraft of comparable role, configuration, and era  Related lists  Media related to Auster J/2 Arrow at Wikimedia Commons</t>
  </si>
  <si>
    <t>//upload.wikimedia.org/wikipedia/commons/thumb/5/50/Auster_5j2_arrow_g-beah_of_1946_arp.jpg/300px-Auster_5j2_arrow_g-beah_of_1946_arp.jpg</t>
  </si>
  <si>
    <t>Touring aircraft</t>
  </si>
  <si>
    <t>Two airworthy in UK in 2009</t>
  </si>
  <si>
    <t>Auster J-4</t>
  </si>
  <si>
    <t>22 ft 9 in (6.93 m)</t>
  </si>
  <si>
    <t>872 lb (396 kg)</t>
  </si>
  <si>
    <t>1,450 lb (658 kg)</t>
  </si>
  <si>
    <t>1 × Continental C75-12 air-cooled flat-four, 75 hp (56 kW)</t>
  </si>
  <si>
    <t>87 mph (140 km/h, 76 kn)</t>
  </si>
  <si>
    <t>320 mi (510 km, 280 nmi)</t>
  </si>
  <si>
    <t>430 ft/min (2.2 m/s)</t>
  </si>
  <si>
    <t>6 ft 6 in (1.98 m) (tail down, propeller horizontal)</t>
  </si>
  <si>
    <t>98 mph (158 km/h, 85 kn)</t>
  </si>
  <si>
    <t>10,000 ft (3,000 m)</t>
  </si>
  <si>
    <t>Private pilot owners</t>
  </si>
  <si>
    <t>https://en.wikipedia.org/Auster J-4</t>
  </si>
  <si>
    <t>https://en.wikipedia.org/1945</t>
  </si>
  <si>
    <t>Auster Workmaster</t>
  </si>
  <si>
    <t>The Auster J/1U Workmaster is a late 1950s British single-engined single-seat high-wing agricultural monoplane built by Auster Aircraft Limited at Rearsby, Leicestershire. Of traditional high-wing layout, it carries 90 gallons of spray fluid in a tank beside the pilot, an extra seat being provided for a passenger. The Lycoming 0-360-A engine of 180 h.p. driving a McCauley v.p. propeller giving it ample power; and slotted ailerons and balanced tail controls providing good handling. Oversize tyres were fitted. Take-off run at 2,550 lb gross weight and cruising speed at 65 per cent power are respectively 180 yd and 88 miles per hour (142 km/h). Britten-Norman spray gear was provided by Crop Culture, and this company ordered nine Workmasters. Following the experience of developing the J/1B Aiglet agricultural aircraft, Auster developed a more powerful successor the J/1U Workmaster. Using the basic Autocrat fuselage it was strengthened and had dorsal fin fillets added, low pressure tyres and a 180 hp (134 kW) Avco Lycoming engine. The aircraft were fitted with Britten-Norman rotary atomizers for crop spraying and a 100 imperial gallon (455 litre) chemical tank in the fuselage. An emergency dump valve allowed the tank to be emptied in 5 seconds. The Workmasters were mainly operated in West Africa, three later returning and are currently (2009) on the U.K. civil aircraft register. Data from Jane's all the World's Aircraft 1959-60[1]General characteristics Performance</t>
  </si>
  <si>
    <t>//upload.wikimedia.org/wikipedia/commons/thumb/8/88/Auster_J1U_Workmaster_G-APSR_Shobdon_04.87.jpg/300px-Auster_J1U_Workmaster_G-APSR_Shobdon_04.87.jpg</t>
  </si>
  <si>
    <t>1 pax, with spray tank of 100 imp gal (120 US gal; 450 l) capacity</t>
  </si>
  <si>
    <t>23 ft 5 in (7.14 m)</t>
  </si>
  <si>
    <t>2,350 lb (1,066 kg) typical with 50 imp gal (60 US gal; 230 l) of spray liquid</t>
  </si>
  <si>
    <t>1 × Lycoming O-360-A 4-cylinder air-cooled horizontally-opposed piston engine, 180 hp (130 kW)</t>
  </si>
  <si>
    <t>2-bladed McCauley variable-pitch propeller</t>
  </si>
  <si>
    <t>93 mph (150 km/h, 81 kn) at 2,350 lb (1,070 kg) at 1,000 ft (300 m)</t>
  </si>
  <si>
    <t>34 mph (55 km/h, 30 kn) at 2,350 lb (1,070 kg)</t>
  </si>
  <si>
    <t>710 ft/min (3.6 m/s) at 2,350 lb (1,070 kg) with flaps</t>
  </si>
  <si>
    <t>6 ft 2 in (1.88 m)</t>
  </si>
  <si>
    <t>2,650 lb (1,202 kg)</t>
  </si>
  <si>
    <t>109 mph (175 km/h, 95 kn) at 2,350 lb (1,070 kg) at 1,000 ft (300 m)</t>
  </si>
  <si>
    <t>NACA23012</t>
  </si>
  <si>
    <t>Crop Culture (Overseas) Limited</t>
  </si>
  <si>
    <t>495 ft (151 m) in zero wind</t>
  </si>
  <si>
    <t>https://en.wikipedia.org/1958</t>
  </si>
  <si>
    <t>60–80 mph (52–70 kn; 97–129 km/h)</t>
  </si>
  <si>
    <t>1,980 ft (600 m) in zero wind</t>
  </si>
  <si>
    <t>Avian Rio</t>
  </si>
  <si>
    <t>The Avian Rio is a British high-wing, single-place, recreational hang glider, designed by Steve Elkins and Neil Hammerton and produced by Avian Limited of Hope Valley, Derbyshire.[1][2] The Rio was designed as a sports glider for recreational local and cross-country flying, while still being light in weight and easy to fly.[1][2] The Rio 15 model the sole version produced and is made from aluminum tubing, with the wing covered in Dacron sailcloth. Its 9.4 m (30.8 ft) span wing has a nose angle of 120° and an aspect ratio of 6:1. The acceptable pilot hook-in weight is 61 to 95 kg (134 to 209 lb). The model number indicates the wing area in square metres.[1] The glider can be broken down to a 27.3 kg (60 lb) package, 3.8 m (12.5 ft) in length for ground transportation on a car top.[2] Data from Avian[2]General characteristics Performance</t>
  </si>
  <si>
    <t>9.4 m (30 ft 10 in)</t>
  </si>
  <si>
    <t>25.5 kg (56 lb) rigged ready for flight</t>
  </si>
  <si>
    <t>135.5 kg (299 lb)</t>
  </si>
  <si>
    <t>9.0 kg/m2 (1.8 lb/sq ft)</t>
  </si>
  <si>
    <t>80 km/h (50 mph, 43 kn) in turbulent air</t>
  </si>
  <si>
    <t>1.0 m/s (200 ft/min)</t>
  </si>
  <si>
    <t>Avro 636</t>
  </si>
  <si>
    <t>The Avro 636 was a single-engined British fighter-trainer built by Avro in the mid-1930s. Four were built for the Irish Air Corps. The Avro 636 was designed in November 1934 by Roy Chadwick, Avro's chief designer as a one or two-seat fighter-trainer, and was planned to reproduce the flying characteristics of single-seat fighters. It had a similar structure to the Tutor, with a welded steel tube fuselage.[1] The aircraft was designed to be operated as a single or two seater, with the provision for fitting two forward firing .303 in (7.7 mm) Vickers machine guns. Four Avro 636s were ordered by the Irish Air Corps in December 1934. These aircraft were powered by old Armstrong Siddeley Jaguar IVC engines, which had originally been purchased by the Irish in 1930 for use in Vickers Vespa army co-operation aircraft. Although the Jaguar IVC powered aircraft was planned to be designated as the Avro 667, they were always referred to as Avro 636s.[1] The four aircraft were delivered in August 1935, and remained in service for several years. Data from Avro Aircraft since 1908 [1]General characteristics Performance</t>
  </si>
  <si>
    <t>Fighter Trainer</t>
  </si>
  <si>
    <t>Avro</t>
  </si>
  <si>
    <t>https://en.wikipedia.org/Avro</t>
  </si>
  <si>
    <t>27 ft 6 in (8.38 m)</t>
  </si>
  <si>
    <t>33 ft 0 in (10.06 m)</t>
  </si>
  <si>
    <t>261 sq ft (24.2 m2)</t>
  </si>
  <si>
    <t>2,766 lb (1,255 kg)</t>
  </si>
  <si>
    <t>3,271 lb (1,484 kg)</t>
  </si>
  <si>
    <t>1 × Armstrong Siddeley Jaguar IVC 14-cylinder air-cooled radial piston engine, 460 hp (340 kW)</t>
  </si>
  <si>
    <t>1,200 ft/min (6.1 m/s)</t>
  </si>
  <si>
    <t>Roy Chadwick</t>
  </si>
  <si>
    <t>https://en.wikipedia.org/Roy Chadwick</t>
  </si>
  <si>
    <t>11 ft 7 in (3.53 m)</t>
  </si>
  <si>
    <t>175 mph (282 km/h, 152 kn)</t>
  </si>
  <si>
    <t>18,000 ft (5,500 m)</t>
  </si>
  <si>
    <t>Irish Air Corps</t>
  </si>
  <si>
    <t>https://en.wikipedia.org/Irish Air Corps</t>
  </si>
  <si>
    <t>Arsenal O.101</t>
  </si>
  <si>
    <t>The Arsenal O.101 was a French research aircraft that flew shortly after World War II. It was a low-wing monoplane of conventional configuration with fixed tailwheel undercarriage, but incorporated several novel features for its role as an airborne testbed for evaluating airfoil sections and control surface designs. It was designed to accommodate a pilot and an observer in tandem cockpits. However, since the observer was to be watching the aircraft's wings, this cockpit was sunken fully into the fuselage, affording no fore-and-aft view at all. The pilot's cockpit was set well back along the fuselage, near the tail. The O.101 was fitted with extensive instrumentation to measure pressures and loads throughout the aircraft, and was given dimensions such that the entire aircraft could be placed inside the wind tunnel at Chalais-Meudon without any disassembly required.  General characteristics Performance        This article on an aircraft of the 1940s is a stub. You can help Wikipedia by expanding it.</t>
  </si>
  <si>
    <t>Research aircraft</t>
  </si>
  <si>
    <t>Arsenal de l'Aéronautique</t>
  </si>
  <si>
    <t>https://en.wikipedia.org/Arsenal de l'Aéronautique</t>
  </si>
  <si>
    <t>two, pilot and observer</t>
  </si>
  <si>
    <t>7.60 m (25 ft 0 in)</t>
  </si>
  <si>
    <t>8.25 m (27 ft 1 in)</t>
  </si>
  <si>
    <t>8.8 m2 (95 sq ft)</t>
  </si>
  <si>
    <t>1,730 kg (3,810 lb)</t>
  </si>
  <si>
    <t>1 × Renault 12S piston engine , 370 kW (495 hp)</t>
  </si>
  <si>
    <t>450 km/h (280 mph, 240 kn)</t>
  </si>
  <si>
    <t>8,000 m (26,200 ft)</t>
  </si>
  <si>
    <t>Auster Tugmaster</t>
  </si>
  <si>
    <t>The Auster 6A Tugmaster was a British high-wing monoplane glider tug converted from surplus former military Auster AOP.6s.[1] The Auster Tugmaster is a high-wing braced monoplane with a fixed tailwheel landing gear and powered by a de Havilland Gipsy Major engine.[1] The Tugmasters had their engines modified to civilian standards as the Gipsy Major 10 and they were also fitted with larger tail surfaces.[2] Because of the original radio fit had been removed the second passenger sat in a sideways-facing seat behind the pilot and not side-by-side although three aircraft were fitted with dual controls and side-by-side seating.[2] When the Auster AOP.9 was introduced into British Army service from 1959, Auster Aircraft bought 104[3] surviving and now surplus Auster AOP.6 and T.7s.[1] Initially 29 airframes[2] were modified for glider towing as the Auster 6A Tugmaster.[1][4] Each individual aircraft was stripped as necessary and re-built with minimum cost in a maximum of 400 manhours, with a selling price of £995.[5] Subsequently, about 50 were converted as three-seater touring aircraft for civilian use as the Auster 6B, later designated as the Beagle A.61 Terrier. The first conversion, test registration G-25-9, flew on 5 July 1960[6] and was produced by Air Tows Ltd at Lasham[7] and was fitted with an electrically-driven winch; five more were modified by Air Tows.[2] Twenty one were converted by Auster at Rearsby with a conventional Auster-designed towing hook.[2] Other conversions were carried out by a number of organisations including one by British European Airways employees at London Heathrow Airport for their own gliding club at Booker. Some surplus Royal Canadian Air Force Auster AOP.6 aircraft were also converted in Canada for glider towing.[2] Examples of the Tugmaster were exported to Finland, Norway and Sweden.[4] Several Tugmasters remain in service with UK gliding clubs (2014). Data from [1]General characteristics Performance  Related development</t>
  </si>
  <si>
    <t>//upload.wikimedia.org/wikipedia/commons/thumb/5/53/Auster_6A_G-APRO_Sywell_01.09.12R.jpg/300px-Auster_6A_G-APRO_Sywell_01.09.12R.jpg</t>
  </si>
  <si>
    <t>Glider Tug</t>
  </si>
  <si>
    <t>https://en.wikipedia.org/Glider Tug</t>
  </si>
  <si>
    <t>In active service (2014)</t>
  </si>
  <si>
    <t>23 ft 9 in (7.24 m)</t>
  </si>
  <si>
    <t>184.0 sq ft (17.09 m2)</t>
  </si>
  <si>
    <t>1 × de Havilland Gipsy Major 10 inline piston engine, 145 hp (108 kW)</t>
  </si>
  <si>
    <t>2-bladed Fairey Reed A66696x3</t>
  </si>
  <si>
    <t>105 mph (169 km/h, 91 kn)</t>
  </si>
  <si>
    <t>810 ft/min (4.1 m/s)</t>
  </si>
  <si>
    <t>8 ft 4 in (2.55 m)</t>
  </si>
  <si>
    <t>2,200 lb (998 kg)</t>
  </si>
  <si>
    <t>121 mph (195 km/h, 105 kn)</t>
  </si>
  <si>
    <t>Auster AOP.6</t>
  </si>
  <si>
    <t>https://en.wikipedia.org/Auster AOP.6</t>
  </si>
  <si>
    <t>Gliding clubs</t>
  </si>
  <si>
    <t>American Aviation AA-2 Patriot</t>
  </si>
  <si>
    <t>The American Aviation AA-2 Patriot was a four-seat, all-metal aircraft that was developed in 1970-71 by American Aviation of Cleveland, Ohio. The design did not progress beyond the prototype stage. After the market success of the AA-1 Yankee Clipper American Aviation turned their attention to developing a four-seat aircraft. The American Aviation engineers started with a "clean sheet of paper" and designed a new aircraft. This aircraft was intended to be produced as the American Aviation AA-2 Patriot. The resulting prototype bore very little family resemblance to the AA-1.  The AA-2 was different from the AA-1 in that it had doors instead of the Yankee's trademark sliding canopy and an oleo strut in place of the Yankee's spring steel tube nose gear. The aircraft had provisions for retractable gear to be installed on a later version, although the prototype had fixed landing gear. The AA-2 was powered by a 180 hp (134 kW) Lycoming engine. The prototype, registered "N488AA", was completed in 1970 and test flying was commenced early in that same year.[1] Aircraft performance during the test flying process fell far short of the design goals so the project was abandoned and the manufacturer eventually disassembled the prototype. American Aviation made the decision to develop a stretched version of the AA-1 Yankee Clipper instead of pursuing the AA-2. This aircraft eventually was produced as the AA-5 Traveler and was later developed into the AA-5A Cheetah and the AA-5B Tiger. The prototype has been recovered by members of the American Yankee Association.[1] General characteristics Performance  Related development</t>
  </si>
  <si>
    <t>Four-seat cabin monoplane</t>
  </si>
  <si>
    <t>American Aviation</t>
  </si>
  <si>
    <t>https://en.wikipedia.org/American Aviation</t>
  </si>
  <si>
    <t>23 ft 3 in (7.09 m)</t>
  </si>
  <si>
    <t>30 ft 0 in (9.14 m)</t>
  </si>
  <si>
    <t>1 × Lycoming O-360-A1A air-cooled, four-cylinder, horizontally-opposed piston engine, 180 hp (130 kW)</t>
  </si>
  <si>
    <t>613 nmi (705 mi, 1,135 km)</t>
  </si>
  <si>
    <t>2,400 lb (1,089 kg)</t>
  </si>
  <si>
    <t>135 kn (155 mph, 249 km/h)</t>
  </si>
  <si>
    <t>Antoinette III</t>
  </si>
  <si>
    <t>Tha Antoinette III was a pioneer aircraft developed in France during 1908.[citation needed] After the limited success of the Gastambide-Mengin monoplane Levavasseur completely revised the design resulting in the Antoinette III. The inadequate roll control was not greatly improved, retaining the wing warping of the Gastambide-Mengin. Ground handling and take-off / landing performance was improved, however, by revising the complex inadequate quadricycle undercarriage of the Gastambide-Mengin, with strut supported wheels forward and aft on the centre-line and side-by-side wheels midway between the singles. Other improvements came in the form of the cruciform tail unit with large triangular fins above and below the rear fuselage, as well as the large tailplane, all of which supported triangular control surfaces.[1] Control was found to be marginal at best, but short flights were made regularly.[1]</t>
  </si>
  <si>
    <t>//upload.wikimedia.org/wikipedia/commons/thumb/2/21/Antoinette_3.jpg/300px-Antoinette_3.jpg</t>
  </si>
  <si>
    <t>Pioneer aircraft</t>
  </si>
  <si>
    <t>Antoinette</t>
  </si>
  <si>
    <t>https://en.wikipedia.org/Antoinette</t>
  </si>
  <si>
    <t>Léon Levavasseur</t>
  </si>
  <si>
    <t>https://en.wikipedia.org/Léon Levavasseur</t>
  </si>
  <si>
    <t>Gastambide-Mengin II</t>
  </si>
  <si>
    <t>https://en.wikipedia.org/Gastambide-Mengin II</t>
  </si>
  <si>
    <t>Antoinette V</t>
  </si>
  <si>
    <t>The Antoinette V was an early French aircraft, first flown on 20 December 1908. Following closely to the winning formula that Levavasseur had introduced, the Antoinette V introduced a revised undercarriage, with a closely spaced pair of mainwheels at the rear of a carriage/skid which extended forward of the propeller, a tail-skid attached to the lower fin framework prevented damage to the tail section. Lateral stability on the ground was provided by outrigger wheels supported by a wire-braced framework at about half-span. A development of the Antoinette IV, the Antoinette V differed somewhat in having increased upper vertical tail area with no fabric covering the lower fin framework. The fuselage consisted of a wooden framework of triangular section covered with fabric, except in the cockpit area abreast the wing trailing edge. The wings were built in a similar fashion and were also covered in fabric. Control was affected by wheels either side of the pilot's seat for roll and pitch, and a rudder bar for yaw. The pilot operated a triangular elevator hinged to the tailing edge of the large tailplane, rhomboidal ailerons hinged from the trailing edges of the wingtips, and two triangular rudders above and below the tailplane. Delivered to Réné Demanest, the Antoinette V proved easy to fly and enjoyed some success.[1] Data from [1]General characteristics Performance  Related development</t>
  </si>
  <si>
    <t>//upload.wikimedia.org/wikipedia/commons/thumb/8/83/Antoinette_V.jpg/300px-Antoinette_V.jpg</t>
  </si>
  <si>
    <t>Antoinette VI</t>
  </si>
  <si>
    <t>11.5 m (37 ft 9 in)</t>
  </si>
  <si>
    <t>12.8 m (42 ft 0 in)</t>
  </si>
  <si>
    <t>34 m2 (370 sq ft)</t>
  </si>
  <si>
    <t>520 kg (1,146 lb)</t>
  </si>
  <si>
    <t>1 × Antoinette 8V V-8 water-cooled piston engine, 37 kW (50 hp)</t>
  </si>
  <si>
    <t>2-bladed Antoinette paddle-bladed, 2.2 m (7 ft 3 in) diameter</t>
  </si>
  <si>
    <t>20 December 1908[1]</t>
  </si>
  <si>
    <t>72 km/h (45 mph, 39 kn)</t>
  </si>
  <si>
    <t>Antoinette IV</t>
  </si>
  <si>
    <t>https://en.wikipedia.org/Antoinette IV</t>
  </si>
  <si>
    <t>https://en.wikipedia.org/Antoinette VI</t>
  </si>
  <si>
    <t>Arrow Model F</t>
  </si>
  <si>
    <t>The Arrow Model F or the Arrow Sport V-8 was a two-seat low-wing braced monoplane aircraft built in the United States between 1934 and 1938. It was built originally to a request by the US Bureau of Air Commerce to investigate the feasibility of using automobile engines to power aircraft. Accordingly, the Model F was fitted with a modified Ford V8 engine. Like the Arrow Sport before it, the Model F seated its pilot and passenger side-by-side in an open cockpit and was marketed for $1500.[1] The Arrow Sport F was specifically built to accommodate the low-cost, yet heavy Arrow F V-8 engine, an aircraft modification of the Ford V-8. The engine was designed by Ford Engineer David E. Anderson with an aluminum oil pan, aluminum cylinders, and a 2:1 gear reduction to drive the prop at reasonable rpm ranges. The engine weighed 402 lbs for 85 hp vrs 182 lbs for an equivalent Continental aircraft engine.[2] Data from American Airplanes and Engines for 1938[9]General characteristics Performance</t>
  </si>
  <si>
    <t>//upload.wikimedia.org/wikipedia/commons/thumb/4/49/Arrow_Model_F.jpg/300px-Arrow_Model_F.jpg</t>
  </si>
  <si>
    <t>Recreational aircraft</t>
  </si>
  <si>
    <t>Arrow Aircraft and Motor Corporation</t>
  </si>
  <si>
    <t>https://en.wikipedia.org/Arrow Aircraft and Motor Corporation</t>
  </si>
  <si>
    <t>21 ft 4 in (6.50 m)</t>
  </si>
  <si>
    <t>36 ft 7 in (11.15 m)</t>
  </si>
  <si>
    <t>180.5 sq ft (16.77 m2)</t>
  </si>
  <si>
    <t>1,097 lb (498 kg)</t>
  </si>
  <si>
    <t>1,675 lb (760 kg)</t>
  </si>
  <si>
    <t>20 US gal (17 imp gal; 76 L)</t>
  </si>
  <si>
    <t>1 × Ford V-8 water-cooled converted automobile engine, 82 hp (61 kW)</t>
  </si>
  <si>
    <t>90 mph (140 km/h, 78 kn)</t>
  </si>
  <si>
    <t>40 mph (64 km/h, 35 kn)</t>
  </si>
  <si>
    <t>800 ft/min (4.1 m/s)</t>
  </si>
  <si>
    <t>8 ft 10 in (2.69 m)</t>
  </si>
  <si>
    <t>100 mph (160 km/h, 87 kn) at sea level</t>
  </si>
  <si>
    <t>12,000 ft (3,700 m)</t>
  </si>
  <si>
    <t>Astra C</t>
  </si>
  <si>
    <t>The Astra C was a 1912 French single engine biplane, manufactured by Société Astra at Villacoublay. In 1913, the Astra CM Hydro-avion three-seat floatplane version was used to make the world's first scheduled passenger-carrying flights. The Astra C was initially designed as a single seat biplane, powered by a single 50 hp Renault engine in tractor configuration. It was constructed primarily as wooden framework sections, covered in canvas and wire-braced. The fuselage was of triangular cross section, with a wheeled main undercarriage plus nose skid and tail skid. The wings were of unequal span, and employed wing-warping for roll control.[1] The Astra CM was developed from the Astra C, with a more powerful engine and added accommodation for two observers, for military reconnaissance.[1][2][3] The Astra Hydro, (an Astra CM 'Hydro-avion' (seaplane)), was a further development in 1913, with a 75 kW (100 hp) Renault V-12 engine and 3 Tellier floats (2 main floats 4.5 m × 1.15 m (14.8 ft × 3.8 ft), and one small tail float). The wooden frame elements were largely replaced by steel tubes, and the wing ribs and floats were the principal remaining wooden components.[4] at least two were built and an order for two from the Royal Navy (RN), serialled 106 and 107, was not completed.[5] During the St. Malo races, 14-26 August 1912, the first CM Hydro was flown to first place by Labouret. The second CM Hydro, powered by  a horizontally mounted 82 kW (110 hp) Salmson M.9 water-cooled radial engine, flew at Monaco but crashed. On 22 March 1913, using at least one Astra CM Hydro-avion, French operator Compagnie générale transaérienne started the world's first scheduled passenger-carrying flights, operating from Cannes to Nice. Two passengers could be carried. On 29 March 1913, the service was extended to Monte Carlo.[6][7] General characteristics Performance</t>
  </si>
  <si>
    <t>//upload.wikimedia.org/wikipedia/commons/thumb/9/98/Astra_CM_sk.jpg/300px-Astra_CM_sk.jpg</t>
  </si>
  <si>
    <t>Sports plane and observation aircraft</t>
  </si>
  <si>
    <t>Société Astra</t>
  </si>
  <si>
    <t>https://en.wikipedia.org/Société Astra</t>
  </si>
  <si>
    <t>one pilot</t>
  </si>
  <si>
    <t>two observers</t>
  </si>
  <si>
    <t>10.97 m (36 ft 0 in)</t>
  </si>
  <si>
    <t>12.32 m (40 ft 5 in)</t>
  </si>
  <si>
    <t>48.2 m2 (519 sq ft)</t>
  </si>
  <si>
    <t>673 kg (1,484 lb)</t>
  </si>
  <si>
    <t>1,000 kg (2,200 lb)</t>
  </si>
  <si>
    <t>1 × Renault , 63 kW (85 hp)</t>
  </si>
  <si>
    <t>Auster D.6</t>
  </si>
  <si>
    <t>The Auster D.6 was a four-seat British light aircraft, a development of the Auster Autocar with a horizontally opposed engine. It was available with a choice of two engines, a 160 hp Lycoming O-320 or 180 hp Lycoming O-360. When Auster was taken over by Beagle Aircraft in September 1960, development of the D.6 was dropped, while the D.4 and D.5 continued in limited production. Only four D.6 aircraft were completed, one D.6/160 (later converted to D.6/180 standard) and three as D.6/180.[1] A fifth airframe was never completed and was later stored at Carr Farm, Newark (2003).[2]  General characteristics</t>
  </si>
  <si>
    <t>//upload.wikimedia.org/wikipedia/commons/thumb/9/9d/Auster_D6-180.jpg/300px-Auster_D6-180.jpg</t>
  </si>
  <si>
    <t>Auster, Beagle Aircraft</t>
  </si>
  <si>
    <t>https://en.wikipedia.org/Auster, Beagle Aircraft</t>
  </si>
  <si>
    <t>3 passengers</t>
  </si>
  <si>
    <t>1 × Lycoming O-360 , 180 hp (134 kW)</t>
  </si>
  <si>
    <t>Auster Autocar</t>
  </si>
  <si>
    <t>https://en.wikipedia.org/Auster Autocar</t>
  </si>
  <si>
    <t>https://en.wikipedia.org/9 May 1960</t>
  </si>
  <si>
    <t>Avro Atlantic</t>
  </si>
  <si>
    <t>The Avro Atlantic (Avro 722) was a proposed civilian airliner version of the British Avro Vulcan strategic bomber. It was a response to a 1952 UK Ministry of Supply requirement for a new aircraft suitable for both military and civilian long-range roles. Civilian models of the Vickers Valiant and Handley Page Victor V-bombers were also planned for the same contract. The Vickers V-1000 won the contest over the Atlantic, but ultimately none of these designs would be built. In early June 1953, Sir Roy Dobson C.B.E., then Managing Director of A.V. Roe and Company, revealed[1] that the company was working on a project for a 100-ton airliner based on the Vulcan. The aircraft as envisaged, would have carried a flight crew of five (pilot, co-pilot, navigator and two engineering officers) as well as between 76 and 113 passengers in three separate configurations (luxury, basic and tourist) at speeds in excess of 600 mph (520 kn; 970 km/h) or Mach 0.9 in a pressurised cabin with an equivalent altitude of 8,000 ft (2,400 m) at 45,000 ft (14,000 m).[2] The chief designer of Avro at the time, after Roy Chadwick's death, was Stuart Davies.[3] The Atlantic would have been powered either by Bristol Olympus or Rolls-Royce Conway engines. Artists illustrations at the time show passengers in a 12 ft 6 in (3.81 m) diameter fuselage, seated in two rows, two-abreast, with a single central aisle, with the seats facing towards the rear of the aircraft for safety reasons.[2] The aircraft was initially depicted in illustrations and 1/24-scale models using the original Vulcan wing planform with a straight-line, swept back leading edge, but a 1955 design revision showed the later Phase 2 'kinked' leading edge to overcome buffet during flight. It was anticipated that the Atlantic would be complete by 1958, and initial discussions were held with British Overseas Airways Corporation (BOAC) regarding the viability of the proposal. Avro is reported to have considered a civilian version of the Vulcan as 'inevitable' in 1954–55, and insisted on an initial order of at least 25 aircraft before it would commence production; these orders were not forthcoming.</t>
  </si>
  <si>
    <t>Airliner</t>
  </si>
  <si>
    <t>Avro Vulcan</t>
  </si>
  <si>
    <t>https://en.wikipedia.org/Avro Vulcan</t>
  </si>
  <si>
    <t>Azcárate O-E-1</t>
  </si>
  <si>
    <t>The Azcárate O-E-1 was a reconnaissance-bomber aircraft developed in Mexico in the late 1920s. It was designed by General Brigadier Juan Francisco Azcárate and built at the TNCA workshops near Mexico City. A trainer version, the Azcárate E-1 (for Escuela) was also built. It was a sesquiplane of conventional configuration with tailskid undercarriage, and seating the crew in tandem, open cockpits. The types are sometimes collectively referred to simply as the "Azcárate sesquiplane" (sesquiplano in Spanish). On 30 September 1928, pilot Gustavo León and Subteniente and mechanic Ricardo González set out on an aerial circumnavigation of Mexico in an O-E-1. Conducted in 58 legs, they completed their 10,986 km (6,826 mi) flight on 18 December. General characteristics Performance</t>
  </si>
  <si>
    <t>//upload.wikimedia.org/wikipedia/commons/thumb/5/5f/Azc%C3%A1rate_E-1.jpg/300px-Azc%C3%A1rate_E-1.jpg</t>
  </si>
  <si>
    <t>Reconnaissance bomber</t>
  </si>
  <si>
    <t>TNCA</t>
  </si>
  <si>
    <t>https://en.wikipedia.org/TNCA</t>
  </si>
  <si>
    <t>two, pilot and instructor</t>
  </si>
  <si>
    <t>6.8 m (22 ft 4 in)</t>
  </si>
  <si>
    <t>10.50 m (34 ft 6 in)</t>
  </si>
  <si>
    <t>23.5 m2 (253 sq ft)</t>
  </si>
  <si>
    <t>666 kg (1,465 lb)</t>
  </si>
  <si>
    <t>1 × Wright J-5 radial engine , 112 kW (150 hp)</t>
  </si>
  <si>
    <t>Juan Azcárate</t>
  </si>
  <si>
    <t>https://en.wikipedia.org/Juan Azcárate</t>
  </si>
  <si>
    <t>2.57 m (8 ft 3 in)</t>
  </si>
  <si>
    <t>165 km/h (103 mph, 90 kn)</t>
  </si>
  <si>
    <t>4 hours</t>
  </si>
  <si>
    <t>4,500 m (14,760 ft)</t>
  </si>
  <si>
    <t>https://en.wikipedia.org/1928</t>
  </si>
  <si>
    <t>Aéro Services Guépard Guépard 912</t>
  </si>
  <si>
    <t>The Aéro Services Guépard Guépard 912 (English: Cheetah) is a French two-seat microlight cabin monoplane designed and built by Aéro Services Guépard to meet the FAI Microlight standard, it is also sold as a kit of parts for amateur construction.[1][2][3] The Guépard 912 is a cabin monoplane with a braced high-mounted wing, it has a fixed tricycle landing gear and an enclosed cabin for two sitting in side-by-side configuration.[1] The Guépard is built from welded steel tube with aircraft fabric covering but is also available with a riveted steel covering.[1] Although capable of using a range of engines with power outputs from 65 to 100 hp (48 to 75 kW) the 80 hp (60 kW) Rotax 912 or the 100 hp (75 kW) Rotax 912S are normally used.[1][2][3] Data from World Directory of Leisure Aviation 2005/2006 and 2015/16[1][3]General characteristics Performance</t>
  </si>
  <si>
    <t>//upload.wikimedia.org/wikipedia/commons/thumb/4/46/Aero_Services_Gu%C3%A9pard_Super_Gu%C3%A9pard_912.jpg/300px-Aero_Services_Gu%C3%A9pard_Super_Gu%C3%A9pard_912.jpg</t>
  </si>
  <si>
    <t>9.6 m (31 ft 6 in)</t>
  </si>
  <si>
    <t>14.60 m2 (157.2 sq ft)</t>
  </si>
  <si>
    <t>282 kg (622 lb)</t>
  </si>
  <si>
    <t>65 litres (14 imp gal; 17 US gal)</t>
  </si>
  <si>
    <t>1 × Rotax 912S , 75 kW (100 hp)</t>
  </si>
  <si>
    <t>2-bladed composite</t>
  </si>
  <si>
    <t>BRM Argos</t>
  </si>
  <si>
    <t>The BRM Argos is a Portuguese ultralight aircraft, designed and produced by BRM Costruções Aeronáuticas. The aircraft is supplied as a kit for amateur construction.[1][2] The Argos was designed to comply with the Fédération Aéronautique Internationale microlight rules. It features a cantilever low-wing, a two-seats-in-side-by-side configuration enclosed cockpit, fixed tricycle landing gear and a single engine in tractor configuration.[1][2] The aircraft is made from 6061-T6 aluminum sheet, with its cockpit strengthened with steel roll-over protection. Its 8.4 m (27.6 ft) span wing has an area of 11.6 m2 (125 sq ft) and electrically actuated flaps. Standard engines available are the 100 hp (75 kW) Rotax 912ULS, 85 hp (63 kW) Jabiru 2200 and the 120 hp (89 kW) Jabiru 3300 four-stroke powerplants. Cockpit access is by two gull-winged doors[1][2] Data from Bayerl and BRM Costruções Aeronáuticas,[1][3]General characteristics Performance</t>
  </si>
  <si>
    <t>Portugal</t>
  </si>
  <si>
    <t>https://en.wikipedia.org/Portugal</t>
  </si>
  <si>
    <t>BRM Costruções Aeronáuticas</t>
  </si>
  <si>
    <t>https://en.wikipedia.org/BRM Costruções Aeronáuticas</t>
  </si>
  <si>
    <t>6.59 m (21 ft 7 in)</t>
  </si>
  <si>
    <t>11.6 m2 (125 sq ft)</t>
  </si>
  <si>
    <t>1 × Rotax 912ULS four cylinder, liquid and air-cooled, four stroke aircraft engine, 75 kW (101 hp)</t>
  </si>
  <si>
    <t>4,200 m (13,800 ft)</t>
  </si>
  <si>
    <t>The Antoinette VI was an early French aircraft, flown in 1909. It was a development of the Antoinette IV, its major technological advance being that it was fitted with true ailerons, whereas the former aircraft had ailerons mounted as separate surfaces on the trailing edges of the wings. Nevertheless, Levavasseur was not satisfied with this innovation and later modified the aircraft to use a wing warping system similar to that fitted to the Antoinette V.</t>
  </si>
  <si>
    <t>Auster Aiglet Trainer</t>
  </si>
  <si>
    <t>The Auster J/5 Aiglet Trainer was a 1950s British single-engined four-seat high-wing training and touring monoplane built by Auster Aircraft Limited at Rearsby, Leicestershire. Despite its name, the aircraft type had nothing to do with the Auster J/1B Aiglet, it being an aerobatic development of the Auster J/5 Autocar. The Aiglet Trainer was based on the J/5 fuselage with new wings and stressed for aerobatics. The prototype first flew on 2 June 1951. Most Aiglet Trainers were bought by private pilots and flying clubs, but 15 went to the Pakistan Air Force, 14 to the Iran Civil Aviation Club and two to the Lebanese Air Force.[1]  Jordan Data from Jane's All The World's Aircraft 1955–56[4]General characteristics Performance  Media related to Auster Aiglet Trainer at Wikimedia Commons</t>
  </si>
  <si>
    <t>//upload.wikimedia.org/wikipedia/commons/thumb/2/21/Auster.aiglet.g-amzt.arp.jpg/300px-Auster.aiglet.g-amzt.arp.jpg</t>
  </si>
  <si>
    <t>Aerobatic trainer/tourer</t>
  </si>
  <si>
    <t>{'Auster J/5F Aiglet Trainer': ' production version.', 'Auster J/5K Aiglet Trainer': ' ', 'Auster J/5L Aiglet Trainer': ' ', 'Auster J/8L Aiglet Trainer': ' J-5K re-engined with a de Havilland Gipsy Major 1 engine.'}</t>
  </si>
  <si>
    <t>23 ft 2+1⁄2 in (7.074 m)</t>
  </si>
  <si>
    <t>32 ft 0 in (9.75 m)</t>
  </si>
  <si>
    <t>164 sq ft (15.2 m2) [5]</t>
  </si>
  <si>
    <t>1,323 lb (600 kg)</t>
  </si>
  <si>
    <t>1 × de Havilland Gipsy Major 1 4-cylinder inline engine, 130 hp (97 kW)</t>
  </si>
  <si>
    <t>110 mph (180 km/h, 96 kn)</t>
  </si>
  <si>
    <t>29 mph (47 km/h, 25 kn) full flaps, engine off</t>
  </si>
  <si>
    <t>275 mi (443 km, 239 nmi)</t>
  </si>
  <si>
    <t>705 ft/min (3.58 m/s)</t>
  </si>
  <si>
    <t>1951-1958</t>
  </si>
  <si>
    <t>8 ft 3 in (2.51 m)</t>
  </si>
  <si>
    <t>2,200 lb (998 kg) (three seater)</t>
  </si>
  <si>
    <t>12,500 ft (3,800 m) [5]</t>
  </si>
  <si>
    <t>Auster J/5 Autocar</t>
  </si>
  <si>
    <t>https://en.wikipedia.org/Auster J/5 Autocar</t>
  </si>
  <si>
    <t>https://en.wikipedia.org/Auster J/5R Alpine</t>
  </si>
  <si>
    <t>https://en.wikipedia.org/1951</t>
  </si>
  <si>
    <t>private pilot ownersPakistan Air Force</t>
  </si>
  <si>
    <t>https://en.wikipedia.org/private pilot ownersPakistan Air Force</t>
  </si>
  <si>
    <t>Auster Atom</t>
  </si>
  <si>
    <t>The Auster J/3 Atom was a 1940s British single-engined two-seat high-wing touring monoplane built by Auster Aircraft Limited at Rearsby, Leicestershire. The Atom was an attempt to create a lower-powered version of the J-2 Arrow. A modified Arrow was flown with a 65 hp Continental A65-12 engine and designated the J/3 Atom. Only the prototype, registered G-AHSY, (c/n 2250) was built as the aircraft was not developed further. Another example G-AJIJ (c/n 2401) was not completed. The sole J/3 was dismantled at Rearsby in 1950 and was rebuilt to J/4 standard with a new registration G-AJYX and c/n 2941. It crashed near Melton Mowbray on 22 April 1951 after a pilotless take-off from Rearsby.[1] The Continental A65 engine had been replaced by a 95 hp Blackburn Cirrus Minor II. This aircraft has since been deregistered by the CAA. General characteristics Performance</t>
  </si>
  <si>
    <t>up to two passengers</t>
  </si>
  <si>
    <t>25 ft 3 in (7.70 m)</t>
  </si>
  <si>
    <t>1 × Continental A65 4-cyl. horizontally opposed air-cooled piston engine at 2350 rpm</t>
  </si>
  <si>
    <t>1,601 lb (726 kg)</t>
  </si>
  <si>
    <t>J/2 Arrow</t>
  </si>
  <si>
    <t>https://en.wikipedia.org/J/2 Arrow</t>
  </si>
  <si>
    <t>Auster D.4</t>
  </si>
  <si>
    <t>The Auster D.4 was a two-seat British light aircraft, a development of the Auster Arrow with a horizontally opposed Lycoming engine, which originated from a Portuguese Air Force requirement for a liaison/training aircraft.[1] Six were built by Auster Aircraft at their Rearsby, Leicestershire, factory, of which five went to Portugal, and nine more were built under licence in Portugal by the Oficinas Gerais de Matereal Aeronautico OGMA from sets of components built by Auster and shipped from Rearsby.[2] The original contract was for 25 sets of components but this was reduced in favour of the same number of additional Auster D5/160 sets.[1] Most D4 aircraft were operated in Portugal by government sponsored groups. One example is still active (2018) owned by a UK-based private pilot owner. Data from British Civil Aircraft since 1919: Volume I.[3]General characteristics Performance</t>
  </si>
  <si>
    <t>//upload.wikimedia.org/wikipedia/commons/thumb/a/a4/Beagle_D4.108_G-ARLG_RBY_29.08.67_edited-3.jpg/300px-Beagle_D4.108_G-ARLG_RBY_29.08.67_edited-3.jpg</t>
  </si>
  <si>
    <t>Auster, OGMA</t>
  </si>
  <si>
    <t>https://en.wikipedia.org/Auster, OGMA</t>
  </si>
  <si>
    <t>one example still active in UK in 2018</t>
  </si>
  <si>
    <t>2 passengers</t>
  </si>
  <si>
    <t>23 ft 4+1⁄2 in (7.125 m)</t>
  </si>
  <si>
    <t>1,232 lb (559 kg)</t>
  </si>
  <si>
    <t>1,900 lb (862 kg)</t>
  </si>
  <si>
    <t>1 × Lycoming O-235 air-cooled flat-four engine, 108 hp (81 kW)</t>
  </si>
  <si>
    <t>92 mph (148 km/h, 80 kn)</t>
  </si>
  <si>
    <t>500 mi (800 km, 430 nmi)</t>
  </si>
  <si>
    <t>620 ft/min (3.1 m/s)</t>
  </si>
  <si>
    <t>7 ft 11 in (2.41 m)</t>
  </si>
  <si>
    <t>13,200 ft (4,000 m)</t>
  </si>
  <si>
    <t>https://en.wikipedia.org/Auster Arrow</t>
  </si>
  <si>
    <t>Portuguese Government</t>
  </si>
  <si>
    <t>https://en.wikipedia.org/12 February 1960</t>
  </si>
  <si>
    <t>The Antoinette IV was an early French monoplane. It was a high-wing aircraft with a fuselage of extremely narrow triangular cross-section and a cruciform tail. Power was provided by a V8 engine of Léon Levavasseur's own design driving a paddle-bladed tractor propeller. Lateral control was at first effected with large triangular, and shortly afterwards trapezoidal-planform  ailerons hinged to the trailing edge of the wings, although wing-warping was substituted at an early stage in flight trials, and in this type proved more effective. On 19 February 1909, the Antoinette IV flew 5 km (3.1 mi) at Mourmelon-le-Grand, and on 19 July, Hubert Latham attempted to cross the English Channel in it, covering 11 km (6.8 mi) out of Sangatte before making a forced water landing due to engine failure.[1][2][3][4] On 3 October 1910, Frenchman René Thomas, flying the Antoinette IV, collided with British Army Captain Bertram Dickson by ramming his Farman III biplane in the rear.[5] Both pilots survived, but Dickson was so badly injured that he never flew again.[6][7][8] General characteristics</t>
  </si>
  <si>
    <t>//upload.wikimedia.org/wikipedia/commons/thumb/9/9a/Antoinette4.jpg/300px-Antoinette4.jpg</t>
  </si>
  <si>
    <t>Destroyed</t>
  </si>
  <si>
    <t>one, pilot</t>
  </si>
  <si>
    <t>11.50 m (37 ft 9 in)</t>
  </si>
  <si>
    <t>12.80 m (42 ft 0 in)</t>
  </si>
  <si>
    <t>50 m2 (538 sq ft)</t>
  </si>
  <si>
    <t>250 kg (550 lb)</t>
  </si>
  <si>
    <t>1 × Antoinette 8V , 37 kW (50 hp)</t>
  </si>
  <si>
    <t>October 19, 1908 (1908-10-19)</t>
  </si>
  <si>
    <t>Avro Club Cadet</t>
  </si>
  <si>
    <t>The Avro Club Cadet was a 1930s single-engined British biplane trainer aircraft, designed and built by Avro as a development of the earlier Cadet. It was planned for private and club use and, unlike the Cadet, was fitted with folding wings. The Avro 638 Club Cadet was a modified version of the Avro Cadet, similarly intended for both private and club use. The Club Cadet was fitted with unstaggered wings, that could be folded to help save hangar space; the staggered biplane wings of the earlier Cadet were unsuitable to be adapted for folding. The prototype flew in May 1933, powered by an Armstrong Siddeley Genet Major radial piston engine, another 16 were built, and production finished in 1935.[1] A single prototype of an enclosed three-seat cabin version, the Avro 639 Cabin Cadet was built, and first flew in 1933,[2] but did not enter production. A second three-seat version, the Avro 640 Cadet, was produced for joy-riding work, with a widened fuselage accommodating an open cockpit for two passengers side by side in front of the pilot. Nine of these were built, the first four powered by 140 hp (104 kW) Cirrus Hermes IV engines, and the remaining five powered by Genet Major engines.[1] Most Club Cadets were used by flying schools, although intended for private as well as club use, the largest user being Airwork, that operated five Club Cadets. These were later re-engined with 130 hp (100 kW) de Havilland Gipsy Major engines; the air-cooled in-line inverted engines reduced drag, and gave improved fuel consumption.[1] Data from Avro Aircraft since 1908 [1]General characteristics Performance  Related development</t>
  </si>
  <si>
    <t>//upload.wikimedia.org/wikipedia/commons/thumb/c/ce/Avro638Cadet340.jpg/300px-Avro638Cadet340.jpg</t>
  </si>
  <si>
    <t>Trainer</t>
  </si>
  <si>
    <t>27 (17 ·  638 + 1 ·  639 + 9 ·  640)</t>
  </si>
  <si>
    <t>24 ft 9 in (7.54 m)</t>
  </si>
  <si>
    <t>30 ft 2 in (9.19 m)</t>
  </si>
  <si>
    <t>262 sq ft (24.3 m2)</t>
  </si>
  <si>
    <t>1,244 lb (564 kg)</t>
  </si>
  <si>
    <t>2,000 lb (907 kg)</t>
  </si>
  <si>
    <t>1 × Armstrong Siddeley Genet Major 1 7-cylinder air-cooled radial piston engine, 135 hp (101 kW)</t>
  </si>
  <si>
    <t>325 mi (523 km, 282 nmi)</t>
  </si>
  <si>
    <t>7.63 lb/sq ft (37.3 kg/m2)</t>
  </si>
  <si>
    <t>1933–1935</t>
  </si>
  <si>
    <t>8 ft 9 in (2.67 m)</t>
  </si>
  <si>
    <t>Avro Cadet</t>
  </si>
  <si>
    <t>https://en.wikipedia.org/Avro Cadet</t>
  </si>
  <si>
    <t>0.075 hp/lb (0.123 kW/kg)</t>
  </si>
  <si>
    <t>https://en.wikipedia.org/May 1933</t>
  </si>
  <si>
    <t>https://en.wikipedia.org/1933–1935</t>
  </si>
  <si>
    <t>Aéro Services Guépard Guêpe</t>
  </si>
  <si>
    <t>The Aéro Services Guépard Guêpe (sometimes just called La Guêpe;[1] English: Wasp) is a French ultralight aircraft, designed and produced by Aéro Services Guépard. The aircraft is supplied fully assembled.[2][3] The aircraft was designed to comply with the Fédération Aéronautique Internationale microlight rules. It features a V-strut-braced high-wing, a two seats in tandem open cockpit, conventional landing gear and a single engine in pusher configuration.[2][3] The aircraft is made from bolted-together aluminum tubing, with a single tube serving as the keel tube. A small cockpit fairing and windshield are optional. Its 8.6 m (28.2 ft) span wing has an aluminium structure with its flying surfaces covered in doped aircraft fabric. Standard engines available are the 64 hp (48 kW) Rotax 582 two-stroke and the 60 hp (45 kW) HKS 700E four-stroke powerplant.[2][3] Data from Bayerl[2]General characteristics Performance</t>
  </si>
  <si>
    <t>190 kg (419 lb)</t>
  </si>
  <si>
    <t>1 × Rotax 582 four cylinder, liquid-cooled, two stroke, 48 kW (64 hp)</t>
  </si>
  <si>
    <t>2-bladed ground adjustable</t>
  </si>
  <si>
    <t>2.5 m/s (490 ft/min)</t>
  </si>
  <si>
    <t>BAaer BA-5 Gurí</t>
  </si>
  <si>
    <t>The BAaer Gurí is an Argentine ultralight aircraft, designed and produced by BAaer (BA-Aeroplanos) of Buenos Aires. When it was available the aircraft was supplied as a kit for amateur construction.[1][2] The Gurí was designed as a simple, low cost aircraft to comply with the Fédération Aéronautique Internationale microlight rules. It features a strut-braced high-wing, a two-seats-in-side-by-side configuration semi-enclosed cockpit, fixed conventional landing gear and a single engine in tractor configuration.[1][2] The aircraft is made from a mix of aluminum tubing and fiberglass, with its flying surfaces covered in Dacron sailcloth. Its 10 m (32.8 ft) span wing employs V-struts and jury struts. Standard engines used are the 50 hp (37 kW) Rotax 503, the 64 hp (48 kW) Rotax 582 two-stroke engine, the 80 hp (60 kW) Rotax 912UL and the 60 hp (45 kW) HKS 700E four-stroke powerplant.[1][2] Data from Bayerl and BAaer[1][3]General characteristics Performance   This article on an aircraft of the 1990s is a stub. You can help Wikipedia by expanding it.</t>
  </si>
  <si>
    <t>Argentina</t>
  </si>
  <si>
    <t>https://en.wikipedia.org/Argentina</t>
  </si>
  <si>
    <t>BAaer</t>
  </si>
  <si>
    <t>https://en.wikipedia.org/BAaer</t>
  </si>
  <si>
    <t>6 m (19 ft 8 in)</t>
  </si>
  <si>
    <t>225 kg (496 lb)</t>
  </si>
  <si>
    <t>1 × Rotax 582 twin cylinder, liquid air-cooled, two stroke aircraft engine, 48 kW (64 hp)</t>
  </si>
  <si>
    <t>55 km/h (34 mph, 30 kn)</t>
  </si>
  <si>
    <t>500 km (310 mi, 270 nmi)</t>
  </si>
  <si>
    <t>32.1 kg/m2 (6.6 lb/sq ft)</t>
  </si>
  <si>
    <t>Barr 6</t>
  </si>
  <si>
    <t>The Barr 6, also called the Barr Six, Barr 06 and more recently the Morrison 6, is an American amateur-built aircraft that was initially produced by Barr Aircraft of Williamsport, Pennsylvania and now by Morrison Aircraft of Nambour, Queensland, Australia. The aircraft is supplied as a kit for amateur construction.[1][2][3][4] The development of the Barr 6 was commenced by aeronautical engineer Jim Barr of Williamsport, Pennsylvania in 1989, with the aim of producing a kit aircraft that would be lower in cost to buy and operate than comparable certified aircraft. He invested over US$2M of his own funds in the project during its 17-year development. The design goal was a STOL aircraft comparable to the Cessna 207 in size and layout and the resulting aircraft greatly resembles a Cessna 207 made from composite materials.[3] Barr initially contracted GATS, an engineering consulting firm based in Lock Haven, Pennsylvania, to do the design work. The first four designs, Barr 1 though 4, used welded 4130 steel tubing for the fuselage, covered with fiberglass skin. The results were not acceptable and Barr proceeded with a fifth design, with the fuselage made from pre-preg E-glass sandwiches on a Nomex core. This proved promising and the sixth design combined this with the use of structural 0.097 in (2.464 mm) graphite rods, the end design utilizing 5,000 ft (1,524 m) of the rods. The prototype aircraft, N83W was registered in 2003 and was noted as flying by 2004.[3][5] The final kit design features a strut-braced high-wing, six-seats in an enclosed cabin, with the passengers in club seating (two seats facing forward and two facing rearwards), fixed tricycle landing gear or optionally conventional landing gear and a single engine in tractor configuration. The cabin is accessed by clamshell doors on the right aft fuselage, with a separate pilot door.[1][2] The aircraft is made from a mixture of different types of composites, including 7781 E-Glass pre-preg with 36-38% epoxy resin and structural graphite rods. Its 35.9 ft (10.9 m) span wing employs a NACA 2412 mod airfoil, has an area of 174 sq ft (16.2 m2) and large flaps. The standard engine recommended is the 400 hp (298 kW) Lycoming IO-720-A1BD eight cylinder, horizontally opposed four-stroke powerplant.[1][2][6] The aircraft kit allows for the installation of many options, including Edo Corporation 4930 floats for water operations with associated lift rings, skis for snow operations, taildragger landing gear, oxygen and wheel pants. Morrison has also done developmental work on installing an Allison 250 turboprop powerplant.[3][7] In 1998 the kit was estimated that it would cost US$41,000. By 2004 the kit cost US$89,900, with a quick-build option adding US$69,000 to that price, which included factory builder assistance and a guarantee of aircraft completion in one year. A complete aircraft with the Lycoming IO-720-A1BD engine was estimated to cost US$215,000 in 2004.[3][4] Barr decided to sell the design and retire prior to achieving kit production, saying, "I was 62 in June 2006 and do not have the energy, which I once had, to set up manufacturing of kits for customers. The assets of Barr 6 manufacturing have been sold because I can not do it myself."[8] Steve Morrison of Morrison Aircraft, located in Nambour, Queensland, Australia, purchased the assets of Barr Aircraft on 15 November 2006 and had the parts, jigs and equipment shipped to Australia, arriving in January 2007. Production of new aircraft was planned for May 2008, with the flight of the first example intended for early in 2009, although there is no indication this was completed.[9] The US Federal Aviation Administration registry indicates just one aircraft registered, the original prototype, registered in 2003.[5] In evaluating the prototype in 2004, pilot Bill McCleary said, "the Barr 6 is not like a Beech Bonanza or Piper Lance, but rather a big utility airplane with a 4500 pound gross weight and large cabin. It is like flying a Cessna 210 with 400 hp, and has an excessive amount of power on takeoff, climb and cruise flight ranges. A Cessna 172 or Skylane is a much easier type to fly for quick trips and no requirement of  a large cabin useful load or higher speed. The Barr 6 certainly stands by itself."[3] Data from Bayerl, Tacke and Morrison[1][2][6]General characteristics Performance</t>
  </si>
  <si>
    <t>Barr Aircraft (1989-2006)Morrison Aircraft (2006-present)</t>
  </si>
  <si>
    <t>https://en.wikipedia.org/Barr Aircraft (1989-2006)Morrison Aircraft (2006-present)</t>
  </si>
  <si>
    <t>In production (2012)</t>
  </si>
  <si>
    <t>five passengers</t>
  </si>
  <si>
    <t>29 ft 11 in (9.12 m)</t>
  </si>
  <si>
    <t>35 ft 10 in (10.92 m)</t>
  </si>
  <si>
    <t>1,870 sq ft (174 m2)</t>
  </si>
  <si>
    <t>2,501 lb (1,134 kg) with six seats and IFR instrumentation</t>
  </si>
  <si>
    <t>4,500 lb (2,041 kg)</t>
  </si>
  <si>
    <t>90 U.S. gallons (340 L; 75 imp gal) standard; 140 U.S. gallons (530 L; 120 imp gal) optional</t>
  </si>
  <si>
    <t>1 × Lycoming IO-720-A eight cylinder, air-cooled, four stroke aircraft engine, 400 hp (300 kW)</t>
  </si>
  <si>
    <t>3-bladed Hartzell Propeller constant speed propeller, 6 ft 11 in (2.11 m) diameter</t>
  </si>
  <si>
    <t>206 mph (332 km/h, 179 kn)</t>
  </si>
  <si>
    <t>62 mph (100 km/h, 54 kn) flaps down</t>
  </si>
  <si>
    <t>25.9 lb/sq ft (126 kg/m2)</t>
  </si>
  <si>
    <t>circa 2004</t>
  </si>
  <si>
    <t>7 ft 2 in (2.18 m)</t>
  </si>
  <si>
    <t>248 mph (399 km/h, 216 kn)</t>
  </si>
  <si>
    <t>NACA 2412 mod</t>
  </si>
  <si>
    <t>Beagle Husky</t>
  </si>
  <si>
    <t>The Beagle Husky (originally, the Auster D.5 and initially designated the Auster J/1Y) was a three-seat British light aircraft built in the 1960s which originated from a Portuguese Air Force requirement for a liaison/training aircraft,[1] a development of the Auster Alpha. It first flew as an Auster design in January 1960, but that company was taken over by Beagle Aircraft in September that year. It was initially available with a 160 hp Lycoming O-320 engine as the Auster D5/160. Twenty-two D5/160 were built for Portugal by Auster Aircraft at their Rearsby, Leicestershire, factory, in addition to a single D5/180 (the first such aircraft, with a 180 hp Lycoming O-360 engine). 141 sets of components for D5/160s were built by Auster and shipped to Portugal from Rearsby for assembly by the Oficinas Gerais de Material Aeronautico OGMA under licence, and 5 modification kits to bring a D5/160 to D5/180 standard were also sent.[2] The exact number of aircraft completed by OGMA is a point of contention[1][3][2] but it is probable that 138 D.5 aircraft were completed with one kit becoming a test airframe and two kits remaining as a source of spares.[1] The Portuguese Air Museum preserves two; one in flying condition.[4] A further three Auster D5/160 were sold to the Congo. Subsequently, Beagle developed the D5/160 as the "Beagle D5/180 Husky" with a 180 hp Lycoming O-360 engine, the first being G-ASBV first flown in 1962. Only 15 Huskys were made before production was discontinued in 1967.[5] Since each aircraft was made to order to each customer's specification and there was no standard design of a Beagle Husky, production was accordingly uneconomic.[6][7] It was estimated that the cost of each Husky was £6,045, which was £1,747 more than the UK market price.[8] The last[9] Husky, OE-DEW (c/n 3691), was the last of approximately 3868 aeroplanes[10] in the Auster line to be produced by Auster/Beagle; this aircraft is now back in the UK, registered G-AXBF and is still airworthy (2018). Later a few more airframes of a variety of Auster models were completed from spare fuselages or converted privately. The designation "A.113" was only a design number and was not used in promotional material or in aircraft registrations with the Civil Aviation Authority where the term 'D5/180' was preferred. Additionally, the name Husky was only given to this version and not to the D5/160. Data from British Civil Aircraft since 1919: Volume I[12]General characteristics Performance  Related development</t>
  </si>
  <si>
    <t>//upload.wikimedia.org/wikipedia/commons/thumb/3/3e/Beagle-g-atmh.jpg/300px-Beagle-g-atmh.jpg</t>
  </si>
  <si>
    <t>Auster, Beagle Aircraft, OGMA</t>
  </si>
  <si>
    <t>https://en.wikipedia.org/Auster, Beagle Aircraft, OGMA</t>
  </si>
  <si>
    <t>2,450 lb (1,111 kg)</t>
  </si>
  <si>
    <t>1 × Lycoming O-320-A2A air-cooled flat-four engine, 160 hp (120 kW)</t>
  </si>
  <si>
    <t>108 mph (174 km/h, 94 kn)</t>
  </si>
  <si>
    <t>640 ft/min (3.3 m/s)</t>
  </si>
  <si>
    <t>125 mph (201 km/h, 109 kn)</t>
  </si>
  <si>
    <t>12,800 ft (3,900 m)</t>
  </si>
  <si>
    <t>Auster Alpha</t>
  </si>
  <si>
    <t>https://en.wikipedia.org/Auster Alpha</t>
  </si>
  <si>
    <t>Belite Aircraft Superlite</t>
  </si>
  <si>
    <t>The Belite Superlite is a single-seat, high-wing, single-engine ultralight aircraft developed from the Kitfox Lite aircraft especially for the United States FAR 103 Ultralight Vehicles category.[1][2][3] Designer James Wiebe bought the assets and tooling of the Kitfox Lite from Skystar. He modified the prototype Kitfox Lite to meet FAR 103 regulations requiring an ultralight aircraft to have an empty weight of less than 254 lb (115 kg).[1][2][4] The fuselage is made from 4130 steel tubing. Flaperons and vortex generators are used for roll control and low speed flight. The wings are foldable for storage.[1][2] Items were substituted with carbon-fiber-reinforced polymer to make the aircraft lighter than a Kitfox Lite. This included the tailwheel leaf spring, wing spars, wing ribs (aluminum on later kits), lift struts, firewall, elevator and fuel tank.[4] A variety of engines may be used such as the Hirth F33, Hirth F-23, Zanzottera MZ 34, 1/2 Volkswagen air-cooled engine and the Zanzottera MZ 201.[1][2] Data from Sport AviationGeneral characteristics Performance Avionics A Belite aircraft was used in the show Mythbusters Episode 174 – Duct Tape Plane.  A Belite was "mauled" by an artificial bear claw with the damage being limited to the fabric skin of the rear fuselage and vertical stabilizer. The control surfaces were not damaged during the destruction. The aircraft was then repaired with Duct-Tape and successfully flown.[6] Note: This is not to be confused with Speed tape.</t>
  </si>
  <si>
    <t>//upload.wikimedia.org/wikipedia/commons/thumb/2/2b/Belite_Trike.jpg/300px-Belite_Trike.jpg</t>
  </si>
  <si>
    <t>United States of America</t>
  </si>
  <si>
    <t>https://en.wikipedia.org/United States of America</t>
  </si>
  <si>
    <t>Belite Aircraft</t>
  </si>
  <si>
    <t>https://en.wikipedia.org/Belite Aircraft</t>
  </si>
  <si>
    <t>10 (2011)</t>
  </si>
  <si>
    <t>25 ft 2 in (7.67 m)</t>
  </si>
  <si>
    <t>550 lb (249 kg)</t>
  </si>
  <si>
    <t>5 US gallons (19 l; 4.2 imp gal)</t>
  </si>
  <si>
    <t>1 × Compact Radial MZ-201 two stroke, 45 hp (34 kW)</t>
  </si>
  <si>
    <t>48 kn (55 mph, 89 km/h)</t>
  </si>
  <si>
    <t>24 kn (28 mph, 45 km/h)</t>
  </si>
  <si>
    <t>400 ft/min (2.0 m/s)</t>
  </si>
  <si>
    <t>5.56 lb/sq ft (27.1 kg/m2)</t>
  </si>
  <si>
    <t>James Wiebe</t>
  </si>
  <si>
    <t>https://en.wikipedia.org/James Wiebe</t>
  </si>
  <si>
    <t>Kitfox Lite</t>
  </si>
  <si>
    <t>https://en.wikipedia.org/Kitfox Lite</t>
  </si>
  <si>
    <t>Second Chantz system</t>
  </si>
  <si>
    <t>BRM Land Africa</t>
  </si>
  <si>
    <t>The BRM Land Africa is a Portuguese ultralight aircraft, designed and produced by BRM Costruções Aeronáuticas. The aircraft is supplied as a kit for amateur construction or as a complete ready-to-fly-aircraft.[1][2][3] Chris Heintz, the designer of the Zenith STOL CH 701 considers the Land Africa an unauthorized copy of the CH 701. The Land Africa varies from CH 701 in having a wider and longer cockpit.[1][3][4] The aircraft was designed to comply with the Fédération Aéronautique Internationale microlight rules. It features a strut-braced high-wing, a two-seats-in-side-by-side configuration enclosed cockpit, fixed tricycle landing gear and a single engine in tractor configuration.[1][3] The aircraft is made from aluminum sheet. Its 8.63 m (28.3 ft) span wing has an area of 18.08 m2 (194.6 sq ft) and features large flaps as well as leading edge slots. Standard engines available are the 80 hp (60 kW) Rotax 912UL and the 100 hp (75 kW) Rotax 912ULS four-stroke powerplants.[1][3][2] In 2009 a new faster wing option was introduced that increases the top speed by about 25 km/h (16 mph), while retaining the same low stall speed.[3] The Land Africa replaced the earlier BRM Okavango in production.[3] Data from Bayerland and BRM Costruções Aeronáuticas[1][5]General characteristics Performance</t>
  </si>
  <si>
    <t>//upload.wikimedia.org/wikipedia/commons/thumb/a/a3/BRM_Land_Africa%2C_Private_JP7186824.jpg/300px-BRM_Land_Africa%2C_Private_JP7186824.jpg</t>
  </si>
  <si>
    <t>8.63 m (28 ft 4 in)</t>
  </si>
  <si>
    <t>18.08 m2 (194.6 sq ft)</t>
  </si>
  <si>
    <t>270 kg (595 lb)</t>
  </si>
  <si>
    <t>72 litres (16 imp gal; 19 US gal)</t>
  </si>
  <si>
    <t>Zenith STOL CH 701</t>
  </si>
  <si>
    <t>https://en.wikipedia.org/Zenith STOL CH 701</t>
  </si>
  <si>
    <t>Backcountry Super Cubs Mackey SQ2</t>
  </si>
  <si>
    <t>The Backcountry Super Cubs Mackey SQ2 is an American STOL amateur-built aircraft, designed and produced by Backcountry Super Cubs of Douglas, Wyoming. The aircraft is based upon the design of the Piper PA-18 Super Cub and is supplied as a kit for amateur construction.[1] The Mackey SQ2 features a strut-braced high-wing, a two-seats-in-tandem enclosed cockpit that is 30 in (76 cm) wide, fixed conventional landing gear and a single engine in tractor configuration.[1] The aircraft fuselage is made from welded steel tubing, with the wings constructed of aluminum sheet, all covered in doped aircraft fabric. Its 36.9 ft (11.2 m) span wing has an area of 170 sq ft (16 m2), is supported by "V" struts with jury struts and mounts flaps as well as leading edge slats. The aircraft's recommended engine power range is 180 to 240 hp (134 to 179 kW) and standard engines used include the 180 hp (134 kW) Lycoming O-360 four-stroke powerplant.  The aircraft can be fitted with tundra tires for operations on soft or rough surfaces. Construction time from the supplied kit is 1200 hours.[1] By December 2011 seven examples had been reported as completed and flown.[1] Data from Kitplanes[1]General characteristics Performance</t>
  </si>
  <si>
    <t>//upload.wikimedia.org/wikipedia/commons/thumb/c/ca/Backcountry_Super_Cubs_Mackey_SQ2_N70KR.jpg/300px-Backcountry_Super_Cubs_Mackey_SQ2_N70KR.jpg</t>
  </si>
  <si>
    <t>Backcountry Super Cubs</t>
  </si>
  <si>
    <t>https://en.wikipedia.org/Backcountry Super Cubs</t>
  </si>
  <si>
    <t>21 ft (6.4 m)</t>
  </si>
  <si>
    <t>39.9 ft (12.2 m)</t>
  </si>
  <si>
    <t>170 sq ft (16 m2)</t>
  </si>
  <si>
    <t>1,200 lb (544 kg)</t>
  </si>
  <si>
    <t>48 U.S. gallons (180 L; 40 imp gal)</t>
  </si>
  <si>
    <t>1 × Lycoming O-360 four cylinder, air-cooled, four stroke aircraft engine, 180 hp (130 kW)</t>
  </si>
  <si>
    <t>2-bladed constant speed propeller</t>
  </si>
  <si>
    <t>20 mph (32 km/h, 17 kn)</t>
  </si>
  <si>
    <t>600 mi (970 km, 520 nmi)</t>
  </si>
  <si>
    <t>1,000 ft/min (5.1 m/s)</t>
  </si>
  <si>
    <t>12.9 lb/sq ft (63 kg/m2)</t>
  </si>
  <si>
    <t>Piper PA-18 Super Cub</t>
  </si>
  <si>
    <t>https://en.wikipedia.org/Piper PA-18 Super Cub</t>
  </si>
  <si>
    <t>Baker MB-1 Delta Kitten</t>
  </si>
  <si>
    <t>The Baker MB-1 was a 45 degree delta winged experimental aircraft designed to maximize use of its 85 hp (63 kW) engine and experiment with delta-winged design.[1] The prototype was built around the remains of a wrecked Cessna 140 using its engine, propeller, and wheels.[2] The landing gear was fashioned from truck springs. The controls were conventional with the elevator in the center of the delta's trailing edge and ailerons outboard operated by push-pull tubes.[3] Plans for the aircraft were available for homebuilt construction.[4] Data from Sport Aviation January 1962General characteristics Performance   Aircraft of comparable role, configuration, and era</t>
  </si>
  <si>
    <t>//upload.wikimedia.org/wikipedia/commons/thumb/f/f5/Baker_Delta_Kitten.jpg/300px-Baker_Delta_Kitten.jpg</t>
  </si>
  <si>
    <t>https://en.wikipedia.org/Experimental aircraft</t>
  </si>
  <si>
    <t>Baker Air Research</t>
  </si>
  <si>
    <t>13 ft 3 in (4.04 m)</t>
  </si>
  <si>
    <t>18 ft (5.5 m)</t>
  </si>
  <si>
    <t>98 sq ft (9.1 m2)</t>
  </si>
  <si>
    <t>584 lb (265 kg)</t>
  </si>
  <si>
    <t>1 × Continental C85 four-cylinder horizontally-opposed air-cooled engine, 85 hp (63 kW)</t>
  </si>
  <si>
    <t>100 kn (115 mph, 185 km/h)</t>
  </si>
  <si>
    <t>Marion Baker</t>
  </si>
  <si>
    <t>5 ft 8 in (1.73 m)</t>
  </si>
  <si>
    <t>843 lb (382 kg)</t>
  </si>
  <si>
    <t>117 kn (135 mph, 217 km/h)</t>
  </si>
  <si>
    <t>Bartel BM 1</t>
  </si>
  <si>
    <t>The Bartel BM 1 Maryla, originally Bartel M.1 was a fighter aircraft design for the Polish military that did not advance beyond the design stage. It was designed in response to a Polish War Ministry competition in 1925 and was placed third, netting Bartel a zł 1,000 prize.  Maryla was the name of Bartel's wife.   The design was a single-seat parasol-wing monoplane similar in configuration to the Nieuport-Delage sesquiplanes of the era. A distinctive feature were Y-shaped struts joining wing with an undercarriage.  It was not built.[1] Data from Polish Aircraft 1893–1939[1] Bartel BM-1 "Maryla", 1925[2]General characteristics Performance Armament</t>
  </si>
  <si>
    <t>Design only - never built</t>
  </si>
  <si>
    <t>7 m (23 ft 0 in)</t>
  </si>
  <si>
    <t>22 m2 (240 sq ft)</t>
  </si>
  <si>
    <t>1,020 kg (2,249 lb)</t>
  </si>
  <si>
    <t>1,500 kg (3,307 lb)</t>
  </si>
  <si>
    <t>1 × Lorraine 12E Courlis W-12 cylinder liquid-cooled piston engine, 340 kW (450 hp)</t>
  </si>
  <si>
    <t>Ryszard Bartel in 1925</t>
  </si>
  <si>
    <t>https://en.wikipedia.org/Ryszard Bartel in 1925</t>
  </si>
  <si>
    <t>3 m (9 ft 10 in)</t>
  </si>
  <si>
    <t>285 km/h (177 mph, 154 kn)</t>
  </si>
  <si>
    <t>Bartel 37/IIa</t>
  </si>
  <si>
    <t>Bartlett Zephyr</t>
  </si>
  <si>
    <t>The Bartlett LC-13A Zephyr 150 was a United States light civil aircraft built in the 1940s. It was a mid-wing braced monoplane of conventional design with side-by-side seating for two and fixed, tailwheel undercarriage. It was originally marketed as the Babcock LC-13 by its original manufacturer, then as the Taubman LC-13 when the Babcock Airplane Corporation was acquired by Taubman Aircraft. The rights were finally acquired by Bartlett Aircraft in 1941, but plans to mass-produce it were halted by the outbreak of World War II.  There was a brief attempt to revive the design at the end of the war, but nothing came of this. Data from Jane's all the World's Aircraft 1947[1]General characteristics Performance         Photo: [1]</t>
  </si>
  <si>
    <t>//upload.wikimedia.org/wikipedia/commons/thumb/8/8b/Babcock_Taubman_LC13_%287014280473%29.jpg/300px-Babcock_Taubman_LC13_%287014280473%29.jpg</t>
  </si>
  <si>
    <t>Bartlett Aircraft</t>
  </si>
  <si>
    <t>https://en.wikipedia.org/Bartlett Aircraft</t>
  </si>
  <si>
    <t>ca. 4</t>
  </si>
  <si>
    <t>21 ft 0 in (6.4 m)</t>
  </si>
  <si>
    <t>30 ft 8 in (9.34 m)</t>
  </si>
  <si>
    <t>132 sq ft (12.3 m2)</t>
  </si>
  <si>
    <t>965 lb (438 kg)</t>
  </si>
  <si>
    <t>1,650 lb (748 kg)</t>
  </si>
  <si>
    <t>50 US gal (42 imp gal; 190 l)</t>
  </si>
  <si>
    <t>1 × Franklin 6A4-150-B3 6-cyl horizontally-opposed air-cooled piston engine, 150 hp (110 kW)   at 2,600 rpm</t>
  </si>
  <si>
    <t>2-bladed constant-speed propeller</t>
  </si>
  <si>
    <t>135 mph (217 km/h, 117 kn) * Landing speed</t>
  </si>
  <si>
    <t>1,500 ft/min (7.6 m/s)</t>
  </si>
  <si>
    <t>2.6 lb/sq ft (12.5 kg/m2)</t>
  </si>
  <si>
    <t>Vearne C. Babcock</t>
  </si>
  <si>
    <t>https://en.wikipedia.org/Vearne C. Babcock</t>
  </si>
  <si>
    <t>6 ft 0 in (1.83 m)</t>
  </si>
  <si>
    <t>150 mph (240 km/h, 130 kn)</t>
  </si>
  <si>
    <t>11 lb/hp (6.68 kg/kW)</t>
  </si>
  <si>
    <t>0.4 lb/mi (0.11 kg/km)</t>
  </si>
  <si>
    <t>Bell P-76</t>
  </si>
  <si>
    <t>The Bell P-76 was the proposed designation for a production model derivative of the XP-39E, a single-engine American fighter aircraft prototype of World War II. On 26 February 1941 the United States Army Air Corps (USAAC) placed a contract with Bell allowing for the purchase of two XP-39Es (41-19501 and 41-19502) which were envisaged to be a major improvement on the P-39D series. Because of the number of changes proposed the production model was to be called the Bell P-76. The Bell P-76 was proposed to address the poor high-altitude performance of the P-39 Airacobra by incorporating a new and thicker wing with a symmetrical airfoil; the section chosen was NACA 0018 at the wing-root tapering to an NACA 23009 at the tip. Although the new wing has often been referred to as a laminar flow type, this was not the case.[1] The wing span was increased to 35 ft 10 in (10.9 m) and the area to 236 ft² (21.9 m²), the thicker wing allowing an increase in the fuel capacity to 150 US gallons (568 L).[2] Design of a new Allison V-1710-E9 was also underway. This version, which had the military designation of V-1710-47, used a two-stage mechanical supercharger to increase the engine power at altitude. However, this engine went through so many design changes that it ended up being almost identical to the later V-1710-93 which was fitted in the XP-63A.[2] Another change was the engine bay was modified to accept a more powerful engine in lieu of the V-1710. Its origins lie in the 1941 project to equip three P-39D (41-19501, 41-19502 and 42-7164) with the Continental V-1430-1 liquid-cooled supercharged engine. The resultant XP-39E had a symmetrical airfoil wing with square wingtips, an elongated fuselage to accommodate the larger engine, and revised air intakes and radiators. The three prototypes each had a different tailfin. Since the Continental engine was not available at rollout, the prototypes flew with Allison V-1710-47 engines. In 1942, the XP-39E was redesignated P-76. Although 4,000 aircraft were initially ordered, the order was cancelled to permit the Bell factory to manufacture B-29 Superfortress bomber aircraft under license from Boeing. Many of the lessons learned in the P-76 were implemented in the subsequent P-63 Kingcobra. General characteristics Performance Armament  Related development   Related lists</t>
  </si>
  <si>
    <t>//upload.wikimedia.org/wikipedia/commons/thumb/5/5a/Bell_XP-39E.jpg/300px-Bell_XP-39E.jpg</t>
  </si>
  <si>
    <t>Fighter aircraft</t>
  </si>
  <si>
    <t>https://en.wikipedia.org/Fighter aircraft</t>
  </si>
  <si>
    <t>Bell Aircraft Corporation</t>
  </si>
  <si>
    <t>https://en.wikipedia.org/Bell Aircraft Corporation</t>
  </si>
  <si>
    <t>Did not enter mass-production</t>
  </si>
  <si>
    <t>0 (3 prototypes built as XP-39Es)</t>
  </si>
  <si>
    <t>31 ft 11 in (9.7 m)</t>
  </si>
  <si>
    <t>35 ft 10 in (10.9 m)</t>
  </si>
  <si>
    <t>236 sq ft (21.9 m2)</t>
  </si>
  <si>
    <t>6,936 lb (3,150 kg)</t>
  </si>
  <si>
    <t>1 × Continental I-1430-1 , 2,100 hp (1,600 kW)</t>
  </si>
  <si>
    <t>2,150 ft/min (11 m/s)</t>
  </si>
  <si>
    <t>8,918 lb (4,050 kg)</t>
  </si>
  <si>
    <t>386 mph (620 km/h, 335 kn) at 21,680 ft (6,600 m)</t>
  </si>
  <si>
    <t>Bell P-39 Airacobra</t>
  </si>
  <si>
    <t>https://en.wikipedia.org/Bell P-39 Airacobra</t>
  </si>
  <si>
    <t>1× 37 mm (1.46 in) Oldsmobile T9 cannon, 30 rounds2× 0.50 in (12.7 mm) M2 Browning machine guns, 200 rounds per gun4× 0.30 in (7.62 mm) M1919 machine guns, 1,000 rounds per gun</t>
  </si>
  <si>
    <t>500 lb (227 kg) externally</t>
  </si>
  <si>
    <t>Bellanca 14-13</t>
  </si>
  <si>
    <t>The Bellanca 14-13 Cruisair Senior and its successors were a family of light aircraft that were manufactured in the United States by AviaBellanca Aircraft after World War II.  They were a follow-up to the prewar Bellanca 14-7 and its derivatives. The 14-13 retained the Bellanca 14-7's basic design, but featured an enlarged cabin, a horizontally opposed Franklin 6A4-335-B3 150 hp (112 kW) engine in place of the earlier models' Le Blond radial, and an oval vertical endplate on each horizontal stabiliser.  This latter feature gained the type the affectionate nickname "cardboard Constellation", because the arrangement was similar to the contemporary Lockheed Constellation airliner.[1] Taking its name from the Bellanca tradition of identifying the series from the wing area in square feet, dropping the final digit, while the second number was the aircraft's horsepower, again dropping the final digit, the 14-13 did not quite fit the naming convention. The Bellanca 14-13 wing was constructed of wood, while the fuselage was welded steel-tube framework with a fabric covering.[1] The 14-13 was introduced in 1946; in its improved 14-13-3 version the aircraft remained in production until 1956.[1] A higher-performance design revision was granted FAA approval as the 14-19 Cruisemaster on September 26, 1949.[2] The new model featured structural upgrades, a 190 hp (142 kW) Lycoming O435-A engine, an increased gross weight of 2,600 lb (1,179 kg), hydraulically operated landing gear and flaps, and a deluxe interior. 99 of these airplanes were produced between 1949 and 1951. Externally, a near-look-alike to the earlier models, this version was distinguished by its larger, oval-shaped endplates.[3] All production ceased in 1956 as Bellanca wound up its operations. The 14-19 design was revived by Northern Aircraft and granted FAA approval on January 7, 1957 as the 14-19-2 Cruisemaster. The new model featured a 230 hp (172 kW) Continental O-470K engine, an increased gross weight of 2,700 pounds,[2] an updated instrument panel as well as new  paint and upholstery schemes.[4] A total of 104 of these aircraft were produced between 1957 and 1958.[3] The company was renamed Downer Aircraft in 1959. Inter-Air acquired the production rights in 1962 and was renamed as the Bellanca Sales Company, a subsidiary of Miller Flying Service.[1] Further development of the design by Inter-Air resulted in the modernized Viking series introduced in 1962.[5] Designed and produced in the post-World War II  era, the Bellanca 14-13 Cruisair Senior was aimed at a general aviation market. Pilot/owners were offered a combination of performance, low engine power and a modest price. Its performance and structural strength also made it attractive for utility work, but in many ways the Bellanca design was an anachronism, relying on a conventional landing gear configuration and wood-and-fabric construction that harkened back to an earlier age. Postwar economics along with a glut of surplus military aircraft precluded heavy sales although about 600 were produced.[5] Despite its introduction into a period where private aircraft sales were stagnant, the aircraft remained popular through all of its incarnations and today is considered a classic cabin monoplane and is much in demand.[6] Data from Jane's all the World's Aircraft 1947[8]General characteristics Performance Related development Aircraft of comparable role, configuration, and era</t>
  </si>
  <si>
    <t>//upload.wikimedia.org/wikipedia/commons/thumb/b/bd/Bellanca_14-13-2_C-FGGX_02.JPG/300px-Bellanca_14-13-2_C-FGGX_02.JPG</t>
  </si>
  <si>
    <t>Civil utility aircraft</t>
  </si>
  <si>
    <t>Bellanca</t>
  </si>
  <si>
    <t>https://en.wikipedia.org/Bellanca</t>
  </si>
  <si>
    <t>Around 600</t>
  </si>
  <si>
    <t>21 ft 4 in (6.5 m) tail up</t>
  </si>
  <si>
    <t>34 ft 2 in (10.41 m)</t>
  </si>
  <si>
    <t>161 sq ft (15.0 m2)</t>
  </si>
  <si>
    <t>2,100 lb (953 kg)</t>
  </si>
  <si>
    <t>40 US gal (33 imp gal; 150 l) in two tanks</t>
  </si>
  <si>
    <t>1 × Franklin 6A4-150-B3 6 cyl. horizontally-opposed air-cooled piston engine, 150 hp (110 kW)   at 2,600 rpm</t>
  </si>
  <si>
    <t>2-bladed Sensenich fixed pitch airscrew</t>
  </si>
  <si>
    <t>154 mph (248 km/h, 134 kn) at 2,435 rpm</t>
  </si>
  <si>
    <t>45 mph (72 km/h, 39 kn) with flaps</t>
  </si>
  <si>
    <t>1,130 ft/min (5.7 m/s)</t>
  </si>
  <si>
    <t>13 lb/sq ft (63 kg/m2)</t>
  </si>
  <si>
    <t>6 ft 2 in (1.88 m) tail down</t>
  </si>
  <si>
    <t>169 mph (272 km/h, 147 kn) at 2,700 rpm</t>
  </si>
  <si>
    <t>Bellanca 14-7</t>
  </si>
  <si>
    <t>https://en.wikipedia.org/Bellanca 14-7</t>
  </si>
  <si>
    <t>14 lb/hp (2.875 kg/kW)</t>
  </si>
  <si>
    <t>Bellanca B</t>
  </si>
  <si>
    <t>162 yd (148 m)</t>
  </si>
  <si>
    <t>https://en.wikipedia.org/Bellanca 17-30</t>
  </si>
  <si>
    <t>https://en.wikipedia.org/November 13, 1945</t>
  </si>
  <si>
    <t>Bellanca CH-300 Pacemaker</t>
  </si>
  <si>
    <t>The Bellanca CH-300 Pacemaker was a six-seat utility aircraft, built primarily in the United States in the 1920s and 1930s. It was a development of the Bellanca CH-200, fitted with a more powerful engine and, like the CH-200, soon became renowned for its long-distance endurance. Bellanca further developed the earlier CH-200 to create the CH-300 Pacemaker. The CH-300 was a conventional, high-wing braced monoplane with fixed tailwheel undercarriage. Like other Bellanca aircraft of the period, it featured "flying struts".[N 1] While the CH-200 was powered by 220 hp Wright J-5 engines, the CH-300 series Pacemakers were powered by 300 hp Wright J-6s. Late in the series, some -300s were fitted with 420 hp Pratt &amp; Whitney Wasps, leading to the CH-400 Skyrocket series. Pacemakers were renowned for their long-distance capabilities as well as reliability and weight-lifting attributes, which contributed to their successful operation throughout the world. In 1929, George Haldeman completed the first nonstop flight from New York to Cuba in 12 hours, 56 minutes, flying an early CH-300 (c. 1,310 miles, 101.3 mph). In 1931, a Bellanca fitted with a Packard DR-980 diesel, piloted by Walter Lees and Frederick Brossy, set a record for staying aloft for 84 hours and 33 minutes without being refuelled. This record was not broken until 55 years later. In Alaska and the Canadian bush, Bellancas were very popular. Canadian-operated Bellancas were initially imported from the United States, but later, six were built by Canadian Vickers in Montreal and delivered to the RCAF (added to the first order of 29 made in 1929), which used them mainly for aerial photography. In May 1964, Capt. A.G.K.(Gath) Edward, a senior Air Canada pilot, and Ken Molson (the then curator of the Aviation Museum of Canada based at Rockcliffe) traveled to Juneau Alaska to ferry Bellanca Pacemaker NC3005 back to the museum which had obtained the aircraft. Edward had flown a similar model of the Pacemaker floatplane for General Airways starting in June 1935 during his bushflying days. He and Molson delivered it to its final resting place in the museum on May 30, 1964, after a trip taking five days and just over 30 hours of flight time. The aircraft was reregistered CF-ATN as the original registered a/c was destroyed in an accident in June 1938. One of the first records set by a Bellanca CH-300 series aircraft occurred on July 28–30, 1931, when Russell Norton Boardman (age 33) and John Louis Polando (age 29) flew from Floyd Bennett Field — a famous New York City-area early airport on western Long Island from which many record flights originated — to Istanbul, Turkey aboard an earlier model of the Wright R-975-powered CH-300, a Bellanca "Special J-300" high-wing monoplane named Cape Cod, registration NR761W, making it safely to Istanbul nonstop in 49:20 hours, establishing a distance record of 5,011.8 miles (8,065.7 km), the first known nonstop record flight in aviation history whose distance surpassed either the English (5,000 mi) or metric (8,000 km) mark.[1] On June 3, 1932, Stanislaus F. Hausner, flying a Bellanca CH Pacemaker named Rose Marie, powered by a 300-hp Wright J-6, attempted a transatlantic flight from Floyd Bennett Field, New York, to Warsaw, Poland. The attempt failed when he made a forced landing at sea; he was rescued by a British tanker eight days later.[2] On July 15, 1933 6:24 AM two Lithuanian pilots Steponas Darius ir Stasys Girėnas flying a heavily modified CH-300 named Lituanica lifted off from Floyd Bennet Field to attempt a non stop transatlantic flight. They successfully crossed the Atlantic, however crashed in the forest near Pszczelnik, Poland. Flying replica of the plane is on display in Lithuanian museum of Aviation, the wreckage of the original is kept in Vytautas Magnus War museum, Kaunas, Lithuania. General characteristics Performance Related development   Related lists</t>
  </si>
  <si>
    <t>//upload.wikimedia.org/wikipedia/commons/thumb/6/63/Bellanca_Pacemaker.jpg/300px-Bellanca_Pacemaker.jpg</t>
  </si>
  <si>
    <t>approximately 35</t>
  </si>
  <si>
    <t>{'CH-300W': '  CH-300 converted to use a ', '300-W': '  Built with a ', 'PM-300 Pacemaker Freighter': ' Cargo version (two built)'}</t>
  </si>
  <si>
    <t>27 ft 9 in (8.5 m)</t>
  </si>
  <si>
    <t>46 ft 4 in (14.1 m)</t>
  </si>
  <si>
    <t>2,275 lb (1,032 kg)</t>
  </si>
  <si>
    <t>4,072 lb (1,847 kg)</t>
  </si>
  <si>
    <t>1 × Wright J-6 radial , 330 hp (246 kW)</t>
  </si>
  <si>
    <t>675 mi (1,086 km, 587 nmi)</t>
  </si>
  <si>
    <t>8 ft 4 in (2.5 m)</t>
  </si>
  <si>
    <t>165 mph (266 km/h, 143 kn)</t>
  </si>
  <si>
    <t>Bellanca CH-200</t>
  </si>
  <si>
    <t>https://en.wikipedia.org/Bellanca CH-200</t>
  </si>
  <si>
    <t>https://en.wikipedia.org/Bellanca CH-400</t>
  </si>
  <si>
    <t>https://en.wikipedia.org/1929</t>
  </si>
  <si>
    <t>Backcountry Super Cubs Supercruiser</t>
  </si>
  <si>
    <t>The Backcountry Super Cubs Supercruiser is an American amateur-built aircraft, designed and produced by Backcountry Super Cubs of Douglas, Wyoming. The aircraft is based upon the design of the Piper PA-12 Super Cruiser and is supplied as a kit for amateur construction.[1] The Supercruiser features a strut-braced high wing, a three-seat 36 in (91 cm) wide enclosed cockpit, fixed conventional landing gear and a single engine in tractor configuration. The aircraft seats the pilot in front and two passengers in the rear on a bench seat.[1] The aircraft fuselage is made from welded steel tubing, with the wings constructed of aluminum sheet, all covered in doped aircraft fabric. Its 38.1 ft (11.6 m) span wing has an area of 170 sq ft (16 m2), is supported by "V" struts with jury struts and mounts flaps. The aircraft's recommended engine power range is 180 to 240 hp (134 to 179 kW) and standard engines used include the 180 hp (134 kW) Lycoming O-360 four-stroke powerplant. Construction time from the supplied kit is 1200 hours.[1] By December 2011, 140 examples had been reported as completed and flown.[1] Data from Kitplanes[1]General characteristics Performance</t>
  </si>
  <si>
    <t>two passengers</t>
  </si>
  <si>
    <t>38.1 ft (11.6 m)</t>
  </si>
  <si>
    <t>580 mi (930 km, 500 nmi)</t>
  </si>
  <si>
    <t>14.1 lb/sq ft (69 kg/m2)</t>
  </si>
  <si>
    <t>Piper PA-12 Super Cruiser</t>
  </si>
  <si>
    <t>https://en.wikipedia.org/Piper PA-12 Super Cruiser</t>
  </si>
  <si>
    <t>Bauer BAD-12 Gyrotrainer</t>
  </si>
  <si>
    <t>The Bauer BAD-12 Gyrotrainer is a Czech autogyro, designed and produced by Bauer Avion of Prague.  The aircraft is supplied as a complete ready-to-fly-aircraft.[1] The BAD-12 Gyrotrainer features a single main rotor, a two seats in tandem open cockpit with a windshield, tricycle landing gear with wheel pants, a triple tail and a four-cylinder, air and liquid-cooled, four-stroke, dual-ignition 100 hp (75 kW) Rotax 912ULS engine in pusher configuration. The turbocharged 115 hp (86 kW) Rotax 914 and Subaru EJ22 are optional engines.[1] The aircraft fuselage is made from tubing, while the cockpit fairing is composite. The main rotor has a diameter of Its 8.70 m (28.5 ft). The BAD-12 has an empty weight of 284 kg (626 lb) and a gross weight of 450 kg (990 lb), giving a useful load of 166 kg (366 lb). The tricycle landing gear is supplemented with a small tailwheel to prevent dragging the tail on take-off. The tailboom has a bend in it to permit the installation of larger and more efficient propellers.[1] Data from Bayerl[1]General characteristics Performance</t>
  </si>
  <si>
    <t>Czech Republic</t>
  </si>
  <si>
    <t>https://en.wikipedia.org/Czech Republic</t>
  </si>
  <si>
    <t>Bauer Avion</t>
  </si>
  <si>
    <t>https://en.wikipedia.org/Bauer Avion</t>
  </si>
  <si>
    <t>284 kg (626 lb)</t>
  </si>
  <si>
    <t>55 litres (12 imp gal; 15 US gal)</t>
  </si>
  <si>
    <t>1 × Rotax 914 four cylinder, turbocharged, liquid and air-cooled, four stroke aircraft engine, 86 kW (115 hp)</t>
  </si>
  <si>
    <t>2-bladed composite, ground adjustable</t>
  </si>
  <si>
    <t>3 m/s (590 ft/min)</t>
  </si>
  <si>
    <t>8.70 m (28 ft 7 in)</t>
  </si>
  <si>
    <t>The Bellanca 14-7 and its successors were a family of light aircraft manufactured in the United States shortly before World War II.[1] Bellanca had already established itself in the market for aircraft in the 6–8 seat size, but believed that it could also successfully sell smaller (3–4 seats) aircraft. The first example flew in 1937.[2] The 14-7 was a modern, low-wing cantilever monoplane with a fuselage intended to contribute lift to the design. Although the prototype flew with fixed tailwheel undercarriage, the 14-9 production version was the first US light aircraft to be mass-produced with retractable undercarriage; the main wheels rotated aft, up into wells in the wings. Development culminated in the 1941 14-12, at which point production ceased to allow Bellanca to work as a military subcontractor for the duration of the war when an attempt to market a militarized version as a trainer was unsuccessful. After the war, Bellanca returned to the design to create the Bellanca 14-13 and its successors.[1] Data from Flying Equipment: Bellanca 14-9.[3]General characteristics Performance  Media related to Bellanca 14-9 at Wikimedia Commons</t>
  </si>
  <si>
    <t>//upload.wikimedia.org/wikipedia/commons/thumb/b/b4/Bellanca_14-9_%28N25310%29_-_1.jpg/300px-Bellanca_14-9_%28N25310%29_-_1.jpg</t>
  </si>
  <si>
    <t>ca. 50</t>
  </si>
  <si>
    <t>{'Junior 14-7': 'ototype with fixed undercarriage and LeBlond 5E radial piston engine.', '14-7L': '-7 with Lenape LM-5 engine.', '14-9': 'in production version with retractable undercarriage and 90hp Ken-Royce 5F radial piston engine.', '14-9L': 'tted with a Lenape Brave engine.', '14-10L': 'tted with a 100 hp (75 kW) Lycoming engine.', '14-12': 'th Franklin 6AC engine', 'T14-14': 'litarized trainer version (single prototype only).'}</t>
  </si>
  <si>
    <t>140.2 sq ft (13.03 m2)</t>
  </si>
  <si>
    <t>975 lb (442 kg)</t>
  </si>
  <si>
    <t>1,700 lb (771 kg)</t>
  </si>
  <si>
    <t>1 × LeBlond radial engine, 90 hp (67 kW)</t>
  </si>
  <si>
    <t>120 mph (190 km/h, 100 kn) at 3,000 ft (910 m), 75% power</t>
  </si>
  <si>
    <t>420 mi (680 km, 360 nmi)</t>
  </si>
  <si>
    <t>Giuseppe Mario Bellanca</t>
  </si>
  <si>
    <t>https://en.wikipedia.org/Giuseppe Mario Bellanca</t>
  </si>
  <si>
    <t>6 ft 3 in (1.91 m) (over cabin, tail down)</t>
  </si>
  <si>
    <t>132 mph (212 km/h, 115 kn) at sea level</t>
  </si>
  <si>
    <t>https://en.wikipedia.org/December 1937</t>
  </si>
  <si>
    <t>Bellanca Aries</t>
  </si>
  <si>
    <t>The Bellanca T-250 Aries was a light airplane built in the United States in the early 1970s, which achieved only limited production. Designed by Marvin Greenwood while Anderson-Greenwood owned the Bellanca name, it was a conventional low-wing monoplane with retractable tricycle undercarriage and a high T-tail.  Federal Aviation Administration type certification was obtained on 28 July 1976. General characteristics Performance</t>
  </si>
  <si>
    <t>//upload.wikimedia.org/wikipedia/commons/thumb/6/61/Bellanca_Aries.jpg/300px-Bellanca_Aries.jpg</t>
  </si>
  <si>
    <t>four/five seats</t>
  </si>
  <si>
    <t>26 ft 2 in (7.98 m)</t>
  </si>
  <si>
    <t>31 ft 4 in (9.55 m)</t>
  </si>
  <si>
    <t>1,850 lb (839 kg)</t>
  </si>
  <si>
    <t>3,150 lb (1,429 kg)</t>
  </si>
  <si>
    <t>1 × Lycoming IO-540-B4C5 flat-six piston engine , 250 hp (187 kW)</t>
  </si>
  <si>
    <t>1,170 mi (1,880 km, 1,020 nmi)</t>
  </si>
  <si>
    <t>1,240 ft/min (6.3 m/s)</t>
  </si>
  <si>
    <t>Marvin Greenwood</t>
  </si>
  <si>
    <t>https://en.wikipedia.org/Marvin Greenwood</t>
  </si>
  <si>
    <t>8 ft 7 in (2.62 m)</t>
  </si>
  <si>
    <t>215 mph (346 km/h, 187 kn)</t>
  </si>
  <si>
    <t>18,100 ft (5,520 m)</t>
  </si>
  <si>
    <t>Port Victoria P.V.7</t>
  </si>
  <si>
    <t>The Port Victoria P.V.7 Grain Kitten was a prototype British Fighter aircraft of the First World War designed and built by the Port Victoria Marine Experimental Aircraft Depot on the Isle of Grain. A very small and light biplane intended to fly off platforms on Royal Navy Destroyers, it was unsuccessful, only a single prototype being built. Following Royal Navy experience in operating land planes from platforms on ships, in late 1916, the British Admiralty came up with the idea of a lightweight fighter aircraft, capable of flying off short platforms on the forecastle of Destroyers in order to provide large numbers of aircraft at sea capable of intercepting and destroying German Airships. It therefore instructed the Marine Aircraft Experimental Department at Port Victoria on the Isle of Grain, and the RNAS Experimental Flight at Eastchurch to each produce a design to meet this requirement.[1] The Port Victoria aircraft, designed by W.H. Sayers, was designated P.V.7. It was a very small single bay tractor biplane, of sesquiplane configuration, with its lower wing much smaller than its upper wing. The wings featured the same high-lift section as used in previous Port Victoria aircraft, and were fitted with ailerons only on the upper wing. It was intended, as was the competing Eastchurch design, to use a 45 hp (34 kW) geared ABC Gnat two-cylinder air-cooled engine. Armament was a single Lewis gun mounted above the upper wing.[2][3] While the Port Victoria design was designed and built, the commander of the Experimental flight as Eastchurch, Harry Busteed took over command of the Port Victoria Marine Aircraft Experimental Department, taking the designer of the Eastchurch competitor and the part built prototype with him to the Isle of Grain, with the Eastchurch design gaining the Port Victoria designation P.V.8.  The P.V.7 acquired the name Grain Kitten to distinguish it from the P.V.8, which was named the Eastchurch Kitten. The P.V.7 first flew on 22 June 1917, powered by a 35 hp (26 kW) ungeared Gnat engine, as the geared engine was unavailable.[3]  The P.V.7 proved to be tail heavy in the air and difficult to handle on the ground, with its sesquiplane layout and high lift wings being considered unsuitable for such a small aircraft.  The Gnat engine proved to be extremely unreliable, with test flights being forced to remain within gliding distance of an airfield.[4] When the P.V.8 first flew in September, it proved superior, although similarly hamstrung by the 35 hp Gnat.  The P.V.7 was rebuilt with new wings of conventional aerofoil section, a modified tail and a new undercarriage to eliminate some of the problems found in testing.[4]  The low power and unreliability of the Gnat, however, prevented either aircraft being suitable for the intended use, and the P.V.7 was not flown after it was rebuilt.[5] Data from War Planes of the First World War: Volume One Fighters [4]General characteristics Performance Armament   Aircraft of comparable role, configuration, and era</t>
  </si>
  <si>
    <t>RNAS Marine Experimental Depot, Port Victoria</t>
  </si>
  <si>
    <t>https://en.wikipedia.org/RNAS Marine Experimental Depot, Port Victoria</t>
  </si>
  <si>
    <t>14 ft 11 in (4.55 m)</t>
  </si>
  <si>
    <t>85 sq ft (7.9 m2)</t>
  </si>
  <si>
    <t>284 lb (129 kg)</t>
  </si>
  <si>
    <t>491 lb (223 kg)</t>
  </si>
  <si>
    <t>1 × ABC Gnat air cooled two-cylinder horizontally-opposed piston engine, 35 hp (26 kW)</t>
  </si>
  <si>
    <t>W H Sayers</t>
  </si>
  <si>
    <t>5 ft 3 in (1.60 m)</t>
  </si>
  <si>
    <t>85 mph (137 km/h, 74 kn) at 6,500 ft (2,000 m)</t>
  </si>
  <si>
    <t>11,900 ft (3,600 m)</t>
  </si>
  <si>
    <t>1x .303 in Lewis gun above upper wing.</t>
  </si>
  <si>
    <t>22 min to 10,000 ft (3,000 m)</t>
  </si>
  <si>
    <t>12 ft 7 in (3.84 m)</t>
  </si>
  <si>
    <t>Port Victoria P.V.8</t>
  </si>
  <si>
    <t>The Port Victoria P.V.8 Eastchurch Kitten was a prototype British fighter aircraft of the First World War designed and built by the Port Victoria Marine Experimental Aircraft Depot on the Isle of Grain. It was a small and light biplane with a conventional wheeled undercarriage intended to operate from platforms on small ships, but while it had good handling, an unreliable and underpowered engine meant that the aircraft did not enter production, with only one prototype being completed. In 1916, the British Admiralty produced a requirement for a small single seater fighter landplane intended to fly off short platforms on the forecastle of the Royal Navy's Destroyers and other small ships to provide a widely distributed airship interceptor. Orders were placed with the RNAS Experimental Flight at Eastchurch and the Marine Aircraft Experimental Department at Port Victoria on the Isle of Grain for single prototypes to meet this requirement.[1] G.H. Millar, the chief technical officer of the Eastchurch flight, designed a small, angular, single-bay biplane, named the Eastchurch Kitten, powered by the required 45 hp (34 kW) ABC Gnat engine.  It was larger and heavier than the Isle of Grain design, with equi-span upper and lower wings, which had bracing wires that ran from the wings through the undercarriage axle to the opposite wing. Initially it had no fixed horizontal tailplane, being fitted with a balanced elevator. Armament was a single Lewis gun mounted to the top wing.[2] The Eastchurch Kitten was part built when Harry Busteed, the commander of the Eastchurch Experimental Flight, was posted to the Isle of Grain to take command of the Marine Aircraft Experimental Department, taking Millar and the part built Eastchurch Kitten with him to Port Victoria for completion.[3] The Eastchurch Kitten was given the designation P.V.8, with the competing Port Victoria designed P.V.7, named the Grain Kitten, flying first in June 1917. The Eastchurch Kitten did not fly until 7 September 1917, powered by a 35 hp (26 kW) ungeared Gnat engine, as the originally planned engine was unavailable.[4]  After this first flight, when it was found to be unstable, it was fitted with a small fixed tailplane with revised elevators. Thus modified, it had superior performance and handling to the Grain Kitten, but was similarly plagued by the terrible unreliability of the Gnat.[5] Official testing praised the view for the pilot and the handling but considered the aircraft too fragile for regular use.[6] No orders followed, with adapted versions of the Sopwith Camel, operating both from aircraft carriers and from lighters towed behind destroyers being used instead. The Eastchurch Kitten was packed for dispatch to the United States of America in March 1918 for evaluation, but it is uncertain whether it was actually dispatched.[7] In 2014, a replica Kitten – originally started in the 1980s – was completed by enthusiasts at the Yorkshire Air Museum.[8] Data from War Planes of the First World War: Volume One Fighters [9]General characteristics Performance Armament   Aircraft of comparable role, configuration, and era</t>
  </si>
  <si>
    <t>//upload.wikimedia.org/wikipedia/commons/thumb/f/fc/Port_Victoria_P.V.8_Eastchurch_Kitten.jpg/300px-Port_Victoria_P.V.8_Eastchurch_Kitten.jpg</t>
  </si>
  <si>
    <t>RNAS Marine Experimental Aircraft Depot, Port Victoria</t>
  </si>
  <si>
    <t>https://en.wikipedia.org/RNAS Marine Experimental Aircraft Depot, Port Victoria</t>
  </si>
  <si>
    <t>15 ft 7+1⁄2 in (4.763 m)</t>
  </si>
  <si>
    <t>18 ft 11+1⁄2 in (5.779 m)</t>
  </si>
  <si>
    <t>106 sq ft (9.8 m2)</t>
  </si>
  <si>
    <t>340 lb (154 kg)</t>
  </si>
  <si>
    <t>586 lb (266 kg)</t>
  </si>
  <si>
    <t>G H Millar</t>
  </si>
  <si>
    <t>5 ft 2 in (1.57 m)</t>
  </si>
  <si>
    <t>94.5 mph (152.1 km/h, 82.1 kn) at 2,000 ft (610 m)</t>
  </si>
  <si>
    <t>1x .303 in Lewis gun above upper wing</t>
  </si>
  <si>
    <t>11 min to 10,000 ft (3,000 m)</t>
  </si>
  <si>
    <t>Barel Graal</t>
  </si>
  <si>
    <t>The Barel Graal (English: Grail) is a French mid-wing, T-tailed single-seat motor glider that was designed by Max Barel and produced by Graal Aéro as a complete ready-to-fly aircraft or as a kit for amateur construction.[1][2][3][4][5] The Graal was designed as a low-cost, self-launching FAI 15 Metre Class motorglider that conforms to the French and Fédération Aéronautique Internationale ultralight rules. Because of the low wing loading imposed by the ultralight rules it was not intended to be a competitive sailplane, but to be used for recreational soaring. It was first flown on 2 February 2002.[1][2][4][5] The aircraft is made from composites and features an unusual tail configuration. The fuselage joins the T-tail halfway up the vertical stabilizer. The folding three-bladed propeller is mounted at the rear of the fuselage and so the lower half of the fin protects the propeller from contacting the ground. The 25 kW (34 hp) twin cylinder RDM 200 engine is mounted inside the fuselage, just behind the pilot, using trap doors for cooling and exhaust. The engine drives the tail-mounted propeller through an extension shaft. The propeller folds automatically when the engine is shut down due to aerodynamic drag and also deploys automatically on engine start by centrifugal effect as it starts to spin. A fuselage mounted fuel tank holds 12 litres (2.6 imp gal; 3.2 US gal). The Graal has a semi-tapered wing with a 15 m (49.2 ft) span that features top and bottom dive brakes, full-span flaperons and employs an Eppler E668 airfoil. Landing gear is a retractable monowheel gear and the aircraft has a ballistic parachute.[1][2][5] The Graal disassembles and is transported in a lightweight trailer.[5] In 2002 the company indicated the aircraft cost €35000 for a complete ready-to-fly aircraft and €21000 for a quick-build kit.[4] Data from World Directory of Leisure Aviation 2003–04 and Company website[1][2]General characteristics Performance</t>
  </si>
  <si>
    <t>Graal Aéro</t>
  </si>
  <si>
    <t>https://en.wikipedia.org/Graal Aéro</t>
  </si>
  <si>
    <t>15.00 m (49 ft 3 in)</t>
  </si>
  <si>
    <t>1 × RDM 200 twin cylinder engine with electric start, 25 kW (34 hp)</t>
  </si>
  <si>
    <t>3-bladed composite, folding</t>
  </si>
  <si>
    <t>30 kg/m2 (6.1 lb/sq ft)</t>
  </si>
  <si>
    <t>Max Barel</t>
  </si>
  <si>
    <t>https://en.wikipedia.org/Max Barel</t>
  </si>
  <si>
    <t>180 km/h (110 mph, 97 kn)</t>
  </si>
  <si>
    <t>+/-6</t>
  </si>
  <si>
    <t>Eppler E668</t>
  </si>
  <si>
    <t>0.5 m/s (98 ft/min) at 65 km/h (40 mph)</t>
  </si>
  <si>
    <t>Bede BD-1</t>
  </si>
  <si>
    <t>The Bede BD-1 was a two-seat, single-engine, low-wing monoplane, the first design of American aeronautical engineer Jim Bede. The BD-1 was designed in 1960 as a kit-built aircraft intended for home assembly by amateur builders.[2] Design goals included a kit price of $US 2500, including a rebuilt 100 hp (75 kW) engine and a cruise speed of 130 knots (240 km/h). The prototype N624BD first flew in 1962.[3] No kits were sold however, and it was not until Bede had been removed from the company and the design was reworked - including the removal of the folding wing feature - that it entered production as the American Aviation AA-1. The BD-1 was a low-wing monoplane of all-metal construction, utilizing aluminium honeycomb construction and a laminar flow wing. The aircraft was predominantly of bonded, rather than riveted, construction. It featured a sliding canopy and two seats. The aircraft was designed to be towed behind a car to allow it to be stored at home in a garage and thus reduce hangarage costs. To facilitate this goal the aircraft had folding wings and a horizontal stabilizer of less than 8 foot (2.4 m) width. It was designed to be fully aerobatic as well and was stressed for 9g (90 m/s²).[3][4] Many parts of the BD-1 were interchangeable to simplify production. For example, the wings were interchangeable as were the fin and horizontal tail. The ailerons and flaps were interchangeable and the rudder and elevators were also. Many aerodynamic and handling compromises were made to achieve this commonality of parts and trailer-ability.[4][5] The aircraft was intended to be offered with a variety of new or rebuilt engines. Rebuilt engines were to be available to reduce the purchase price. Design powerplants included the Continental A65-8 of 65 hp (48 kW), Continental C90-14F of 90 hp (67 kW), Continental O-200A of 100 hp (75 kW) and a Lycoming O-235C1 of 108 hp (81 kW).[4][6] The BD-1 was never developed beyond prototype stage and no kits were produced.[2] The company Bede founded to produce the BD-1 kits, Bede Aviation Corporation, eventually became American Aviation and they pursued FAA certification under FAR 23 for the design so that completed aircraft could be sold. Due to financial problems Bede was forced out of the company and the BD-1 was redesigned.[7][8][9][10] During the redesign process the aircraft was modified so that the wings did not fold, making it easier to achieve certification. Other changes included a longer wing to improve rate of climb, an anti-servo tab on the elevator along with an elevator centering spring system to increase longitudinal stability and stall strips to improve the stall performance. The resulting aircraft entered production in the fall of 1968 as the 1969 model American Aviation AA-1 Yankee Clipper.[8] While the BD-1 never did enter production itself, it has had a lasting impact on light aircraft production and spawned a whole series of  offspring designs including the Grumman American AA-1, AA-5, and Gulfstream American GA-7 Cougar.[9] The ultimate derivative design, the Tiger Aircraft AG-5B Tiger, was produced until 2006 by Tiger Aircraft. Data from Jane's All The World's Aircraft 1965-66 [1]General characteristics Performance  Related development Aircraft of comparable role, configuration, and era</t>
  </si>
  <si>
    <t>https://en.wikipedia.org/Light aircraft</t>
  </si>
  <si>
    <t>Bede Aviation Corporation</t>
  </si>
  <si>
    <t>Grumman American AA-1</t>
  </si>
  <si>
    <t>18 ft 6 in (5.64 m)</t>
  </si>
  <si>
    <t>93.3 sq ft (8.67 m2)</t>
  </si>
  <si>
    <t>832 lb (377 kg)</t>
  </si>
  <si>
    <t>25 US Gallons (94.5 L)</t>
  </si>
  <si>
    <t>1 × Lycoming O-235-C1 air-cooled flat-four, 108 hp (81 kW)</t>
  </si>
  <si>
    <t>135 mph (217 km/h, 117 kn) (econ cruise)</t>
  </si>
  <si>
    <t>52 mph (84 km/h, 45 kn) (flaps down)</t>
  </si>
  <si>
    <t>1,150 ft/min (5.8 m/s)</t>
  </si>
  <si>
    <t>Jim Bede</t>
  </si>
  <si>
    <t>https://en.wikipedia.org/Jim Bede</t>
  </si>
  <si>
    <t>July 11, 1963[1]</t>
  </si>
  <si>
    <t>6 ft 3.5 in (1.918 m)</t>
  </si>
  <si>
    <t>1,375 lb (624 kg)</t>
  </si>
  <si>
    <t>155 mph (249 km/h, 135 kn) at sea level</t>
  </si>
  <si>
    <t>251 mph (404 km/h, 218 kn)</t>
  </si>
  <si>
    <t>NACA 642415</t>
  </si>
  <si>
    <t>https://en.wikipedia.org/Grumman American AA-1</t>
  </si>
  <si>
    <t>Bataan 1 and Bataan 2</t>
  </si>
  <si>
    <t>Bataan 1 and Bataan 2 were two demilitarized Japanese bomber/transport aircraft that carried the first surrender delegations from Japan to Ie Shima as part of the surrender of Japan in World War II. The two aircraft, specifically a Mitsubishi G6M1-L2 military transport (dubbed Bataan 1) and a second, disarmed and repaired Mitsubishi G4M1 bomber (Bataan 2), carried eight members of the delegation team, which included General Torashirō Kawabe, representing Army Chief of Staff Yoshijirō Umezu who refused to participate. They departed from Kisarazu, near Chiba at 7:18 Japanese time on August 19, touching down on Ie Shima the same day.[1] The planes flew in an easily visible paint scheme—a pure white base marked only with green crosses on the wings (upper and lower), fuselage, and rudder. The scheme was ordered by General Douglas MacArthur, to verify that the planes were carrying the delegates.[2] Both planes were kept under close watch by constant heavy USAAF escort, due to concerns that the delegates might attempt a kamikaze mission under the color of a flag of truce.[3] At the same time, there were also, apparently, attempts from hardliners in the Japanese military to down the planes to prevent the surrender. Captain Yasuna Ozono, the commander of a naval air unit stationed around Tokyo, committed suicide after being unable to destroy Bataan 1 and Bataan 2 due to a lack of will amongst his men.[4] The call-sign was reportedly selected on General MacArthur's orders as a reminder of Japanese actions during the Bataan Death March.[4] Once the planes landed at Ie Shima, the delegates were loaded upon a US Army Air Forces transport plane to complete their flight to Manila. Both planes were allegedly destroyed either by accident or planned scrapping shortly after.[5]</t>
  </si>
  <si>
    <t>//upload.wikimedia.org/wikipedia/commons/thumb/9/9e/Mitsubishi_G4M_auf_Ie_Shima.jpg/300px-Mitsubishi_G4M_auf_Ie_Shima.jpg</t>
  </si>
  <si>
    <t>Mitsubishi</t>
  </si>
  <si>
    <t>https://en.wikipedia.org/Mitsubishi</t>
  </si>
  <si>
    <t>Mitsubishi G4M1</t>
  </si>
  <si>
    <t>https://en.wikipedia.org/Mitsubishi G4M1</t>
  </si>
  <si>
    <t>Imperial Japanese Navy Air Service</t>
  </si>
  <si>
    <t>https://en.wikipedia.org/Imperial Japanese Navy Air Service</t>
  </si>
  <si>
    <t>Scrapped</t>
  </si>
  <si>
    <t>1943-1945</t>
  </si>
  <si>
    <t>Bellanca 31-40</t>
  </si>
  <si>
    <t>The Bellanca 31-40 Senior Pacemaker and its derivatives were a family of a six- and eight-seat utility aircraft built in the United States in the late 1930s. They were the final revision of the original late 1920s Wright-Bellanca WB-2 design. The model numbers used by Bellanca in this period reflected the wing area (in this case, 310 square feet) and engine horsepower (400 and up in this series), each divided by ten. Like their predecessors, these were high-wing braced monoplanes with conventional tailwheel undercarriage. A single Senior Skyrocket was bought by the United States Navy in 1938 for use as a utility transport, designated JE-1. Senior Skyrockets were also built under licence by Northwest Industries in Canada following World War II. In 2007, a single example remains extant - the first Canadian-built aircraft (registration CF-DCH). It is preserved at the Reynolds-Alberta Museum.[1]    Data from American Planes and Engines for 1939General characteristics Performance</t>
  </si>
  <si>
    <t>//upload.wikimedia.org/wikipedia/commons/thumb/2/26/Bellanca_Skyrocket.jpg/300px-Bellanca_Skyrocket.jpg</t>
  </si>
  <si>
    <t>Bellanca, Northwest Industries (under licence)</t>
  </si>
  <si>
    <t>https://en.wikipedia.org/Bellanca, Northwest Industries (under licence)</t>
  </si>
  <si>
    <t>ca. 20 + 13 under licence</t>
  </si>
  <si>
    <t>{'31-40 Senior Pacemaker': ' ', '31-42 Senior Pacemaker': ' Fitted with a redesigned tail surface, accommodation for one pilot and five passengers, powered by a 550-hp (410-kW) ', '31-50 Senior Skyrocket': ' ', 'L-11': ' One 31-50 impressed into service by the United States Army Air Forces in Alaska in 1942.', '31-55 Senior Skyrocket': '-1 - Senior Skyrocket version for US Navy with 570\xa0hp (425\xa0kW) enginede Luxe Senior Skyrocket - 31-55 with improved instrumentation and superior interior and exterior finishes, powered by a 525-hp (391-kW) Pratt &amp; Whitney Wasp radial piston engine.Model 31-55A - Built under licence in Canada by Northwest Industries.', 'JE-1': ' Senior Skyrocket version for US Navy with 570\xa0hp (425\xa0kW) engine', 'de Luxe Senior Skyrocket': ' 31-55 with improved instrumentation and superior interior and exterior finishes, powered by a 525-hp (391-kW) ', 'Model 31-55A': ' Built under licence in Canada by Northwest Industries.'}</t>
  </si>
  <si>
    <t>5 passengers</t>
  </si>
  <si>
    <t>27 ft 11 in (8.51 m)</t>
  </si>
  <si>
    <t>50 ft 6 in (15.39 m)</t>
  </si>
  <si>
    <t>359.0 sq ft (33.35 m2)</t>
  </si>
  <si>
    <t>3,440 lb (1,560 kg)</t>
  </si>
  <si>
    <t>5,600 lb (2,540 kg)</t>
  </si>
  <si>
    <t>200 US gal (170 imp gal; 760 L)</t>
  </si>
  <si>
    <t>1 × Pratt &amp; Whitney Wasp air-cooled 9-cylinder radial engine, 550 hp (410 kW)</t>
  </si>
  <si>
    <t>180 mph (290 km/h, 160 kn) at 12,000 ft (3,700 m)</t>
  </si>
  <si>
    <t>64 mph (103 km/h, 56 kn)</t>
  </si>
  <si>
    <t>8 ft 6 in (2.59 m)</t>
  </si>
  <si>
    <t>190 mph (310 km/h, 170 kn) at 5,000 ft (1,500 m)</t>
  </si>
  <si>
    <t>25,000 ft (7,600 m)</t>
  </si>
  <si>
    <t>https://en.wikipedia.org/1935</t>
  </si>
  <si>
    <t>SET XV</t>
  </si>
  <si>
    <t>The SET XV was a fighter aircraft developed in Romania in the mid-1930s. It was a conventional single-bay biplane with staggered wings of unequal span braced by N-struts. It was fitted with fixed tailwheel undercarriage with spatted mainwheels. The cockpit was fully enclosed, and the engine was fitted with a NACA cowl. Construction throughout was fabric-covered metal. The SET XV was developed to compete for a Romanian Air Force contract for a new fighter. However, before evaluation had even seriously begun, the Polish PZL P.11 was already selected as the winner amidst various claims of impropriety. The sole SET XV prototype was evaluated by the air force for some time before being abandoned. Data from Jane's all the World's Aircraft 1937,[1] Romanian Aeronautical Constructions 1905–1974[2]General characteristics Performance Armament Avionics 2-way radio</t>
  </si>
  <si>
    <t>Societatea pentru exploatari technice (SET)</t>
  </si>
  <si>
    <t>https://en.wikipedia.org/Societatea pentru exploatari technice (SET)</t>
  </si>
  <si>
    <t>18.65 m2 (200.7 sq ft)</t>
  </si>
  <si>
    <t>1,150 kg (2,535 lb)</t>
  </si>
  <si>
    <t>1,550 kg (3,417 lb)</t>
  </si>
  <si>
    <t>1 × IAR-built Gnome-Rhône 9Krsd 9-cylinder air-cooled radial piston engine, 370 kW (500 hp)</t>
  </si>
  <si>
    <t>2-bladed fixed-pitch wooden propeller</t>
  </si>
  <si>
    <t>520 km (320 mi, 280 nmi)</t>
  </si>
  <si>
    <t>83.2 kg/m2 (17.0 lb/sq ft)</t>
  </si>
  <si>
    <t>Grigore Zamfirescu</t>
  </si>
  <si>
    <t>https://en.wikipedia.org/Grigore Zamfirescu</t>
  </si>
  <si>
    <t>286 km/h (178 mph, 154 kn) at sea level</t>
  </si>
  <si>
    <t>9,400 m (30,800 ft)</t>
  </si>
  <si>
    <t>0.2410 kW/kg (0.1466 hp/lb)</t>
  </si>
  <si>
    <t>2 fixed forward-firing synchronised 7.70 mm (.303 in) Vickers machine guns</t>
  </si>
  <si>
    <t>2,000 m (6,600 ft) in 2 minute 52 seconds; 4,000 m (13,000 ft) in 6 minute 28 seconds; 6,000 m (20,000 ft) in 11 minute 14 seconds</t>
  </si>
  <si>
    <t>6.7 m (22 ft 0 in)</t>
  </si>
  <si>
    <t>Beechcraft CT-134 Musketeer</t>
  </si>
  <si>
    <t>The Beechcraft CT-134 Musketeer is a military training derivative of the Musketeer built by Beechcraft for the Canadian Armed Forces. The CT-134 was a single engine, low-wing, four-seat light aircraft with fixed landing gear and a limited aerobatic capability. In the early 1960s the Royal Canadian Air Force’s standard elementary training aircraft was the de Havilland DHC-1 Chipmunk. Flight instruction was completed by student pilots on the DHC-1 before they progressed to the then-brand-new Canadair CT-114 Tutor jet trainer. A decision was made by RCAF HQ to remove the DHC-1s from service and not replace them, as it was felt that the CT-114 was easy enough to fly that initial training was not needed. The CT-114 quickly developed a wash-out rate of near 95% amongst student jet pilots and it was clear that an elementary trainer was needed. Due to the RCAF's previous customer relationship with Beechcraft while operating that company's Expeditor twin-engine aircraft, a hasty purchase of twenty-four B23 Musketeers was made in 1971.[1] The first CT-134 arrived at CFB Portage la Prairie on March 23, 1971.[2] The new trainers were designated CT-134 Musketeer in the then Canadian Armed Forces. The aircraft purchased were standard Model B23s equipped with the O-360-A4G engine of 180 bhp (130 kW), modified by the addition of a cowling strake, horizontal stabilizer strake and ventral fin to improve spin recovery performance. They were initially serial numbered as 13401-13424, but were re-numbered 134001-134024 to avoid confusion with other CF aircraft serial numbers.[1] The initial batch of CT-134s was replaced in late 1981 with a purchase of twenty-four more aircraft. These were 1982 model Beechcraft C23 Sundowners and were designated by the CF as CT-134A Musketeer II. These were numbered 134025-134048.[1] The CT-134 was approved for limited aerobatics, including loops, rolls, chandelles and lazy eights[3] Both batches of Musketeers served with 3 Canadian Forces Flying Training School and the Canadian Forces Flying Instructor School at CFB Portage la Prairie Manitoba and the Canadian Forces Central Flying School in Winnipeg until they were replaced by Slingsby Fireflys operated under contract by Bombardier Aerospace in 1992. During their 21 years of service the CT-134 and CT-134A fleet at 3 CFFTS trained about 5000 Canadian military pilot graduates. In operational service the CT-134 suffered very few accidents. One of the few serious accidents occurred on 23 March 1990 when Musketeer 134229 had an engine failure on take-off from Erickson Municipal Airport at Erickson, Manitoba, while giving familiarization flights to Royal Canadian Air Cadets. The accident was caused by fuel starvation and the aircraft was written off.[4] Maintenance of the CT-134 fleet was primarily carried out by the CFB Portage la Prairie Base Aircraft Maintenance Engineering Organization, with Depot Level Inspection and Repair (DLIR) being conducted by Field Aviation at Calgary International Airport in Calgary, Alberta.[4] Upon retirement the CT-134s and CT-134As were not sold for flying use due to the structural problems they all suffered from years of aerobatics.[5] Instead they were donated to museums or used for air force and civil maintenance training.  Some CT-134s still serve as monuments at a few current and former Canadian Forces Bases as well as Royal Canadian Legion halls, a distinction held by very few light aircraft in this class.[1] In Canadian military service the aircraft was referred to by student and instructor pilots by the nickname Muskrat.[1] Data from Jane's All the World's Aircraft 1982-83[7]General characteristics Performance Avionics standard instrument fit with radios and navigation equipment such as VOR/LOC  Related development Aircraft of comparable role, configuration, and era</t>
  </si>
  <si>
    <t>//upload.wikimedia.org/wikipedia/commons/thumb/8/8f/Beech_CT-134_Musketeer%2C_Canada_-_Air_Force_AN0141796.jpg/300px-Beech_CT-134_Musketeer%2C_Canada_-_Air_Force_AN0141796.jpg</t>
  </si>
  <si>
    <t>Basic trainer</t>
  </si>
  <si>
    <t>Beech Aircraft Corporation</t>
  </si>
  <si>
    <t>https://en.wikipedia.org/Beech Aircraft Corporation</t>
  </si>
  <si>
    <t>25 ft 9 in (7.85 m)</t>
  </si>
  <si>
    <t>32 ft 9 in (9.98 m)</t>
  </si>
  <si>
    <t>146 sq ft (13.6 m2)</t>
  </si>
  <si>
    <t>1,494 lb (678 kg)</t>
  </si>
  <si>
    <t>2,030 lb (921 kg)</t>
  </si>
  <si>
    <t>57 US gal (47 imp gal; 216 l) in two wing tanks</t>
  </si>
  <si>
    <t>1 × Lycoming O-360-A4K 4-cylinder air-cooled horizontally-opposed piston engine, 180 hp (130 kW)</t>
  </si>
  <si>
    <t>2-bladed Sensenich Type 76EM8S5-0-60, 6 ft 4 in (1.93 m) diameter fixed-pitch propeller</t>
  </si>
  <si>
    <t>126 kn (145 mph, 233 km/h) with 84% power at 4,500 ft (1,372 m)</t>
  </si>
  <si>
    <t>51 kn (59 mph, 94 km/h) power off and flaps down</t>
  </si>
  <si>
    <t>641 nmi (738 mi, 1,187 km) with allowances for climb to 4,500 ft (1,372 m) and 45 minutes reserve</t>
  </si>
  <si>
    <t>792 ft/min (4.02 m/s)</t>
  </si>
  <si>
    <t>16.78 lb/sq ft (81.9 kg/m2)</t>
  </si>
  <si>
    <t>128 kn (147 mph, 237 km/h)</t>
  </si>
  <si>
    <t>12,600 ft (3,800 m)</t>
  </si>
  <si>
    <t>Beechcraft Musketeer</t>
  </si>
  <si>
    <t>https://en.wikipedia.org/Beechcraft Musketeer</t>
  </si>
  <si>
    <t>0.073 hp/lb (0.120 kW/kg)</t>
  </si>
  <si>
    <t>NACA 632A415</t>
  </si>
  <si>
    <t>Canadian Armed Forces</t>
  </si>
  <si>
    <t>https://en.wikipedia.org/Canadian Armed Forces</t>
  </si>
  <si>
    <t>1,130 ft (344 m)</t>
  </si>
  <si>
    <t>703 ft (214 m)</t>
  </si>
  <si>
    <t>14,400 ft (4,389 m)</t>
  </si>
  <si>
    <t>1,955 ft (596 m)</t>
  </si>
  <si>
    <t>1,484 ft (452 m)</t>
  </si>
  <si>
    <t>Backcountry Super Cubs Super Cub</t>
  </si>
  <si>
    <t>The Backcountry Super Cubs Super Cub, also referred to as the Supercub replica, is an American amateur-built aircraft, designed and produced by Backcountry Super Cubs of Douglas, Wyoming. The aircraft is based on the design of the Piper PA-18 Super Cub and is supplied as a kit for amateur construction.[1] The Super Cub features a strut-braced high-wing, a two-seats-in-tandem enclosed cockpit that is 30 in (76 cm) wide, fixed conventional landing gear and a single engine in tractor configuration.[1] The aircraft fuselage is made from welded steel tubing, with the wings constructed of aluminum sheet, all covered in doped aircraft fabric. Its 37.7 ft (11.5 m) span wing has an area of 170 sq ft (16 m2), is supported by "V" struts with jury struts and mounts flaps. The aircraft's recommended engine power range is 180 to 240 hp (134 to 179 kW) and standard engines used include the 180 hp (134 kW) Lycoming O-360 four-stroke powerplant. The aircraft can be fitted with tundra tires for operation on soft or rough surfaces. Construction time from the supplied kit is 1200 hours.[1] By December 2011, 138 examples had been reported as completed and flown.[1] Data from Kitplanes[1]General characteristics Performance</t>
  </si>
  <si>
    <t>//upload.wikimedia.org/wikipedia/commons/thumb/2/22/Backcountry_Super_Cub_N360WY.jpg/300px-Backcountry_Super_Cub_N360WY.jpg</t>
  </si>
  <si>
    <t>37.7 ft (11.5 m)</t>
  </si>
  <si>
    <t>Beagle Terrier</t>
  </si>
  <si>
    <t>The Beagle A.61 Terrier is a British single-engined monoplane built by Beagle Aircraft. The Auster Aircraft Company purchased a large number of former British Army Auster aircraft during the late 1950s. These were Auster AOP.6, T.7 and T.10 aircraft which were updated and modified with de Havilland Gipsy Major 10-1-1 engines.  Initially two versions were offered for sale in the civilian market from 1960: In 1962 the Beagle A.61 Terrier 2 was introduced with a greater span tailplane, wheel spats and a metal propeller. The Terrier was not an economic success for the manufacturer as it was found that more man-hours were spent on rebuilding each aircraft after its military use than were spent in building the new aircraft for the Army. It was also out-dated as, by 1961, most competing manufacturers were introducing new designs which were all-metal, with tricycle undercarriages and powered by more modern engines such as Lycoming or Continental (e.g. the Cessna 150 and the Piper Cherokee). However the Terrier has found many adherents among vintage light aircraft owner pilots. Examples of the type were purchased by owners in the United Kingdom, Eire, Germany, Netherlands, New Zealand and Sweden.[1] 23 Terriers were registered in the UK in 2013. Data from British Civil Aircraft since 1919[4]General characteristics Performance  Related development</t>
  </si>
  <si>
    <t>//upload.wikimedia.org/wikipedia/commons/thumb/1/1e/Beagle_auster_a61_terrier_g-arui.arp.jpg/300px-Beagle_auster_a61_terrier_g-arui.arp.jpg</t>
  </si>
  <si>
    <t>Light Transport</t>
  </si>
  <si>
    <t>Beagle Aircraft Limited</t>
  </si>
  <si>
    <t>https://en.wikipedia.org/Beagle Aircraft Limited</t>
  </si>
  <si>
    <t>in active service</t>
  </si>
  <si>
    <t>184 sq ft (17.1 m2)</t>
  </si>
  <si>
    <t>1,600 lb (726 kg)</t>
  </si>
  <si>
    <t>23 imp gal (28 US gal; 100 L)[5]</t>
  </si>
  <si>
    <t>1 × de Havilland Gipsy Major 10 Mk. 1.1 4-cylinder inline piston, 145 hp (108 kW)</t>
  </si>
  <si>
    <t>107 mph (172 km/h, 93 kn)</t>
  </si>
  <si>
    <t>44 mph (71 km/h, 38 kn) (flaps down)[5]</t>
  </si>
  <si>
    <t>530 ft/min (2.7 m/s)</t>
  </si>
  <si>
    <t>8 ft 11 in (2.72 m)</t>
  </si>
  <si>
    <t>120 mph (190 km/h, 100 kn)</t>
  </si>
  <si>
    <t>11,500 ft (3,500 m) [5]</t>
  </si>
  <si>
    <t>Taylorcraft Auster</t>
  </si>
  <si>
    <t>https://en.wikipedia.org/Taylorcraft Auster</t>
  </si>
  <si>
    <t>NACA 23012[5]</t>
  </si>
  <si>
    <t>1,500 ft (457 m)[5]</t>
  </si>
  <si>
    <t>1,440 ft (439 m)[5]</t>
  </si>
  <si>
    <t>Beaujon Mach .07</t>
  </si>
  <si>
    <t>The Beaujon Mach .07 is a single-seat, American high-wing, tractor configuration ultralight aircraft. The aircraft is available as plans from Beaujon Aircraft of Ardmore, Oklahoma.[1][2] Designed by Herbert Beaujon, the Mach .07 is named for its top speed of 48 mph (77 km/h). Beaujon Aircraft publishes the plans along with six other designs in book form under the name How to Build Ultralights.[1] The Mach .07 was specifically designed to comply with the United States ultralight category and its FAR 103 Ultralight Vehicles rules, including the category's maximum 254 lb (115 kg) empty weight.[1][2] With the specified 50 lb (23 kg) 250 cc Zenoah G-25 22 hp (16 kW) powerplant the aircraft has an empty weight of 160 lb (73 kg).[1] Reviewer Andre Cliche says: The Mach .07 is a beautifully simple ultralight which is reminiscent of the early designs that gave rise to the ultralight phenomenon in the late 70s.[1]The aircraft's wing and tail structure are built from aluminum and are covered in aircraft fabric. The wing is strut-braced. The Mach .07 uses no structural cables in its construction. The conventional landing gear features a steerable tail wheel attached to the rudder.[1] The controls are two-axis, with a side-stick that laterally activates the rudder to induce roll and which longitudinally activates the elevator for pitch control. No rudder pedals are installed and the wing construction is greatly simplified by the elimination of ailerons.[1] The open frame fuselage consists of 6061T6 aluminum tubing and a single open pilot's seat. The powerplant is installed at the front end of the aircraft tailboom tube, above the pilot. Standard fuel capacity is 2.5 US gal (9 l).[1] Data from Cliche[1]General characteristics Performance   Aircraft of comparable role, configuration, and era</t>
  </si>
  <si>
    <t>Beaujon Aircraft</t>
  </si>
  <si>
    <t>https://en.wikipedia.org/Beaujon Aircraft</t>
  </si>
  <si>
    <t>240 lb (109 kg) useful load</t>
  </si>
  <si>
    <t>160 lb (73 kg)</t>
  </si>
  <si>
    <t>1 × Zenoah G-25 250 cc two-stroke fixed pitch, 22 hp (16 kW)</t>
  </si>
  <si>
    <t>38 mph (62 km/h, 33 kn)</t>
  </si>
  <si>
    <t>350 ft/min (1.7 m/s)</t>
  </si>
  <si>
    <t>Herbert Beaujon</t>
  </si>
  <si>
    <t>400 lb (181 kg)</t>
  </si>
  <si>
    <t>48 mph (78 km/h, 42 kn)</t>
  </si>
  <si>
    <t>18.2 lb/hp (0.09 kW/kg)</t>
  </si>
  <si>
    <t>Beechcraft Model 16</t>
  </si>
  <si>
    <t>The Beechcraft Model 16 was an experimental American all-metal low-wing training monoplane designed and built by Beechcraft.[1] The prototype, registered N9716Q, first flew on June 12, 1970 and was the only one built.[1]       This article on an aircraft of the 1970s is a stub. You can help Wikipedia by expanding it.</t>
  </si>
  <si>
    <t>Civil training monoplane</t>
  </si>
  <si>
    <t>https://en.wikipedia.org/Civil training monoplane</t>
  </si>
  <si>
    <t>Beechcraft</t>
  </si>
  <si>
    <t>https://en.wikipedia.org/Beechcraft</t>
  </si>
  <si>
    <t>Beets Special</t>
  </si>
  <si>
    <t>The Beets Special was a single-seat recreational aircraft built in the United States in the mid-1970s with the intention of marketing it for homebuilding.[2] It was a parasol-wing monoplane of conventional configuration with fixed tailwheel undercarriage.[1] The single prototype (registration N711GB) was constructed by Glen Beets who was working as a welder for Lou Stolp at the time.  He based his general design on the Stolp Starduster biplane, which was being offered to the homebuilt aircraft market at the time.  Plans for the Beets Special were marketed by Stolp's company at one time.  Data from Jane's All the World's Aircraft 1975–76[1]General characteristics Performance</t>
  </si>
  <si>
    <t>16 ft 4 in (4.98 m)</t>
  </si>
  <si>
    <t>25 ft 0 in (7.62 m)</t>
  </si>
  <si>
    <t>625 lb (283 kg)</t>
  </si>
  <si>
    <t>1 × Volkswagen air-cooled engine , 70 hp (52 kW)</t>
  </si>
  <si>
    <t>Glen Beets</t>
  </si>
  <si>
    <t>https://en.wikipedia.org/Glen Beets</t>
  </si>
  <si>
    <t>25 July 1973[1]</t>
  </si>
  <si>
    <t>925 lb (420 kg)</t>
  </si>
  <si>
    <t>156 mph (251 km/h, 136 kn) at sea level</t>
  </si>
  <si>
    <t>Clark 72</t>
  </si>
  <si>
    <t>https://en.wikipedia.org/25 July 1973[1]</t>
  </si>
  <si>
    <t>Bell UH-1 Iroquois variants</t>
  </si>
  <si>
    <t>The Bell UH-1 Iroquois military helicopter, first introduced in 1959, is the first production member of the prolific Huey family of helicopters, and was itself developed in over twenty variants, which are listed below. The first Bell helicopter to use a turbine engine was a modified Model 47 (designated XH-13F), which had its initial flight in October 1954.  The U.S. Army began a competition for a new helicopter for general utility and medical/casualty evacuation in 1955. In June 1955, Bell Helicopter was awarded a contract to develop the next generation turbine-powered utility helicopter for the U.S. Army.  The resulting Bell Model 204 was designated XH-40 by the U.S. military and first flew on 22 October 1956. Two more prototypes were built in 1957, and six YH-40 pre-production helicopters were delivered in 1958.[1]  The YH-40's cabin was lengthened by 12 in (30 cm), and had more ground clearance compared to the XH-40.[2] Bell believed the YH-40 was ideal for troop transport and cargo carrying as well as the medevac role, a view soon adopted by the Army; they found the pre-production aircraft so much better in service than previous piston-powered helicopters that they soon ordered more. The HU-1A (later redesignated the UH-1A) was the first turbine-equipped U.S. helicopter to go into production, and production models first entered service with the 101st Airborne Division at Fort Campbell, Kentucky, the 82nd Airborne Division and the 57th Medical Detachment. Although they were intended for evaluation only, the Army quickly pressed them into operational service and Hueys with the 57th Medical Detachment arrived in Vietnam in March 1962.[3] The helicopter was originally designated the HU-1A, which is where it received its nickname - "Huey." The official U.S. Army designation Iroquois (Army helicopters are traditionally given Native American names) was almost never used in practice.[4] Fourteen of the original order of UH-1As were designated as TH-1A which were used for crew training and a single aircraft was redesignated XH-1A for grenade launcher testing in 1960.[3] The first UH-1As to arrive in Vietnam after the 57th Medical Detachment were with a new test unit, the US Army's Utility Tactical Transport Company (UTTCO). UTTCO had 20 "Alpha" Hueys and deployed to Vietnam in the fall of 1962.[5] These aircraft were used as armed escorts to the existing H-21 Shawnees and H-34 Choctaws troop carriers.[3][4] In use the UH-1A proved under-powered with their Lycoming T53-L-1 powerplants of just 860 shp and indicated the need for improved follow-on models of the Huey.[3][4] The HU-1B was an improved model that was equipped with the Lycoming T53-L-5 engine of 960 shp (720 kW), revised main rotor blades of 44-foot (13 m) diameter and 21-inch (530 mm) chord, 13 inch higher rotor mast and a longer cabin that could accommodate seven passengers.[3][4] This version was redesignated UH-1B in 1962. Later production UH-1Bs were equipped with Lycoming T53-L-9 and L-11 engines of 1,100 shp (820 kW). Gross weight was 8,500 lb (3,900 kg) and the standard empty weight was 4,513 lb (2,047 kg).[3][4] Army testing of the "B" model started in November 1960 with first production aircraft arriving in March 1961. A total of 1010 "Bravo" models were delivered to the US Army. First deployment was in November 1963 when eleven were sent to Vietnam to join the "Alpha" models already in use by UTTCO.[3] One NUH-1B was produced for test purposes.[3] Bell certified a civil version of the UH-1B incorporating some minor safety improvements, such as improved door locks. The aircraft was marketed as the Bell 204B.[3] Later on as the "long cabin" Hueys supplanted the Bravo in the transport role, the UH-1B became increasingly used in a "gunship" role equipped with machine guns and rockets. However, it had insufficient power to maintain full capability when used with the heaviest armament subsystems, leading to the UH-1C.[citation needed] The UH-1C was specifically developed as a gunship version until the "interim" attack helicopter, the Bell AH-1G Huey Cobra was available and to correct the deficiencies of the UH-1B when it was used in the armed role. The UH-1C was widely referred to as the "Huey Hog" in US Army service.[3][4] The "Charlie" model was fitted with the 1,100 shp (820 kW) T53-L-9 or L-11 engine to provide the power needed to lift the weapons systems in use or under development at the time. It incorporated the new Bell 540 rotor system with 27-inch (690 mm) chord blades. The increased power lead Bell's engineers to design a new tailboom for the "C" which incorporated a wider chord fin on a longer boom and larger synchronized elevators. The "C" also introduced a dual hydraulic control system for redundancy in battle and an improved inlet filter system for the dusty conditions found in southeast Asia. Fuel was increased to 242 US gallons and gross weight to 9,500 lb (4,300 kg), giving a nominal useful load of 4,673 lb (2,120 kg).[3][4] Development on the "C" model had commenced in 1960, with production starting in June 1966. A total of 766 "C" models were completed, including five for the Royal Australian Navy and five for Norway. The balance went to the US Army.[3][4] Many UH-1Cs were later re-engined with the 1,400 shp (1,000 kW) Lycoming T53-L-13 powerplant. With this engine they were redesignated UH-1M.[3][4] The earlier "short-body" Hueys were a success, especially in the gunship role, but lacked the cabin space to be an effective troop transport. The US Army wanted a version that could carry a crew of four (two pilots and two door gunners) and also deliver an infantry section of eight to ten soldiers. Bell's solution was to stretch the UH-1B fuselage by 41 inches (105 cm) and use the extra space to fit two sideways-facing seats on either side of the transmission. This brought the total seating capacity to 15, including crew seats.[3][4] The new Huey was designated UH-1D by the US Army and as the Model 205 by Bell. The enlarged cabin could also accommodate six stretchers, double that of the earlier models, making the "Delta" a good MEDEVAC aircraft. In place of the earlier model's sliding side doors with a single window, larger doors were fitted which had two windows, plus a small "hinged panel" with an optional window, providing access to the cabin. The doors and hinged panels were quickly removable and the Huey could be flown in that configuration.[3] The first YUH-1D prototype flew in August 1960. Seven YUH-1Ds were delivered and tested at Edwards AFB starting in March 1961. The YUH-1D was initially equipped with a 44 ft (13 m) main rotor and a Lycoming T53-L-9 engine. Testing revealed that more power was required and so the rotor was lengthened to 48 ft (15 m) with a chord of 21 inches (530 mm) and the engine was upgraded to the Lycoming T53-L-11 engine of 1,100 shp (820 kW). A longer tailboom was designed to accommodate the longer rotor blades. Gross weight was 9,500 lb (4,300 kg). Later production "Deltas" had the Lycoming T53-L-13 powerplant of 1,400 shp (1,000 kW) installed and redesignated as "Hotel" models.[3][4] The first Army unit deliveries of the "Delta" model were on 9 August 1963 when the 11th Air Assault Division (Test) at Fort Benning Georgia received two. This unit was renamed the 1st Cavalry Division and deployed to Vietnam with its "Delta" Hueys.[3][4] A total of 2,008 UH-1Ds were delivered to the US Army between 1962 and 1966. The model was widely exported and served with the armed forces of Australia and South Vietnam among others. A grand total of 2,561 UH-1Ds were built, including 352 constructed by Dornier for the West German armed forces.[3][4] The HH-1D was a base rescue/fire-fighting version for the US Army that had a 50-gallon water and foam spray system that could be discharged via an extendable 16-foot (4.9 m) boom.[3] Upgrading the UH-1D to the Lycoming T53-L-13 engine, plus relocating the pitot tube from the nose to the roof resulted in a new model, the UH-1H, which was to become the most produced variant of the Huey family.[3][4] In 1962 the US Marines held a competition to choose a new assault support helicopter to replace the Cessna O-1 and Kaman OH-43D helicopter. The winner was the UH-1B which was already then in service with the US Army.[4] The UH-1B was developed into a special model, designated UH-1E, to meet Marine Corps requirements. The major changes included the use of all-aluminum construction for corrosion resistance (earlier UH-1s had some magnesium components), special avionics that were compatible with Marine Corps ground frequencies, a rotor brake to stop the rotor quickly on shutdown for shipboard use and a roof-mounted rescue hoist.[3][4] The UH-1E was first flown on 7 October 1963 and deliveries commenced 21 February 1964, with 192 aircraft completed. Due to production line realities at Bell the UH-1E was produced in two different versions, both with the same UH-1E designation. The first 34 built were essentially UH-1B airframes with the Lycoming T53-L-11 of 1,100 shp (820 kW). Because Bell was switching Army production to the UH-1C the UH-1E production line was converted to commonality with the “C”. This meant the later “Echo” Hueys were completed with the “Charlie” style tailboom including the larger fin, the 540 rotor system and a gross weight of 8,500 lb (3,900 kg).[3] The Marines used the UH-1E as both a gunship and troop transport. Many were upgraded to the Lycoming T53-L-13 engine which produced 1,400 shp (1,000 kW), making these “Echos” similar to the Army “Mike” models. At least 126 UH-1Es survived their Vietnam service and were still in use more than a decade later.[3][4] There was a Marine Corps training version of the UH-1E, which was based on the UH-1C variant and was designated TH-1E. Twenty were delivered in 1965.[3] Bell Helicopters was the winner of a 1963 United States Air Force competition for a support helicopter for use on its missile bases.[3] Bell had proposed the UH-1B for the competition but the USAF asked Bell to develop a special version of the "Bravo" in using the General Electric T58 turboshaft as a powerplant. The USAF already had a large inventory of these engines for its fleet of Sikorsky HH-3 Jolly Green Giant rescue helicopters and wanted to have commonality between the types. This engine was capable of 1,250 hp (932 kW) compared to the UH-1B's 1,100 hp (820 kW) T53-L11.[3][4] In response Bell proposed an upgraded version of the UH-1B with the T58 engine installed. The resulting UH-1F had the shorter cabin of the "Bravo" Huey, but with the longer tail boom, rotor and transmission of the UH-1D.[3] Due to the Huey's configuration, Bell installed the T58 engine backwards compared to the HH-3. The Huey's engine is behind the transmission, whereas the HH-3's engines are in front of the transmission. Externally, the only visible differences from UH-1B were the engine exhaust, which exited to the right side of the engine and the longer tail boom.[3] The UH-1F was introduced into the USAF inventory on 20 February 1964. The USAF took delivery of 119 with production ending in 1967. Many of the aircraft served in southeast Asia with the 20th Special Operations Squadron and some were converted to the armed UH-1P configuration.[3][4] In Italy, Agusta produced a similar model by re-engining the 204B with the 1,225 hp (914 kW) Rolls-Royce Gnome (license-built T58) turboshaft, but later models used T58s. The AB204B was exported to the military of the Netherlands, Sweden, Austria, and Switzerland. It had a rescue hoist located at the right side of the cabin. The last UH-1F was retired from the USAF in the early 1980s when it was replaced by the UH-1N. many of these aircraft later served as forest fire fighting aircraft with various US state governments and agencies.[3] There was a TH-1F trainer also built for the USAF. The first TH-1F was flown in January 1967 and deliveries ran from April to July of that year with 27 completed.[3] Examples of this variant were operated by the USAF Instrument Flight Center. The UH-1H was an improved UH-1D, with the Lycoming T53-L-13 engine of 1,400 shp (1,000 kW) installed, plus the pitot tube relocated from the nose to the roof, to reduce ground damage to it. "Hotel" models were created by upgrading "Deltas" with the more powerful engine. The first YUH-1H flew in 1966 with deliveries of production models starting in September 1967.[3][4] The "Hotel" model Huey was produced in larger numbers than any other model, with 4,850 delivered to the US Army alone.[4] The "Hotel" model was widely exported and was also built under license in Germany, Italy, Japan and Taiwan.[3] Ten were sold to Canada for use under the designation CUH-1H with the first one delivered on 6 March 1968. These were evaluated by the Canadian Forces and found unsuitable for Canadian tactical use, which resulted in the Canadian government sponsoring the development of the twin-engined version of the "Hotel", the UH-1N Twin Huey. The ten CUH-1Hs were re-equipped for search and rescue use, redesignated CH-118 and served until 1995.[3][4] Bell developed a certified version of the UH-1H for the civil market. The aircraft incorporated minor changes for safety, such as dual sliding door locks and a baggage compartment in the tailboom. It was marketed by Bell as the Model 205A and later the improved 205A-1.[3] The "Hotel" model Huey was also the basis for a number of sub-variants: A UAV version of UH-1H is being developed by Aurora Flight Sciences using the Tactical Autonomous Aerial Logistics System platform for the Autonomous Aerial Cargo Utility System (AACUS) program.[7] The Bell Huey II is a re-manufactured, modified and re-engined military UH-1H, including an Allison T53-L-703 turboshaft engine of 1,800 shp (1,343 kW), a vibration-reduction system, infrared countermeasures and a night-vision-goggle (NVG) compatible cockpit. Currently offered by Bell.[8] Some UH-1Hs built by Fuji in Japan for the Japan Ground Self-Defense Force were improved and given the local designation of UH-1J, although this was not used in the US designation series.[6] It has an upgraded engine[9] and a UH-1N nose.[10] Japan's UH-1H and UH-1Js will be replaced by a military version of the Bell 412.[11][12][13][14] Bell was awarded a contract by the US Navy in December 1968 for a new search and rescue helicopter. The aircraft was designated the HH-1K and was basically a UH-1E with different avionics and the Lycoming T53-L-13 powerplant of 1,400 shp (1,000 kW).[3][4] Deliveries of the “Kilo” Huey started in May 1970 and by November of that year three had been sent to Vietnam to serve with US Navy squadron HA(L)-3 and, later with the HA(L)-4 Red Wolves and the HA(L)-5 Blue Hawks. A total of 27 HH-1Ks were produced.[3] With deliveries of the UH-1E underway to the US Marines the US Navy tested a few and found that the type would suit their uses as a utility helicopter. On 16 May 1968, the US Navy ordered eight aircraft under the designation UH-1L.[3][4] The “Lima” Huey was basically a UH-1E, of the later production type based on the Army's UH-1C, equipped with a rescue hoist and intake particle screen. The “Ls” were delivered without the armour or armament installed and were equipped with the Lycoming T53-L-13 powerplant of 1,400 shp (1,000 kW).[3][4] The first four “Limas” were delivered in November 1969 and sent to Vietnam to equip the US Navy HA(L)-3 detachment assigned to Operation Sealords. In Vietnam the aircraft were modified with weapons and armour and were fitted to carry 500 lb (230 kg) bombs and 500 lb (230 kg) Fuel-Air Explosive munitions.[3] There was a TH-1L version of the UH-1L for the Navy to replace the H-34 and the borrowed Army UH-1Ds used in the training role, including for pilot aircraft carrier qualification training. Forty-five TH-1Ls were delivered starting in November 1969.[3] The "Mike" model Huey was a conversion of the existing UH-1C by re-engining it with the 1,400 shp (1,000 kW) Lycoming T53-L-13 powerplant used in the UH-1H. This provided more power to the "C" model for its role as a gunship and also provided engine commonality between the attack and transport helicopters in use in Vietnam at that time.[3][4] Bell flew the first twin-engined Huey in April 1965, calling it the Model 208. It was powered by a Continental XT67 twin-pack engine module. The Canadian government provided the incentive for Bell to continue development of the Twin Huey using Pratt &amp; Whitney Canada PT6T twin-pack engine. The project attracted orders from the Canadian Forces, US Marine Corps, US Navy and USAF, but not the US Army.[3][4] The new aircraft was designated UH-1N Iroquois in US service and CUH-1N Twin Huey in Canadian Forces use. The Canadian designation was later changed to CH-135 Twin Huey. There was an HH-1N version produced for the USAF as a base rescue helicopter and for use by the 20th Special Operations Squadron in the counter-insurgency role using the call sign Green Hornet. Some Marine Corps UH-1Ns were converted to VH-1Ns as VIP transports, including six for presidential use.[3][4] The UH-1N was widely produced and exported to a large number of countries and license-built by Agusta in Italy. Bell certified a civil version as the Model 212 in October 1970.[4] An unknown number of UH-1Fs were modified to UH-1P configuration by the USAF for use by their 20th Special Operations Squadron, The Green Hornets, based in southeast Asia during the Vietnam War.[3][4] Official USAF sources state that these aircraft were used for a classified psychological warfare role, but this is incorrect. The "Papa" Hueys were in fact modified and employed as gunships armed with machine guns and rocket launchers.[3] The UH-1V is a version of the UH-1H converted by the US Army Electronics Command for MEDEVAC use. The aircraft have several upgrades including a radar altimeter, DME, ILS and a rescue hoist. The first aircraft were supplied to the New Hampshire National Guard.[3] The EH-1X was an improved EH-1H that was equipped with the AN/ALQ-151 system and configured for the airborne jamming, radio intercept and DF role. Ten EH-1Xs were built starting in late 1976 under Project Quick Fix IIA.[3] The JUH-1 was a modified UH-1H an AN/APS 94 radar system mounted in a rotating boom on the belly, where the cargo hook had been. The aircraft's skid landing gear was modified to retract allowing the radar antennae to rotate while in flight. The JUH-1s also incorporated an autopilot and improved navigation avionics. The radar system was connected by datalink to a ground station for analysis of the radar images.[3] At least four UH-1Hs were modified to JUH-1s for use by the US Army in Europe and Korea for use as technology demonstrators in the Stand Off Target Acquisition System (SOTAS) program.  They were first deployed in 1975 but by 1986 they had been replaced by the EH-60 Black Hawk.[3] The UH-1Y Venom is an upgraded UH-1N Twin Huey for the US Marines that was first flown on 18 November 2006, developed as part of the H-1 upgrade program. Listed in alphabetical order by author:</t>
  </si>
  <si>
    <t>//upload.wikimedia.org/wikipedia/commons/thumb/c/c0/Huey2004-01-29.jpg/300px-Huey2004-01-29.jpg</t>
  </si>
  <si>
    <t>Military Helicopter</t>
  </si>
  <si>
    <t>Bell</t>
  </si>
  <si>
    <t>Bellanca CH-400 Skyrocket</t>
  </si>
  <si>
    <t>The Bellanca CH-400 Skyrocket is a six-seat utility aircraft built in the United States in the 1930s, a continuation of the design lineage that had started with the Bellanca WB-2. Retaining the same basic airframe of the preceding CH-200 and CH-300, the CH-400 was fitted with a more powerful Pratt &amp; Whitney Wasp radial engine. Three examples were purchased by the U.S. Navy under the designation RE. Two were used for radio research, and one as an air ambulance for the U.S. Marine Corps. This latter aircraft was reconfigured to carry two stretchers. The aircraft was also available in a deluxe version for private pilot owners, fitted with a more powerful Wasp variant providing 450 hp (336 kW) and detail enhancements. Two of these aircraft were purchased by the government of the Dominion of Newfoundland in 1937, and one later ended in private hands. NC10294 was changed to VO-BCD and NC13155 to VO-BDF. Data from American airplane specifications[1]General characteristics Performance</t>
  </si>
  <si>
    <t>//upload.wikimedia.org/wikipedia/commons/thumb/f/fe/Bellanca_XRE-3_Skyrocket_USMC_c1933.jpeg/300px-Bellanca_XRE-3_Skyrocket_USMC_c1933.jpeg</t>
  </si>
  <si>
    <t>27 ft 10 in (8.48 m)</t>
  </si>
  <si>
    <t>46 ft 4 in (14.12 m)</t>
  </si>
  <si>
    <t>273 sq ft (25.4 m2)</t>
  </si>
  <si>
    <t>2,592 lb (1,176 kg)</t>
  </si>
  <si>
    <t>4,600 lb (2,087 kg)</t>
  </si>
  <si>
    <t>120 US gal (100 imp gal; 450 L)</t>
  </si>
  <si>
    <t>1 × Pratt &amp; Whitney Wasp C radial engine, 420 hp (310 kW)</t>
  </si>
  <si>
    <t>130 mph (210 km/h, 110 kn)</t>
  </si>
  <si>
    <t>750 mi (1,210 km, 650 nmi)</t>
  </si>
  <si>
    <t>1,250 ft/min (6.4 m/s)</t>
  </si>
  <si>
    <t>155 mph (249 km/h, 135 kn)</t>
  </si>
  <si>
    <t>Blackburn Beagle</t>
  </si>
  <si>
    <t>The Blackburn B.T.1 Beagle was a British single-engine, two-seat biplane bomber/torpedo aircraft from 1928. Designed to Air Ministry specifications which led to no contracts for any manufacturer, only one Beagle was built. The B.T. in the Beagle's designation stood for bomber and torpedo, the first aircraft that Blackburn had built for both roles. Its design was started to Air Ministry specification 24/25 for a high-altitude bomber, but was later modified to meet specification 23/25 for a day bomber, reconnaissance and torpedo aircraft.[1] The Beagle was a single-bay biplane with staggered and slightly swept wings. The fabric-covered wings, which did not fold as the aircraft was not intended for carrier service, had spruce spars and ribs with metal bracing. Four ailerons were fitted. The fuselage followed standard Blackburn practice with a steel tube centre section and wooden construction aft, though the final section was again of tube steel; covering was fabric throughout. Fin area was small and the rudder large, with a horn balance initially merging into the fin but later reduced, leaving a prominent step similar to that of the Blackburn Nautilus. The braced tailplane had significantly greater elevator than stabiliser area, the former also having prominent horn balances.[1] The undercarriage was of the split type required by the torpedo dropping role, but a carrier mechanism between the legs could also hold a 185 imp gal (840 L) fuel tank for reconnaissance work. Cockpits were open with the pilot in front, armed with a forward-firing .303 in (7.7 mm) Vickers machine gun mounted on the port side. The gunner's cockpit was close to the pilot's for communication. He had a Scarff ring-mounted .303 in (7.7 mm) Lewis Gun, but to fulfil his role as torpedo or bomb aimer, he moved into a prone position in a station below the pilot's cockpit. This had a bombsight, used via an opening with a sliding door in the bottom of the fuselage and had bomb fusing and release controls plus altitude and airspeed gauges and a hand-operated rudder control for yaw corrections on target.[1] The Beagle was initially powered by a 460 hp (340 kW) Bristol Jupiter VIIIF radial engine mounted in a smooth and rather pointed nosecone, leaving the tops of the nine cylinders exposed.[1] After the competitive trials it was re-engined with a supercharged 590 hp (440 kW) Jupiter XF, though the extra power seems not to have led to significant performance improvement.[2] This installation had a more pointed cowling, with more cylinder heads exposed for better cooling. The Beagle flew first at Brough Aerodrome on 18 February 1928 piloted by W.S. Bulman. The rudder modification mentioned above was made before the aircraft went to competitive trial.[1] Trials took place at RAF Martlesham Heath in July 1929, where the Beagle was ranged against the Gloster Goring, the Handley Page Hare, the Hawker Harrier and the Westland Witch.[1]  None of these aircraft met the performance requirements, but as it had received favourable handling reports, the Beagle, along with the Vickers Vildebeest and Hare, was chosen for further testing. It was re-engined and returned to Martlesham in March 1931. By this time, however, the Vildebeest had already been chosen to meet the RAFs requirements for a torpedo bomber.[3] The Beagle remained operational until October 1933. Data from Jackson 1968, p. 249General characteristics Performance Armament</t>
  </si>
  <si>
    <t>//upload.wikimedia.org/wikipedia/commons/thumb/1/1c/BlackburnBeagle.jpg/300px-BlackburnBeagle.jpg</t>
  </si>
  <si>
    <t>bomber and torpedo bomber</t>
  </si>
  <si>
    <t>Blackburn Aeroplane and Motor Co. Ltd</t>
  </si>
  <si>
    <t>https://en.wikipedia.org/Blackburn Aeroplane and Motor Co. Ltd</t>
  </si>
  <si>
    <t>two</t>
  </si>
  <si>
    <t>33 ft 1 in (10.08 m)</t>
  </si>
  <si>
    <t>45 ft 6 in (13.86 m)</t>
  </si>
  <si>
    <t>570 sq ft (53.0 m2)</t>
  </si>
  <si>
    <t>3,495 lb (1,585 kg)</t>
  </si>
  <si>
    <t>6,120 lb (2,776 kg)</t>
  </si>
  <si>
    <t>1 × 9-cylinder radial Bristol Jupiter VIIIF , 460 hp (343 kW)</t>
  </si>
  <si>
    <t>740 ft/min (3.8 m/s) at 5,000 ft (1,525 m)</t>
  </si>
  <si>
    <t>G.E. Petty</t>
  </si>
  <si>
    <t>11 ft 9 in (3.58 m)</t>
  </si>
  <si>
    <t>140 mph (225 km/h, 120 kn) at 5,000 ft (1,525 m)</t>
  </si>
  <si>
    <t>3 hours 30 minutes</t>
  </si>
  <si>
    <t>16,000 ft (4,880 m)</t>
  </si>
  <si>
    <t>Blackburn Nautilus</t>
  </si>
  <si>
    <t>The Blackburn 2F.1 Nautilus was a British single-engine two-seat biplane spotter/fighter built in 1929. Only one was completed. The company designation, 2F.1, meant that the Nautilus was Blackburn's first two-seat fighter, though it was really intended as a carrier-based fleet spotter with interception capability. It was designed to Air Ministry Specification O.22/26. Though issued in June 1926, this specification did not reach a decision on the final engine to be used until October 1927; prototype contracts were only placed in January 1928, and the four chosen manufacturers did not produce prototypes for trial until 1929. These were the eventual winners, the navalised Hawker Hart first prototype later produced as the Hawker Osprey plus the Fairey Fleetwing, the Short Gurnard and the Blackburn Nautilus. All these were powered by the V-12 water-cooled Rolls-Royce F.XIIMS - later known as the Kestrel IIMS - which produced 525 hp (391 kW) and had a small cross-sectional area.[1] The slim power unit encouraged the design of slender, well-streamlined fuselages, and the nose of the Nautilus was longer and more pointed than even that of the Ripon III, which used a larger area W-12 Napier Lion engine. The wooden propeller was two-bladed with a diameter of 11 ft (3.35 m). Like most of Blackburn's aircraft of the time, the fuselage was built up around four steel longerons; it was duralumin-covered from the nose to just aft of the rear observer/gunner's cockpit, the rest fabric-covered. The pilot's cockpit was immediately in front of the observer's, under an upper trailing edge cutout. A braced, rather rectangular tailplane was carried at the top of the fuselage. There was fixed fin surface both above and below the fuselage and the rudder with its horn balance had an upper fin and extended down to the lower part. Both the tailplane incidence and (more unusually) the alignment of the upper part of the fin could be adjusted in flight via trimming wheels. The robust undercarriage was a broad, split-axle type with mainwheels fitted with disc brakes. As a seaplane, it could be fitted either with a two-float arrangement or with a single central float, the latter intended to give a better field of view to the observer.[1] The slim fuselage of the Nautilus did not have its keel aligned with the lower wing, as on most biplanes; rather, the centreline was at mid-gap. Blackburn used the gap between keel and wing to insert a faired radiator with a shutter-controlled front intake. This rather enhanced the Nautilus' pointed appearance. The wings were of two-bay construction with parallel struts, staggered and swept. Only the lower wing had dihedral. There were ailerons on both upper and lower wings. The wings were foldable for carrier storage.[1] The Nautilus was first flown at Brough Aerodrome in May 1929, by T. Neville Stack and testing lead to some changes to the radiator and elevators. It went on to flight trials at RAF Martlesham Heath that August. With the Gurnard eliminated, the other competitors with the Nautilus went to sea on HMS Furious in January 1930. Unsuccessful in the trials, the Nautilus was remodelled as a ship-to-shore communicator after removal of the Scarff ring from the rear seat. In 1931, it went back to Martlesham and was used for a couple of years as a cross-country communications aircraft.[1] Data from Jackson 1968, pp. 243–4General characteristics Performance Armament</t>
  </si>
  <si>
    <t>//upload.wikimedia.org/wikipedia/commons/thumb/e/eb/Blackburn_Nautilus.png/300px-Blackburn_Nautilus.png</t>
  </si>
  <si>
    <t>spotter/interceptor</t>
  </si>
  <si>
    <t>31 ft 8 in (9.65 m)</t>
  </si>
  <si>
    <t>37 ft 0 in (11.27 m)</t>
  </si>
  <si>
    <t>458 sq ft (42.55 m2)</t>
  </si>
  <si>
    <t>3,223 lb (1,462 kg)</t>
  </si>
  <si>
    <t>4,750 lb (2,155 kg)</t>
  </si>
  <si>
    <t>1 × V-12 water-cooled Rolls-Royce F.XIIMS , 525 hp (390 kW)</t>
  </si>
  <si>
    <t>375 mi (600 km, 326 nmi)</t>
  </si>
  <si>
    <t>1,260 ft/min (6.4 m/s)</t>
  </si>
  <si>
    <t>F.A Bumpas</t>
  </si>
  <si>
    <t>10 ft 10 in (3.30 m)</t>
  </si>
  <si>
    <t>154 mph (248 km/h, 134 kn) at 5,000 ft (1525 m)</t>
  </si>
  <si>
    <t>18,800 ft (5,730 m)</t>
  </si>
  <si>
    <t>Sopwith Snapper</t>
  </si>
  <si>
    <t>The Sopwith Snapper was a prototype British fighter aircraft of the First World War. A single-engined biplane designed by the Sopwith Aviation Company to replace the Sopwith Snipe fighter, it first flew after the end of the war, but did not enter service owing to the failure of its engine, only three aircraft being built. In 1918, the British Air Ministry developed a requirement for a single-seat fighter to replace the Royal Air Force's Sopwith Snipes, even though the Snipe had yet to enter service.  This requirement, RAF Type 1, specified the new ABC Dragonfly air-cooled radial engine, which had been ordered into production in large numbers on the basis of excellent promised performance and ease of production despite the fact that it had yet to complete testing. To meet this requirement, Sopwith produced two new and completely different designs, a triplane (the Sopwith Snark) and a more conventional biplane, which was named the Snapper. The Air Ministry ordered three prototype Snappers, along with three Snarks.[1] (In addition Sopwith received orders for 300 Dragonfly powered Snipes as the Sopwith Dragon). The Snapper was a small single-bay biplane with heavily staggered wings.  It was originally intended to have a wooden monocoque fuselage (as did the Sopwith Snail lightweight fighter and the Snark), but this was abandoned to ease production, with a more conventional wire-braced fabric covered fuselage substituted.[2] The cockpit was positioned aft of the wings, providing good visibility to the pilot, while two forward firing synchronised Vickers machine guns were mounted on the fuselage top decking.[3] The change in fuselage design delayed production of the fuselage, with further delays being caused by the engine which was overweight, and suffered from catastrophic reliability and vibration problems. The first Snapper flew at Brooklands in May 1919, soon followed by the other two aircraft.[2] Although performance was good when the Dragonfly was working correctly, the engines problems were unsolvable, with the engine eventually being cancelled in September 1919.  Although Sopwith attempted to enter one of the Snappers (with the civil registration K149) into the 1919 Aerial Derby where it was to be flown by Harry Hawker, this was forbidden by the Air Ministry[4] (officially as its engine was still classified as Secret) and the three Snappers were used for test flying by the Royal Aircraft Establishment.[5] Data from British Aeroplanes 1914-18[6]General characteristics Performance Armament   Aircraft of comparable role, configuration, and era</t>
  </si>
  <si>
    <t>Sopwith</t>
  </si>
  <si>
    <t>https://en.wikipedia.org/Sopwith</t>
  </si>
  <si>
    <t>20 ft 7 in (6.27 m)</t>
  </si>
  <si>
    <t>28 ft 0 in (8.53 m)</t>
  </si>
  <si>
    <t>292 sq ft (27.1 m2)</t>
  </si>
  <si>
    <t>1,462 lb (663 kg)</t>
  </si>
  <si>
    <t>2,190 lb (993 kg)</t>
  </si>
  <si>
    <t>1 × ABC Dragonfly 9-cylinder air-cooled radial piston engine, 360 hp (270 kW)</t>
  </si>
  <si>
    <t>7.5 lb/sq ft (37 kg/m2)</t>
  </si>
  <si>
    <t>10 ft 0 in (3.05 m)</t>
  </si>
  <si>
    <t>140 mph (230 km/h, 120 kn) at 10,000 ft (3,048 m)</t>
  </si>
  <si>
    <t>0.16 hp/lb (0.26 kW/kg)</t>
  </si>
  <si>
    <t>2x forward firing, synchronised .303 in Vickers machine guns</t>
  </si>
  <si>
    <t>10,000 ft (3,048 m) in 7 minutes 50 seconds</t>
  </si>
  <si>
    <t>Sopwith Snark</t>
  </si>
  <si>
    <t>The Sopwith Snark was a British prototype fighter aircraft designed and built towards the end of the First World War to replace the RAF's Sopwith Snipes. A single engined triplane, the Snark did not fly until after the end of the war, only three being built. In spring 1918, although the Sopwith Snipe had not yet entered service with the Royal Air Force, the British Air Ministry drew up a specification (RAF Type I) for its replacement.  The specification asked for a fighter capable of operations at high altitude and powered by the ABC Dragonfly engine, which was an air-cooled radial engine  which had been ordered in large numbers based on promises of high performance and ease of production. Sopwith produced two designs to meet this requirement, a biplane, the Snapper, and a triplane, the Snark.  Sopwith received orders for three prototypes each of the Snapper and Snark,[1] as well as orders for 300 of a Dragonfly powered version of the Snipe, the Sopwith Dragon.  The Snark had a wooden monocoque fuselage like that of the Sopwith Snail lightweight fighter, and had equal span single-bay wings with ailerons on each wing.  The wings had unequal spacing and stagger, with the gap between the mid and upper wings less than that between the lower and mid wings to minimise the height of the aircraft.[2] The Snark was fitted with what was, for the time, a very heavy armament for a single-seat fighter.  In addition to the normal two synchronised Vickers guns inside the fuselage, it had four Lewis guns mounted under the lower wings, firing outside the propeller disc.  These guns were inaccessible to the pilot, and so could not be reloaded or unjammed in flight.[3][a] The first prototype was complete by October 1918, but flight-ready engines were not available until March 1919, and the Snark did not make its first flight until July 1919.[4] While it demonstrated reasonable performance and good maneuverability,[3] (although not as good as the earlier Sopwith Triplane[5]), by this time, it had been realised that the Dragonfly engine had serious problems, being prone to overheating and severe vibration, and plans for production of the Snark had been abandoned.[6]  The three Snarks continued in use for trials purposes until 1921.[7] Data from War Planes of the First World War: Fighters Volume Three [5]General characteristics Performance Armament   Aircraft of comparable role, configuration, and era</t>
  </si>
  <si>
    <t>Sopwith Aviation Company</t>
  </si>
  <si>
    <t>https://en.wikipedia.org/Sopwith Aviation Company</t>
  </si>
  <si>
    <t>26 ft 6 in (8.08 m)</t>
  </si>
  <si>
    <t>322 sq ft (29.9 m2)</t>
  </si>
  <si>
    <t>2,283 lb (1,036 kg)</t>
  </si>
  <si>
    <t>1 × ABC Dragonfly IA 9-cylinder air-cooled radial engine, 360 hp (270 kW)   [4][8]</t>
  </si>
  <si>
    <t>130 mph (210 km/h, 110 kn) at 3,000 ft (910 m)</t>
  </si>
  <si>
    <t>2× synchronised, forward firing .303 in (7.7 mm) Vickers guns4× .303 in Lewis guns under wings</t>
  </si>
  <si>
    <t>Blackburn Cubaroo</t>
  </si>
  <si>
    <t>The Blackburn T.4 Cubaroo was a prototype British biplane torpedo bomber of the 1920s. Built by Blackburn Aircraft and intended to carry a large 21 in (533 mm) torpedo, the Cubaroo was one of the largest single-engined aircraft in the world at the time of its first flight. In 1921, the British Air Ministry issued Specification 8/21 to Blackburn for a Coastal Defence Torpedo Aeroplane, the resulting design being the T.4 Cubaroo. Due to the change of policy in the Air Ministry to favour a twin-engined design a new specification was issued in 1922, the British Air Ministry drew up Specification 16/22, for a long-range torpedo bomber capable of carrying a 21 in (533 mm) torpedo (which was at the time thought capable of sinking the largest warship) over a range of 800 mi (1,300 km).[1] Major F. A Bumpus, chief designer of Blackburn Aircraft submitted the design for the Blackburn T.4 Cubaroo, which was a large biplane powered by a single example of the new 1,000 hp (750 kW) Napier Cub engine. Avro also submitted a design against this specification, the Avro 557 Ava, which was a similarly large biplane, powered by two 600 hp (450 kW) Rolls-Royce Condor engines. To carry the heavy (over 2,000 lb/907 kg) torpedo over a long range, the Cubaroo was massive. With a wingspan of 88 ft (27 m), it may have been the largest single-engine military aircraft in the world at the time and was fitted with the most powerful aircraft engine available, the Napier Cub, which was an unusual X-type engine which weighed over a ton excluding radiators.[1][2] The Cubaroo, with a mainly metal structure, had a deep fuselage to accommodate the Cub engine and was fitted with folding, two-bay wings. To carry the torpedo, the Cubaroo was fitted with a main undercarriage comprising two sets of two wheels, with the torpedo being carried on a crutch between them. The first prototype (with serial N166) flew in secrecy in the summer of 1924, proving to have good handling characteristics, with the engine not causing problems (the Cub had already been test flown in an Avro Aldershot testbed).[1] It was then fitted with a metal, three-blade adjustable-pitch propeller and was delivered for testing at RAF Martlesham Heath but was written off after its undercarriage collapsed on 2 February 1925. A second prototype flew in 1925, but the Air Ministry abandoned the requirement for a torpedo bomber to carry the 21 in (533 mm) torpedo and lost interest in single-engine heavy bombers, so the second prototype Cubaroo was used as an engine testbed, flying with the experimental 1,100 hp (820 kW) Beardmore Simoon compression ignition engine.[1]  United Kingdom Data from The British Bomber since 1914 [1]General characteristics Performance Armament or   Aircraft of comparable role, configuration, and era</t>
  </si>
  <si>
    <t>//upload.wikimedia.org/wikipedia/commons/thumb/5/50/BlackburnCubaroo.jpg/300px-BlackburnCubaroo.jpg</t>
  </si>
  <si>
    <t>Torpedo Bomber</t>
  </si>
  <si>
    <t>Blackburn Aircraft</t>
  </si>
  <si>
    <t>https://en.wikipedia.org/Blackburn Aircraft</t>
  </si>
  <si>
    <t>4 (pilot, navigator, bomb-aimer/gunner and midships gunner)</t>
  </si>
  <si>
    <t>54 ft 0 in (16.46 m)</t>
  </si>
  <si>
    <t>88 ft 0 in (26.82 m)</t>
  </si>
  <si>
    <t>9,632 lb (4,369 kg)</t>
  </si>
  <si>
    <t>1 × Napier Cub X-16 water-cooled piston engine, 1,000 hp (750 kW)</t>
  </si>
  <si>
    <t>1,800 mi (2,900 km, 1,600 nmi)</t>
  </si>
  <si>
    <t>F A Bumpus</t>
  </si>
  <si>
    <t>19 ft 4 in (5.89 m)</t>
  </si>
  <si>
    <t>19,020 lb (8,627 kg)</t>
  </si>
  <si>
    <t>10 hours[3]</t>
  </si>
  <si>
    <t>11,800 ft (3,600 m)</t>
  </si>
  <si>
    <t>Blackburn Firecrest</t>
  </si>
  <si>
    <t>The Blackburn B.48 Firecrest, given the SBAC designation YA.1, was a single-engine naval strike fighter built by Blackburn Aircraft for service with the British Fleet Air Arm during the Second World War. It was a development of the troubled Firebrand, designed to Air Ministry Specification S.28/43, for an improved aircraft more suited to carrier operations. Three prototypes were ordered with the company designation of B-48 and the informal name of "Firecrest", but only two of them actually flew. The development of the aircraft was prolonged by significant design changes and slow deliveries of components, but the determination by the Ministry of Supply in 1946 that the airframe did not meet the requirements for a strike fighter doomed the aircraft. Construction of two of the prototypes was continued to gain flight-test data and the third was allocated to strength testing. The two flying aircraft were sold back to Blackburn in 1950 for disposal and the other aircraft survived until 1952. The Firebrand required significant effort by Blackburn to produce a useful aircraft and the first discussions on a redesign of the aircraft with a laminar-flow wing took place in September 1943. The new wing was estimated to reduce the weight of the wing by 700 lb (320 kg) and increase the aircraft speed by 13 mph (11 kn; 21 km/h). The extent of redesign increased and this led to a new fuselage and other improvements.[1] In October 1943, Blackburn's design staff, led by G.E. Petty, started work on this development of the Firebrand which led to Specification S.28/43 being issued by the Air Ministry on 26 February 1944 covering the new aircraft.[2][3] The specification was designed around a Bristol Centaurus 77 radial engine with contra-rotating propellers that allowed the size of the rudder to be reduced.[4] The new design, given the company designation B.48, was known unofficially by Blackburn as the "Firecrest" but was always known by S.28/43, the Air Ministry specification. It was a low-winged, single-seat, all-metal monoplane. Aft of the cockpit the fuselage was an oval-shaped stressed-skin semi-monocoque, but forward it had a circular-section, tubular-steel frame. The cockpit of the Firecrest was moved forward and raised the pilot's position so that he now looked over the wing leading edge, and down the nose. The canopy was adapted from the Hawker Tempest fighter.[5] In the rear fuselage was a single 52 imp gal (62 US gal; 240 l) fuel tank with two 92 imp gal (110 US gal; 420 l) fuel tanks in the centre wing section. The aircraft had a redesigned, thinner, inverted gull wing of laminar flow aerofoil section. The wing consisted of a two-spar centre section with just over 6.5° of anhedral and outer panels with 9° of dihedral.[6] It could be hydraulically folded in two places to allow more compact storage in the hangar decks of aircraft carriers. Four Fowler flaps were fitted to give good low-speed handling for landing and the wing had retractable dive brakes on both surfaces.[2] In the course of the redesign the structure was simplified which reduced weight by 1,400 lb (640 kg) and even after the fuel capacity was increased by 70 imp gal (84 US gal; 320 l) the gross weight was still 900 lb (410 kg) less than that of the Firebrand.[5] Work on two prototypes was authorised in November 1943, but proposals for alternative engines delayed progress. In 1945, it was decided that as well as adding another Centaurus-engined prototype, there should be three prototypes with the Napier E.122 (a development of the Sabre) as Specification S.10/45. The Ministry believed that this would enable Blackburn to develop their knowledge of aerodynamic and structural design and support the engine development at Napier. However, it was found that the S.10/45 aircraft could only be balanced if the E.122 powerplant was placed behind the pilot. The necessary redesign and 1,000 lb (450 kg) weight increase, coupled with the limited funds available to the Royal Navy, meant that it could no longer be justified and the S.10/45 was cancelled on 8 October. While in final design, the Centaurus 77 engine with contra-rotating propellers was cancelled in January 1946 and a conventional 2,825 hp (2,107 kW) Centaurus 57 was substituted. This engine was found to require flexible mounts and was modified into the Centaurus 59. The vertical stabiliser and rudder had to be enlarged from 33 sq ft (3.1 m2) to 41 sq ft (3.8 m2) to counteract the new engine's torque. In September 1946 a strength analysis conducted by the Ministry of Supply revealed that the aircraft would require strengthening to serve as a strike fighter and that a costly redesign would be required to bring it up to requirements, making it comparable in weight and performance to the Westland Wyvern which had already flown so no contract was placed for production aircraft.[7] Delayed by the late delivery of its propeller, the first prototype was rolled out at Brough in February 1947 and then taken by road to RAF Leconfield where it made its maiden flight on 1 April that year. All three prototypes were completed by the end of September 1947 and the third prototype had been modified to reduce the outer-wing dihedral to 3°. Both the second and third prototypes remained unflown when the Ministry of Supply ordered that flying be ceased and work on the aircraft be stopped. Later in the month, however, the third prototype was allocated to tests of powered aileron controls, as testing of the first prototype had shown that while adequate at cruise speed, the ailerons were heavy both at low and high speed. The second prototype was allocated to structural testing.[8] The third prototype made its maiden flight in early 1948, but the pace of the flight testing was leisurely with only 7 hours and 40 minutes completed by 30 November, over half of which were connected with air show performances. Testing concluded in March 1949 when the officer in charge concluded that there was no further purpose to the tests.[9] While the Firecrest was faster than the Firebrand, and gave its pilot a much better view from the cockpit, it was otherwise disappointing, with test pilot and naval aviator Captain Eric Brown claiming that the Firecrest was even less manoeuvrable than the sluggish Firebrand, while the powered ailerons gave lumpy controls, leading to instability in turbulent air.[10] Operational experience had found Blackburn's Firecrest strike fighter to be far from suited to carrier operations. In particular, the pilot sat near the wing's trailing edge, looking over a very long and wide nose which gave a particularly poor view for landing.[11] The Firecrest had also been rendered obsolete by the arrival of gas turbine engines, and while Blackburn did draw up proposals for turboprop-powered derivatives of the Firecrest, (as the B-62 (Y.A.6) with the Armstrong Siddeley Python engine), these went unbuilt, with orders instead going to Westland for the Wyvern.[3] The two flying prototypes remained in use until 1949, being sold back to Blackburn in 1950, and were later scrapped.[12] Three further prototypes were ordered on 14 March 1945 against Specification S.10/45 and powered by Napier E.122 engine, but the order was cancelled and the aircraft were not built.[14] Data from The Incomplete Guide to Airfoil Usage;[15] "Something Useful! Blackburn's 'Firecrest', Son of Firebrand"; Blackburn Aircraft Since 1909General characteristics Performance Armament  Related development Aircraft of comparable role, configuration, and era  Related lists</t>
  </si>
  <si>
    <t>//upload.wikimedia.org/wikipedia/commons/thumb/3/31/Blackburn_YA1_1st.png/300px-Blackburn_YA1_1st.png</t>
  </si>
  <si>
    <t>Strike fighter</t>
  </si>
  <si>
    <t>https://en.wikipedia.org/Strike fighter</t>
  </si>
  <si>
    <t>39 ft 3.5 in (11.976 m)</t>
  </si>
  <si>
    <t>44 ft 11.5 in (13.703 m)</t>
  </si>
  <si>
    <t>361.5 sq ft (33.58 m2)</t>
  </si>
  <si>
    <t>10,513 lb (4,769 kg)</t>
  </si>
  <si>
    <t>15,280 lb (6,931 kg)</t>
  </si>
  <si>
    <t>236 imp gal (283 US gal; 1,070 l) total internal fuel in one fuselage and two wing tanks, with provision for 2× 45 imp gal (54 US gal; 200 l) drop tanks under the wings and/or 1× 10 imp gal (12 US gal; 45 l) drop tank on the centreline</t>
  </si>
  <si>
    <t>1 × Bristol Centaurus 59 18-cylinder air-cooled sleeve-valve radial piston engine, 2,825 hp (2,107 kW)   with Water/Methanol injection for take-off</t>
  </si>
  <si>
    <t>5-bladed Rotol constant-speed propeller, 9 ft 0 in (2.74 m) diameter with cooling fan on spinner back-plate</t>
  </si>
  <si>
    <t>213 mph (343 km/h, 185 kn) at 15,000 ft (4,600 m)</t>
  </si>
  <si>
    <t>900 mi (1,400 km, 780 nmi) at cruise</t>
  </si>
  <si>
    <t>2,100 ft/min (11 m/s) initial r.o.c.</t>
  </si>
  <si>
    <t>14 ft 6 in (4.42 m)</t>
  </si>
  <si>
    <t>16,800 lb (7,620 kg)</t>
  </si>
  <si>
    <t>380 mph (610 km/h, 330 kn) at 19,000 ft (5,800 m)</t>
  </si>
  <si>
    <t>30,350 ft (9,250 m) service ceiling</t>
  </si>
  <si>
    <t>Blackburn Firebrand</t>
  </si>
  <si>
    <t>https://en.wikipedia.org/Blackburn Firebrand</t>
  </si>
  <si>
    <t>18 ft (5.5 m) folded</t>
  </si>
  <si>
    <t>Provision for 2 × 0.5 in (12.70 mm) M2 Browning machine guns under or in wing (not fitted to prototypes)</t>
  </si>
  <si>
    <t>root</t>
  </si>
  <si>
    <t>Fleet Air Arm</t>
  </si>
  <si>
    <t>https://en.wikipedia.org/Fleet Air Arm</t>
  </si>
  <si>
    <t>430 ft (130 m) in 25 kn (46 km/h; 29 mph) wind</t>
  </si>
  <si>
    <t>** 1 × 2,097 lb (951 kg) torpedo, or2 × 250 lb (110 kg) bombs, one under each wing, in lieu of torpedo</t>
  </si>
  <si>
    <t>8 × RP-3 rocket projectiles on underwing rails</t>
  </si>
  <si>
    <t>Blackburn Mercury</t>
  </si>
  <si>
    <t>The Blackburn Mercury was an early British aircraft designed as a pilot trainer for the Blackburn Flying School, Filey, in 1911. It was an enlarged, two-seat version of the Second Monoplane that flew earlier that year. It was a mid-wing monoplane of conventional configuration that accommodated pilot and student in tandem, open cockpits.  This prototype was displayed at the Olympia Aero Show in March 1911, and led to orders being placed for two racers to participate in the Daily Mail Circuit of Britain race. The first of these crashed on takeoff, and the second was first rebuilt into a two-seat trainer, then into a single-seat trainer known as the Type B.[1] Another six Mercuries were built for various private buyers. A full-scale non-flying replica of Mercury II configuration was constructed for the Yorkshire Television series Flambards and is now displayed at the Yorkshire Air Museum. Data from Blackburn aircraft since 1909[2]General characteristics Performance</t>
  </si>
  <si>
    <t>//upload.wikimedia.org/wikipedia/commons/thumb/6/69/Service_of_Squadron_Leader_H_Buss_With_16_Naval_%28216_RAF%29_Squadron_in_England%2C_Imbros_and_France%2C_First_World_War_Q115215.jpg/300px-Service_of_Squadron_Leader_H_Buss_With_16_Naval_%28216_RAF%29_Squadron_in_England%2C_Imbros_and_France%2C_First_World_War_Q115215.jpg</t>
  </si>
  <si>
    <t>Blackburn Aeroplane Company</t>
  </si>
  <si>
    <t>https://en.wikipedia.org/Blackburn Aeroplane Company</t>
  </si>
  <si>
    <t>{'Mercury I': ' two-seat prototype powered by Isaacson engine (one built)', 'Mercury II': ' single-seat racer version with ', 'Type B': ' one Mercury II converted to single-seat trainer', 'Mercury III': 'r ', 'Mercury Passenger Type': ' (six built) two-seaters powered by a variety of Isaacson, Gnome, Renault and '}</t>
  </si>
  <si>
    <t>288 sq ft (26.8 m2)</t>
  </si>
  <si>
    <t>1 × Isaacson 7-cylinder air-cooled radial piston engine, 50 hp (37 kW)</t>
  </si>
  <si>
    <t>Robert Blackburn</t>
  </si>
  <si>
    <t>https://en.wikipedia.org/Robert Blackburn</t>
  </si>
  <si>
    <t>6 ft 9 in (2.06 m)</t>
  </si>
  <si>
    <t>Blackburn Second Monoplane</t>
  </si>
  <si>
    <t>https://en.wikipedia.org/Blackburn Second Monoplane</t>
  </si>
  <si>
    <t>Blackburn Segrave</t>
  </si>
  <si>
    <t>The Blackburn B-1 Segrave was a 1930s British twin-engine four-seat touring aircraft built by Blackburn Aircraft. The aircraft was designed by the racing driver (and world land speed record holder) Sir Henry Segrave as a twin-engine four-seat touring monoplane. A wooden prototype, designated Saro Segrave Meteor I was built by Saunders Roe at Cowes. The prototype (registered G-AAXP) first flew on 28 May 1930. Development was delayed by the death of the designer on 13 June 1930 in a speedboat accident. The aircraft was demonstrated in Rome to the Italian Air Ministry, and a licence agreement was signed to produce the aircraft as the Piaggio P.12, although only two appear to have been made. With lack of space at Cowes and with the decision to build a metal version, two aircraft were built by Blackburn Aircraft at Brough Aerodrome with the designation Blackburn CA.18 Segrave. Blackburn changed the designation system, and the aircraft became the Blackburn B.1 Segrave. Despite sales tours around Europe, the aircraft was not ordered, and only one further example was built. This was completed by Blackburn as the Blackburn CA.20 Segrave II to test a new single-spar wing. Data from Blackburn Aircraft since 1909[1]General characteristics Performance     Related lists</t>
  </si>
  <si>
    <t>//upload.wikimedia.org/wikipedia/commons/thumb/3/3c/Segrave0042-1.jpg/300px-Segrave0042-1.jpg</t>
  </si>
  <si>
    <t>Touring Monoplane</t>
  </si>
  <si>
    <t>4 + 2 by Piaggio</t>
  </si>
  <si>
    <t>28 ft 6 in (8.69 m)</t>
  </si>
  <si>
    <t>39 ft 6 in (12.04 m)</t>
  </si>
  <si>
    <t>230 sq ft (21 m2)</t>
  </si>
  <si>
    <t>2,246 lb (1,019 kg)</t>
  </si>
  <si>
    <t>3,300 lb (1,497 kg)</t>
  </si>
  <si>
    <t>2 × de Havilland Gipsy III 4-cylinder air-cooled in-line piston engines, 120 hp (89 kW)  each</t>
  </si>
  <si>
    <t>2-bladed fixed-pitch propellers</t>
  </si>
  <si>
    <t>450 mi (720 km, 390 nmi)</t>
  </si>
  <si>
    <t>Sir Henry Segrave</t>
  </si>
  <si>
    <t>https://en.wikipedia.org/Sir Henry Segrave</t>
  </si>
  <si>
    <t>7 ft 9 in (2.36 m)</t>
  </si>
  <si>
    <t>138 mph (222 km/h, 120 kn)</t>
  </si>
  <si>
    <t>17,000 ft (5,182 m)</t>
  </si>
  <si>
    <t>https://en.wikipedia.org/1938</t>
  </si>
  <si>
    <t>https://en.wikipedia.org/4 + 2 by Piaggio</t>
  </si>
  <si>
    <t>Blackburn Bluebird IV</t>
  </si>
  <si>
    <t>The Blackburn Bluebird IV was a single-engine biplane light trainer/tourer biplane with side-by-side seating designed by Blackburn Aircraft. It was an all-metal development of the wooden Blackburn Bluebird I, II and III aircraft. In 1929, Blackburn completely redesigned the wooden Bluebird side-by-side trainer aircraft with an all-metal structure as the L.1C Bluebird IV. With its metal structure, the Bluebird IV was larger and heavier than its wooden predecessors, and was fitted with a nearly rectangular balanced rudder, without a fixed fin to replace the rounded fin and rudder assembly of the wooden Bluebirds. It could be fitted with a variety of engines, with the de Havilland Gipsy, ADC Cirrus or Cirrus Hermes engines available as standard, and could also be fitted with floats. The first Bluebird IV flew in early 1929, and was used to fly its owner home to South Africa  in March 1929, completing the journey between Croydon and Durban between 7 March and 15 April 1929.[1] A further two aircraft were built by Blackburn, who were busy fulfilling orders for military aircraft, so further construction was subcontracted to Saunders-Roe, who built a further 55 aircraft [2] with Boulton &amp; Paul Ltd producing the wings.[3] Like the wooden Bluebirds, the Bluebird IV was heavily used by flying clubs, and unfortunately also suffered high attrition, with several being lost in fatal crashes, including a number of unexplained dives into the ground from normal cruising flight.[1] Privately owned Bluebird IVs undertook a number of pioneering long-distance flights, the most famous of which was the round-the-world trip by Mrs Victor Bruce, and also included a number of flights to Australia and Africa.[1] No Bluebirds survive today, the last being scrapped in 1947.[1] Data from British Civil Aircraft since 1919, Volume 1 [1]General characteristics Performance  Related development Aircraft of comparable role, configuration, and era</t>
  </si>
  <si>
    <t>//upload.wikimedia.org/wikipedia/commons/thumb/b/b1/Blackburn_Bluebird_IV.jpg/300px-Blackburn_Bluebird_IV.jpg</t>
  </si>
  <si>
    <t>Tourer /Trainer</t>
  </si>
  <si>
    <t>Blackburn B-2</t>
  </si>
  <si>
    <t>23 ft 2 in (7.06 m)</t>
  </si>
  <si>
    <t>246 sq ft (22.9 m2)</t>
  </si>
  <si>
    <t>1,070 lb (485 kg)</t>
  </si>
  <si>
    <t>1,750 lb (794 kg)</t>
  </si>
  <si>
    <t>1 × de Havilland Gipsy I 4-cylinder air-cooled in-line piston engine, 100 hp (75 kW)</t>
  </si>
  <si>
    <t>278 mi (447 km, 242 nmi)</t>
  </si>
  <si>
    <t>730 ft/min (3.7 m/s)</t>
  </si>
  <si>
    <t>7.11 lb/sq ft (34.7 kg/m2)</t>
  </si>
  <si>
    <t>1929–1931</t>
  </si>
  <si>
    <t>9 ft 0 in (2.74 m)</t>
  </si>
  <si>
    <t>Blackburn Bluebird</t>
  </si>
  <si>
    <t>https://en.wikipedia.org/Blackburn Bluebird</t>
  </si>
  <si>
    <t>0.057 hp/lb (0.094 kW/kg)</t>
  </si>
  <si>
    <t>https://en.wikipedia.org/Blackburn B-2</t>
  </si>
  <si>
    <t>https://en.wikipedia.org/1929–1931</t>
  </si>
  <si>
    <t>https://en.wikipedia.org/1947</t>
  </si>
  <si>
    <t>Bellanca TES</t>
  </si>
  <si>
    <t>The Bellanca TES (Tandem Experimental Sesquiplane) or Blue Streak was a push-pull sesquiplane aircraft designed by Giuseppe Mario Bellanca in 1929 for the first non-stop flight from Seattle to Tokyo.[1] In 1930 it was refitted with two 600 hp Curtiss Conqueror engines and reinforced for the Chicago Daily News as a cargo plane named The Blue Streak. The aircraft crashed on 26 May, 1931 when the rear propeller driveshaft broke due to vibration and all four on board lost their lives. Data from Aerofiles : Bellanca,[2] Letec : Bellanca TES[3]General characteristics Performance</t>
  </si>
  <si>
    <t>//upload.wikimedia.org/wikipedia/commons/thumb/a/af/Bellanca_TES_1.jpg/300px-Bellanca_TES_1.jpg</t>
  </si>
  <si>
    <t>Distance record aircraft</t>
  </si>
  <si>
    <t>Bellanca Aircraft Corporation</t>
  </si>
  <si>
    <t>https://en.wikipedia.org/Bellanca Aircraft Corporation</t>
  </si>
  <si>
    <t>crashed</t>
  </si>
  <si>
    <t>2 pax or relief crew</t>
  </si>
  <si>
    <t>44 ft 2 in (13.46 m)</t>
  </si>
  <si>
    <t>83 ft 2 in (25.35 m)</t>
  </si>
  <si>
    <t>910 sq ft (85 m2)</t>
  </si>
  <si>
    <t>6,990 lb (3,171 kg)</t>
  </si>
  <si>
    <t>2,200 US gal (1,832 imp gal; 8,328 l)</t>
  </si>
  <si>
    <t>2 × Pratt &amp; Whitney R-1340 Wasp 9-cylinder air-cooled radial piston engines, 425 hp (317 kW)  each &lt;/ref&gt;</t>
  </si>
  <si>
    <t>3-bladed metal propellers</t>
  </si>
  <si>
    <t>3,100 mi (5,000 km, 2,700 nmi) to 9,300 mi (15,000 km)</t>
  </si>
  <si>
    <t>20,935 lb (9,496 kg)</t>
  </si>
  <si>
    <t>149 mph (240 km/h, 129 kn)</t>
  </si>
  <si>
    <t>Bharat Swati</t>
  </si>
  <si>
    <t>The Bharat Swati (or sometimes BHEL Swati) is an Indian two-seat training monoplane designed by the Technical Centre of Directorate General of Civil Aviation and built by Bharat Heavy Electricals Limited.[1] The Swati is a low-wing cantilever monoplane with a steel tube fuselage covered in fabric at the rear and composite material at the front.[1] It has metal tail surfaces and wooden wings and a fixed landing gear with a steerable nosewheel.[1] The Swati has a 116 hp (87 kW) Lycoming O-235 piston engine at the front driving a two-bladed propeller.[1] Directorate General of Civil Aviation ordered 40 to be distributed to civil flying clubs in India. Data from Brassey's World Aircraft &amp; Systems Directory 1996[1]General characteristics Performance On 3 June 1993 a Swati aircraft registration number VT-STC being test flown at Haridwar crashed when its starboard wing broke off after coming out of a loop killing the test pilot.[2] On 29 November 2001 a Swati LT II aircraft registration number VT-STO of the Kerala Aviation Training Centre on a training flight at Thiruvananthapuram crashed due to pilot error destroying the aircraft.[3]  This article on an aircraft of the 1990s is a stub. You can help Wikipedia by expanding it.</t>
  </si>
  <si>
    <t>//upload.wikimedia.org/wikipedia/commons/thumb/9/96/BHEL_Swati.jpg/300px-BHEL_Swati.jpg</t>
  </si>
  <si>
    <t>Two-seat training monoplane</t>
  </si>
  <si>
    <t>India</t>
  </si>
  <si>
    <t>Bharat Heavy Electricals Limited</t>
  </si>
  <si>
    <t>https://en.wikipedia.org/Bharat Heavy Electricals Limited</t>
  </si>
  <si>
    <t>~20</t>
  </si>
  <si>
    <t>7.21 m (23 ft 8 in)</t>
  </si>
  <si>
    <t>9.2 m (30 ft 3 in)</t>
  </si>
  <si>
    <t>11.96 m2 (128.74 sq ft)</t>
  </si>
  <si>
    <t>770 kg (1,698 lb)</t>
  </si>
  <si>
    <t>1 × Lycoming O-235-N2C piston engine , 87 kW (116 hp)</t>
  </si>
  <si>
    <t>453 km (282 mi, 245 nmi)</t>
  </si>
  <si>
    <t>Directorate General of Civil Aviation</t>
  </si>
  <si>
    <t>https://en.wikipedia.org/Directorate General of Civil Aviation</t>
  </si>
  <si>
    <t>2.78 m (9 ft 1.5 in)</t>
  </si>
  <si>
    <t>268 km/h (167 mph, 145 kn)</t>
  </si>
  <si>
    <t>2 hours 45 minutes</t>
  </si>
  <si>
    <t>3,050 m (10,000 ft)</t>
  </si>
  <si>
    <t>Biplanes of Yesteryear Mifyter</t>
  </si>
  <si>
    <t>The Biplanes Of Yesteryear Mifyter (English: My Fighter) is an American amateur-built aircraft, designed by Rod Cowgill and produced by Biplanes Of Yesteryear, of Ontario, Oregon. The aircraft is supplied as a kit for amateur construction.[1][2][3][4] The design is "a fantasy one-of-a-kind design, not a scale" replica, but is intended to be similar to a First World War fighter.[5] The aircraft features a strut-braced biplane layout, a single-seat open cockpit, fixed conventional landing gear and a single engine in tractor configuration.[1][4] The aircraft is covered in doped aircraft fabric. Its 20.5 ft (6.2 m) span wing has a total area of 146 sq ft (13.6 m2) on both wings. The prototype was powered by a 64 hp (48 kW) Rotax 532 with the newer 64 hp (48 kW) Rotax 582 two-stroke powerplant a builder option. Uniquely, for ground transportation and storage, instead of folding wings the aircraft features a removable tail section.[1][4] The design has won many awards, including Arlington Champion 1997, Oshkosh Honorable Mention 1997, Arlington Grand Champion 1999, and Oshkosh Reserve Grand Champion 2002.[6] As of December 2007 one example had been reported as having been completed and in April 2015 only one was registered with the Federal Aviation Administration.[2][7] A two-seat Myfyter II was planned and one example reported built, powered by a Geo Metro four stroke engine, although the company does not currently market it.[1][2][4] Data from Bayerl, Biplanes Of Yesteryear and Kitplanes[1][2][5]General characteristics Performance</t>
  </si>
  <si>
    <t>Biplanes Of Yesteryear</t>
  </si>
  <si>
    <t>https://en.wikipedia.org/Biplanes Of Yesteryear</t>
  </si>
  <si>
    <t>146 sq ft (13.6 m2) total</t>
  </si>
  <si>
    <t>430 lb (195 kg)</t>
  </si>
  <si>
    <t>755 lb (342 kg)</t>
  </si>
  <si>
    <t>15 U.S. gallons (57 L; 12 imp gal)</t>
  </si>
  <si>
    <t>1 × Rotax 532 twin cylinder, liquid-cooled, two stroke aircraft engine, 64 hp (48 kW)</t>
  </si>
  <si>
    <t>37 mph (60 km/h, 32 kn)</t>
  </si>
  <si>
    <t>1,350 ft/min (6.9 m/s)</t>
  </si>
  <si>
    <t>5.17 lb/sq ft (25.2 kg/m2)</t>
  </si>
  <si>
    <t>Rod Cowgill</t>
  </si>
  <si>
    <t>Bishop RB-1 Ray's Rebel</t>
  </si>
  <si>
    <t>The RB-1 Ray's Rebel is an American two-seat light sporting aircraft designed and built by Ray Bishop of Norton, Ohio.[1] The Ray's Rebel is a braced low-wing monoplane with a welded steel-tube fuselage covered in fabric.[1] The wing is an all-wood construction covered with Ceconite, it has endplates on the wing tips and frise-type ailerons but has no flaps or trim tabs.[1] Ray's Rebel is powered by a 125 hp (93 kW) Lycoming O-290-G air-cooled piston engine driving a two-bladed fixed pitch tractor propeller.[1] The landing gear is a fixed tailwheel type with a glassfibre fairing over the wheel.[1] The enclosed cockpit has two side-by-side configuration seats under a rearward-sliding canopy.[1] Bishop started designing the aircraft in October 1954 and started construction in February 1955, fifteen years later it was completed and now registered N971RB. Roy's Rebel first flew on 28 March 1970.[1] Data from Jane's All the World's Aircraft 1973-74[1]General characteristics Performance</t>
  </si>
  <si>
    <t>Two-seat homebuilt light aircraft</t>
  </si>
  <si>
    <t>22 ft 0 in (6.71 m)</t>
  </si>
  <si>
    <t>117.5 sq ft (10.9 m2)</t>
  </si>
  <si>
    <t>1,100 lb (499 kg)</t>
  </si>
  <si>
    <t>1,550 lb (703 kg)</t>
  </si>
  <si>
    <t>1 × Lycoming O-290-G four-cylinder horizontally-opposed air-cooled piston engine , 125 hp (93 kW)</t>
  </si>
  <si>
    <t>150 mph (241 km/h, 130 kn)</t>
  </si>
  <si>
    <t>56 mph (90.5 km/h, 49 kn)</t>
  </si>
  <si>
    <t>275 mi (442 km, 239 nmi)</t>
  </si>
  <si>
    <t>1,800 ft/min (9.1 m/s)</t>
  </si>
  <si>
    <t>Ray Bishop</t>
  </si>
  <si>
    <t>5 ft 6 in (1.68 m)</t>
  </si>
  <si>
    <t>180 mph (289 km/h, 160 kn)</t>
  </si>
  <si>
    <t>15,000 ft (4,570 m)</t>
  </si>
  <si>
    <t>Blackburn Sprat</t>
  </si>
  <si>
    <t>The Blackburn T.R.1 Sprat was a British single-engine two-seat biplane trainer, built in 1926 for advanced training, deck-landing and seaplane experience. Just one was built. The Sprat[1] was designed to Air Ministry Specification 5/24 for an RAF advanced trainer and Fleet Air Arm deck-landing trainer. It was specified that the aircraft should be readily convertible to a seaplane, again to be used as a trainer. The specification produced contracts for three machines, the Vickers Vendace, the Parnall Perch and the Sprat. The Sprat, though a smaller aircraft, had strong family resemblances to the earlier Velos torpedo bomber. The Sprat was a staggered, single-bay biplane with equal-span wings that could be folded for carrier stowage. The fuselage centre section was built around a tubular-steel structure which linked the engine mounting and the wooded-framed rear fuselage. The two dual-control open cockpits were both behind the trailing edge of the wing for optimum visibility. Unusually, the instruments were placed on the rear spar of the upper wing centre section, where they could be read from both cockpits. The rudder area was large compared to that of the fin and a braced tailplane was placed on top of the rear fuselage.[1] The main undercarriage was a robust split-axle construction with the legs joining the wings at the bottom of the X-form centre-section struts. Braced stub axles carried the arrester claws required by the longitudinal arrester wires of Royal Navy aircraft carriers up to 1926. The undercarriage assembly was designed so that it could be easily removed with the aircraft on trestles, and replaced with a pair of aluminium single-step, V-bottomed round-topped floats. These carried water rudders for manoeuvring afloat.[1] The Sprat was powered by a water-cooled 275 hp (210 kW) Rolls-Royce Falcon III engine with a nose radiator, driving a four-bladed wooden propeller. As on the Velos, the upper engine cowling dropped smoothly away from the upper wing leading edge.[1] The Sprat first flew at Blackburn's works at Brough Aerodrome, then went to Martlesham Heath for comparative trials with the other two contenders. In the end, though the Vendace was selected as the best aircraft for the specification, no orders were placed with any manufacturer because of economy cuts. The Sprat last appeared in public at the Hendon RAF display in July 1926.[1] Data from Jackson 1968, p. 236General characteristics Performance</t>
  </si>
  <si>
    <t>//upload.wikimedia.org/wikipedia/commons/thumb/4/4b/BlSprat.jpg/300px-BlSprat.jpg</t>
  </si>
  <si>
    <t>advanced trainer</t>
  </si>
  <si>
    <t>29 ft 3 in (8.92 m)</t>
  </si>
  <si>
    <t>34 ft 9 in (10.59 m)</t>
  </si>
  <si>
    <t>406.5 sq ft (37.77 m2)</t>
  </si>
  <si>
    <t>2,318 lb (1,051 kg)</t>
  </si>
  <si>
    <t>3,220 lb (1,461 kg)</t>
  </si>
  <si>
    <t>1 × water-cooled V-12 Rolls-Royce Falcon III , 275 hp (210 kW)</t>
  </si>
  <si>
    <t>1,100 ft/min (5.60 m/s) (initial)</t>
  </si>
  <si>
    <t>11 ft 0 in (3.35 m)</t>
  </si>
  <si>
    <t>115 mph (185 km/h, 100 kn) at sea level</t>
  </si>
  <si>
    <t>17,500 ft (5,335 m)</t>
  </si>
  <si>
    <t>Blackburn B-3</t>
  </si>
  <si>
    <t>The Blackburn B-3 was a prototype British torpedo bomber designed and built by Blackburn Aircraft as a potential replacement for the Ripon. It was unsuccessful, with only the two prototypes being built. In 1930, the British Air Ministry issued Specification M.1/30 for a carrier-based torpedo bomber to replace the Ripon, to be powered by the Rolls-Royce Buzzard or Armstrong Siddeley Leopard engines.  Prototypes were ordered from Blackburn, Handley Page and Vickers. The Blackburn design was a single-bay biplane, with a fabric-covered steel tube fuselage, powered by a Buzzard engine. The prototype was flown first on 8 March 1932 [1] and crashed in June 1933 following an engine failure.  Because it had been ordered by the Air Ministry, this machine carried an RAF serial (S1640) and was known throughout its life as the M.1/30, after the Specification.[2] Following relaxation of some of the specifications requirements, Blackburn constructed a second aircraft as a private venture, with a watertight metal monocoque fuselage replacing the previous steel tube fuselage,[3] this first flying on 24 February 1933.[1] Because it was a private venture it received and carried the Blackburn Class B civil test marking B-3 and was referred to as such, though it was also known as the M.1/30A.[4] It performed poorly during testing, still being incapable of meeting the performance requirements of the specification even though they had been relaxed, and being too heavy for the carrier deck lifts. As none of the competitors for the specification could meet its requirements, the specification was cancelled, with no aircraft being ordered. Data from The British Bomber since 1914[1]General characteristics Performance Armament   Aircraft of comparable role, configuration, and era</t>
  </si>
  <si>
    <t>//upload.wikimedia.org/wikipedia/commons/thumb/0/00/BlM.130.jpg/300px-BlM.130.jpg</t>
  </si>
  <si>
    <t>39 ft 10 in (12.14 m)</t>
  </si>
  <si>
    <t>49 ft 6 in (15.09 m)</t>
  </si>
  <si>
    <t>651 sq ft (60.5 m2)</t>
  </si>
  <si>
    <t>6,138 lb (2,784 kg)</t>
  </si>
  <si>
    <t>10,393 lb (4,714 kg)</t>
  </si>
  <si>
    <t>1 × Rolls-Royce Buzzard IIIMS V-12 water-cooled piston engine, 825 hp (615 kW)</t>
  </si>
  <si>
    <t>16 lb/sq ft (78 kg/m2)</t>
  </si>
  <si>
    <t>14 ft 7 in (4.45 m)</t>
  </si>
  <si>
    <t>9,150 ft (2,790 m)</t>
  </si>
  <si>
    <t>0.079 hp/lb (0.130 kW/kg)</t>
  </si>
  <si>
    <t>6,500 ft (1,981 m) in 20 minutes</t>
  </si>
  <si>
    <t>Blackburn B-54</t>
  </si>
  <si>
    <t>The Blackburn B-54 and B-88 were prototype carrier-borne anti-submarine warfare aircraft of the immediate post-Second World War era developed for the Royal Navy's Fleet Air Arm (FAA). They shared a conventional monoplane design with a mid-mounted inverted-gull wing and tricycle undercarriage. The pilot and observer sat in tandem under a long canopy atop the fuselage. The B-54 had a piston engine while the B-88 had a gas turbine driving large contra-rotating propellers. The radar scanner was mounted in a retractable radome in the rear fuselage, behind a long internal weapons bay. The program was cancelled in favour of the Fairey Gannet aircraft. The B-54, or Y.A.5, was designed to meet Specification "G.R.17/45" for an advanced carrier-borne anti-submarine aircraft by Blackburn Aircraft. Rivals Fairey designed their Fairey 17 to the same specification, which would eventually evolve into the winning design, the Fairey Gannet. The original Y.A.5 was designed to take the new Napier Coupled Naiad turboprop engine, consisting of two single Naiads driving contra-rotating propellers through a common gearbox. This engine was ultimately cancelled, so the Y.A.5 flew as the Y.A.7 with a Rolls Royce Griffon 56 piston engine driving contra-rotating propellers. This aircraft made its maiden flight on 20 September 1949 ahead of the competing Fairey design. In 1950, the Admiralty added the requirement for a radar and radar operator to the specification. The Y.A.7 was further refined into the Y.A.8, first flying on 3 May 1950, with aerodynamic refinements to improve handling, and the third crew position. The Y.A.8 design was used as the basis for the B-88 Y.B.1 which first flew on 19 July 1950. The B-88 had an Armstrong Siddeley Double Mamba engine similar in design to the original Naiad that was to be fitted to the Y.A.5. Development of this design was protracted and the FAA lost interest in favour of the promising Fairey Gannet, which had already flown with the Double Mamba and carried out landing trials, and which was to enter operational service fulfilling the original specification. The B-54 / B-88 shared a common airframe. It was a large, single-propeller conventional monoplane with a mid-mounted, inverted-gull wing and a mid-mounted horizontal tailplane with considerable dihedral. Unlike the Fairey Gannet, it had a simple wing folding mechanism that split once at the angle of the gull-wing. The deep fuselage accommodated the engine(s), and large weapons bay and the crew of two were seated high up in tandem under a single canopy (the third crewman in the Gannet was specified after the cancellation of the Blackburn design). The undercarriage was a tricycle type and a radar scanner was carried in the rear fuselage in a retractable dome, much like in the Fairey Gannet. After the cancellation of the Napier Naiad programme, the prototype was fitted with the readily available Rolls-Royce Griffon 56 engine, delivering 2,000 hp (1,491 kW) to a 13 ft (4 m), six-blade (two three-bladed propellors) contra rotating propeller mechanism. In the B-88, an engine plant was based on the Armstrong Siddeley Mamba gas turbine, the Double Mamba - also known as the "Twin Mamba" - driving two four-blade contra-rotating propellers through a common gearbox. The ASMD.1 engine used on the B-88 was rated at 2,950 hp (2,200 kW). Data from Blackburn Aircraft since 1909[1]General characteristics Performance Armament   Aircraft of comparable role, configuration, and era  Related lists</t>
  </si>
  <si>
    <t>//upload.wikimedia.org/wikipedia/commons/thumb/0/02/Blackburn_b-88.jpg/300px-Blackburn_b-88.jpg</t>
  </si>
  <si>
    <t>Anti-submarine warfare aircraft</t>
  </si>
  <si>
    <t>https://en.wikipedia.org/Anti-submarine warfare aircraft</t>
  </si>
  <si>
    <t>42 ft 8 in (13.00 m)</t>
  </si>
  <si>
    <t>13,091 lb (5,938 kg)</t>
  </si>
  <si>
    <t>1 × Armstrong Siddeley ASMD.1 Double Mamba coupled turboprop engine, 2,950 shp (2,200 kW)</t>
  </si>
  <si>
    <t>8-bladed contra-rotating constant speed, fully-feathering propeller</t>
  </si>
  <si>
    <t>16 ft 9 in (5.11 m)</t>
  </si>
  <si>
    <t>320 mph (510 km/h, 280 kn)</t>
  </si>
  <si>
    <t>Blackburn First Monoplane</t>
  </si>
  <si>
    <t>The Blackburn First Monoplane (also known as Monoplane No 1) was a British experimental aircraft constructed by Robert Blackburn in 1909. The First Monoplane was a high-wing monoplane with the engine and pilot's seat located on a three-wheeled platform. A cruciform tail was carried on an uncovered boom extending from the wing. The 8 ft 6 in (2.59 m) propeller was mounted just below the wing's leading edge and driven by a chain to the 35 hp (26 kW) Green engine below. Designed during a stay in Paris, construction began at Thomas Green &amp; Sons engineering works at Leeds, where Blackburn's father was general manager and was later relocated to workshop space in a small clothing factory. When complete, it was transported to the beach between Saltburn and Marske for testing from April 1909. In that year, only taxying trials with the occasional hop were made. The only flight – on 24 May 1910 – lasted for around one minute, and ended in a crash in which the aircraft was damaged beyond repair. Blackburn later recalled the incident thus: After racing along the sands what seemed a dizzy speed, the machine certainly did take off and then started a series of wobbles due to deviating from the straight and the low centre of gravity which I fear took charge.... I had probably been in the air for a minute only, but it seemed ages when I eventually pulled myself together and looked at the wreckage. Thus terminated my first attempt at flight, with no personal injuries other than bruises and cuts but with the total wreckage of months of laborious work.[1]The only aircraft was destroyed but a replica of the aircraft was constructed by members of the Brough Heritage Group[2] and is displayed at the Brough Heritage Centre. Data from Blackburn Aircraft since 1909[3]General characteristics Performance</t>
  </si>
  <si>
    <t>//upload.wikimedia.org/wikipedia/commons/f/fb/Blackburn_Monoplane.jpg</t>
  </si>
  <si>
    <t>24 ft 0 in (7.32 m)</t>
  </si>
  <si>
    <t>1 × Green C.4 4-cylinder water-cooled in-line piston engine, 35 hp (26 kW)</t>
  </si>
  <si>
    <t>9 ft 6 in (2.90 m)</t>
  </si>
  <si>
    <t>60 mph (97 km/h, 52 kn) (estimated)</t>
  </si>
  <si>
    <t>https://en.wikipedia.org/24 May 1909</t>
  </si>
  <si>
    <t>The Blackburn Second Monoplane was strongly influenced by the French Antoinette and was much more successful than Robert Blackburn's first aircraft. The lone aircraft was built in Leeds, UK in 1910. The First Monoplane was not a success, barely leaving the ground before crashing. His second machine,[1] the Second Monoplane was very different, and resembled Léon Levavasseur's Antoinette design which Blackburn had seen in France. The monoplane wing was rectangular with a constant chord, significant dihedral and square tips, and had a thin aerofoil section cambered on the underside, as was usual at the time. Lateral control was by wing warping. The wing was wire braced via a kingpost passing  through the fuselage, extending both above and below. The fuselage was, like the wings, a wooden structure covered with fabric, triangular in section and tapering towards the tail. This was characteristically Antoinette with a long, finely tapering fin and tailplane, the rudder being divided into two triangular sections above and below the elevator, giving it clearance to move.[1] The pilot's seat was at the trailing edge of the wing, and contained Blackburn's "triple steering column" which was moved up and down for elevator control, from side to side to warp the wings and rotated to move the rudders. This system had been used on the First Monoplane. The undercarriage main axle was carried at the bottom end of the kingpost with wheels at either end and bearing ash fore and aft skids. During development and taxying trials, this structure was braced and sprung in different ways before the undercarriage was deemed satisfactory.[1] Flying was delayed by the choice of a new untried engine, a seven-cylinder radial designed by R.J.Issacson of the Hunslet Engine Co. of Leeds. This drove a wooden two-blade propeller via a 2:1 reduction gear.[1] The aircraft was taken to Filey on the English east coast for testing on the sands with B.C.Hucks at the controls. On 8 March 1911, after taxying for several miles, he made the first takeoff. He flew successfully for a while at about 30 ft (10 m) and 50 mph (80 km/h), but he sideslipped into the sands when attempting his first turn.[1] Despite this mishap, after repair the Second Monoplane did good service at Filey as an instructional aircraft, bringing publicity to Blackburn's name and later machines.[1]  Data from Jackson 1968, p. 59General characteristics Performance</t>
  </si>
  <si>
    <t>experimental</t>
  </si>
  <si>
    <t>1,000 lb (455 kg)</t>
  </si>
  <si>
    <t>1 × Issacson seven-cylinder radial , 40 hp (30 kW)</t>
  </si>
  <si>
    <t>60 mph (95 km/h, 52 kn)</t>
  </si>
  <si>
    <t>Sopwith Dragon</t>
  </si>
  <si>
    <t>The Sopwith Dragon was a British single-seat fighter biplane developed from the Sopwith Snipe. In April 1918, the sixth Snipe prototype was fitted with a 320 hp (239 kW) ABC Dragonfly I radial engine.[1][2] To compensate for the greater weight of the Dragonfly, the fuselage was lengthened by 22 in (56 cm).[3] The prototype suffered persistent ignition system defects, but performance was encouraging when the Dragonfly engine operated properly.[3][4] In June 1918, the Royal Air Force issued a contract for 30 Dragonfly-engined Snipes, which were subsequently named Dragons.[3][4] In late November 1918, the RAF cancelled a production order for 300 Snipes and reordered the aircraft as Dragons.[1] A second prototype was equipped with the larger 360 hp (268 kW) ABC Dragonfly IA engine.[1] This aircraft did not begin official trials at Martlesham Heath until February 1919.[4] It attained a top speed of 150 mph (240 km/h) at sea level and achieved a service ceiling of 25,000 ft.[1] Sopwith built approximately 200 Dragon airframes, which were placed in storage pending delivery of their engines.[1] Difficulties with the Dragonfly ultimately proved impossible to resolve. Only a few aircraft were completed with Dragonfly engines, and none were issued to squadrons.[1] The Dragon was finally declared obsolete in April 1923.[5] Data from War Planes of the First World War: Volume Three Fighters[6]General characteristics Performance Armament  Related development   Related lists</t>
  </si>
  <si>
    <t>//upload.wikimedia.org/wikipedia/commons/thumb/c/c3/Sdra.jpg/300px-Sdra.jpg</t>
  </si>
  <si>
    <t>21 ft 9 in (6.63 m)</t>
  </si>
  <si>
    <t>31 ft 1 in (9.47 m)</t>
  </si>
  <si>
    <t>271 sq ft (25.2 m2)</t>
  </si>
  <si>
    <t>2,132 lb (967 kg)</t>
  </si>
  <si>
    <t>1 × ABC Dragonfly IA radial engine , 360 hp (268 kW)</t>
  </si>
  <si>
    <t>9 ft 6 in (2.9 m)</t>
  </si>
  <si>
    <t>Sopwith Snipe</t>
  </si>
  <si>
    <t>https://en.wikipedia.org/Sopwith Snipe</t>
  </si>
  <si>
    <t>Blackburn Blackburd</t>
  </si>
  <si>
    <t>The Blackburn Blackburd was a British prototype single-engine torpedo bomber developed by Blackburn Aircraft in 1918 as a replacement for the Sopwith Cuckoo. It was unsuccessful, only three being built. In January 1918, the Admiralty issued specification N.1B, seeking an aircraft to replace the Sopwith Cuckoo torpedo bomber. While the Cuckoo was successful, it could only carry a 1,000 lb (450 kg) Mark IX torpedo, which was not believed to be powerful enough to sink large armoured warships. The specification therefore required an aircraft capable of carrying a 1,436 lb (647 kg) Mark VII torpedo, which had a much larger warhead.[1] In response, Harris Booth designed the Blackburd, a large, three-bay biplane with unswept, unstaggered wings and a slab-sided fuselage.[2] The Blackburd's simple lines were designed to facilitate rapid production,[2] and the wings were able to fold backwards to allow storage in a ship's hangar.[3] Unusually, the pilot's cockpit was situated towards the rear of the aircraft, with 17 ft (5 m) of fuselage ahead of the windscreen. The Blackburd's undercarriage had to be jettisoned before the torpedo could be dropped, requiring the aircraft to land on steel skids.[1] The first Blackburd flew in May 1918, and was delivered to Martlesham Heath for evaluation against the Short Shirl.[1]  The Blackburd was found to be unstable, with the first prototype crashing before trials were complete. The second and third aircraft were fitted with an enlarged rudder. The Blackburd was considered to be inferior to the Shirl, and was therefore not ordered. Although orders were placed for production of the Shirl, they were almost immediately cancelled in favour of more orders for the Sopwith Cuckoo.[1] Data from The British Bomber Since 1914[1]General characteristics Performance Armament   Aircraft of comparable role, configuration, and era</t>
  </si>
  <si>
    <t>//upload.wikimedia.org/wikipedia/commons/thumb/6/62/Blackburn_Blackburd_aircraft_side.jpg/300px-Blackburn_Blackburd_aircraft_side.jpg</t>
  </si>
  <si>
    <t>Torpedo bomber</t>
  </si>
  <si>
    <t>https://en.wikipedia.org/Torpedo bomber</t>
  </si>
  <si>
    <t>Three</t>
  </si>
  <si>
    <t>34 ft 10 in (10.62 m)</t>
  </si>
  <si>
    <t>52 ft 5 in (15.98 m)</t>
  </si>
  <si>
    <t>684 sq ft (63.5 m2)</t>
  </si>
  <si>
    <t>3,228 lb (1,464 kg)</t>
  </si>
  <si>
    <t>5,700 lb (2,585 kg)</t>
  </si>
  <si>
    <t>1 × Rolls-Royce Eagle VIII V-12 water-cooled piston engine, 350 hp (260 kW)</t>
  </si>
  <si>
    <t>8.33 lb/sq ft (40.7 kg/m2)</t>
  </si>
  <si>
    <t>Harris Booth</t>
  </si>
  <si>
    <t>12 ft 4.5 in (3.772 m)</t>
  </si>
  <si>
    <t>91 mph (146 km/h, 79 kn) with torpedo</t>
  </si>
  <si>
    <t>11,000 ft (3,400 m)</t>
  </si>
  <si>
    <t>0.061 hp/lb (0.100 kW/kg)</t>
  </si>
  <si>
    <t>6,500 ft (1,981 m) in 16 minutes 15 seconds</t>
  </si>
  <si>
    <t>Blackburn Sidecar</t>
  </si>
  <si>
    <t>The Blackburn Sidecar  was a two-seat ultra-light aircraft built by the Blackburn Aeroplane &amp; Motor Company at Brough in 1919. There is no evidence that it ever flew. The side-by-side two-seat Sidecar was built by the Blackburn Aeroplane &amp; Motor Co. Ltd. at Brough in 1919 for Mr.K.M Smith. It was a small mid-winged aircraft,[1] with wings and other flying surfaces of constant chord.  It had no fixed tail surfaces. The triangular cross-section fuselage was unusually deep, such that the undercarriage cross-axle was attached to the keel or bottom longeron. The sole Sidecar, eventually registered G-EALN on 26 August 1920, was exhibited at Harrods Department store in Knightsbridge during March 1919. It did not fly with the low-powered Gnat.[1]  About July 1921 the aircraft was sold to Mr. Haydon-White, Blackburn's London manager who had it re-engined with a 100-horsepower (75-kilowatt) Anzani radial.[1]  By October 1921 it was logged as unairworthy.  There is no record of it flying during these four months.[1] Data from Janes 1919.General characteristics Performance</t>
  </si>
  <si>
    <t>//upload.wikimedia.org/wikipedia/commons/thumb/2/22/Blackburn_Sidecar_-_1919.jpg/300px-Blackburn_Sidecar_-_1919.jpg</t>
  </si>
  <si>
    <t>Ultra-light aircraft</t>
  </si>
  <si>
    <t>https://en.wikipedia.org/Ultra-light aircraft</t>
  </si>
  <si>
    <t>England</t>
  </si>
  <si>
    <t>https://en.wikipedia.org/England</t>
  </si>
  <si>
    <t>Blackburn Aeroplane &amp; Motor Co. Ltd.</t>
  </si>
  <si>
    <t>https://en.wikipedia.org/Blackburn Aeroplane &amp; Motor Co. Ltd.</t>
  </si>
  <si>
    <t>27 ft 3 in (8.31 m)</t>
  </si>
  <si>
    <t>123 sq ft (11.43 m2) [1]</t>
  </si>
  <si>
    <t>392 lb (178 kg) [1]</t>
  </si>
  <si>
    <t>850 lb (386 kg) [1]</t>
  </si>
  <si>
    <t>1 × ABC Gnat flat twin[1] , 40 hp (30 kW)</t>
  </si>
  <si>
    <t>300 mi (480 km, 260 nmi) (estimated)[1]</t>
  </si>
  <si>
    <t>6 ft 3 in (1.91 m) [1]</t>
  </si>
  <si>
    <t>83 mph (134 km/h, 72 kn) (estimated)</t>
  </si>
  <si>
    <t>Icaro Twin Electric</t>
  </si>
  <si>
    <t>The Icaro Twin Electric is an Italian electric ultralight trike that was designed by World Hang Glider Champion pilot Manfred Ruhmer and under development by Icaro 2000 of Sangiano.[1] As of 2018 the aircraft was not advertised on the manufacturer's website and it is likely that it did not progress beyond one flying prototype.[1][2] The Twin Electric design features a cable-braced hang glider-style high-wing, weight-shift controls, a two-seats-in-tandem open cockpit without a cockpit fairing, tricycle landing gear and twin electric motors mounted on lateral booms, in pusher configuration.[1] The aircraft is made from bolted-together aluminum tubing, with its single surface Rx Bip bi-place wing covered in Dacron sailcloth. Its wing is supported by a single tube-type kingpost and uses an "A" frame weight-shift control bar. Power is supplied by two electric motors mounted on booms, one each side of the trike frame, each driving a pusher propeller.[1] The Rx Bip wing was selected to allow STOL capabilities.[1] The Twin Electric was reported as being flight tested in 2015.[1] Data from Tacke[1]General characteristics</t>
  </si>
  <si>
    <t>Icaro 2000</t>
  </si>
  <si>
    <t>https://en.wikipedia.org/Icaro 2000</t>
  </si>
  <si>
    <t>2 × electric motors</t>
  </si>
  <si>
    <t>Manfred Ruhmer</t>
  </si>
  <si>
    <t>Medwecki M9</t>
  </si>
  <si>
    <t>The Medwecki M9 was a 1930s, Polish designed two-seat cabin tourer or trainer aircraft. Only one was completed before the outbreak of World War II. Though Józef Medwecki and Władysław Kiryluk were employed by P.W.S, they designed and built the Medwecki M9 in their own time. Begun in 1937, it was a product of the 1930s revival of amateur aircraft design in Poland and perhaps the last to fly before the German invasion of Poland in September 1939. With funding from LOPP and some aircraft companies, Medwecki, Kiryluk and friends built the M9 in the P.W.S. workshops.[1] The M9 was of mixed construction. Its constant thickness high wing had a rectangular plan apart from blunted tips. The wing was a wooden structure in two parts, had two spars and was plywood-covered ahead of the forward spar with fabric covering elsewhere. A pair of parallel steel tube struts on each side braced the wing to the lower fuselage. Its ailerons were of the Frise type.[1] It was powered by a 63 kW (85 hp) Cirrus III upright 4-cylinder air-cooled inline engine with its fuel tanks in the wings. The M9's fuselage was built around a triangular section frame of  steel tubes, the nose metal covered and the rest with fabric covering over a light wooden frame giving it an oval section. Its enclosed cabin was under the wing, with its windscreen just ahead of the leading edge. There were two seats in tandem, each with a starboard-side door and dual controls, and a luggage compartment behind the cabin.[1] The horizontal tail of the M9, mounted on top of the fuselage, was straight-tapered with rounded tips and the fin was also straight-tapered. It carried a full, rounded rudder which reached down to the keel through a gap between the elevators. The cantilever  empennage had a wooden structure with plywood covered fixed surfaces and fabric covered control surfaces.[1][2] The M9 had fixed, tailskid landing gear with tall, streamlined cantilever legs containing compressed-rubber shock absorbers and mounting wheels enclosed within spats.[1][2] It was flown for the first time by Stefan Hanschild in early August 1939. Tests showed the M9 had excellent and docile handling characteristics suiting it to both touring and training roles. The Silesian Aeroclub offered to buy the prototype when its tests were complete and plans were made for production of M9s with a range of more powerful engines and a wing set with light dihedral but these hopes were overtaken by the German invasion.[1] Data from J. Cynk, 1970.[1] Performance figures are estimates.General characteristics Performance</t>
  </si>
  <si>
    <t>Two seat training and touring aircraft</t>
  </si>
  <si>
    <t>425 kg (937 lb)</t>
  </si>
  <si>
    <t>1 × Cirrus III upright 4-cylinder air-cooled inline, 63 kW (85 hp)</t>
  </si>
  <si>
    <t>2-bladed Szomański, wooden</t>
  </si>
  <si>
    <t>70 km/h (43 mph, 38 kn) minimum speed</t>
  </si>
  <si>
    <t>700 km (430 mi, 380 nmi)</t>
  </si>
  <si>
    <t>Józef Medwecki and Władysław Kiryluk</t>
  </si>
  <si>
    <t>early August 1939</t>
  </si>
  <si>
    <t>2.2 m (7 ft 3 in)</t>
  </si>
  <si>
    <t>180 km/h (110 mph, 97 kn) at sea level</t>
  </si>
  <si>
    <t>Bobek-Zdaniewski</t>
  </si>
  <si>
    <t>Salmon Tandem Monoplane</t>
  </si>
  <si>
    <t>The Salmon Tandem Monoplane was a single-seat sport monoplane produced for the 1923 Lympne light aircraft trials. The monoplane failed to fly. With prizes worth a total of £2,150, the Lympne light aircraft competition of October 1923 attracted 28 entries including the Tandem Monoplnae which was given competition number 27.[1] The aircraft was a single-seat tandem monoplane designed and built by Percy Salmon at Farnborough, England.[2] It was powered by a 3.5 hp (2.6 kW) Bradshaw motorcycle engine driving a pusher propeller.[2] It was registered as G-EBHQ on 23 March 1923 and was ready to fly by September 1923.[2] The aircraft could not fly and was stored at Farnborough until it was later burnt.[2]</t>
  </si>
  <si>
    <t>Light single-seat sport</t>
  </si>
  <si>
    <t>Percy Salmon</t>
  </si>
  <si>
    <t>Stelmaszyk S.1 Bozena</t>
  </si>
  <si>
    <t>The Stelmaszyk S.1 Bożena was a one-off, single-seat Polish aircraft, designed and built by a seventeen-year-old. The Bożena was designed and home-built by seventeen year-old Władysław Stelmaszyk from Ludomy during 1928, with financial help from LOPP. After some public ceremony and a donation of motoring petrol from a local clergyman, Jozefat Skrzypek, a pilot from the Polish Airmen's Association, took it on its first flight on 6 December 1928.[1] The all-wood Bożena was a braced high wing monoplane, with a two-part, constant-chord wing out to semi-elliptical tips. Plywood covered, the wing had a constant section and thickness and was built around two spars. Each half-wing was braced to the lower fuselage longerons by a pair of parallel steel tubes, enclosed in streamlined fairings, they met centrally on a faired pylon forward of the cockpit.[1] The Bożena was powered by a 35 hp (26 kW) Anzani 2A three-cylinder radial engine mounted with its cylinders exposed for cooling in a strongly tapered nose. Its rectangular section fuselage was plywood-covered, with rounded decking behind the cockpit. The empennage was also ply-covered, with a rectangular plan tailplane and elevators mounted on top of the fuselage and a cropped triangular fin carrying a deep rectangular rudder which moved in an elevator cut-out.[1][2] Its fixed landing gear was simple and conventional, with steel V-struts from the lower fuselage longerons and a single axle with rubber shock absorbers.[1] Early test flight reports noted the Bożena's combination of stability in windy conditions with good control responsiveity and manoeuvreability. Its short landing run and easy approach were also noted. It isis known to have made five flights in  the winter of 1928–9, some on skis, and it also won a cash prize large enough to cover all costs, including that of the engine.[1][2] Later it was on display in the Polish Army Museum in Poznań and in early 1938 returned to Ludomy, where it was destroyed during the German invasion of Poland.[2] In 1975 Stelmaszyk built a replica of the Bożena for the Museum of Aviation and Astronautics in Krakow[2][3] which remained there, though not on display, in 2009.[4] Data from Cynk, 1971[1] except where notedGeneral characteristics Performance</t>
  </si>
  <si>
    <t>Single seat sport aircraft</t>
  </si>
  <si>
    <t>Władysław Stelmasyk</t>
  </si>
  <si>
    <t>6.4 m (21 ft 0 in)</t>
  </si>
  <si>
    <t>12.4 m2 (133 sq ft)</t>
  </si>
  <si>
    <t>180 kg (397 lb)</t>
  </si>
  <si>
    <t>310 kg (683 lb)</t>
  </si>
  <si>
    <t>1 × Anzani A2 3-cylinder radial, 26 kW (35 hp)</t>
  </si>
  <si>
    <t>105 km/h (65 mph, 57 kn) [2]</t>
  </si>
  <si>
    <t>2.1 m (6 ft 11 in)</t>
  </si>
  <si>
    <t>135 km/h (84 mph, 73 kn) at sea level</t>
  </si>
  <si>
    <t>10 m (33 ft)</t>
  </si>
  <si>
    <t>55 km/h (34 mph; 30 kn)</t>
  </si>
  <si>
    <t>Supermarine Spitfire prototype K5054</t>
  </si>
  <si>
    <t>The Supermarine Spitfire was developed in the mid-1930s as a short-range, high-performance interceptor aircraft by chief designer R. J. Mitchell. Only one prototype was made, receiving the military serial K5054. Following its first flight on 5 March 1936, pilot "Mutt" Summers made his famous but oft-misunderstood remark, "I don't want anything touched!" Its outstanding looks and performance caused a significant stir wherever it appeared. The aircraft underwent progressive modifications throughout its life, eventually being converted to near-production standard. It crash-landed several times, finally crashing fatally and being written off just as World War II was breaking out. Several replicas have been built, including a static one as a memorial to Mitchell. At least one is flyable. Supermarine began development of the Type 300 in 1934, as a private venture following the unsuccessful Type 224 prototype.[1] Chief designer R. J. Mitchell and his team took the Type 224 as their starting point and continued to draw on their experience with the Schneider Trophy seaplanes. The Type 300 was considerably cleaned-up, with progressive refinements including retractable undercarriage, an enclosed cockpit, oxygen-breathing apparatus, and smaller and thinner wings. The distinctive elliptical wing was developed during this phase, enabling it to accommodate the armament and undercarriage in the thinnest possible cross-section, and thus helping the aircraft achieve a high maximum speed. The newly-developed Rolls-Royce PV-XII V-12 engine, soon to become known as the Merlin, was adopted from the outset. In November 1934, Mitchell started detailed design work.[2] On 1 December the Air Ministry issued contract AM 361140/34, providing £10,000 for the construction of a single prototype.[3] In 1933 Frederick William Hill and his 13 year old daughter Hazel had analysed data from gun firing trials and concluded that eight .303 machine guns would be needed to give sufficient firepower at the predicted high speeds of the new generation of fighters. Following a recommendation by Squadron Leader Ralph Sorley of the Operational Requirements section at the Air Ministry, in April 1935 the Spitfire's armament requirement was changed from two 0.303 in (7.7 mm) Vickers machine guns in each wing to four 0.303 in (7.7 mm) M1919 Browning machine guns,.[3][4][5] The outer wing section was too thin to fully enclose the additional guns, so small underside blister fairings would be added to production machines to make room for the mechanism. Meanwhile the PV-XII had changed its coolant from water to ethylene glycol, allowing the clumsy evaporative cooling system to be abandoned and replaced by a ducted radiator which had recently been developed by Frederick Meredith at the Royal Aircraft Establishment, Farnborough and actually provided a small amount of jet thrust.[6] By August of 1935 both changes had been incorporated into the design.[7] Construction on K5054 started in December 1934, although the design continued to evolve during the early stages of build, with the prototype gaining an oval rear fuselage, slightly reduced wing span and rear vision cockpit glazing behind the sliding canopy.[8]  Like many prototypes of mass-production designs, the first Type 300 had to be largely hand-built and although its general structure followed that of the proposed production design, its details differed in many ways.  Although the basic wing plan was to stay the same for most production Spitfires, the prototype had integral tips and the alclad skinning was hand-cut to fit the double-curvature of the elliptical wing, the upper skinning being laid out in spanwise strips and the underside in chordwise strips. Similarly, the fuselage and tail was a single integrated assembly, with many small cowling panels to the engine.[9] Other initial design features which would later be changed included a fixed-pitch propeller, a stubby and partially-recessed engine air intake, a diagonal edge to the rudder tip balance (which matched the edges of the tail plane tip balances) and a tail skid. Underneath the port wing the radiator duct intake ran flush with the starboard undercarriage leg bay, its opening conforming to the angle of the bay. Farther out towards the wingtip a long pitot tube projected from the leading edge.[10] The Merlin engine was still under development when the airframe was finished. The engine fitted for initial trials was a prototype Merlin C 990 hp (738 kW), with six stub exhaust ports just protruding from each side, driving an Aero-Products "Watts" two-bladed, wooden fixed-pitch propeller. The prototype was allocated RAF serial number K5054. When first rolled out for ground tests in February 1936, no armament was installed and the undercarriage doors were also missing. Its RAF markings were applied direct onto the unpainted airframe.[11][12] Mitchell wanted his Type 300, now named the Spitfire, to be as fast and sleek as possible. After its first flights (see below), K5054 was given a high-grade paint finish closer to that on a Rolls-Royce car than a typical aeroplane. Workmen experienced on the car applied a coat of filler to cover all the rivets, panel joints and other surface blemishes, and rubbed it down to a smooth finish. They then applied several coats of paint to achieve a high gloss. The colour used has been the subject of debate. It has been variously described as "French Grey", "blue-grey", "pale blue" or "cerulean blue".[notes 1] When a replica was being built a desktop model of K5054 was found, and the paint used in its light blue-green finish was said to have been left over from the original. The laborious finish proved fragile under flight conditions and also added excessively to the aircraft weight. It was only ever applied to one other Spitfire, known as the Speed Spitfire. For its maiden flight the prototype Type 300 was fitted with a fine-pitch propeller to aid in takeoff and the undercarriage locked down for safety. On 5 March 1936, Captain Joseph "Mutt" Summers, chief test pilot for Vickers, took it off from Eastleigh Aerodrome (now Southampton Airport).[13][14][9] The flight lasted eight minutes.[4] On landing, Summers immediately told the ground crew that, "I don't want anything touched!" This is often misunderstood to mean that the Spitfire was flawless, but in fact Summers just wanted to talk the flight over with Mitchell and the design team before anything, especially the control settings, was altered.[13][15] For its next flight K5054 was fitted with a new, coarser-pitch high-speed propeller and its undercarriage unlocked. From now on, the undercarriage would be retracted during flight. Summers made three more flights from 10 March 1936.[13] An updated engine was then fitted and from 24 March Summers left the test-flying to his assistants, Jeffrey Quill and George Pickering. They soon discovered that the Spitfire was a very good aircraft, but not perfect.[16] The rudder was oversensitive, and the top speed was just 330 miles per hour (530 km/h), little faster than Sydney Camm's new Merlin-powered Hurricane.[4] Ground resonance testing of the aircraft at Farnborough took place in April. Excessive wing flutter was identified and a speed limit of 380 miles per hour (610 km/h) imposed. Returning to Eastleigh, the rudder balance, air intake and engine cowlings were modified, the aircraft given the blue paint scheme described above and the undercarriage doors fitted. These included a second door, hinged off the main one, to close over the outer half of the wheel when in flight.[17] On 11 May testing resumed. Handling had improved but the maximum speed was still only 335 miles per hour (539 km/h). A new propeller was designed and made, on 15 May taking the top speed to 348 miles per hour (560 km/h), at last visibly outclassing the Hurricane and earning it the reputation as the fastest military aircraft in the world.[18][19] The prototype was delivered on 26 May to RAF Martlesham Heath for service evaluation by the Aeroplane &amp; Armament Experimental Establishment (A&amp;AEE). The RAF were so keen to get their hands on it that they broke with tradition and Flight Lieutenant Humphrey Edwardes-Jones took it up again on the same day.[18] The staff were well used to new aircraft arriving, but the Spitfire created exceptional interest and even the cooks came out, still in their white hats, to watch.[18] Edwardes-Jones gave a positive report of the aircraft, asking only that the Spitfire be equipped with an undercarriage position indicator because he himself had nearly forgotten to lower it for landing.[4][20] As the trials continued, the Air Ministry did not wait for the full evaluation and report, but placed its first production order on 3 June.[21] Specification F.16/36, issued to accompany the order, incorporated so many improvements that a full new set of design drawings would be needed for the production version. On 16 June the prototype was ferried back to Eastleigh in readiness for a press day two days later, losing oil during the flight. Jeffrey Quill took it up anyway on the day, amid a crowd of determined press photographers, and the oil pressure dropped to zero while still on his takeoff run. By then committed to the takeoff, he completed a quick circuit and landed uneventfully. An oil pipe had come loose but despite this the engine had performed perfectly throughout. Following further trials, Edwardes-Jones gave a flying display in K5054, in front of huge crowds at the Hendon RAF display on Saturday 27 June 1936. A couple of days later Summers took it to Hatfield for the SBAC show where it was the star exhibit, giving a display of aerobatics and attracting intense interest from media and industry alike.[22][23] Back again at Martlesham Heath, speed tests proved the troublesome secondary undercarriage doors to be unnecessary and they were removed. A standard set of eight .303" Browning machine-gun armament was fitted with the wings, already designed to accommodate them, being modified accordingly.[24] The engine was also changed for an uprated Merlin F. Trials continued with split peas glued onto the airframe to simulate dome-headed rivets, which were less costly and time-consuming, but also caused greater drag, than flush countersunk ones. The results were used to determine the areas for each type of rivet on the production machines. A radio and aerial were fitted, and the tailskid replaced with a twin tailwheel assembly. This last was quickly replaced by a single tailwheel, due to a tendency to clog with mud.[25] Following an engine failure due to low oil pressure and consequent wheels-up forced landing at the hands of Sam McKenna on 22 March 1937, a prototype triple ejector exhaust was fitted. Developed for the Merlin by Rolls-Royce, it would become characteristic of all the early production Merlins. Besides a number of other small improvements, the aircraft was repainted in standard RAF camouflage of Dark Earth/Dark Green on the upper surfaces with a silver dope finish underneath. On 19 September, it was found that the new exhausts developed 70 pounds of thrust, equivalent to about 70 hp at 300 mph and pushing the maximum speed up to 360 miles per hour (580 km/h). [26] Development work continued, especially on the engine exhausts and gun heating system, with the occasional landing mishap, until in July 1938 K5054 was sent back to Farnborough. A planned attempt on the world speed record was shelved and the machine was instead used for continuing development work on the Merlin. Three days after Hitler's invasion of Poland had marked the start of hostilities and the day after Britain declared war on Germany, on 4 September 1939 an awkward landing at the hands of Flt. Lt. Gilbert Stanbridge "Spinner" White, led to the machine tipping over nose-first onto its back. The fuselage broke up and White suffered fatal neck injuries from the anchor point to the Sutton safety harness, dying the next day. The accident led to the system being redesigned.[27][9][28] Parts of the wreck were later used for reconnaissance camera installation trials, but it was never rebuilt. Data from Robinson 1977 (General). Cross 1971, p. 17 (Performance).General characteristics Performance The First of the Few (also known as Spitfire in the US and Canada) (1942) is a British film produced and directed by Leslie Howard.[30] The aerobatic sequences featured in the last 15 minutes of the film were flown by Jeffrey Quill, an original test pilot on K5054, in early November 1941 flying a Spitfire Mk II mocked up to represent the prototype. Former Supermarine test pilot Jeffrey Quill determined in 1983 to build an exact full-scale replica of K5054 for permanent public display as a memorial to its designer, R.J. Mitchell. Together with Mitchell's son Gordon, members of the original Supermarine design team and The Spitfire Society, they commissioned Aerofab Restorations of Andover to create the facsimile.[31] Quill described its accuracy as "99% to the original prototype", although it is non-flying. The overall colour was copied from a desktop model of K5054, believed to have been finished using paint left over from the original machine. Quill unveiled the replica to the public in April 1993 at the RAF Museum, Hendon. Following a period of long-term loan to the Tangmere Military Aviation Museum, the Spitfire Society permanently donated it to the museum in April 2013.[4][5] Clive du Cros, owner of the Swindon-based Viking Taxis and manager of Viking Wood Products, built a flying replica Spitfire from wood in 1984. Power is provided by a modified Jaguar V-12 engine delivering 350 horsepower (260 kW) via a 2.77:1 reduction gearbox to its constant-speed propeller. Registered G-BRDV, the replica is painted in the blue-grey livery of K5054. Maximum takeoff weight (MTOW) is 1,134 kg (2,500 lb). Because of its light weight compared to the all-metal original, it tends to float during the landing approach. Following sale to a new owner, it crash-landed during an airworthiness flight test on 22 September 1997 and was extensively damaged, although the pilot was uninjured.[32][33][34][page needed] The aircraft was deregistered and taken to the Kent Battle of Britain Museum at Hawkinge, where it is currently on static display.[35][36] A sub-scale model of K5054 forms the main centrepiece of a Spitfire memorial sculpture on the roundabout at the entrance to Southampton Airport which, as Eastleigh Aerodrome, was the aircraft's initial home. The sculpture was designed in 2003 by Alan Manning and erected by Eastleigh Borough Council. It was unveiled by Mitchell's son, Dr. Gordon Mitchell, in 2004.[37][38][39] Australian registration 19-5054 is an amateur-built recreational replica of K5054 in its light blue livery. It is built in accurate proportion around a three-quarter scale set of outer wing panels and some fuselage structure from the Australian Supermarine Spitfire Mk 25 homebuild kit. Powered by a 100 horsepower (75,000 W) Rotax engine it has a three-bladed constant speed propeller and retractable undercarriage. Maximum cruise speed is 130 knots (240 km/h). The paint colour is matched to a toy truck in a UK Spitfire Museum, which was finished in paint left over from the original and given to Mitchell's son.[40][notes 2] Built by Chris Weber and originally registered 19-6054, while still incomplete it was sold to Captain Neil Cooper of Virgin Australia. He first flew it at Taree, New South Wales, Australia in 2017.[40][41]</t>
  </si>
  <si>
    <t>//upload.wikimedia.org/wikipedia/commons/thumb/b/b8/Prototype_Spitfire_K5054.jpg/300px-Prototype_Spitfire_K5054.jpg</t>
  </si>
  <si>
    <t>Supermarine Aviation Works</t>
  </si>
  <si>
    <t>https://en.wikipedia.org/Supermarine Aviation Works</t>
  </si>
  <si>
    <t>36 ft 10 in (11.23 m)</t>
  </si>
  <si>
    <t>242 sq ft (22.5 m2)</t>
  </si>
  <si>
    <t>5,322 lb (2,414 kg) with ballast weights in place of guns</t>
  </si>
  <si>
    <t>1 × Rolls-Royce Merlin C, 1,172 hp (874 kW)   at 3,000 rpm at 11,000 feet (3,400 m)[29]</t>
  </si>
  <si>
    <t>2-bladed, 11 ft (3.4 m) diameter</t>
  </si>
  <si>
    <t>3,190 ft/min (16.2 m/s) based on 15,000 feet (4,600 m) in 5 min 42 sec</t>
  </si>
  <si>
    <t>349 mph (562 km/h, 303 kn) at 16,800 feet (5,100 m)</t>
  </si>
  <si>
    <t>32,000 ft (9,800 m)</t>
  </si>
  <si>
    <t>NACA 2200</t>
  </si>
  <si>
    <t>Supermarine Spitfire</t>
  </si>
  <si>
    <t>https://en.wikipedia.org/Supermarine Spitfire</t>
  </si>
  <si>
    <t>K5054</t>
  </si>
  <si>
    <t>RAF</t>
  </si>
  <si>
    <t>https://en.wikipedia.org/RAF</t>
  </si>
  <si>
    <t>Crash-landed and written off.</t>
  </si>
  <si>
    <t>Etrich VII</t>
  </si>
  <si>
    <t>The Etrich VII monoplane was designed by Igo Etrich. Some were sold to European militaries, including Russia, Germany and Austria-Hungary. Data from [1]General characteristics</t>
  </si>
  <si>
    <t>//upload.wikimedia.org/wikipedia/commons/thumb/3/3c/Etrich_VII.jpg/300px-Etrich_VII.jpg</t>
  </si>
  <si>
    <t>Monoplane</t>
  </si>
  <si>
    <t>https://en.wikipedia.org/Monoplane</t>
  </si>
  <si>
    <t>Austria-Hungary</t>
  </si>
  <si>
    <t>https://en.wikipedia.org/Austria-Hungary</t>
  </si>
  <si>
    <t>Etrich</t>
  </si>
  <si>
    <t>https://en.wikipedia.org/Etrich</t>
  </si>
  <si>
    <t>11.3 m (37 ft 1 in)</t>
  </si>
  <si>
    <t>14.6 m (47 ft 11 in)</t>
  </si>
  <si>
    <t>35 m2 (380 sq ft)</t>
  </si>
  <si>
    <t>1 × Austro-Daimler 6 "V", 89 kW (120 hp)</t>
  </si>
  <si>
    <t>Igo Etrich</t>
  </si>
  <si>
    <t>https://en.wikipedia.org/Igo Etrich</t>
  </si>
  <si>
    <t>Austria-Hungary, Russia, Germany</t>
  </si>
  <si>
    <t>https://en.wikipedia.org/Austria-Hungary, Russia, Germany</t>
  </si>
  <si>
    <t>Privateer Industries Privateer</t>
  </si>
  <si>
    <t>The Privateer Industries Privateer is an American amphibious amateur-built aircraft that was designed by John Meekins and Bill Husa and is under development by Privateer Industries of Florida. It was first flown on 6 August 2018. The aircraft is intended to be supplied as a kit for amateur construction and later type certified and sold as a complete ready-to-fly-aircraft.[1][2] The design was conceived by Meekins, who sought an amphibious aircraft design, but found all existing ones had safety and performance issues and thus fell short of his personal requirements. As a result, he designed his own aircraft. Meekins enlisted assistance from Bill Husa of Orion Technologies in Scottsdale, Arizona and made him chief engineer to work on the design and build the prototype, although Husa died in 2012, before the prototype was completed. Meekins had Embry Riddle Aeronautical University review the design and they reported favorably on it. Meekins established Privateer Industries to manufacture the design and remains chairman &amp; CEO of the company. The development of the aircraft to first flight took over ten years.[1][3] The Privateer features a cantilever low-wing, a seven-seat enclosed cabin accessed by doors, retractable tricycle landing gear, as well as fixed floats for water operation, a twin boom tail mounted on the floats, and a single engine in pusher configuration.[1] The aircraft is made from carbon fiber composites. Its 42.9 ft (13.1 m) span wing is mounted low on the fuselage, which also attaches the integral fixed floats. The aft end of the floats acts as twin tail booms for the twin tail fins, with a single tailplane and elevator mounted high above the pusher propeller. The standard engine used is the Walter M601 turboprop, which produces 724 shp (540 kW) for take-off and 657 hp (490 kW) continuous. The propeller employs a shroud to increase thrust and reduce noise.[1][4][5] By August 2018, one example, the prototype, had been registered in the United States with the Federal Aviation Administration.[6] Data from AvWeb and manufacturer[1][4]General characteristics Performance</t>
  </si>
  <si>
    <t>//upload.wikimedia.org/wikipedia/en/thumb/e/e1/Privateer_Industries_Privateer_prototype.jpg/300px-Privateer_Industries_Privateer_prototype.jpg</t>
  </si>
  <si>
    <t>Privateer Industries</t>
  </si>
  <si>
    <t>https://en.wikipedia.org/Privateer Industries</t>
  </si>
  <si>
    <t>Under development (2018)</t>
  </si>
  <si>
    <t>one prototype (August 2018)</t>
  </si>
  <si>
    <t>5-6 passengers</t>
  </si>
  <si>
    <t>43.0 ft (13.1 m)</t>
  </si>
  <si>
    <t>42.9 ft (13.1 m)</t>
  </si>
  <si>
    <t>282 sq ft (26.2 m2)</t>
  </si>
  <si>
    <t>3,600 lb (1,633 kg)</t>
  </si>
  <si>
    <t>1 × Walter M601 turboprop aircraft engine, 724 hp (540 kW)</t>
  </si>
  <si>
    <t>3-bladed constant speed, with shroud</t>
  </si>
  <si>
    <t>215 kn (247 mph, 398 km/h) at 15,000 ft</t>
  </si>
  <si>
    <t>870 nmi (1,000 mi, 1,600 km)</t>
  </si>
  <si>
    <t>2,100 ft/min (11 m/s)</t>
  </si>
  <si>
    <t>19.8 lb/sq ft (97 kg/m2)</t>
  </si>
  <si>
    <t>John Meekins and Bill Husa</t>
  </si>
  <si>
    <t>12.3 ft (3.7 m) on wheels</t>
  </si>
  <si>
    <t>Voisin XII</t>
  </si>
  <si>
    <t>The Voisin XII was a prototype French two-seat four-engine biplane bomber built near the end of the First World War but which did not enter service.[1] The Voisin XII was a long-range night bomber with four Hispano-Suiza 8Bc engines mounted in pairs in tandem. The aircraft was built in response to the BN2 requirement for a long-range night bomber. One prototype was built and test flights were successful, but the war's end precluded the Voisin XII from being ordered into production.[1] The Voison XIII night-bomber or Type E.87-2 was a proposed development of the Voisin XII, it was not built.[2] Data from French Aircraft of the First World War[1]General characteristics Performance Armament     Related lists</t>
  </si>
  <si>
    <t>//upload.wikimedia.org/wikipedia/commons/thumb/3/3b/Voisin_XII_4-engine_bomber.jpg/300px-Voisin_XII_4-engine_bomber.jpg</t>
  </si>
  <si>
    <t>Night Bomber</t>
  </si>
  <si>
    <t>https://en.wikipedia.org/Night Bomber</t>
  </si>
  <si>
    <t>Voisin</t>
  </si>
  <si>
    <t>https://en.wikipedia.org/Voisin</t>
  </si>
  <si>
    <t>17.30 m (56 ft 9 in)</t>
  </si>
  <si>
    <t>30.00 m (98 ft 5 in)</t>
  </si>
  <si>
    <t>155.68 m2 (1,675.7 sq ft)</t>
  </si>
  <si>
    <t>3,500 kg (7,716 lb)</t>
  </si>
  <si>
    <t>4 × Hispano-Suiza 8Bc V-8 water-cooled piston engines in tandem tractor/pusher nacelles, 160 kW (220 hp)  each</t>
  </si>
  <si>
    <t>2-bladed Voisin fixed-pitch tractor/pusher propellers</t>
  </si>
  <si>
    <t>Gabriel Voisin</t>
  </si>
  <si>
    <t>https://en.wikipedia.org/Gabriel Voisin</t>
  </si>
  <si>
    <t>4.91 m (16 ft 1 in)</t>
  </si>
  <si>
    <t>5,700 kg (12,566 lb)</t>
  </si>
  <si>
    <t>145 km/h (90 mph, 78 kn) at 2,000 m (6,600 ft)</t>
  </si>
  <si>
    <t>5 hours</t>
  </si>
  <si>
    <t>one 7.7 mm (0.303 in) Lewis gun, with the option for one 37 mm (1.457 in) Hotchkiss cannon</t>
  </si>
  <si>
    <t>20 minutes to 2,000 m (6,600 ft)</t>
  </si>
  <si>
    <t>800 kg (1,800 lb) of bombs.</t>
  </si>
  <si>
    <t>LKL IV</t>
  </si>
  <si>
    <t>The LKL IV and LKL V were a pair of very similar Polish parasol wing two-seaters, built in the early 1930s. They differed primarily in their engines. Members of the Lublin Airport Club (Lubelski Klub Lotnitczy in Polish, hence LKL) began to design a pair of parasol wing, two-seat aircraft for the Club's use in 1931. They differed chiefly in their engines and the lengths and the cowlings associated with them, though there were also undercarriage design variations. The LKL IV had a 63 kW (85 hp) aircooled, four-cylinder upright inline engine and was first flown in the autumn of 1932. The LKL V was powered by a 93 kW (125 hp) Warner Scarab seven-cylinder radial engine and flew a few weeks later.[1] The wooden wing was rectangular in plan out to rounded tips and was in two parts, each  built around twin spars and fabric covered. They were braced by pairs of parallel faired struts from the lower fuselage longerons to the spars and the central join was held above the fuselage on a cabane of steel transverse inverted V-struts.[1] Because the Cirrus was an upright engine, its enclosing cowling raised the nose ahead of the cockpit, though the underside sloped upwards. A long exhaust on the port side exited low on the fuselage under the wing. The radial Scarab of the LKL V allowed a lower nose; its cylinders were enclosed by a Townend ring-type housing. Because of the more compact radial, the LKL V was 270 mm (10.6 in) shorter than the LKL IV and was also  had a slightly lower (12 kg (26 lb)) empty weight.  Its greater power allowed an increase of (22 kg (49 lb)) in the loaded weight. Fuel tanks were in the fuselage.  Behind the engines the fuselages were rectangular in section, built around welded steel tube structures and largely fabric-covered. There were two tandem open cockpits with dual controls under the wing, which had a rounded cut-out in its trailing edge.[1] Their tail surfaces were fabric-covered wooden framed structures. The tailplanes were mounted on top of the slender rear fuselage and strut-braced from below and their fins were small, with a cropped triangular profile and carrying full, rounded balanced rudders.  Both had divided-type, fixed, conventional landing gear with half-axles and with radius rods from the lower fuselage longerons. There were differences in the forward, shock absorbing legs; the LKL IV had oleo struts from the upper longerons and the LKL V had faired, compressed rubber legs from the bases of the forward wing struts.[1] In 1934 the LKL IV's undercarriage was shortened, though without changing the geometry.[1] Both aircraft were used by the LKL for several years and flown in local competitions. Both took part in the second International Aviation meeting held in Warsaw in May 1933 where Zygmunt  Martiniak flew the LKL IV into second place and  in the Fifth National Lightplane Contest that September, where the LKL V, flown by  Kolaxzkowski, came ninth. The LKL V continued to fly until autumn 1936.[1][2] Data from J. Cynk (1971)[1] except where notedGeneral characteristics Performance</t>
  </si>
  <si>
    <t>two-seat club aircraft</t>
  </si>
  <si>
    <t>Lubelski Klub Lotnitczy</t>
  </si>
  <si>
    <t>Ome pilot</t>
  </si>
  <si>
    <t>7.12 m (23 ft 4 in)</t>
  </si>
  <si>
    <t>11.6 m (38 ft 1 in)</t>
  </si>
  <si>
    <t>18 m2 (190 sq ft)</t>
  </si>
  <si>
    <t>462 kg (1,019 lb)</t>
  </si>
  <si>
    <t>740 kg (1,631 lb)</t>
  </si>
  <si>
    <t>1 × Cirrus III 4-cylinder, air-cooled inline, 63 kW (85 hp)</t>
  </si>
  <si>
    <t>122–130 km/h (76–81 mph, 66–70 kn) [2]</t>
  </si>
  <si>
    <t>72 km/h (45 mph, 39 kn) minimum speed[2]</t>
  </si>
  <si>
    <t>800 km (500 mi, 430 nmi) [2]</t>
  </si>
  <si>
    <t>2.5 m/s (490 ft/min) [2]</t>
  </si>
  <si>
    <t>Autumn 1932</t>
  </si>
  <si>
    <t>158 km/h (98 mph, 85 kn) at sea level</t>
  </si>
  <si>
    <t>3,000 m (9,800 ft) [2]</t>
  </si>
  <si>
    <t>Scroggs The Last Laugh</t>
  </si>
  <si>
    <t>The Last Laugh was a prototype tailless dart-shaped aircraft built in 1929 by Roy Scroggs in the US. Designed as a lifting body, it was based on an earlier 1917 delta-winged patent. It underwent flight testing but the design was not developed further. Roy Scroggs was a tailor living in Eugene, Oregon, US. He sought to develop an airplane that would bring safety, economy and STOL performance to everyday flying, and patented his first low-aspect-ratio delta design in 1917.[1] His unconventional ideas were rejected by aeronautical experts and he received much ridicule for his persistence. When he finally built a full-size machine in 1929, his chosen name, The Last Laugh, reflected his faith in his invention.[2] The Handley Page HP.115 of 1961, designed to test the Concorde wing plan at low speeds, had a very similar Delta leading edge angle of swept. Shaped like a long, narrow delta with the nose cut off, the aircraft was conceived as a lifting body, having a deep trapezoidal kite-section fuselage which tapered in proportion to the high-mounted, low aspect ratio wing. The fuselage thus formed a deep keel which provided both lift and directional stability. The original delta-winged design of 1917 proved impractical and the nose had to be drastically cut back to provide adequate mounting for an engine and propeller.[3] The structure was primarily of welded metal tubing with fabric covering. Twin main undercarriage wheels were located on struts immediately behind the engine, lifting the forward fuselage well clear of the ground. With the wings level the rear fuselage almost reached the ground and was fitted with a small tailskid. The aircraft was powered by a 90 hp Curtiss OX-5 engine driving a two-bladed propeller.[2][4] The enclosed cockpit was located well aft in the wider part of the fuselage and initially had only two small side windows for vision. These were much increased in size before flight testing began. Aft of it the fuselage tapered more sharply to an angular tail with no separate fin.  A split rudder was fitted for lateral control, with each half attached to the fuselage at its widest and deepest point. Elevon control surfaces were also fitted on the wing trailing edge. Modifications during flight testing included the addition of twin rudder surfaces, mounted aft of the fuselage on short struts.[1] The Last Laugh was registered in the US as NC10648.[5]  It is claimed to have risen to about 10 ft (3 m) in flight.[2] Following initial flight tests he filed for a new patent on its design in July 1930.[3] The machine was damaged during attempted flight trials at Eugene Municipal Airport when it missed the  taxiway and tipped over.[6] Its registration was cancelled in 1934.[7] Data from Eugene Guard 1929, unless otherwise stated.General characteristics Performance</t>
  </si>
  <si>
    <t>//upload.wikimedia.org/wikipedia/commons/thumb/f/fb/KN_Scroggs_TheLastLaugh_1930.jpg/300px-KN_Scroggs_TheLastLaugh_1930.jpg</t>
  </si>
  <si>
    <t>Private homebuild</t>
  </si>
  <si>
    <t>26 ft (7.9 m)</t>
  </si>
  <si>
    <t>360 sq ft (33 m2)</t>
  </si>
  <si>
    <t>1 × Curtiss OX-5 liquid-cooled V-8, 90 hp (67 kW)</t>
  </si>
  <si>
    <t>2-bladed, 10 ft (3.0 m) diameter (estimated)[4]</t>
  </si>
  <si>
    <t>3.4 lb/sq ft (17 kg/m2)</t>
  </si>
  <si>
    <t>Roy Scroggs</t>
  </si>
  <si>
    <t>Castaibert III</t>
  </si>
  <si>
    <t>The Castaibert III was the 3rd, but 2nd successful attempt at flying by Pablo Castaibert. This occurred in 1912, and was described in Boletin del Ae C. Argentino. Data from [1]General characteristics Performance  Argentina This article on an aircraft of the 1910s is a stub. You can help Wikipedia by expanding it.</t>
  </si>
  <si>
    <t>monoplane</t>
  </si>
  <si>
    <t>Castaibert</t>
  </si>
  <si>
    <t>https://en.wikipedia.org/Castaibert</t>
  </si>
  <si>
    <t>8.47 m (27 ft 9 in)</t>
  </si>
  <si>
    <t>9.35 m (30 ft 8 in)</t>
  </si>
  <si>
    <t>18.0232 m2 (194.000 sq ft)</t>
  </si>
  <si>
    <t>280 kg (617 lb)</t>
  </si>
  <si>
    <t>1 × Anzani radial engine, 19 kW (25 hp)</t>
  </si>
  <si>
    <t>Działowski Bydgoszczanka</t>
  </si>
  <si>
    <t>The Działowski Bydgoszczanka, named after Bydgoszcz, the city where it was built in 1925, was a Polish glider designed to compete in the Second National Gliding Contest. Czarna Góra did not provide the wind speeds needed for the First Polish Glider Contest, held in 1923. The organizers of the Second Contest, held in 1925, chose Oksywie near Gdynia in the search for better winds but their hopes were not rewarded and the best flights of 1923 were not approached, though more flights were made and with fewer crashes. The Second Contest began on 17 May and ended on 14 June, though only fifteen of the twenty-seven contestants were flown. The Bydgoszczanka, designed by the Działowski brothers Stanisław and Mieczyła, won no prizes.[1] The brothers built the Bydgoszczanka in the workshops of the Pilot's Lower School in Bydgoszcz. It was not the only open frame glider in the contest but its frame and wing position were unusual. The frame was made by gluing together long strips of wood which were then bent back on themselves and fixed in shape with five vertical bracing members and cross-wires. As a result, it was nearly semicircular in profile forward and tapered towards the tail.[1][2] More conventional open frame gliders, such as the Wallis S.1, placed the wing on top of the frame but the two spar wing of the Bydgoszczanka was mounted by its spars high on the two most forward vertical cross-members, with wire bracing from the upper and lower frame. The wing was approximately rectangular in plan, with plywood covering ahead of the forward spar and fabric covering behind. The Bydgoszczanka'a broad-chord ailerons, which could be operated together or differentially, merged into full-span, rotating wingtips which acted as aerodynamic balances.  The pilot sat exposed under the wing leading edge, his controls including a steering wheel.[1][2] The rudder was mounted without a fin on the rearmost frame cross-member, which extended upwards above the upper chord. During the contest it had two different forms. Both  were arch-topped but one had its lower edge well above the horizontal tail and the other extended down to the lower chord.  A triangular tailplane joined the two rearmost vertical members and mounted an elevator with angled tips; on the short rudder version this had a curved central cut-away but with the long rudder it was divided into two by a V-shaped gap for rudder operation.  Cynk and Glass agree that the modification was made during the repair of damage caused by a crash during the contest but not on which form came first.[1][2] Modifications were also made to the undercarriage during the contest, again with uncertainty about which form came first. In one arrangement the  Bydgoszczanka had wheels on a frame-mounted cross axle without skids, a photograph shows it with both wheels and skids and both sources refer to a version with just skids. Cynk states that the wheeled form came first, followed by the skids-only gear; Glass reverses this order.[1][2] On the second day of the contest the Bydgoszczanka, piloted by Strzelczyk, made a flight lasting just over 15 sec.  It made more flights after its crash and modifications, bringing its total flight time to 72 seconds but then crashed again and was not repaired.[1] Data from J. Cynk, 1971[1] except where notedGeneral characteristics</t>
  </si>
  <si>
    <t>6.5 m (21 ft 4 in)</t>
  </si>
  <si>
    <t>10.25 m (33 ft 8 in)</t>
  </si>
  <si>
    <t>78 kg (172 lb)</t>
  </si>
  <si>
    <t>148 kg (326 lb)</t>
  </si>
  <si>
    <t>Stansław and Mieczyław Działowski</t>
  </si>
  <si>
    <t>on or before 18 May 1925</t>
  </si>
  <si>
    <t>2.6 m (8 ft 6 in) [2]</t>
  </si>
  <si>
    <t>Karpiński SL.1 Akar</t>
  </si>
  <si>
    <t>The SL.1 Akar (Gnat) was a Polish glider built to compete in the First Polish Glider Contest, held in 1923. It dominated the contest with its pilots achieving first and second places. Reports of the first German glider contest, held at the Wasserkuppe in the late summer of 1920, generated considerable interest in Poland, leading to the First Polish Glider Contest at Czarna Góra between 30 August and 13 September 1923. The contest was not a great success, limited by novice designers and pilots and a poor site, but the SL.1 Akar was by far the most successful entrant. It was designed in 1922 by Adam Karpiński, a student in the Sekcja Lotnicza (SL), the aviation section of Warsaw Technical University and was built by other SL students.[1] The all-wood Akar was a cantilever monoplane with a three-part wing built around twin spars. The wing had a rectangular plan centre-section with trapezoidal outer panels and was fabric covered.[1][2] It was mounted on top of two parallel open frames, spaced about 2 m (6 ft 7 in) apart, forming its fuselage.  These each had longitudinal straight upper and curved lower chords interconnected by short oblique web members and were braced together by three transverse struts. Two, one from each of the two forward-most web members, carried the pilot's seat. The chords of each frame converged at the rear, where the third transverse member carried the empennage. The tailplane was confined between the fuselage frames but the elevators projected beyond, carrying balances. There were no fins but twin roughly rectangular rudders. A forward cross-axle extending beyond the fuselage frames gave the large wheels a wide track and the upward-curving lower chords acted as skids to prevent nose-overs.[1][2] Though most of the gliders entered into the contest had not flown before its opening, the Akar had made its first flight on 24 August 1923, piloted by the designer's brother, Tadeusz. Seven flights were made before the contest began, flown by Karpiński and by Ryszard Bartel; the longest of these lasted 96 seconds and was made by Bartel. These test flights revealed good handling, with effective and balanced controls.[1] The Akar dominated the contest, flown both by Karpiński who was placed first and by Bartel, placed second. Its longest flight lasted 186 seconds; it made a flight of over 3 km (1.9 mi) and gained an altitude of 20 m (66 ft). In the following spring the Akar was used by the SL to look for good gliding sites in the Babia Góra.  Equipped with skis, it made a flight on 3 April 1924 (another source gives the date as 8 April[2]) which lasted 325 s, covered about 2.5 km (1.6 mi) and set a Polish record which stood for over four years.[1] It crashed either at the end of this flight[2] or in a later one.[1] After the crash the glider was redesigned by Stanisław Prauss as the Akar II, with a rectangular section, ply-covered fuselage and a new empennage. It was entered for the Second Polish Polish Glider Contest of 1925, though it did not appear there.[1] Though Cynk reports that the Akar II was built, another source claims that the students were blocked from using the University workshop and no rebuilding of the Akar occurred. Its remains were destroyed in the autumn of 1925.[2] Data from :General J. Cynk (1971);[1] Performance Samolotypolskie.pl.[2]General characteristics Performance9</t>
  </si>
  <si>
    <t>glider</t>
  </si>
  <si>
    <t>https://en.wikipedia.org/glider</t>
  </si>
  <si>
    <t>9.3 m (30 ft 6 in)</t>
  </si>
  <si>
    <t>12.2 m2 (131 sq ft)</t>
  </si>
  <si>
    <t>75 kg (165 lb)</t>
  </si>
  <si>
    <t>140 kg (309 lb)</t>
  </si>
  <si>
    <t>Adam Karpiński</t>
  </si>
  <si>
    <t>1.3 m/s (260 ft/min)</t>
  </si>
  <si>
    <t>45 km/h (28 mph; 24 kn)</t>
  </si>
  <si>
    <t>Nowotny N-y 4bis</t>
  </si>
  <si>
    <t>The Nowotny N-y 4bis was a tandem two-seat light aircraft, built in Poland, as a step towards a very light, low-powered training aircraft for flying clubs. Its designer was killed in a glider soon after the first flight of his trainer and its development was abandoned. In 1932 Adam Nowotny designed a low-powered, lightweight two-seat trainer, designated the Nowotny N-y 4, intended to help glider pilots  convert to powered flight. The Lwów Aeroclub were willing to finance its building but no suitably low power engine was available. As the club had an elderly, 85 hp (63 kW) Walter NZ radial engine, Nowotny produced a completely new design incorporating it. Despite the changes, Nowotny designated it the Nowotny N-y 4bis as he regarded it as a step towards his conversion trainer.[1] The  Lwów  Aeroclub had the design tested in the local university's wind tunnel and in May 1933 contracted its construction to the C.W.A., a short-lived commercial venture of the Lublin Aeroclub. After C.W.A.'s collapse, the Nowotny N-y 4bis was completed in the Lublin factory of E. Plage &amp; T. Laśkiewicz. Its first flight, piloted by its designer, was in April 1934.[1] The N-y 4bis was a monoplane with a cantilever low wing built around a single  birch box spar. Beyond a short centre section, an integral part of the fuselage with a carefully faired trailing edge, the wing tapered strongly in both plan and section out to rounded tips and had marked dihedral. Part of the wing was plywood covered, with fabric elsewhere. The ailerons, which reached the wing tips, were both slotted and balanced.[1][2] The Walter engine, with its fuel tank in the wing centre section, was enclosed with a Townend ring-type cowling. Behind it, the rectangular section fuselage was built from welded steel tubes and fabric covered apart from a rounded plywood upper decking which began immediately behind the engine, rising to fair-in the two tandem cockpits and provide them with headrests. Both cockpits, with the instructor's raised at the rear, were over the wing and fitted with dual control. Behind the cockpits the fuselage structure was internally wire-braced. The small, trapezoidal fin of the N-y 4bis had a steel frame and was an integral part of the fuselage. It was ply-covered but the very generous, rounded, balanced rudder, which reached down to the keel, was fabric covered like the rest of the empennage. Its horizontal tail was ground-adjustable and tapered in plan to rounded tips, with unbalanced elevators separated by a gap to allow rudder movement.[1][2] The undercarriage was conventional, with fixed mainwheels and a tailskid. The wheels were on split axles from the lower central fuselage; its landing legs, incorporating rubber disk shock absorbers, and drag struts were attached to the lower longerons.[1][2] Early tests showed the N-y 4bis handled well and out-performed estimates. Before it could go for official certification Nowotny died in a glider accident on 13 July 1934 and the aircraft was abandoned.[1]  Data from J. Cynk (1971}[1] except where noted. Performance estimated.General characteristics Performance</t>
  </si>
  <si>
    <t>//upload.wikimedia.org/wikipedia/commons/thumb/2/2a/Samolot_Ny-4bis.png/300px-Samolot_Ny-4bis.png</t>
  </si>
  <si>
    <t>Two seat trainer</t>
  </si>
  <si>
    <t>https://en.wikipedia.org/Two seat trainer</t>
  </si>
  <si>
    <t>8.15 m (26 ft 9 in)</t>
  </si>
  <si>
    <t>11.4 m (37 ft 5 in)</t>
  </si>
  <si>
    <t>490 kg (1,080 lb)</t>
  </si>
  <si>
    <t>750 kg (1,653 lb)</t>
  </si>
  <si>
    <t>1 × Walter NZ 7-cylinder radial engine, 63 kW (85 hp)</t>
  </si>
  <si>
    <t>2-bladed Szomański</t>
  </si>
  <si>
    <t>150 km/h (150 mph, 130 kn)</t>
  </si>
  <si>
    <t>800 km (500 mi, 430 nmi)</t>
  </si>
  <si>
    <t>3.9 m/s (770 ft/min) [2]</t>
  </si>
  <si>
    <t>Adam Nowotny</t>
  </si>
  <si>
    <t>https://en.wikipedia.org/Adam Nowotny</t>
  </si>
  <si>
    <t>Gôttingen Gô 679</t>
  </si>
  <si>
    <t>85 km/h (53 mph; 46 kn)</t>
  </si>
  <si>
    <t>Salmson 3</t>
  </si>
  <si>
    <t>The Salmson 3 C.1 was a French World War I biplane fighter aircraft developed by Salmson which lost out in competition to the SPAD XIII and Morane-Saulnier AI. The Sal 3 C1 was a biplane of all-wood construction, originally built with a 230 hp (170 kW) Salmson 9Z, but re-engined with a 260 hp (190 kW) Salmson 9Zm in an effort to rectify deficiencies in performance.[1] Flight tests began in late 1917, but pilots complained of poor visibility and difficulties operating the machine. Although the Salmson 3 prototype was returned to the factory for modifications, further tests were unable remedy the deficiencies sufficiently, and the French military judged the Salmson 3 to be inferior to the SPAD XIII in performance.[1] Data from Salmson aircraft of World War I;[2] Airwar : Salmson Sal.3[3]General characteristics Performance Armament</t>
  </si>
  <si>
    <t>Salmson</t>
  </si>
  <si>
    <t>https://en.wikipedia.org/Salmson</t>
  </si>
  <si>
    <t>Abandoned</t>
  </si>
  <si>
    <t>9.85 m (32 ft 4 in)</t>
  </si>
  <si>
    <t>23.936 m2 (257.64 sq ft)</t>
  </si>
  <si>
    <t>696.7 kg (1,536 lb)</t>
  </si>
  <si>
    <t>1,026.7 kg (2,263 lb)</t>
  </si>
  <si>
    <t>1 × Salmson 9Zm 9-cylinder water-cooled radial piston engine, 190 kW (260 hp)</t>
  </si>
  <si>
    <t>2-bladed Ratmanoff CUH</t>
  </si>
  <si>
    <t>182 km/h (113 mph, 98 kn)</t>
  </si>
  <si>
    <t>350 km (220 mi, 190 nmi)</t>
  </si>
  <si>
    <t>2.48 m (8 ft 2 in)</t>
  </si>
  <si>
    <t>215 km/h (134 mph, 116 kn) at 2,000 m (6,600 ft)</t>
  </si>
  <si>
    <t>7,000 m (23,000 ft)</t>
  </si>
  <si>
    <t>Salmson 2 A.2</t>
  </si>
  <si>
    <t>https://en.wikipedia.org/Salmson 2 A.2</t>
  </si>
  <si>
    <t>2 x fixed, forward-firing, synchronised 7.7 mm (0.30 in) Vickers machine guns</t>
  </si>
  <si>
    <t>1,000 m (3,300 ft) in 2.73 minutes</t>
  </si>
  <si>
    <t>AMA motor-glider</t>
  </si>
  <si>
    <t>The AMA, named after its designers, was a one-off motor glider built in Poland in the mid-1930s. Its development was abandoned after early tests revealed incurable engine-mounting vibration problems. Until the mid-1930s the Polish government had supported amateur aeronautical activity. The end of this support forced designers to consider low cost powered gliders and other small, low powered, structurally simple aircraft.  The AMA, a powered glider designed by Andrzej Anczutin, Henryk Malinowski and Rościslaw Aleksandrowicz from the Warsaw Technical University, was one of many such designs.[1] Its first flight, made in August 1935 and piloted by Szczepan Grzeszczyk, was as a glider, towed by an RWD 8. It was first flown under its own power by Aleksander Onoszko on 13 September 1935. Over the next two days it was flown by Kazimierz Chorzewski in displays celebrating the start of the Warsaw-based 23rd Gordon-Bennett Championships.[1] These flights revealed two significant problems: stability and engine vibration. The former was reduced by empennage modifications but the latter proved incurable. Development was abandoned after only six powered flights.[1] The AMA was a high wing monoplane with a wooden structure. Its wing was in three parts, a short, partly metal skinned centre section and two outer panels of constant chord and thickness out to rounded, thinned tips. The outer panels were built around a single box spar with a ply-covered D-box ahead forming the leading edge. Elsewhere the wing was fabric covered. Ailerons reached to the wing tips. The wing was supported centrally on a streamlined pylon and braced on each side with a single, streamlined steel strut between spar and lower fuselage longeron.[1] Its 25 kW (34 hp) Poinsard air-cooled flat twin engine was mounted in pusher configuration over the wing above the central pylon, an arrangement used earlier on the BAC Planette.[1] The fuselage of the AMA was rectangular in section, cross-braced with wire and fabric covered, with a single-seat, open cockpit immediately ahead of the wing pylon. The fixed empennage surfaces were covered with ply and the control surfaces with fabric. Together, the tall fin and rudder had a blunted triangular profile. The AMA's low, divided-type undercarriage placed the fuselage underside close to the ground, with each wheel on a V-strut hinged on the lower fuselage longeron and a bracing strut to the upper fuselage. These struts were rigid and the AMA relied on 270 mm (10.63 in) Dunlop low-pressure tyres to absorb landing shocks.[1][2] Data from General from J. Cynk, 1971,[1] performance from Samolotypolskie[2]General characteristics Performance</t>
  </si>
  <si>
    <t>10.5 m (34 ft 5 in)</t>
  </si>
  <si>
    <t>1 × Poinsard air-cooled flat twin engine, 25 kW (34 hp)</t>
  </si>
  <si>
    <t>2-bladed wooden pusher</t>
  </si>
  <si>
    <t>Andrzej Anczutin, Henryk Malinowski and Rościslaw Aleksandrowicz</t>
  </si>
  <si>
    <t>1.5 m (4 ft 11 in)</t>
  </si>
  <si>
    <t>1.4 m/s (280 ft/min) minimum</t>
  </si>
  <si>
    <t>Boeing Model 908-909</t>
  </si>
  <si>
    <t>The Boeing Model 908-909 was a prototype single-engine supersonic multirole fighter aircraft originally developed for the United States Air Force (USAF) Lightweight Fighter program, a program that later developed into the Air Combat Fighter (ACF) program. It was initially the favored design but lost at the conclusion of the competition to the General Dynamics 401, later the YF-16 (now Lockheed F-16). Among the Boeing Model 908-909 features include a frameless bubble canopy for better visibility and a Pratt &amp; Whitney F100 turbofan engine. Wind tunnel tests were conducted at the Langley Research Center as Test 281.[1] The Lightweight Fighter proposals were delivered to the Air Force by the February 18, 1972 deadline. The Boeing Model 908-909 was the winner of a preliminary analysis. Other submitted designs included the General Dynamics Model 401 and Northrop Model P-600 which were deemed second and third place, respectively. The General Dynamics Model 401 was renamed the YF-16 and was the eventual winner. The P-600 was renamed the YF-17, later F/A-18 was a further modification. The Vought Model V-1100 and Lockheed Model CL-1200 were fourth and fifth place in the preliminary analysis.[2]</t>
  </si>
  <si>
    <t>Multirole combat aircraft</t>
  </si>
  <si>
    <t>https://en.wikipedia.org/Multirole combat aircraft</t>
  </si>
  <si>
    <t>Boeing</t>
  </si>
  <si>
    <t>Boulton Paul P.116</t>
  </si>
  <si>
    <t>The Boulton Paul P.115 and Boulton Paul P.116 were basic trainers designed by Boulton Paul Aircraft to meet Air Ministry Specification T.16/48.[1] Data from:Boulton Paul aircraft since 1915[1] The Percival Provost won the order for trainers to spec. T.16/48, after competitive trials with the Handley Page H.P.R.2 Data from Boulton Paul aircraft since 1915.[1]General characteristics Performance  Related development Aircraft of comparable role, configuration, and era</t>
  </si>
  <si>
    <t>Two-seat Trainer</t>
  </si>
  <si>
    <t>https://en.wikipedia.org/Two-seat Trainer</t>
  </si>
  <si>
    <t>Boulton Paul Aircraft</t>
  </si>
  <si>
    <t>https://en.wikipedia.org/Boulton Paul Aircraft</t>
  </si>
  <si>
    <t>Cancelled before completion of first prototype</t>
  </si>
  <si>
    <t>{'P.115': 'signed to Spec T.16/48, the P.115 was to have been powered by an Armstrong Siddeley Cheetah seven-cylinder radial engine, to replace the Percival Prentice. Boulton Paul drew up an alternative engine choice, using the new de Havilland Gipsy Queen 71 which was rated at 400\xa0hp (300\xa0kW), geared and supercharged. The P.115 would have had a top speed of 139\xa0kn (160\xa0mph; 257\xa0km/h) and cruising speed of 122\xa0kn (140\xa0mph; 226\xa0km/h), at 5,000\xa0ft (1,500\xa0m), climbing to 10,000\xa0ft (3,000\xa0m) in 10 minutes.', 'P.116': 'ulton Paul also submitted the P.116 for T.16/48, powered by a supercharged 295\xa0hp (220\xa0kW) de Havilland Gipsy Queen 50.'}</t>
  </si>
  <si>
    <t>1 × de Havilland Gipsy Queen 50 6-cylinder air-cooled inverted in-line piston engine, 295 hp (220 kW)</t>
  </si>
  <si>
    <t>118 kn (136 mph, 219 km/h) at 5,000 ft (1,500 m)</t>
  </si>
  <si>
    <t>John Dudley North</t>
  </si>
  <si>
    <t>https://en.wikipedia.org/John Dudley North</t>
  </si>
  <si>
    <t>134 kn (154 mph, 248 km/h) at 5,000 ft (1,500 m)</t>
  </si>
  <si>
    <t>10,000 ft (3,000 m) in 13 minutes 30 seconds</t>
  </si>
  <si>
    <t>Schönleber Vento</t>
  </si>
  <si>
    <t>The Schönleber Vento (transl. Wind) is a German ultralight trike designed and produced by Schönleber Metallbau GbR of Schönaich and formerly located in Regensburg. The aircraft is supplied complete and ready-to-fly.[1] The company has been producing ultralight trikes since the 1990s, mostly to supply local customers and without advertising. The company's main business is metal fabrication.[1] The Vento was designed to comply with the Fédération Aéronautique Internationale microlight category, including the category's maximum gross weight of 450 kg (992 lb). The aircraft has a maximum gross weight of 400 kg (882 lb).[1] The aircraft design features a cable-braced hang glider-style high-wing, weight-shift controls, a two-seats-in-tandem open cockpit with an optional cockpit fairing, tricycle landing gear and a single engine in pusher configuration.[1] The aircraft is made from bolted-together aluminum tubing, with its double surface wing covered in Dacron sailcloth. Its 9.5 m (31.2 ft) span wing is supported by a single tube-type kingpost and uses an "A" frame weight-shift control bar. The powerplant is a twin cylinder, liquid-cooled, two-stroke, dual-ignition 64 hp (48 kW) Rotax 582 engine, equipped with a 4:1 belt reduction drive to reduce the aircraft's noise signature.[1] The aircraft has an empty weight of 160 kg (353 lb) and a gross weight of 400 kg (882 lb), giving a useful load of 240 kg (529 lb). With full fuel of 60 litres (13 imp gal; 16 US gal) the payload is 197 kg (434 lb).[1] A number of different wings can be fitted to the basic carriage, including a special wing for hang glider towing.[1] Data from Tacke[1]General characteristics Performance</t>
  </si>
  <si>
    <t>Schönleber Metallbau GbR</t>
  </si>
  <si>
    <t>https://en.wikipedia.org/Schönleber Metallbau GbR</t>
  </si>
  <si>
    <t>1 × Rotax 582 twin cylinder, liquid-cooled, two stroke aircraft engine, equipped with a 4</t>
  </si>
  <si>
    <t>3.2 m/s (630 ft/min)</t>
  </si>
  <si>
    <t>Wacyk-Tyrala WT-1</t>
  </si>
  <si>
    <t>The WT-1 was a 1931 high performance sports aircraft designed in Poland. It only made two flights. Stanisław Wacyk and Tadeuz Tyrala designed the WT-1 during 1930 and they largely financed the construction of its fuselage at the Aviation Circle of the Industrial School at Kraków and wings in the workshops of the Kraków Air Regiment.  It was completed in the summer of 1931.[1] The high performance sports aircraft was an aerodynamically clean cantilever wing monoplane.  Its high-mounted, one piece wing was built around two spars, with a plywood covered leading edge and fabric covering. Narrow chord ailerons occupied the whole of the trailing edges.[1] The WT-1's borrowed 67–73 kW (90–98 hp) de Havilland Gipsy I four cylinder upright inline engine was mounted largely exposed, though with a fairing  behind it. The ply-covered fuselage had rounded decking; the fuel tank was in the forward fuselage and its two seat, side-by-side cockpit was behind the wing trailing edge. The fuselage tapered rearwards, with the tailplane mounted on top. A tall triangular fin carried a rounded rudder, which reached down to the keel.  Its fixed landing gear was conventional, though details are not known.[1] An initial first flight was abandoned due to a fuel supply problem. The system was modified and a new fuel pump fitted, after which Stanisław Szubka piloted its first flight, finding the WT-1 hard to fly because of a misplaced  centre of gravity (c.g.), and damaging it on landing. After accident repair and c.g. adjustment the WT-1 was flown by Jerzy Bajan. The take-off run was short and performance high, but Bajan found its handling dangerous. At this point the loaned Gipsy engine had to be returned to the Kraków Air Regiment and the development of the WT-1 was abandoned.[1]  Data from Samolotypolskie.pl[2]General characteristics Performance</t>
  </si>
  <si>
    <t>Sports aircraft</t>
  </si>
  <si>
    <t>6.2 m (20 ft 4 in)</t>
  </si>
  <si>
    <t>8.5 m (27 ft 11 in)</t>
  </si>
  <si>
    <t>1 × de Havilland Gipsy I 4-cylinder upright inline engine, 67–73 kW (90–98 hp)</t>
  </si>
  <si>
    <t>2-bladed Schwartz</t>
  </si>
  <si>
    <t>90 km/h (56 mph, 49 kn) minimum speed</t>
  </si>
  <si>
    <t>Stanisław Wacyk and Tadeuz Tyrala</t>
  </si>
  <si>
    <t>mid-1931</t>
  </si>
  <si>
    <t>2.0 m (6 ft 7 in)</t>
  </si>
  <si>
    <t>CTRM Aludra</t>
  </si>
  <si>
    <t>Aludra is a Malaysian unmanned aerial vehicle operating since 2010. The Aludra was designed and manufactured by Composites Technology Research Malaysia which is now under DefTech.[3][4][5] To fulfill the Malaysian Armed Forces needs in UAV operation, Malaysia formed a consortium on 15 January 2007 involves of local company which is Composite Technology Research Malaysia (CTRM), Unmanned Systems Technology (UST) and Ikramatic to develop indigenous made UAV.[6] Aludra already used in combat on 2013 in Ops Daulat to monitor Kiram's militant movement. After the Sabah incursion, Aludra is stationed at Sabah to perform the surveillance and reconnaissance mission in Sabah's border.[7] First production of the UAV. Three build and currently in service with Malaysian Armed Forces.[8] Improved version of Aludra with better engine, payload and endurance.[9] Aludra Camar made its maiden flight in July 2017 and its expected to be completed by 2019.The UAV has designed to carry out surveillance and mapping missions.[10] Lightweight UAV designed for light surveillance role.[11]</t>
  </si>
  <si>
    <t>//upload.wikimedia.org/wikipedia/commons/thumb/8/84/Aludra_Mk1.jpg/300px-Aludra_Mk1.jpg</t>
  </si>
  <si>
    <t>Unmanned Aerial Vehicle (UAV)</t>
  </si>
  <si>
    <t>https://en.wikipedia.org/Unmanned Aerial Vehicle (UAV)</t>
  </si>
  <si>
    <t>Malaysia</t>
  </si>
  <si>
    <t>https://en.wikipedia.org/Malaysia</t>
  </si>
  <si>
    <t>15[2]</t>
  </si>
  <si>
    <t>Composites Technology Research Malaysia</t>
  </si>
  <si>
    <t>https://en.wikipedia.org/Composites Technology Research Malaysia</t>
  </si>
  <si>
    <t>2007[1]</t>
  </si>
  <si>
    <t>2010–present</t>
  </si>
  <si>
    <t>Malaysian Armed Forces</t>
  </si>
  <si>
    <t>https://en.wikipedia.org/Malaysian Armed Forces</t>
  </si>
  <si>
    <t>Czechowski Śpiesz się powoli</t>
  </si>
  <si>
    <t>The  Śpiesz się powoli (transl. Hasten slowly), was a Polish glider which gained second place at the Second Polish Glider Contest, held in 1925. Czarna Góra did not provide the wind speeds needed for the First Polish Glider Contest, held in 1923. The organizers of the Second Contest, held in 1925, chose Oksywie near Gdynia in the search for better winds but their hopes were not rewarded and the best flights of 1923 were not approached, though more flights were made and with fewer crashes. The Second Contest began on 17 May and ended on 14 June, though only fifteen of the twenty-seven contestants were flown. The Śpiesz się powoli, designed by Lieut Czechowski, finished second to the Bohatyrew Miś[1] Built in the Naval Aviation workshops at Puck, the Śpiesz się powoli's design owed much to the Karpiński SL.1 Akar which comfortably won the 1923 contest. Like the Akar its fuselage consisted of two open frames parallel to each other from the wing aft and bearing twin, near-recangular rudders  at their ends, where the elevator linked the two frames. Contrasted with the Akar, the frames were simplified with fewer cross-members. A rectangular plan, fabric-covered wing was mounted on top of the frames.  The full frame began at the wing leading edge but their converging lower longerons projected forward, supporting the pilot's seat ahead of the wing rather than under the wing as on the Akar, and mounting landing skids in place of the Akar's wheels.[1][2] Flown by Stempkowski at the contest, the Śpiesz się powoli made the second longest flight (48 seconds), reached the second best height (19 m (62 ft)) and amassed a total flying time of 7 minutes 6 seconds over thirteen flights.[1]  The glider was significantly damaged during the competition[2] and it is not known if it flew again. Data from Samolotypolskie[2]General characteristics</t>
  </si>
  <si>
    <t>10.7 m (35 ft 1 in)</t>
  </si>
  <si>
    <t>19.3 m2 (208 sq ft)</t>
  </si>
  <si>
    <t>Czechowski</t>
  </si>
  <si>
    <t>Boom XB-1</t>
  </si>
  <si>
    <t>The Boom XB-1 "Baby Boom" is a one-third-scale trijet supersonic demonstrator designed by Boom Technology (dba "Boom Supersonic"[2]) as part of development of the Boom Overture supersonic transport airliner. It is planned to maintain Mach 2.2, with over 1,000 nmi (1,900 km) of range. Powered by three General Electric J85s, it is expected to be flight tested around early 2022.[3] The design was unveiled in Denver on November 15, 2016[4] and it was initially intended to make its first subsonic flight in late 2017, powered by three General Electric CJ610 turbojets (a civilian J85), with subsequent supersonic flight testing at Edwards AFB.[5] By April 2017, enough financing was secured to build and fly it.[6] Its preliminary design review was completed by June 2017, with a switch of engine to the military version of the J85 to take advantage of its extra thrust. It was then anticipated that flight tests would start late 2018.[7] In 2017, the composite wing spar was load tested while being heated in a hydraulic testbed at 300 °F (149 °C), above the heat soak operational temperature. First expected supersonic flight slipped to 2019.[8] By July 2018, the aerodynamic design was completed, the horizontal tail assembled, and the engines received. The Spaceship Co., manufacturer of Virgin Galactic’s vehicles, was announced as a partner for flight tests in Mojave, California.[9] Flight tests were delayed again for 2019 due to challenging aerodynamics and further engine change; from the 3,500 lbf (16 kN) J85-21 to the 4,300 lbf (19 kN) J85-15.[9] The XB-1 design went through three sets of wind-tunnel tests. The first indicated that predicted calibration was off by 30%. The second set of tests confirmed accurate calibration, and a third set of tests confirmed design safety. Tunnel testing finished in November 2018, including takeoff and landing with gear doors' impact on stability as well as supersonic inlet testing. These tests had taken a decade on Concorde. The carbon-fiber layup of the fuselage halves was to begin in early 2019 for final assembly of the forward fuselage at the beginning of Spring. With total investment rising to $200 million, Boom was funded for XB-1 flight-testing to the end of 2020.[10] At the June 2019 Paris Air Show, Blake Scholl announced the date for first flight was pushed out to 2020, six months later than previously planned after including a stability augmentation system for better safety at high speed and at take-off and landing.[11] Static wing loading tests were carried out in March 2020, and the wings were mated to the fuselage in April[12] with the aft fuselage nearing completion in May.[13] On October 7, 2020, Boom rolled out the XB-1, with the maiden flight expected in 2021.[14] On July 26, 2021, Boom began testing and evaluating a forward-looking vision system (FLVS) as part of preparations for flight tests of the XB-1.[15] The FLVS is similar to that of X-59 QueSST's External Vision System (EVS). In January 2022, Boom began conducting engine run-ups using the XB-1, in preparation for taxi tests and the first flight later in 2022.[16] The XB-1 Baby Boom is 68 ft (21 m) long, has a 17 ft (5.2 m) wingspan and a 13,500 lb (6,100 kg) maximum take-off weight. Powered by three non-afterburning J85-15 engines with variable geometry inlets and exhaust, the prototype should be able to sustain Mach 2.2 with more than 1,000 nmi (1,900 km) of range. It has a two-crew cockpit, chined forebody and swept trailing edges.[4] For thermal control, the environmental control system uses the fuel as a heat sink to dump cabin heat.[8] The XB-1 is constructed of lightweight composites. Materials for the hot leading edges and 307 °F (153 °C) nose, and epoxy materials for cooler parts, are provided by Dutch TenCate Advanced Composites, high-temperature materials supplier for the SpaceX Falcon 9. The airframe will be primarily intermediate-modulus carbon fiber/epoxy, with high-modulus fibers for the wing spar caps and bismaleimide prepreg for the high-temperature leading edges and ribs. Data from Aviation Week[4][needs update]General characteristics Performance Related development</t>
  </si>
  <si>
    <t>//upload.wikimedia.org/wikipedia/en/thumb/5/57/Boom_technology_XB-1_baby_boom.jpg/300px-Boom_technology_XB-1_baby_boom.jpg</t>
  </si>
  <si>
    <t>Supersonic technology demonstrator aircraft</t>
  </si>
  <si>
    <t>https://en.wikipedia.org/Supersonic technology demonstrator aircraft</t>
  </si>
  <si>
    <t>Boom Technology</t>
  </si>
  <si>
    <t>https://en.wikipedia.org/Boom Technology</t>
  </si>
  <si>
    <t>Under development</t>
  </si>
  <si>
    <t>68 ft (21 m)</t>
  </si>
  <si>
    <t>17 ft (5.2 m)</t>
  </si>
  <si>
    <t>3 × General Electric J85-15[9] turbojet, 4,300[9] lbf (19 kN) thrust each</t>
  </si>
  <si>
    <t>1,000 nmi (1,200 mi, 1,900 km)</t>
  </si>
  <si>
    <t>Planned for early 2022 [1]</t>
  </si>
  <si>
    <t>13,500 lb (6,123 kg)</t>
  </si>
  <si>
    <t>Mach 2.2</t>
  </si>
  <si>
    <t>Boulton Paul P.112</t>
  </si>
  <si>
    <t>The Boulton Paul P.112 was an elementary trainer designed by Boulton Paul Aircraft for the Royal Air Force. The P.112 was developed from the successful Boulton Paul Balliol, an advanced trainer powered by a Rolls-Royce Merlin piston engine, sharing the same fuselage as the Balliol but with new high aspect ratio wings and a non-retractable spatted undercarriage of 15 ft 2 in (4.62 m) track.[1][2][verification needed] The trainer was equipped with three seats, similar to the Balliol and looked so like the earlier aircraft that the image in the brochure was actually a retouched Balliol T.1.[3] However, the Royal Air Force preferred the smaller de Havilland Canada DHC-1 Chipmunk to the P.112 and so no production ensued.[3] Data from Boulton Paul Aircraft[4]General characteristics Performance  Related development Aircraft of comparable role, configuration, and era</t>
  </si>
  <si>
    <t>Three-seat Trainer</t>
  </si>
  <si>
    <t>https://en.wikipedia.org/Three-seat Trainer</t>
  </si>
  <si>
    <t>1 pax or supernumery</t>
  </si>
  <si>
    <t>35 ft 1.5 in (10.706 m)</t>
  </si>
  <si>
    <t>45 ft 9 in (13.94 m)</t>
  </si>
  <si>
    <t>1 × Alvis Leonides LE.4M 9-cylinder air-cooled radial piston engine, 520 hp (390 kW)</t>
  </si>
  <si>
    <t>3-bladed constant-speed propeller</t>
  </si>
  <si>
    <t>12 ft 6 in (3.81 m)</t>
  </si>
  <si>
    <t>LKL II</t>
  </si>
  <si>
    <t>The LKL II was a Polish three-seat competitive touring aircraft first flown in 1930. The LKL II was the first aircraft built in the workshop of the Lubelski Klub Lotniczy (LKL) and was intended to compete in the 1930 Second Challenge de Tourisme International. Two examples of the three-seat cabin monoplane were built together, starting in the summer of 1929 and completed the following year with a first flight in July 1930 flown by Jozef Zuromski.[1]  The second airframe was destroyed by fire during its first take-off attempt.[2] The LKL II was a high, cantilever wing aircraft of mixed construction which had a one-piece, two spar wooden wing with plywood covering, elliptical in plan and bolted directly on the top of the welded steel tube fuselage structure. It was powered by a 63 kW (85 hp) Walter Vega five-cylinder radial engine, mounted with its cylinders exposed for cooling. Behind the engine the fuselage was fabric covered. Its large, enclosed cabin had a bench seat for two passengers behind the pilot and a luggage compartment at the rear. Entry was via a starboard side door. Its empenage was a steel tube structure with fabric covering. The fin was triangular and carried a deep semi-circular rudder which worked between the elevators. Its tailplane was mounted on top of the fuselage and was adjustable. The LKL II had a fixed, conventional undercarriage with mainwheeels on streamlined struts hinged on the lower longerons. These joined rubber shock absorbers placed within the fuselage.[1] The loss of the second airframe slowed the development of the first, preventing it from participating in the Challenge but it was later much used by the LKL, taking part in several later contests. It came fifth in the first Lublinian-Podlasian competition early in 1931 and seventh out of twenty-two in the Fourth National Lightplane Contest in September 1931, on both occasions flown by Zuromski.[1] It continued to take part in local events through 1932 until it was retired in 1934.[2] Bartolewski and Teisseyre considered an ambulance development of the LKL II and also studied and perhaps began to build the LKL III, which would have had a cleaned-up fuselage and a more powerful engine, but neither proposal generated sufficient funding to complete them.[1] Data from Cynk, 1971,[1] except where notedGeneral characteristics Performance</t>
  </si>
  <si>
    <t>//upload.wikimedia.org/wikipedia/commons/thumb/2/27/LKL-2_bis.jpg/300px-LKL-2_bis.jpg</t>
  </si>
  <si>
    <t>Three-seat tourer</t>
  </si>
  <si>
    <t>Lubelski Klub Lotniczy (Lublin Aero Club)</t>
  </si>
  <si>
    <t>Two passengers</t>
  </si>
  <si>
    <t>453 kg (999 lb)</t>
  </si>
  <si>
    <t>1 × Walter Vega 5-cylinder radial, 63 kW (85 hp)</t>
  </si>
  <si>
    <t>Two-bladed fixed-pitch propeller</t>
  </si>
  <si>
    <t>970 km (600 mi, 520 nmi)</t>
  </si>
  <si>
    <t>3.5 m/s (690 ft/min) [2]</t>
  </si>
  <si>
    <t>Bartolewski and Teisseyre</t>
  </si>
  <si>
    <t>2.54 m (8 ft 4 in)</t>
  </si>
  <si>
    <t>150 km/h (93 mph, 81 kn) at sea level</t>
  </si>
  <si>
    <t>75 km/h (47 mph)</t>
  </si>
  <si>
    <t>Wallis S.1</t>
  </si>
  <si>
    <t>The Wallis S.1, sometimes known as Walis S-1 or Wallisa S-I, was a Polish glider designed to compete in the Second Polish Glider Contest, held in 1925 where it won two prizes. Czarna Góra did not provide the wind speeds needed for the First Polish Glider Contest, held in 1923. The organizers of the Second Contest, held in 1925, chose Oksywie near Gdynia in the search for better winds but their hopes were not rewarded and the best flights of 1923 were not approached, though more flights were made and with fewer crashes. The Second Contest began on 17 May and ended on 14 June, though only fifteen of the twenty-seven contestants were flown. The S.1, designed by Józef Wallis, won the prize for best height gain and third prize for its total flying time.[1] The S.1 was entered by the 3rd Air Regiment and was built in their workshops at Ławica airfield near Poznan.  Its wooden wing, mounted on top of the fuselage frame, was rectangular in plan apart from slightly blunted tips. It was built around twin spars, was fabric covered and braced with V-struts from the spars at about 25% span to the lower fuselage longeron. Narrow chord, half span ailerons extended to the tips.[1][2] The fuselage, also wooden, was a simple, uncovered flat wooden frame with a horizontal upper longeron and a lower longeron which angled upwards to the tail. The longerons were cross-braced with several vertical members and further wire bracing. The lower longeron extended forward of the wing leading edge to carry the pilot's open seat, controls and also a landing skid. At the rear the fabric covered tailplane, a cropped rectangle in plan, was on the upper longeron and carried divided elevators cutaway to allow operation of the rudder, which extended down to the lower longeron.[1][2] The S.1 was flown at the contest by Władysław Szulczewski. He won first prize for a best height gain of 25 m (82 ft) and third prize for a total flying time of 405 seconds, reached in eighteen flights.[1] Data from Samolotypolskie[2]General characteristics</t>
  </si>
  <si>
    <t>12.0 m (39 ft 4 in)</t>
  </si>
  <si>
    <t>110 kg (243 lb)</t>
  </si>
  <si>
    <t>Józef Wallis (or Walis)</t>
  </si>
  <si>
    <t>Arado E.377</t>
  </si>
  <si>
    <t>The Arado E.377 was a remote-controlled glide bomb with powered and non-powered variants manufactured by Arado Flugzeugwerke.[1]  This article relating to missiles is a stub. You can help Wikipedia by expanding it.</t>
  </si>
  <si>
    <t>Arado Flugzeugwerke</t>
  </si>
  <si>
    <t>https://en.wikipedia.org/Arado Flugzeugwerke</t>
  </si>
  <si>
    <t>10.9 m (36 ft)</t>
  </si>
  <si>
    <t>12.2 m (40 ft)</t>
  </si>
  <si>
    <t>Arado and Rheinmetall-Borsig</t>
  </si>
  <si>
    <t>https://en.wikipedia.org/Arado and Rheinmetall-Borsig</t>
  </si>
  <si>
    <t>not produced</t>
  </si>
  <si>
    <t>Powered glide bomb</t>
  </si>
  <si>
    <t>https://en.wikipedia.org/Powered glide bomb</t>
  </si>
  <si>
    <t>~ 1943</t>
  </si>
  <si>
    <t>10,000 kg (22,000 lb)</t>
  </si>
  <si>
    <t>Trialen 105 + incendiary liquid</t>
  </si>
  <si>
    <t>2,000 kg (4,400 lb) + 500 kg (1,100 lb)</t>
  </si>
  <si>
    <t>2x BMW 0038.81 kN (1,980 lbf)</t>
  </si>
  <si>
    <t>https://en.wikipedia.org/2x BMW 0038.81 kN (1,980 lbf)</t>
  </si>
  <si>
    <t>Gasolene</t>
  </si>
  <si>
    <t>https://en.wikipedia.org/Gasolene</t>
  </si>
  <si>
    <t>[1]</t>
  </si>
  <si>
    <t>AIDC T-5 Brave Eagle</t>
  </si>
  <si>
    <t>The AIDC T-5 Brave Eagle (Chinese: 勇鷹; pinyin: Yǒngyīng) is a supersonic advanced jet trainer under development by the Aerospace Industrial Development Corporation (AIDC) of Taiwan. The Advanced Jet Trainer Program (AJT) began in the early 2000s as the Republic of China Air Force sought a replacement for its fleet of AIDC AT-3 and Northrop F-5 advanced trainers with 66 newly built aircraft. Three designs were proposed, a modernized AT-3 branded as the AT-3 MAX, an evolution of the AIDC F-CK-1 Ching-Kuo called the XAT-5, or the Alenia Aermacchi M-346 Master.[3] In 2014 AIDC signed a memorandum of understanding with Alenia Aermacchi to assemble the M-346 in Taiwan. The engines of all M-346 are assembled in Taiwan by International Turbine Engine Company (ITEC), a joint partnership of Honeywell and AIDC.[4] The MOD also evaluated the South Korean KAI T-50 Golden Eagle aircraft.[5] In 2017 it was announced that the XAT-5 had won the tender with development and production to be undertaken by a partnership of AIDC and the National Chung-Shan Institute of Science and Technology with delivery scheduled to begin in 2026. Four prototypes are to be produced and the total program cost is projected to be TWD68.6 billion (US$2.2 billion).[6] AIDC had used Blue Magpie, for the Taiwan blue magpie, as the project name. However in 2018 the Ministry of National Defense announced a contest to pick an official name for the aircraft. Taiwanese citizens are invited to submit a name with a short proposal with the winner receiving a NTD 30,000 prize.[7] On 24 September 2019, the president Tsai Ing-wen officially named the new aircraft "Brave Eagle" (Yǒngyīng) during first prototype aircraft roll-out ceremony.[8][9] In 2017, the United States approved the export of components for 132 Honeywell/ITEC F124 engines for the XAT/AT-5.[10] In 2018, AIDC announced that the first prototype would be rolled out in September 2019 with flight tests to start in June 2020.[11] In 2019 Taiwan’s Ministry of National Defense testified to the country’s legislature that the maiden flight is scheduled for June 2020, small scale production is to start in November 2021, and mass production is scheduled to commence March 2023.[12] In September 2019 A1 A2 T1 T2 the first of four prototypes was rolled out by Taiwanese President Tsai Ing-wen.[13] In March 2021 AIDC announced that they had completed internal flight tests and that testing of the two prototypes and the two initial aircraft due to be delivered by the end of the year would be conducted by the Taiwanese Air Force from then on.[14] A number of internal and operational test flights were completed in July 2021 from Taitung Air Base with some operations occurring over the pacific ocean.[15] The first production model T-5 had its first flight on October 21, 2021.[16] The first production model has the serial number 11003.[17] The design is based on the AIDC F-CK-1 Ching-Kuo and shares the same engines, but will have 80% new components including a composite body. Compared to the F-CK-1, it will have more advanced avionics, increased fuel capacity, and will be a little larger.[18] The aerofoil is slightly revised, with the wings being thicker than on the F-CK-1[19] in order to increase stability at low speed and low altitude, as well as to provide increased fuel storage.[13] The ram air scoop of the F-CK-1 has been redesigned in partnership with the Eaton Corporation with two aluminum laser powder bed fusion printed parts replacing 22 original parts.[20] Meggitt will supply the main wheels, carbon brakes and brake control systems as they do on the AT-3 and F-CK-1.[21] Martin-Baker will provide the ejection seat systems.[22] More than 55% of its components are made in Taiwan. It has been reported that the aircraft was designed from the beginning to serve dual peacetime training and wartime combat roles.[23] NCSIST is developing an airborne AESA radar for the T-5 Brave Eagle but private Taiwanese firm Tron Future Tech has also bid their gallium nitride based AESA for the program.[24] In 2019 it was announced that Pyras Technology would supply the radar and communications antennas for the platform.[13] In 2019 Jane’s reported that a light fighter AT-5 variant was planned to replace the Northrop F-5E/F Tiger II fleet.[25] [27]  Related development Aircraft of comparable role, configuration, and era</t>
  </si>
  <si>
    <t>//upload.wikimedia.org/wikipedia/commons/thumb/1/1e/AIDC_T-5_Brave_Eagle_%28cropped%29.jpg/300px-AIDC_T-5_Brave_Eagle_%28cropped%29.jpg</t>
  </si>
  <si>
    <t>Advanced jet trainer</t>
  </si>
  <si>
    <t>https://en.wikipedia.org/Advanced jet trainer</t>
  </si>
  <si>
    <t>Taiwan (ROC)</t>
  </si>
  <si>
    <t>https://en.wikipedia.org/Taiwan (ROC)</t>
  </si>
  <si>
    <t>Aerospace Industrial Development Corporation</t>
  </si>
  <si>
    <t>https://en.wikipedia.org/Aerospace Industrial Development Corporation</t>
  </si>
  <si>
    <t>4[2]</t>
  </si>
  <si>
    <t>Aerospace Industrial Development Corporation and National Chung-Shan Institute of Science and Technology</t>
  </si>
  <si>
    <t>https://en.wikipedia.org/Aerospace Industrial Development Corporation and National Chung-Shan Institute of Science and Technology</t>
  </si>
  <si>
    <t>June 10, 2020[1]</t>
  </si>
  <si>
    <t>2020-Present</t>
  </si>
  <si>
    <t>AIDC F-CK-1 Ching-kuo</t>
  </si>
  <si>
    <t>https://en.wikipedia.org/AIDC F-CK-1 Ching-kuo</t>
  </si>
  <si>
    <t>Republic of China Air Force</t>
  </si>
  <si>
    <t>https://en.wikipedia.org/Republic of China Air Force</t>
  </si>
  <si>
    <t>Siemens-FlyEco Magnus eFusion</t>
  </si>
  <si>
    <t>The Siemens-FlyEco Magnus eFusion is a German hybrid diesel-electric aircraft that was designed by Siemens and FlyEco, introduced at the AERO Friedrichshafen show in 2018. The aircraft is intended for series production as a ready-to-fly design.[1] The design was first flown on 11 April 2018 in Hungary.[1] On 31 May 2018, the prototype crashed in Hungary, while on a training flight, killing its two occupants.[2] The aircraft featured a cantilever low-wing, a two-seat side-by-side configuration enclosed cockpit under a bubble canopy, fixed tricycle landing gear, and a single engine in tractor configuration.[1] The aircraft was made from composites. The power train consisted of a Siemens SP55D electric motor which was intended to be powered by batteries for take-off and landing. A FlyEco three-cylinder diesel engine, derived from a Smart Car engine, with common rail injection and electronic controls, was intended to recharge the batteries in flight for extended range.[1] The prototype crashed in Hungary on 31 May 2018 killing both occupants. The aircraft was on a training flight at the time. The accident investigation concluded that the crash was most likely due to pilot error in causing a high bank-angle stall close to the ground.[2][3][4] Data from Baker[1]General characteristics</t>
  </si>
  <si>
    <t>//upload.wikimedia.org/wikipedia/commons/thumb/a/ac/Siemens-FlyEco_Magnus_eFusion_HA-XEF_%2826655379900%29.jpg/300px-Siemens-FlyEco_Magnus_eFusion_HA-XEF_%2826655379900%29.jpg</t>
  </si>
  <si>
    <t>Hybrid electric aircraft</t>
  </si>
  <si>
    <t>https://en.wikipedia.org/Hybrid electric aircraft</t>
  </si>
  <si>
    <t>Germany/Hungary</t>
  </si>
  <si>
    <t>https://en.wikipedia.org/Germany/Hungary</t>
  </si>
  <si>
    <t>Siemens and FlyEco</t>
  </si>
  <si>
    <t>https://en.wikipedia.org/Siemens and FlyEco</t>
  </si>
  <si>
    <t>Production planned (2018)</t>
  </si>
  <si>
    <t>1 × Smart Car three-cylinder automotive conversion diesel engine for battery charging in-flight</t>
  </si>
  <si>
    <t>DUS III Ptapta</t>
  </si>
  <si>
    <t>The D.U.S. III Ptapta was a two-seat sports and touring biplane and only the second Polish aircraft using aluminium alloy construction. The Ptapta was designed by Jerzy Dabrowski and Antoni Uszacki (hence the design group name D.U.S. or DUS) and was strongly influenced by the Skraba S.T.3, flown in 1927. In that year Dabrowski and Uszacki led a group of employees from the Plage and Laskiewicz factory, who in 1928 formed the Lubelski Klub Lotniczy (Lublian Aviation Club), referring to the Ptapta as the LKL I. The factory allowed use of their workshop and the LOPP provided funding and loaned an engine. It flew for the first time either on 21 September 1928 by Antoni Mroczkowski[1] or 10 October.[2]  With a light load it could be flown aerobatically.[1] The largely aluminium-alloy framed Ptapta was a biplane with a larger span and chord upper wing. Both upper and lower wings were built around two duralumin spars, with wooden ribs and fabric covering. They were rectangular in plan apart from slightly angled tips and mounted with marked stagger. Only the upper wings carried ailerons. The upper and lower wings were braced together with a single interplane strut with flared ends on each side and the upper wing was attached to the fuselage centrally by a pair of transverse cabane inverted V-struts to the spars.[1][2] Its 45 kW (60 hp) Walter NZ 60 five-cylinder radial engine was installed, with its cylinders exposed for cooling, in a pointed nose where the oval section duralumin fuselage structure was covered in dural sheet. A long cut-out in the fuselage with dural decking ahead of it contained the two open tandem cockpits. The forward position was under the wing trailing edge, in which a cut-out provided a better field of view and eased access. Elsewhere the fuselage was fabric covered. The Ptpta's fin was triangular in profile and carried a deep, rectangular rudder. A triangular tailplane carried rectangular elevators with a cut-out for rudder movement; it was placed at the top of the fuselage and braced from below by a single strut on each side.[1][2] The Ptapta had conventional, tailskid  landing gear of the divided type, with mainwheels on cranked axles from the central fuselage underside, with trailing struts acting as radius arms and vertical main legs equipped with rubber shock absorbers.[1] Some six weeks after its first flight the Ptapta took part in the Second National Lightplane Contest, again flown by Mroczkowski. It finished in eighth place.[1] In the summer of 1929 the Ptapta was modified by the removal and covering-over of the front cockpit and its replacement by a large fuel tank to allow an attempt on the lightplane distance record. The extra fuel gave a calculated range of 2,800 km (1,700 mi) though, as the record was soon broken by others, yet more fuel was required. A newer, 52 kW (70 hp), Walter NZ engine was also fitted.  Before attempting the record flight the Ptapta took part in October 1929 in the First Tour of Southwestern Poland and then, flown by  Władysław Szulczewski, made a trial endurance flight which was curtailed by bad weather. A record attempt was made on 30 April 1930 but ended immediately in the destruction of the very heavily loaded aircraft, which stalled on take-off from Poznań.[1] Other accounts of this loss give different dates and places.[2] Data from Cynk, 1971[1] except where notedGeneral characteristics Performance</t>
  </si>
  <si>
    <t>//upload.wikimedia.org/wikipedia/commons/thumb/9/99/DUS-III_Ptapta_%28Pilot_Nr._7-8%2C_1929%29.jpg/300px-DUS-III_Ptapta_%28Pilot_Nr._7-8%2C_1929%29.jpg</t>
  </si>
  <si>
    <t>Two seat sport and tourer</t>
  </si>
  <si>
    <t>5.39 m (17 ft 8 in)</t>
  </si>
  <si>
    <t>8 m (26 ft 3 in)</t>
  </si>
  <si>
    <t>566 kg (1,248 lb) normal loaded</t>
  </si>
  <si>
    <t>1 × Walter NZ 60 5-cylinder radial, 45 kW (60 hp)   rated power; 48 kW (65 hp) for take-off[2]</t>
  </si>
  <si>
    <t>Jerzy Dabrowski and Antoni Uszacki</t>
  </si>
  <si>
    <t>2.14 m (7 ft 0 in)</t>
  </si>
  <si>
    <t>2,300 m (7,500 ft) [2]</t>
  </si>
  <si>
    <t>1,763 m (5,784 ft) 30 min</t>
  </si>
  <si>
    <t>65 km/h (40 mph)</t>
  </si>
  <si>
    <t>ITS-8</t>
  </si>
  <si>
    <t>The ITS-8 was a Polish twin-boom motor glider flown in 1936. Two prototypes were completed but production was prevented by the German invasion of Poland in 1939. In the mid-1930s there was growing Polish interest in low cost powered gliders and other small, low powered, structurally simple aircraft. The Institute of Gliding Techniques at Lwów University studied motor gliders, guided by FAI specifications for the new International Powered Glider Class. They concluded that a conventional glider nose and forward fuselage was required, hence a pusher engine and, to avoid the drag of a pylon engine mounting, a twin-boom layout. The ITS-8, designed to have a gliding performance competitive with contemporary intermediate and high performance unpowered machines, followed these specifications. Its construction was funded by the LOPP[1] The wooden ITS-8 had a high wing which was built around a single box spar which with a plywood-covered leading edge formed a torsion box. An auxiliary spar carried differential ailerons. In plan the outer wings had swept leading edges and unswept trailing edges. The rectangular centre section, which was braced on each side with a pair of parallel steel tube struts from the lower fuselage, was ply-covered overall but the outer wing panels were fabric covered behind the torsion box. Two versions of the aircraft had been planned from the start: the low-powered ITS-8, with a 13.6 m (44 ft 7 in) span and an aspect ratio of 10.1 and the higher-powered ITS-8W with longer outer panels, giving it a 14.2 m (46 ft 7 in) span and an aspect ratio of 12.5. The ITS-8W also had a centre section with a higher speed aerofoil, though both used the same aerofoil for their outer panels. These differences reflected the initial intention to use the ITS-8 as a trainer and the ITS-8W in competitive events.[1][2] The ITS-8's pilot sat under the wing leading edge in an enclosed cockpit within a drop-shaped, ply-skinned nacelle, its pointed end just aft of the trailing edge. A thin, faired structure connected the nacelle to the centre of the wing, bracing it and the engine, largely buried in the wing apart from a carefully faired air intake at mid-chord and cylinder heads exposed for cooling. The ITS-8 had a 13 kW (18 hp) Kroeber M3 Köller flat twin engine and the ITS-8W initially used another flat-twin, the 17–27 kW (23–36 hp) Schliha as a stop-gap, later replaced by the intended 22–24 kW (30–32 hp) Sarolea Albatros flat-twin. The empennage was mounted on twin rectangular section spruce box girder booms which were internally wire-braced. A tapered tailplane with rounded tips was positioned on the top of the beams. The ITS-8 had a narrow fin mounted centrally on the tailplane, carrying a large balanced rudder but on the ITS-8W this was replaced with twin fins and rudders on the booms.[1][2] The nacelle had a sprung landing skid, a semi-retractable monowheel under the wing and a long leaf spring tailwheel. On the ITS-8W the latter was faired-in and ended with a tailwheel.[1][2] The ITS-8 was first flown as a glider, towed by a car and piloted by Wieslaw Stępniewski, in late August 1936. Powered flights, piloted by Zbigniew Zabski, began in October and revealed engine vibrations severe enough to damage its mountings. The problem was solved with new mountings on rubber dampers. For a while a 25–28 hp (19–21 kW) Ava 4, an air-cooled flat four engine, was trialed but rejected as unreliable. The test flight programme included soaring flights and airborne engine restarts.[1] Construction of the ITS-8W began at the same time as that of the ITS-8. It was originally intended to be identical to it apart from the more powerful engine and its use of the longer, interchangeable, outer wing panels. The delay caused by the engine vibration problems of the ITS-8 provided an opportunity to incorporate the aerodynamic advantages provided by the revised centre section and twin-finned empennage before the first flight on 18 May 1938. Planned preparation for production of the ITS-8W in 1939 was ended by the German invasion of Poland.[1] The invasion also prevented the completion of the ITS-8M, powered by a 35 hp (26 kW) Sarolea, which was to have had a fully cantilever wing fitted with flaps and a fully retractable, twin wheel undercarriage. It was intended for meteorological research.[1] According to Cynk, the designation ITS-8R referred to a proposed record breaking version which did not reach the detailed design stage. However, the same designation has been associated with a rocket-assisted version and the ITS-8 was certainly cited in proposals as a candidate for rocket-assisted take-offs. Cynk states that no rocket-propelled   variant was built but another suggests that it was; both are agreed that there is no evidence of flight tests.[1][3] Data from J. Cynk (1971)[1]General characteristics Performance</t>
  </si>
  <si>
    <t>//upload.wikimedia.org/wikipedia/commons/thumb/a/ac/Wieslaw_Stepniewski_ITS-8_t%C3%ADpus%C3%BA_seg%C3%A9dmotoros_vitorl%C3%A1z%C3%B3_rep%C3%BCl%C5%91g%C3%A9pe._Fortepan_31133.jpg/300px-Wieslaw_Stepniewski_ITS-8_t%C3%ADpus%C3%BA_seg%C3%A9dmotoros_vitorl%C3%A1z%C3%B3_rep%C3%BCl%C5%91g%C3%A9pe._Fortepan_31133.jpg</t>
  </si>
  <si>
    <t>Motor-glider</t>
  </si>
  <si>
    <t>https://en.wikipedia.org/Motor-glider</t>
  </si>
  <si>
    <t>Institute of gliding techniques (I.T.S.), University of Lwów</t>
  </si>
  <si>
    <t>https://en.wikipedia.org/Institute of gliding techniques (I.T.S.), University of Lwów</t>
  </si>
  <si>
    <t>13.6 m (44 ft 7 in)</t>
  </si>
  <si>
    <t>16.9 m2 (182 sq ft)</t>
  </si>
  <si>
    <t>1 × Kroeber M3 Köller flat twin engine 18 PS (17.8 hp; 13.2 kW)</t>
  </si>
  <si>
    <t>2-bladed Szomański, 1.36 m (4 ft 6 in) diameter wooden fixed-pitch propeller</t>
  </si>
  <si>
    <t>Wieslaw Stępniewski</t>
  </si>
  <si>
    <t>late August 1936</t>
  </si>
  <si>
    <t>1,500 m (4,900 ft)</t>
  </si>
  <si>
    <t>0.91 m/s (179 ft/min) engine off</t>
  </si>
  <si>
    <t>Caproni Ca.25</t>
  </si>
  <si>
    <t>The Caproni Ca.25 was a single-engine monoplane made by the Italian company Aeronautica Caproni in 1914. The Ca.25 was similar to the Caproni Ca.22 in being of high-wing parasol design, but differed in the installation of the autoresistance system.[1] Despite the very modest flight characteristics of a single copy of the aircraft was purchased by the military and was used for test flights. Data from Gli aeroplani Caproni – Studi – Progetti – Realizzazioni 1908–1935,[1] Aeroplani Caproni – Gianni Caproni ideatore e costruttore di ali italiane[2]General characteristics Performance</t>
  </si>
  <si>
    <t>multipurpose aircraft</t>
  </si>
  <si>
    <t>Caproni</t>
  </si>
  <si>
    <t>https://en.wikipedia.org/Caproni</t>
  </si>
  <si>
    <t>8.67 m (28 ft 5 in)</t>
  </si>
  <si>
    <t>8.88 m (29 ft 2 in)</t>
  </si>
  <si>
    <t>19.5 m2 (210 sq ft)</t>
  </si>
  <si>
    <t>1 × Anzani 6-cyl air-cooled radial piston engine , 30 kW (40 hp)</t>
  </si>
  <si>
    <t>2-bladed wooden fixed-pitch propeller</t>
  </si>
  <si>
    <t>Giovanni Battista Caproni</t>
  </si>
  <si>
    <t>https://en.wikipedia.org/Giovanni Battista Caproni</t>
  </si>
  <si>
    <t>3.29 m (10 ft 10 in)</t>
  </si>
  <si>
    <t>Toczołowski-Wulw TW-12</t>
  </si>
  <si>
    <t>The Toczołowski-Wulw TW-12 was a one-off, two-seat, single-engined club trainer, though certification difficulties delayed its use until 1935 and then only as a single-seater. Henryk Toczołowski and Józef Wulw designed the TW-12 in 1929-30 but had to build the structure slowly in their spare time. They were both members of the P.W.S. Aero Club and eventually got permission to use the P.W.S. workshops but the TW-12 was not ready for flight until the second half of 1933.[1][2] There is uncertainty about the date of the first flight, which one source[2] gives as 29 September 1933 and another as 29 November 1933.[1] The TW-12 was an all-wood aircraft, with a cantilever, one piece low wing which was trapezoidal in plan. It was built around twin spars and covered in a mixture of plywood and fabric.[1][2] It was powered by a 60–66 kW (80–88 hp) five cylinder Armstrong-Siddeley Genet radial engine. The fuselage, with rectangular section structure and rounded decking, was plywood covered. The TW-12 had two open, tandem cockpits fitted with dual control. Its landing gear was fixed and conventional.[1] Early flight testing revealed some handling problems, particularly at low speeds in the landing approach. After some modifications the TW-12 went to the I.B.T.L. at Warsaw for official airworthiness tests , which led again to  concerns about the low speed handling and also about the low fuel capacity (8.8 imp gal (40 l; 10.6 US gal)). In the summer of 1935 the TW-12 was allowed to fly as a single-seater, with the forward cockpit covered over and with a rudder of increased area.[1][2] On its release from the I.B.T.L., the WT-12 was scheduled to take part in the P.W.S. Club rally on 28 July 1935 at their home base at Biała Podlaska. According to one account, Antoni Uszacki decided to take advantage of a strong tail wind to fly it from Warsaw to Lviv, some 370 km (230 mi) away. Despite the limited fuel capacity (40 l (8.8 imp gal; 11 US gal), he arrived safely though with a dry tank. The club began to use the TW-12 as a trainer but its career was soon cut short by a landing crash with Tadeusz Arcinowski at the controls.[1] Another account states that Uszacki flew it at the rally but only achieved last (6th) place, and that Arcinowski flew it soon afterwards from Warsaw to Lviv but crashed on landing.[2] Data from J. Cynk, 1971[1] except where notedGeneral characteristics Performance</t>
  </si>
  <si>
    <t>Club trainer aircraft</t>
  </si>
  <si>
    <t>https://en.wikipedia.org/Club trainer aircraft</t>
  </si>
  <si>
    <t>One pupil</t>
  </si>
  <si>
    <t>14.5 m2 (156 sq ft)</t>
  </si>
  <si>
    <t>8.8 imp gal (40 l; 10.6 US gal)</t>
  </si>
  <si>
    <t>1 × Armstrong-Siddeley Genet 5-cylinder radial engine, 60–66 kW (80–88 hp)</t>
  </si>
  <si>
    <t>155–150 km/h (96–93 mph, 84–81 kn) [2]</t>
  </si>
  <si>
    <t>2.8–2.2 m/s (550–430 ft/min) [2]</t>
  </si>
  <si>
    <t>Henryk Toczołowski and Józef Wulw</t>
  </si>
  <si>
    <t>29 September or November 1933</t>
  </si>
  <si>
    <t>2.2 m (7 ft 3 in) [2]</t>
  </si>
  <si>
    <t>500 kg (1,102 lb)</t>
  </si>
  <si>
    <t>170 km/h (110 mph, 92 kn) at sea level</t>
  </si>
  <si>
    <t>2,900 m (9,500 ft) [2]</t>
  </si>
  <si>
    <t>70 km/h (43 mph)</t>
  </si>
  <si>
    <t>Ultralight Design Atos Trike</t>
  </si>
  <si>
    <t>The Ultralight Design Atos Trike is a Czech electric and gasoline powered ultralight trike, designed and produced by Ultralight Design SRO of Cvikov. The aircraft is supplied complete and ready-to-fly.[1] The Atos Trike was designed to comply with the German 120 kg class and the US FAR 103 Ultralight Vehicles rules, including the category's maximum empty weight of 254 lb (115 kg).[1] The aircraft design features a cantilever A-I-R Atos rigid hang glider-style high-wing, weight-shift controls, a single-seat open cockpit with a cockpit fairing, tricycle landing gear and a single electric or piston engine in pusher configuration.[1] The aircraft fuselage is made from composites, with its double surface Atos wing made from carbon-fiber-reinforced polymer. The wing is supported by a single post, has a small horizontal tailplane and uses an "A" frame weight-shift control bar. The powerplant is a FlyEngine F200 piston engine or, optionally, a Flytec HPD electric motor.[1] The aircraft (less wing) has an empty weight of 46 kg (101 lb) and a weight of 80 kg (176 lb), with the wing fitted.[1] In reviewing the design in 2015, Dimitri Delemarle wrote, "Any trike specifically designed to motorize the fabulous Atos wing has to be a bit special and this machine does not disappoint...It is not cheap, but the price reflects the high-quality workmanship!"[1] Data from Tacke[1]General characteristics</t>
  </si>
  <si>
    <t>Ultralight Design SRO</t>
  </si>
  <si>
    <t>https://en.wikipedia.org/Ultralight Design SRO</t>
  </si>
  <si>
    <t>1 × FlyEngine F200 aircraft engine</t>
  </si>
  <si>
    <t>2-bladed folding</t>
  </si>
  <si>
    <t>A-I-R Atos</t>
  </si>
  <si>
    <t>https://en.wikipedia.org/A-I-R Atos</t>
  </si>
  <si>
    <t>Bailey V5 paramotor</t>
  </si>
  <si>
    <t>The Bailey V5 is a British paramotor, designed and produced by Bailey Aviation of Royston, Hertfordshire for powered paragliding. The aircraft is supplied complete and ready-to-fly.[1][2][3] The aircraft was designed to comply with the US FAR 103 Ultralight Vehicles rules as well as European regulations. It features a paraglider-style wing, single-place accommodation and a single 20.5 hp (15 kW) Bailey V5 engine in pusher configuration with a 3.2:1 ratio belt reduction drive and a 130 cm (51 in) diameter Helix Carbon GmbH two-bladed carbon fibre propeller. The fuel tank capacity is 11.5 litres (2.5 imp gal; 3.0 US gal). The aircraft is built from TIG welded aluminium tubing, with the propeller safety cage made from a single hoop and is a four-piece split type design. The pilot harness was designed by Bailey Aviation and Sup’Air of France. A variety of paraglider wings can be used.[1][3] As is the case with all paramotors, take-off and landing is accomplished by foot. Inflight steering is accomplished via handles that actuate the canopy brakes, creating roll and yaw.[3] Data from Tacke and manufacturer[1][3]General characteristics</t>
  </si>
  <si>
    <t>Paramotor</t>
  </si>
  <si>
    <t>https://en.wikipedia.org/Paramotor</t>
  </si>
  <si>
    <t>Bailey Aviation</t>
  </si>
  <si>
    <t>https://en.wikipedia.org/Bailey Aviation</t>
  </si>
  <si>
    <t>15.8 kg (35 lb) engine unit only</t>
  </si>
  <si>
    <t>11.5 litres (2.5 imp gal; 3.0 US gal)</t>
  </si>
  <si>
    <t>1 × Bailey V5 engine single cylinder, four-stroke, air and oil-cooled aircraft engine, with a 3.2</t>
  </si>
  <si>
    <t>2-bladed Helix Carbon GmbH, 1.30 m (4 ft 3 in) diameter</t>
  </si>
  <si>
    <t>Grzmilas Orkan II</t>
  </si>
  <si>
    <t>The Grzmilas Orkan II was a Polish one-off, single-seat sports aircraft. It came second in the second National Lightplane Contest held soon after its first flight, with outstanding take-off and climb characteristics. Its designer and builder continued to use it until 1939. The Orkan (Whirlwind) II was the second aircraft designed by Tadeusz Grzmilas and followed the Orkan I, a glider. Grzmilas was serving in the Polish air force at Poznań and obtained permission to build it in the military workshops there during the 1927-8 winter, with the Second National Lightplane Contest, scheduled for late October 1928 in Warsaw, in mind. He took it on its first flight on either 9 September 1928[1] or 5 October 1928.[2] It had a two part, thick, constant thickness, rectangular plan, two spar wing either with plywood covering ahead of the forward spar and  canvas covered behind[1] or entirely fabric covered.[2]  Ailerons extended to the wing tips. Each half-wing was braced to the lower fuselage longerons by a pair of parallel, steel tube struts to the spars and supported at the central joint low over the fuselage on inverted V-struts.[2][1] The Orkan II was powered by a 45 hp (34 kW) Anzani six-cylinder radial engine which Grzmilas had won as a prize for his success at the Second Polish Glider Contest of 1925, flying the Orkan I. It was mounted uncowled via a rounded,  light alloy covered nose to the rectangular section, wooden framed and ply covered fuselage. An open cockpit under the wing trailing edge w\s provided with a rounded cut-out for a better upward field of view. The horizontal tail, like the wing, was rectangular in plan and fabric covered. It was mounted on top of the fuselage and strut-braced on each side to the lower longeron; the elevators had a cut-out to allow movement of the rudder, which was fabric covered and rectangular in profile apart from its lower edge, angled for ground clearance. The fabric covered fin had a strongly cropped triangular profile.[2][1] The Orkan II's fixed, conventional landing gear had mainwheels joined by a single axle on steel tube V-struts from the lower fuselage longerons at the bottom of the wing struts, together with a tall tailskid.[1] Soon after its first flight, the Orkan II took part in the Second National Lightplane Contest. Flown by Grzmilas it gained second place overall, with first places for the shortest take-off (60 m (200 ft)) and for the greatest altitude reached in 30 minutes {3,650 m (11,980 ft)).[2] After the contest Grzmilas flew the Orkan from time to time during his service career, during which he was based at Dęblin, Kraków and Lublin. In September 1939 he stored it in the L.W.S. factory at Lublin where it was later destroyed.[2][1] Data from Cynk, 1971[2] except where notedGeneral characteristics Performance</t>
  </si>
  <si>
    <t>Single sear light aircraft</t>
  </si>
  <si>
    <t>Tadeusz Grzmilas</t>
  </si>
  <si>
    <t>12.5 m2 (135 sq ft)</t>
  </si>
  <si>
    <t>273 kg (602 lb)</t>
  </si>
  <si>
    <t>393 kg (866 lb) normal loaded</t>
  </si>
  <si>
    <t>1 × Anzani 6-cylinder radial, 34 kW (45 hp)</t>
  </si>
  <si>
    <t>70 km/h (43 mph, 38 kn) minimum speed[1]</t>
  </si>
  <si>
    <t>400 km (250 mi, 220 nmi) [1]</t>
  </si>
  <si>
    <t>3.5 m/s (690 ft/min) imitial[1]</t>
  </si>
  <si>
    <t>9 September 1928 or 5 October 1928</t>
  </si>
  <si>
    <t>125 km/h (78 mph, 67 kn) at sea level</t>
  </si>
  <si>
    <t>4,500 m (14,800 ft)</t>
  </si>
  <si>
    <t>30 min to 3,650 m (11,980 ft)</t>
  </si>
  <si>
    <t>60 m (200 ft)</t>
  </si>
  <si>
    <t>P&amp;M PulsR</t>
  </si>
  <si>
    <t>The P&amp;M PulsR (transl. Pulsar) is a British ultralight trike, designed by Bill Brooks and produced by P&amp;M Aviation of Rochdale. The aircraft is supplied complete and ready-to-fly.[1] The design was introduced publicly at the Flying Show in Birmingham in December 2011, where writer Demitri Delemarle reported that it "stole the show", due to its unusual semi-enclosed cockpit design.[1] The PulsR was designed to comply with the Fédération Aéronautique Internationale microlight category, including the category's maximum gross weight of 472.5 kg (1,042 lb) with a ballistic parachute. The aircraft has a maximum gross weight of 472.5 kg (1,042 lb) with a ballistic parachute and 450 kg (992 lb) without.[1] The design was first shown in 2011 and remained in prototype-only form until 2015.[1] The aircraft design features a strut-braced topless hang glider-style high-wing, weight-shift controls, a two-seats-in-tandem semi-enclosed cockpit with a cockpit fairing and windshield, tricycle landing gear with main gear wheel pants and a single engine in pusher configuration.[1] The aircraft fuselage is a monocoque design made from composite carbon fibre, with its double surface wing covered in Dacron sailcloth. Its 9.26 m (30.4 ft) span wing is supported by struts and uses an "A" frame weight-shift control bar, which is routed through the open side window spaces in the semi-enclosed fairing. The powerplant is a four-cylinder, air and liquid-cooled, four-stroke, dual-ignition 100 hp (75 kW) Rotax 912ULS engine.[1][2] The aircraft has an empty weight of 251 kg (553 lb) and a gross weight of 472.5 kg (1,042 lb), giving a useful load of 222 kg (489 lb). With full fuel of 78 litres (17 imp gal; 21 US gal) the payload is 166 kg (366 lb).[1][2] Writer Demitri Delemarle reports that the design "never fails to attract attention" wherever it is shown, due to its unusual aerodynamic cockpit design, which makes it much faster and gives a better glide ratio than other trikes.[1] Data from Tacke and manufacturer[1][2]General characteristics Performance</t>
  </si>
  <si>
    <t>//upload.wikimedia.org/wikipedia/commons/thumb/8/81/P_%26_M_Aviation_PulsR_G-SFCM_%2841182560425%29.jpg/300px-P_%26_M_Aviation_PulsR_G-SFCM_%2841182560425%29.jpg</t>
  </si>
  <si>
    <t>P&amp;M Aviation</t>
  </si>
  <si>
    <t>https://en.wikipedia.org/P&amp;M Aviation</t>
  </si>
  <si>
    <t>3.2 m (10 ft 6 in)</t>
  </si>
  <si>
    <t>9.26 m (30 ft 5 in)</t>
  </si>
  <si>
    <t>251 kg (553 lb) with ballistic parachute fitted</t>
  </si>
  <si>
    <t>78 litres (17 imp gal; 21 US gal)</t>
  </si>
  <si>
    <t>153 km/h (95 mph, 83 kn)</t>
  </si>
  <si>
    <t>63 km/h (39 mph, 34 kn)</t>
  </si>
  <si>
    <t>5.1 m/s (1,000 ft/min)</t>
  </si>
  <si>
    <t>36.3 kg/m2 (7.4 lb/sq ft)</t>
  </si>
  <si>
    <t>Bill Brooks</t>
  </si>
  <si>
    <t>2015-present</t>
  </si>
  <si>
    <t>2.82 m (9 ft 3 in)</t>
  </si>
  <si>
    <t>169 km/h (105 mph, 91 kn)</t>
  </si>
  <si>
    <t>+6g/-3g (ultimate)</t>
  </si>
  <si>
    <t>2.1 m/s (410 ft/min)</t>
  </si>
  <si>
    <t>Sunair Magic</t>
  </si>
  <si>
    <t>The Sunair Magic is a German electric or gasoline motor ultralight trike designed and produced by Sunair UG of Scheidegg, Bavaria. The aircraft is supplied complete and ready-to-fly.[1] The Magic was designed as a simple and inexpensive trike, to comply with the German 120 kg class and the US FAR 103 Ultralight Vehicles rules. The aircraft has an empty weight of 120 kg (265 lb).[1] The aircraft design features a cable-braced hang glider-style high-wing, weight-shift controls, a single-seat open cockpit without a cockpit fairing, tricycle landing gear and a single engine in pusher configuration.[1] The aircraft is made from bolted-together aluminum tubing, with its single surface Icaro RX2 hang glider wing covered in Dacron sailcloth. The wing is supported by a single tube-type kingpost and uses an "A" frame weight-shift control bar. The design can accommodate any small 27 to 40 hp (20 to 30 kW) piston engine or an electric motor of 16 kW (21 hp). Designed for soaring flight, it has a folding, two-bladed composite propeller.[1] It is designed to be quickly disassembled for ground transport by automobile.[1] A number of different wings can be fitted to the basic carriage, including the Icaro Relax 18, Aeros 15T, Aeros Fox T and the ATOS VQ 190.[2] Data from Tacke[1]General characteristics Performance</t>
  </si>
  <si>
    <t>Sunair UG</t>
  </si>
  <si>
    <t>https://en.wikipedia.org/Sunair UG</t>
  </si>
  <si>
    <t>1 × electric motor , 16 kW (21 hp)</t>
  </si>
  <si>
    <t>2-bladed folding, composite</t>
  </si>
  <si>
    <t>70 km/h (43 mph, 38 kn)</t>
  </si>
  <si>
    <t>Sunward STB</t>
  </si>
  <si>
    <t>The Sunward STB is a Chinese amphibious ultralight trike, designed and produced by Sunward Tech (Hunan Sunward Science &amp; Technologies Company Limited) of Zhuzhou. The aircraft is supplied complete and ready-to-fly.[1] The STB is intended for the search and rescue role, as well as tourist flights and recreational use. It was designed to comply with the Fédération Aéronautique Internationale microlight category, including the category's maximum gross weight of 450 kg (992 lb). The aircraft has a maximum gross weight of 450 kg (992 lb).[1] The aircraft design features a strut-braced hang glider-style high-wing, weight-shift controls, a two-seats-in-tandem open cockpit with a rigid boat hull, retractable tricycle landing gear and a single engine in pusher configuration. The boat hull was designed for use in higher wave conditions.[1] The aircraft is made from bolted-together aluminum tubing and composites. It uses a double surface Grif Hazard wing, made by the Italian company Grif Italia. The 10.35 m (34.0 ft) span wing is supported by struts and uses an "A" frame weight-shift control bar. The powerplant is an Austrian-made twin cylinder, liquid-cooled, two-stroke, dual-ignition 64 hp (48 kW) Rotax 582 engine or four cylinder, air and liquid-cooled, four-stroke, dual-ignition 80 hp (60 kW) Rotax 912UL engine.[1] The aircraft has an empty weight of 248 kg (547 lb) and a gross weight of 450 kg (992 lb), giving a useful load of 202 kg (445 lb). With full fuel of 60 litres (13 imp gal; 16 US gal) the payload is 159 kg (351 lb).[1] Data from Tacke[1]General characteristics Performance</t>
  </si>
  <si>
    <t>https://en.wikipedia.org/China</t>
  </si>
  <si>
    <t>Sunward Tech</t>
  </si>
  <si>
    <t>https://en.wikipedia.org/Sunward Tech</t>
  </si>
  <si>
    <t>10.35 m (33 ft 11 in)</t>
  </si>
  <si>
    <t>248 kg (547 lb)</t>
  </si>
  <si>
    <t>38 km/h (24 mph, 21 kn)</t>
  </si>
  <si>
    <t>Bohatyrew Miś</t>
  </si>
  <si>
    <t>The Bohatyrew Miś (English: Bear or Teddy bear) was a Polish glider which in 1925 won the Second Polish Glider Contest. Czarna Góra did not provide the wind speeds needed for the First Polish Glider Contest, held in 1923. The organizers of the Second Contest, held in 1925, chose Oksywie near Gdynia in the search for better winds but their hopes were not rewarded and the best flights of 1923 were not approached, though more flights were made and with fewer crashes. The Second Contest began on 17 May and ended on 14 June, though only fifteen of the twenty-seven contestants flew. The Bohatyrew Miś, designed by Michal Bohatyrew who was the contest manager, was the overall winner.[1] The wooden Miś was built in the W.W.S Samolet factory[1][2] at Ławica airfield in Poznań, which also built Hanriot aircraft under licence.[3] Its two spar, parasol wing, which used panels from the wing of the Hanriot HD.28, was plywood-covered around the leading edge to the forward spar and fabric covered aft. It was held over the fuselage on four converging steel struts which formed a central cabane over the wing from which landing wires braced the outer wings, assisted by lift wires from the lower fuselage longerons.[1][2] The underlying fuselage structure was rectangular in section and ply-covered, though a duralumin sheet on the forward upper surface formed a tapered, pentagonal-section, slender nose.  There was a single-seat, open cockpit under the wing. The empennage was wire-braced and fabric-covered. The leading edge of the tailplane, which was mounted on top of the fuselage, was straight and swept. It carried straight-edged elevators  which had rounded tips and were balanced. The rudder was also round-tipped and straight-edged.[1][2] When it first appeared at the contest, the Miś had a fixed, single-axle undercarriage with the axle close to the fuselage underside and the wheels close to its sides.[1] After receiving slight damage in a landing accident on 29 May the wheeled gear was replaced by a pair of skids.[2] The Miś was flown at the event by Stanislaw Wrembel. On 26 May he achieved the longest flight (65 seconds), later made the longest flight in low wind conditions (23 seconds) and also set the longest total flying time of 15 minutes 56 seconds in its twenty-six flights.[1]  In late 1925 students of the Warsaw Technical University took the Miś on an investigation of possible gliding sites around Dukla, including the mapping of air currents.[1] It was damaged after its first flight and not repaired.[2] Data from J. Cynk (1971)[1] except where noted.General characteristics</t>
  </si>
  <si>
    <t>W.W.S. Samolot</t>
  </si>
  <si>
    <t>https://en.wikipedia.org/W.W.S. Samolot</t>
  </si>
  <si>
    <t>11 m2 (120 sq ft)</t>
  </si>
  <si>
    <t>100 kg (220 lb)</t>
  </si>
  <si>
    <t>Michal Bohatyrew</t>
  </si>
  <si>
    <t>Spring 1925</t>
  </si>
  <si>
    <t>Hanriot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</si>
</sst>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yyyy"/>
    <numFmt numFmtId="165" formatCode="yyyy-m"/>
    <numFmt numFmtId="166" formatCode="d mmmm yyyy"/>
    <numFmt numFmtId="167" formatCode="mmmm d,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Helicopter" TargetMode="External"/><Relationship Id="rId42" Type="http://schemas.openxmlformats.org/officeDocument/2006/relationships/hyperlink" Target="https://en.wikipedia.org/Poland" TargetMode="External"/><Relationship Id="rId41" Type="http://schemas.openxmlformats.org/officeDocument/2006/relationships/hyperlink" Target="https://en.wikipedia.org/Hungary" TargetMode="External"/><Relationship Id="rId44" Type="http://schemas.openxmlformats.org/officeDocument/2006/relationships/hyperlink" Target="https://en.wikipedia.org/Romania" TargetMode="External"/><Relationship Id="rId43" Type="http://schemas.openxmlformats.org/officeDocument/2006/relationships/hyperlink" Target="https://en.wikipedia.org/Poland" TargetMode="External"/><Relationship Id="rId46" Type="http://schemas.openxmlformats.org/officeDocument/2006/relationships/hyperlink" Target="https://en.wikipedia.org/Aviolanda" TargetMode="External"/><Relationship Id="rId45" Type="http://schemas.openxmlformats.org/officeDocument/2006/relationships/hyperlink" Target="https://en.wikipedia.org/Aerostar" TargetMode="External"/><Relationship Id="rId107" Type="http://schemas.openxmlformats.org/officeDocument/2006/relationships/hyperlink" Target="https://en.wikipedia.org/1929" TargetMode="External"/><Relationship Id="rId106" Type="http://schemas.openxmlformats.org/officeDocument/2006/relationships/hyperlink" Target="https://en.wikipedia.org/Bellanca" TargetMode="External"/><Relationship Id="rId105" Type="http://schemas.openxmlformats.org/officeDocument/2006/relationships/hyperlink" Target="https://en.wikipedia.org/Bellanca" TargetMode="External"/><Relationship Id="rId104" Type="http://schemas.openxmlformats.org/officeDocument/2006/relationships/hyperlink" Target="https://en.wikipedia.org/Portugal" TargetMode="External"/><Relationship Id="rId109" Type="http://schemas.openxmlformats.org/officeDocument/2006/relationships/hyperlink" Target="https://en.wikipedia.org/Bellanca" TargetMode="External"/><Relationship Id="rId108" Type="http://schemas.openxmlformats.org/officeDocument/2006/relationships/hyperlink" Target="https://en.wikipedia.org/Autogyro" TargetMode="External"/><Relationship Id="rId48" Type="http://schemas.openxmlformats.org/officeDocument/2006/relationships/hyperlink" Target="https://en.wikipedia.org/Quander" TargetMode="External"/><Relationship Id="rId47" Type="http://schemas.openxmlformats.org/officeDocument/2006/relationships/hyperlink" Target="https://en.wikipedia.org/Germany" TargetMode="External"/><Relationship Id="rId49" Type="http://schemas.openxmlformats.org/officeDocument/2006/relationships/hyperlink" Target="https://en.wikipedia.org/Helicopter" TargetMode="External"/><Relationship Id="rId103" Type="http://schemas.openxmlformats.org/officeDocument/2006/relationships/hyperlink" Target="https://en.wikipedia.org/BAaer" TargetMode="External"/><Relationship Id="rId102" Type="http://schemas.openxmlformats.org/officeDocument/2006/relationships/hyperlink" Target="https://en.wikipedia.org/Argentina" TargetMode="External"/><Relationship Id="rId101" Type="http://schemas.openxmlformats.org/officeDocument/2006/relationships/hyperlink" Target="https://en.wikipedia.org/France" TargetMode="External"/><Relationship Id="rId100" Type="http://schemas.openxmlformats.org/officeDocument/2006/relationships/hyperlink" Target="https://en.wikipedia.org/Avro" TargetMode="External"/><Relationship Id="rId31" Type="http://schemas.openxmlformats.org/officeDocument/2006/relationships/hyperlink" Target="https://en.wikipedia.org/France" TargetMode="External"/><Relationship Id="rId30" Type="http://schemas.openxmlformats.org/officeDocument/2006/relationships/hyperlink" Target="https://en.wikipedia.org/Prototype" TargetMode="External"/><Relationship Id="rId33" Type="http://schemas.openxmlformats.org/officeDocument/2006/relationships/hyperlink" Target="https://en.wikipedia.org/Poland" TargetMode="External"/><Relationship Id="rId32" Type="http://schemas.openxmlformats.org/officeDocument/2006/relationships/hyperlink" Target="https://en.wikipedia.org/Poland" TargetMode="External"/><Relationship Id="rId35" Type="http://schemas.openxmlformats.org/officeDocument/2006/relationships/hyperlink" Target="https://en.wikipedia.org/1997" TargetMode="External"/><Relationship Id="rId34" Type="http://schemas.openxmlformats.org/officeDocument/2006/relationships/hyperlink" Target="https://en.wikipedia.org/Samolot" TargetMode="External"/><Relationship Id="rId37" Type="http://schemas.openxmlformats.org/officeDocument/2006/relationships/hyperlink" Target="https://en.wikipedia.org/Germany" TargetMode="External"/><Relationship Id="rId36" Type="http://schemas.openxmlformats.org/officeDocument/2006/relationships/hyperlink" Target="https://en.wikipedia.org/1999" TargetMode="External"/><Relationship Id="rId39" Type="http://schemas.openxmlformats.org/officeDocument/2006/relationships/hyperlink" Target="https://en.wikipedia.org/Aeros" TargetMode="External"/><Relationship Id="rId38" Type="http://schemas.openxmlformats.org/officeDocument/2006/relationships/hyperlink" Target="https://en.wikipedia.org/Ukraine" TargetMode="External"/><Relationship Id="rId20" Type="http://schemas.openxmlformats.org/officeDocument/2006/relationships/hyperlink" Target="https://en.wikipedia.org/Poland" TargetMode="External"/><Relationship Id="rId22" Type="http://schemas.openxmlformats.org/officeDocument/2006/relationships/hyperlink" Target="https://en.wikipedia.org/Sweden" TargetMode="External"/><Relationship Id="rId21" Type="http://schemas.openxmlformats.org/officeDocument/2006/relationships/hyperlink" Target="https://en.wikipedia.org/Poland" TargetMode="External"/><Relationship Id="rId24" Type="http://schemas.openxmlformats.org/officeDocument/2006/relationships/hyperlink" Target="https://en.wikipedia.org/Helicopter" TargetMode="External"/><Relationship Id="rId23" Type="http://schemas.openxmlformats.org/officeDocument/2006/relationships/hyperlink" Target="https://en.wikipedia.org/France" TargetMode="External"/><Relationship Id="rId129" Type="http://schemas.openxmlformats.org/officeDocument/2006/relationships/hyperlink" Target="https://en.wikipedia.org/Monoplane" TargetMode="External"/><Relationship Id="rId128" Type="http://schemas.openxmlformats.org/officeDocument/2006/relationships/hyperlink" Target="https://en.wikipedia.org/RAF" TargetMode="External"/><Relationship Id="rId127" Type="http://schemas.openxmlformats.org/officeDocument/2006/relationships/hyperlink" Target="https://en.wikipedia.org/Poland" TargetMode="External"/><Relationship Id="rId126" Type="http://schemas.openxmlformats.org/officeDocument/2006/relationships/hyperlink" Target="https://en.wikipedia.org/Poland" TargetMode="External"/><Relationship Id="rId26" Type="http://schemas.openxmlformats.org/officeDocument/2006/relationships/hyperlink" Target="https://en.wikipedia.org/Autogyro" TargetMode="External"/><Relationship Id="rId121" Type="http://schemas.openxmlformats.org/officeDocument/2006/relationships/hyperlink" Target="https://en.wikipedia.org/1947" TargetMode="External"/><Relationship Id="rId25" Type="http://schemas.openxmlformats.org/officeDocument/2006/relationships/hyperlink" Target="https://en.wikipedia.org/Canada" TargetMode="External"/><Relationship Id="rId120" Type="http://schemas.openxmlformats.org/officeDocument/2006/relationships/hyperlink" Target="https://en.wikipedia.org/1929" TargetMode="External"/><Relationship Id="rId28" Type="http://schemas.openxmlformats.org/officeDocument/2006/relationships/hyperlink" Target="https://en.wikipedia.org/Germany" TargetMode="External"/><Relationship Id="rId27" Type="http://schemas.openxmlformats.org/officeDocument/2006/relationships/hyperlink" Target="https://en.wikipedia.org/Austria" TargetMode="External"/><Relationship Id="rId125" Type="http://schemas.openxmlformats.org/officeDocument/2006/relationships/hyperlink" Target="https://en.wikipedia.org/Italy" TargetMode="External"/><Relationship Id="rId29" Type="http://schemas.openxmlformats.org/officeDocument/2006/relationships/hyperlink" Target="https://en.wikipedia.org/Bulgaria" TargetMode="External"/><Relationship Id="rId124" Type="http://schemas.openxmlformats.org/officeDocument/2006/relationships/hyperlink" Target="https://en.wikipedia.org/England" TargetMode="External"/><Relationship Id="rId123" Type="http://schemas.openxmlformats.org/officeDocument/2006/relationships/hyperlink" Target="https://en.wikipedia.org/1918" TargetMode="External"/><Relationship Id="rId122" Type="http://schemas.openxmlformats.org/officeDocument/2006/relationships/hyperlink" Target="https://en.wikipedia.org/Fighter" TargetMode="External"/><Relationship Id="rId95" Type="http://schemas.openxmlformats.org/officeDocument/2006/relationships/hyperlink" Target="https://en.wikipedia.org/1928" TargetMode="External"/><Relationship Id="rId94" Type="http://schemas.openxmlformats.org/officeDocument/2006/relationships/hyperlink" Target="https://en.wikipedia.org/TNCA" TargetMode="External"/><Relationship Id="rId97" Type="http://schemas.openxmlformats.org/officeDocument/2006/relationships/hyperlink" Target="https://en.wikipedia.org/Antoinette" TargetMode="External"/><Relationship Id="rId96" Type="http://schemas.openxmlformats.org/officeDocument/2006/relationships/hyperlink" Target="https://en.wikipedia.org/Portugal" TargetMode="External"/><Relationship Id="rId11" Type="http://schemas.openxmlformats.org/officeDocument/2006/relationships/hyperlink" Target="https://en.wikipedia.org/Poland" TargetMode="External"/><Relationship Id="rId99" Type="http://schemas.openxmlformats.org/officeDocument/2006/relationships/hyperlink" Target="https://en.wikipedia.org/Antoinette" TargetMode="External"/><Relationship Id="rId10" Type="http://schemas.openxmlformats.org/officeDocument/2006/relationships/hyperlink" Target="https://en.wikipedia.org/Poland" TargetMode="External"/><Relationship Id="rId98" Type="http://schemas.openxmlformats.org/officeDocument/2006/relationships/hyperlink" Target="https://en.wikipedia.org/1951" TargetMode="External"/><Relationship Id="rId13" Type="http://schemas.openxmlformats.org/officeDocument/2006/relationships/hyperlink" Target="https://en.wikipedia.org/Germany" TargetMode="External"/><Relationship Id="rId12" Type="http://schemas.openxmlformats.org/officeDocument/2006/relationships/hyperlink" Target="https://en.wikipedia.org/Helicopter" TargetMode="External"/><Relationship Id="rId91" Type="http://schemas.openxmlformats.org/officeDocument/2006/relationships/hyperlink" Target="https://en.wikipedia.org/France" TargetMode="External"/><Relationship Id="rId90" Type="http://schemas.openxmlformats.org/officeDocument/2006/relationships/hyperlink" Target="https://en.wikipedia.org/Antoinette" TargetMode="External"/><Relationship Id="rId93" Type="http://schemas.openxmlformats.org/officeDocument/2006/relationships/hyperlink" Target="https://en.wikipedia.org/Avro" TargetMode="External"/><Relationship Id="rId92" Type="http://schemas.openxmlformats.org/officeDocument/2006/relationships/hyperlink" Target="https://en.wikipedia.org/Antoinette" TargetMode="External"/><Relationship Id="rId118" Type="http://schemas.openxmlformats.org/officeDocument/2006/relationships/hyperlink" Target="https://en.wikipedia.org/Sopwith" TargetMode="External"/><Relationship Id="rId117" Type="http://schemas.openxmlformats.org/officeDocument/2006/relationships/hyperlink" Target="https://en.wikipedia.org/Fighter" TargetMode="External"/><Relationship Id="rId116" Type="http://schemas.openxmlformats.org/officeDocument/2006/relationships/hyperlink" Target="https://en.wikipedia.org/Bellanca" TargetMode="External"/><Relationship Id="rId115" Type="http://schemas.openxmlformats.org/officeDocument/2006/relationships/hyperlink" Target="https://en.wikipedia.org/Beechcraft" TargetMode="External"/><Relationship Id="rId119" Type="http://schemas.openxmlformats.org/officeDocument/2006/relationships/hyperlink" Target="https://en.wikipedia.org/1938" TargetMode="External"/><Relationship Id="rId15" Type="http://schemas.openxmlformats.org/officeDocument/2006/relationships/hyperlink" Target="https://en.wikipedia.org/Italy" TargetMode="External"/><Relationship Id="rId110" Type="http://schemas.openxmlformats.org/officeDocument/2006/relationships/hyperlink" Target="https://en.wikipedia.org/Bellanca" TargetMode="External"/><Relationship Id="rId14" Type="http://schemas.openxmlformats.org/officeDocument/2006/relationships/hyperlink" Target="https://en.wikipedia.org/Helicopter" TargetMode="External"/><Relationship Id="rId17" Type="http://schemas.openxmlformats.org/officeDocument/2006/relationships/hyperlink" Target="https://en.wikipedia.org/Germany" TargetMode="External"/><Relationship Id="rId16" Type="http://schemas.openxmlformats.org/officeDocument/2006/relationships/hyperlink" Target="https://en.wikipedia.org/Helicopter" TargetMode="External"/><Relationship Id="rId19" Type="http://schemas.openxmlformats.org/officeDocument/2006/relationships/hyperlink" Target="https://en.wikipedia.org/Poland" TargetMode="External"/><Relationship Id="rId114" Type="http://schemas.openxmlformats.org/officeDocument/2006/relationships/hyperlink" Target="https://en.wikipedia.org/1935" TargetMode="External"/><Relationship Id="rId18" Type="http://schemas.openxmlformats.org/officeDocument/2006/relationships/hyperlink" Target="https://en.wikipedia.org/Ukraine" TargetMode="External"/><Relationship Id="rId113" Type="http://schemas.openxmlformats.org/officeDocument/2006/relationships/hyperlink" Target="https://en.wikipedia.org/Mitsubishi" TargetMode="External"/><Relationship Id="rId112" Type="http://schemas.openxmlformats.org/officeDocument/2006/relationships/hyperlink" Target="https://en.wikipedia.org/Fighter" TargetMode="External"/><Relationship Id="rId111" Type="http://schemas.openxmlformats.org/officeDocument/2006/relationships/hyperlink" Target="https://en.wikipedia.org/Fighter" TargetMode="External"/><Relationship Id="rId84" Type="http://schemas.openxmlformats.org/officeDocument/2006/relationships/hyperlink" Target="https://en.wikipedia.org/Avama" TargetMode="External"/><Relationship Id="rId83" Type="http://schemas.openxmlformats.org/officeDocument/2006/relationships/hyperlink" Target="https://en.wikipedia.org/Slovakia" TargetMode="External"/><Relationship Id="rId86" Type="http://schemas.openxmlformats.org/officeDocument/2006/relationships/hyperlink" Target="https://en.wikipedia.org/1958" TargetMode="External"/><Relationship Id="rId85" Type="http://schemas.openxmlformats.org/officeDocument/2006/relationships/hyperlink" Target="https://en.wikipedia.org/1945" TargetMode="External"/><Relationship Id="rId88" Type="http://schemas.openxmlformats.org/officeDocument/2006/relationships/hyperlink" Target="https://en.wikipedia.org/Auster" TargetMode="External"/><Relationship Id="rId150" Type="http://schemas.openxmlformats.org/officeDocument/2006/relationships/hyperlink" Target="https://en.wikipedia.org/Gasolene" TargetMode="External"/><Relationship Id="rId87" Type="http://schemas.openxmlformats.org/officeDocument/2006/relationships/hyperlink" Target="https://en.wikipedia.org/Avro" TargetMode="External"/><Relationship Id="rId89" Type="http://schemas.openxmlformats.org/officeDocument/2006/relationships/hyperlink" Target="https://en.wikipedia.org/France" TargetMode="External"/><Relationship Id="rId80" Type="http://schemas.openxmlformats.org/officeDocument/2006/relationships/hyperlink" Target="https://en.wikipedia.org/Italy" TargetMode="External"/><Relationship Id="rId82" Type="http://schemas.openxmlformats.org/officeDocument/2006/relationships/hyperlink" Target="https://en.wikipedia.org/Auster" TargetMode="External"/><Relationship Id="rId81" Type="http://schemas.openxmlformats.org/officeDocument/2006/relationships/hyperlink" Target="https://en.wikipedia.org/1918" TargetMode="External"/><Relationship Id="rId1" Type="http://schemas.openxmlformats.org/officeDocument/2006/relationships/hyperlink" Target="https://en.wikipedia.org/Australia" TargetMode="External"/><Relationship Id="rId2" Type="http://schemas.openxmlformats.org/officeDocument/2006/relationships/hyperlink" Target="https://en.wikipedia.org/Helicopter" TargetMode="External"/><Relationship Id="rId3" Type="http://schemas.openxmlformats.org/officeDocument/2006/relationships/hyperlink" Target="https://en.wikipedia.org/Italy" TargetMode="External"/><Relationship Id="rId149" Type="http://schemas.openxmlformats.org/officeDocument/2006/relationships/hyperlink" Target="https://en.wikipedia.org/Germany" TargetMode="External"/><Relationship Id="rId4" Type="http://schemas.openxmlformats.org/officeDocument/2006/relationships/hyperlink" Target="https://en.wikipedia.org/Autogyro" TargetMode="External"/><Relationship Id="rId148" Type="http://schemas.openxmlformats.org/officeDocument/2006/relationships/hyperlink" Target="https://en.wikipedia.org/Poland" TargetMode="External"/><Relationship Id="rId9" Type="http://schemas.openxmlformats.org/officeDocument/2006/relationships/hyperlink" Target="https://en.wikipedia.org/Alisport" TargetMode="External"/><Relationship Id="rId143" Type="http://schemas.openxmlformats.org/officeDocument/2006/relationships/hyperlink" Target="https://en.wikipedia.org/Germany" TargetMode="External"/><Relationship Id="rId142" Type="http://schemas.openxmlformats.org/officeDocument/2006/relationships/hyperlink" Target="https://en.wikipedia.org/Poland" TargetMode="External"/><Relationship Id="rId141" Type="http://schemas.openxmlformats.org/officeDocument/2006/relationships/hyperlink" Target="https://en.wikipedia.org/Salmson" TargetMode="External"/><Relationship Id="rId140" Type="http://schemas.openxmlformats.org/officeDocument/2006/relationships/hyperlink" Target="https://en.wikipedia.org/France" TargetMode="External"/><Relationship Id="rId5" Type="http://schemas.openxmlformats.org/officeDocument/2006/relationships/hyperlink" Target="https://en.wikipedia.org/Spain" TargetMode="External"/><Relationship Id="rId147" Type="http://schemas.openxmlformats.org/officeDocument/2006/relationships/hyperlink" Target="https://en.wikipedia.org/Poland" TargetMode="External"/><Relationship Id="rId6" Type="http://schemas.openxmlformats.org/officeDocument/2006/relationships/hyperlink" Target="https://en.wikipedia.org/Airbet" TargetMode="External"/><Relationship Id="rId146" Type="http://schemas.openxmlformats.org/officeDocument/2006/relationships/hyperlink" Target="https://en.wikipedia.org/Poland" TargetMode="External"/><Relationship Id="rId7" Type="http://schemas.openxmlformats.org/officeDocument/2006/relationships/hyperlink" Target="https://en.wikipedia.org/Germany" TargetMode="External"/><Relationship Id="rId145" Type="http://schemas.openxmlformats.org/officeDocument/2006/relationships/hyperlink" Target="https://en.wikipedia.org/Malaysia" TargetMode="External"/><Relationship Id="rId8" Type="http://schemas.openxmlformats.org/officeDocument/2006/relationships/hyperlink" Target="https://en.wikipedia.org/Germany" TargetMode="External"/><Relationship Id="rId144" Type="http://schemas.openxmlformats.org/officeDocument/2006/relationships/hyperlink" Target="https://en.wikipedia.org/Poland" TargetMode="External"/><Relationship Id="rId73" Type="http://schemas.openxmlformats.org/officeDocument/2006/relationships/hyperlink" Target="https://en.wikipedia.org/Autogyro" TargetMode="External"/><Relationship Id="rId72" Type="http://schemas.openxmlformats.org/officeDocument/2006/relationships/hyperlink" Target="https://en.wikipedia.org/Germany" TargetMode="External"/><Relationship Id="rId75" Type="http://schemas.openxmlformats.org/officeDocument/2006/relationships/hyperlink" Target="https://en.wikipedia.org/Auster" TargetMode="External"/><Relationship Id="rId74" Type="http://schemas.openxmlformats.org/officeDocument/2006/relationships/hyperlink" Target="https://en.wikipedia.org/Hungary" TargetMode="External"/><Relationship Id="rId77" Type="http://schemas.openxmlformats.org/officeDocument/2006/relationships/hyperlink" Target="https://en.wikipedia.org/Fighter" TargetMode="External"/><Relationship Id="rId76" Type="http://schemas.openxmlformats.org/officeDocument/2006/relationships/hyperlink" Target="https://en.wikipedia.org/Russia" TargetMode="External"/><Relationship Id="rId79" Type="http://schemas.openxmlformats.org/officeDocument/2006/relationships/hyperlink" Target="https://en.wikipedia.org/Pomilio" TargetMode="External"/><Relationship Id="rId78" Type="http://schemas.openxmlformats.org/officeDocument/2006/relationships/hyperlink" Target="https://en.wikipedia.org/Italy" TargetMode="External"/><Relationship Id="rId71" Type="http://schemas.openxmlformats.org/officeDocument/2006/relationships/hyperlink" Target="https://en.wikipedia.org/Italy" TargetMode="External"/><Relationship Id="rId70" Type="http://schemas.openxmlformats.org/officeDocument/2006/relationships/hyperlink" Target="https://en.wikipedia.org/Helicopter" TargetMode="External"/><Relationship Id="rId139" Type="http://schemas.openxmlformats.org/officeDocument/2006/relationships/hyperlink" Target="https://en.wikipedia.org/Poland" TargetMode="External"/><Relationship Id="rId138" Type="http://schemas.openxmlformats.org/officeDocument/2006/relationships/hyperlink" Target="https://en.wikipedia.org/Poland" TargetMode="External"/><Relationship Id="rId137" Type="http://schemas.openxmlformats.org/officeDocument/2006/relationships/hyperlink" Target="https://en.wikipedia.org/glider" TargetMode="External"/><Relationship Id="rId132" Type="http://schemas.openxmlformats.org/officeDocument/2006/relationships/hyperlink" Target="https://en.wikipedia.org/Voisin" TargetMode="External"/><Relationship Id="rId131" Type="http://schemas.openxmlformats.org/officeDocument/2006/relationships/hyperlink" Target="https://en.wikipedia.org/Etrich" TargetMode="External"/><Relationship Id="rId130" Type="http://schemas.openxmlformats.org/officeDocument/2006/relationships/hyperlink" Target="https://en.wikipedia.org/Austria-Hungary" TargetMode="External"/><Relationship Id="rId136" Type="http://schemas.openxmlformats.org/officeDocument/2006/relationships/hyperlink" Target="https://en.wikipedia.org/Poland" TargetMode="External"/><Relationship Id="rId135" Type="http://schemas.openxmlformats.org/officeDocument/2006/relationships/hyperlink" Target="https://en.wikipedia.org/Castaibert" TargetMode="External"/><Relationship Id="rId134" Type="http://schemas.openxmlformats.org/officeDocument/2006/relationships/hyperlink" Target="https://en.wikipedia.org/Argentina" TargetMode="External"/><Relationship Id="rId133" Type="http://schemas.openxmlformats.org/officeDocument/2006/relationships/hyperlink" Target="https://en.wikipedia.org/Poland" TargetMode="External"/><Relationship Id="rId62" Type="http://schemas.openxmlformats.org/officeDocument/2006/relationships/hyperlink" Target="https://en.wikipedia.org/France" TargetMode="External"/><Relationship Id="rId61" Type="http://schemas.openxmlformats.org/officeDocument/2006/relationships/hyperlink" Target="https://en.wikipedia.org/Electravia" TargetMode="External"/><Relationship Id="rId64" Type="http://schemas.openxmlformats.org/officeDocument/2006/relationships/hyperlink" Target="https://en.wikipedia.org/Germany" TargetMode="External"/><Relationship Id="rId63" Type="http://schemas.openxmlformats.org/officeDocument/2006/relationships/hyperlink" Target="https://en.wikipedia.org/Helicopter" TargetMode="External"/><Relationship Id="rId66" Type="http://schemas.openxmlformats.org/officeDocument/2006/relationships/hyperlink" Target="https://en.wikipedia.org/Poland" TargetMode="External"/><Relationship Id="rId65" Type="http://schemas.openxmlformats.org/officeDocument/2006/relationships/hyperlink" Target="https://en.wikipedia.org/Northrop" TargetMode="External"/><Relationship Id="rId68" Type="http://schemas.openxmlformats.org/officeDocument/2006/relationships/hyperlink" Target="https://en.wikipedia.org/Helicopter" TargetMode="External"/><Relationship Id="rId67" Type="http://schemas.openxmlformats.org/officeDocument/2006/relationships/hyperlink" Target="https://en.wikipedia.org/Belgium" TargetMode="External"/><Relationship Id="rId60" Type="http://schemas.openxmlformats.org/officeDocument/2006/relationships/hyperlink" Target="https://en.wikipedia.org/France" TargetMode="External"/><Relationship Id="rId69" Type="http://schemas.openxmlformats.org/officeDocument/2006/relationships/hyperlink" Target="https://en.wikipedia.org/Belgium" TargetMode="External"/><Relationship Id="rId163" Type="http://schemas.openxmlformats.org/officeDocument/2006/relationships/drawing" Target="../drawings/drawing1.xml"/><Relationship Id="rId162" Type="http://schemas.openxmlformats.org/officeDocument/2006/relationships/hyperlink" Target="https://en.wikipedia.org/Poland" TargetMode="External"/><Relationship Id="rId51" Type="http://schemas.openxmlformats.org/officeDocument/2006/relationships/hyperlink" Target="https://en.wikipedia.org/Helicopter" TargetMode="External"/><Relationship Id="rId50" Type="http://schemas.openxmlformats.org/officeDocument/2006/relationships/hyperlink" Target="https://en.wikipedia.org/Italy" TargetMode="External"/><Relationship Id="rId53" Type="http://schemas.openxmlformats.org/officeDocument/2006/relationships/hyperlink" Target="https://en.wikipedia.org/Italy" TargetMode="External"/><Relationship Id="rId52" Type="http://schemas.openxmlformats.org/officeDocument/2006/relationships/hyperlink" Target="https://en.wikipedia.org/Helicopter" TargetMode="External"/><Relationship Id="rId55" Type="http://schemas.openxmlformats.org/officeDocument/2006/relationships/hyperlink" Target="https://en.wikipedia.org/Cyprus" TargetMode="External"/><Relationship Id="rId161" Type="http://schemas.openxmlformats.org/officeDocument/2006/relationships/hyperlink" Target="https://en.wikipedia.org/glider" TargetMode="External"/><Relationship Id="rId54" Type="http://schemas.openxmlformats.org/officeDocument/2006/relationships/hyperlink" Target="https://en.wikipedia.org/Helicopter" TargetMode="External"/><Relationship Id="rId160" Type="http://schemas.openxmlformats.org/officeDocument/2006/relationships/hyperlink" Target="https://en.wikipedia.org/China" TargetMode="External"/><Relationship Id="rId57" Type="http://schemas.openxmlformats.org/officeDocument/2006/relationships/hyperlink" Target="https://en.wikipedia.org/Switzerland" TargetMode="External"/><Relationship Id="rId56" Type="http://schemas.openxmlformats.org/officeDocument/2006/relationships/hyperlink" Target="https://en.wikipedia.org/Helicopter" TargetMode="External"/><Relationship Id="rId159" Type="http://schemas.openxmlformats.org/officeDocument/2006/relationships/hyperlink" Target="https://en.wikipedia.org/Germany" TargetMode="External"/><Relationship Id="rId59" Type="http://schemas.openxmlformats.org/officeDocument/2006/relationships/hyperlink" Target="https://en.wikipedia.org/Belgium" TargetMode="External"/><Relationship Id="rId154" Type="http://schemas.openxmlformats.org/officeDocument/2006/relationships/hyperlink" Target="https://en.wikipedia.org/Poland" TargetMode="External"/><Relationship Id="rId58" Type="http://schemas.openxmlformats.org/officeDocument/2006/relationships/hyperlink" Target="https://en.wikipedia.org/Helicopter" TargetMode="External"/><Relationship Id="rId153" Type="http://schemas.openxmlformats.org/officeDocument/2006/relationships/hyperlink" Target="https://en.wikipedia.org/Motor-glider" TargetMode="External"/><Relationship Id="rId152" Type="http://schemas.openxmlformats.org/officeDocument/2006/relationships/hyperlink" Target="https://en.wikipedia.org/Poland" TargetMode="External"/><Relationship Id="rId151" Type="http://schemas.openxmlformats.org/officeDocument/2006/relationships/hyperlink" Target="https://en.wikipedia.org/Germany/Hungary" TargetMode="External"/><Relationship Id="rId158" Type="http://schemas.openxmlformats.org/officeDocument/2006/relationships/hyperlink" Target="https://en.wikipedia.org/Poland" TargetMode="External"/><Relationship Id="rId157" Type="http://schemas.openxmlformats.org/officeDocument/2006/relationships/hyperlink" Target="https://en.wikipedia.org/Paramotor" TargetMode="External"/><Relationship Id="rId156" Type="http://schemas.openxmlformats.org/officeDocument/2006/relationships/hyperlink" Target="https://en.wikipedia.org/Poland" TargetMode="External"/><Relationship Id="rId155" Type="http://schemas.openxmlformats.org/officeDocument/2006/relationships/hyperlink" Target="https://en.wikipedia.org/Capron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
        <v>3</v>
      </c>
      <c r="G1" s="1" t="str">
        <f>IFERROR(__xludf.DUMMYFUNCTION("GOOGLETRANSLATE(F:F, ""en"", ""te"")"),"పాత్ర")</f>
        <v>పాత్ర</v>
      </c>
      <c r="H1" s="1" t="s">
        <v>4</v>
      </c>
      <c r="I1" s="1" t="s">
        <v>5</v>
      </c>
      <c r="J1" s="1" t="str">
        <f>IFERROR(__xludf.DUMMYFUNCTION("GOOGLETRANSLATE(I:I, ""en"", ""te"")"),"జాతీయ మూలం")</f>
        <v>జాతీయ మూలం</v>
      </c>
      <c r="K1" s="1" t="s">
        <v>6</v>
      </c>
      <c r="L1" s="1" t="s">
        <v>7</v>
      </c>
      <c r="M1" s="1" t="str">
        <f>IFERROR(__xludf.DUMMYFUNCTION("GOOGLETRANSLATE(L:L, ""en"", ""te"")"),"తయారీదారు")</f>
        <v>తయారీదారు</v>
      </c>
      <c r="N1" s="1" t="s">
        <v>8</v>
      </c>
      <c r="O1" s="1" t="s">
        <v>9</v>
      </c>
      <c r="P1" s="1" t="str">
        <f>IFERROR(__xludf.DUMMYFUNCTION("GOOGLETRANSLATE(O:O, ""en"", ""te"")"),"స్థితి")</f>
        <v>స్థితి</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row>
    <row r="2">
      <c r="A2" s="1" t="s">
        <v>122</v>
      </c>
      <c r="B2" s="1" t="str">
        <f>IFERROR(__xludf.DUMMYFUNCTION("GOOGLETRANSLATE(A:A, ""en"", ""te"")"),"ఎత్తు రేడియల్ రాకెట్")</f>
        <v>ఎత్తు రేడియల్ రాకెట్</v>
      </c>
      <c r="C2" s="1" t="s">
        <v>123</v>
      </c>
      <c r="D2" s="1" t="str">
        <f>IFERROR(__xludf.DUMMYFUNCTION("GOOGLETRANSLATE(C:C, ""en"", ""te"")"),"ఆల్టిట్యూడ్ రేడియల్ రాకెట్ అనేది ఒక అమెరికన్ te త్సాహిక-నిర్మిత విమానం, ఇది కాన్సాస్‌లోని ఓవర్‌ల్యాండ్ పార్క్ యొక్క ఆల్టిట్యూడ్ గ్రూప్ చేత ఉత్పత్తి చేయబడింది. ఈ విమానం te త్సాహిక నిర్మాణానికి కిట్‌గా సరఫరా చేయబడుతుంది. [1] ఈ విమానం ఒక కాంటిలివర్ లో-వింగ్,"&amp;" బబుల్ పందిరి కింద రెండు-సీట్ల తేమతో కూడిన కాక్‌పిట్, స్థిర సాంప్రదాయ ల్యాండింగ్ గేర్ లేదా ముడుచుకునే ట్రైసైకిల్ ల్యాండింగ్ గేర్ మరియు ట్రాక్టర్ కాన్ఫిగరేషన్‌లో ఒకే రేడియల్ ఇంజిన్ కలిగి ఉంది. [1] విమానం మిశ్రమాల నుండి తయారవుతుంది. రెక్కల వ్యవధి మరియు ప్రా"&amp;"ంతం మరియు స్థూల బరువు మోడల్‌ను బట్టి మారుతుంది. రేడియల్ రాకెట్ యొక్క సిఫార్సు చేసిన ఇంజిన్ శక్తి శ్రేణి 360 నుండి 400 హెచ్‌పి (268 నుండి 298 కిలోవాట్) మరియు ఉపయోగించిన ప్రామాణిక ఇంజిన్ 360 హెచ్‌పి (268 కిలోవాట్ 2017 నాటికి [నవీకరణ], ఆరు ఉదాహరణలు యునైటెడ్ "&amp;"స్టేట్స్లో ఫెడరల్ ఏవియేషన్ అడ్మినిస్ట్రేషన్ తో నమోదు చేయబడ్డాయి. [2] కిట్‌ప్లాన్‌ల నుండి డేటా [1] సాధారణ లక్షణాల పనితీరు")</f>
        <v>ఆల్టిట్యూడ్ రేడియల్ రాకెట్ అనేది ఒక అమెరికన్ te త్సాహిక-నిర్మిత విమానం, ఇది కాన్సాస్‌లోని ఓవర్‌ల్యాండ్ పార్క్ యొక్క ఆల్టిట్యూడ్ గ్రూప్ చేత ఉత్పత్తి చేయబడింది. ఈ విమానం te త్సాహిక నిర్మాణానికి కిట్‌గా సరఫరా చేయబడుతుంది. [1] ఈ విమానం ఒక కాంటిలివర్ లో-వింగ్, బబుల్ పందిరి కింద రెండు-సీట్ల తేమతో కూడిన కాక్‌పిట్, స్థిర సాంప్రదాయ ల్యాండింగ్ గేర్ లేదా ముడుచుకునే ట్రైసైకిల్ ల్యాండింగ్ గేర్ మరియు ట్రాక్టర్ కాన్ఫిగరేషన్‌లో ఒకే రేడియల్ ఇంజిన్ కలిగి ఉంది. [1] విమానం మిశ్రమాల నుండి తయారవుతుంది. రెక్కల వ్యవధి మరియు ప్రాంతం మరియు స్థూల బరువు మోడల్‌ను బట్టి మారుతుంది. రేడియల్ రాకెట్ యొక్క సిఫార్సు చేసిన ఇంజిన్ శక్తి శ్రేణి 360 నుండి 400 హెచ్‌పి (268 నుండి 298 కిలోవాట్) మరియు ఉపయోగించిన ప్రామాణిక ఇంజిన్ 360 హెచ్‌పి (268 కిలోవాట్ 2017 నాటికి [నవీకరణ], ఆరు ఉదాహరణలు యునైటెడ్ స్టేట్స్లో ఫెడరల్ ఏవియేషన్ అడ్మినిస్ట్రేషన్ తో నమోదు చేయబడ్డాయి. [2] కిట్‌ప్లాన్‌ల నుండి డేటా [1] సాధారణ లక్షణాల పనితీరు</v>
      </c>
      <c r="E2" s="1" t="s">
        <v>124</v>
      </c>
      <c r="F2" s="1" t="s">
        <v>125</v>
      </c>
      <c r="G2" s="1" t="str">
        <f>IFERROR(__xludf.DUMMYFUNCTION("GOOGLETRANSLATE(F:F, ""en"", ""te"")"),"Te త్సాహిక నిర్మించిన విమానం")</f>
        <v>Te త్సాహిక నిర్మించిన విమానం</v>
      </c>
      <c r="H2" s="1" t="s">
        <v>126</v>
      </c>
      <c r="I2" s="1" t="s">
        <v>127</v>
      </c>
      <c r="J2" s="1" t="str">
        <f>IFERROR(__xludf.DUMMYFUNCTION("GOOGLETRANSLATE(I:I, ""en"", ""te"")"),"సంయుక్త రాష్ట్రాలు")</f>
        <v>సంయుక్త రాష్ట్రాలు</v>
      </c>
      <c r="K2" s="1" t="s">
        <v>128</v>
      </c>
      <c r="L2" s="1" t="s">
        <v>129</v>
      </c>
      <c r="M2" s="1" t="str">
        <f>IFERROR(__xludf.DUMMYFUNCTION("GOOGLETRANSLATE(L:L, ""en"", ""te"")"),"ఎత్తు సమూహం")</f>
        <v>ఎత్తు సమూహం</v>
      </c>
      <c r="N2" s="1" t="s">
        <v>130</v>
      </c>
      <c r="O2" s="1" t="s">
        <v>131</v>
      </c>
      <c r="P2" s="1" t="str">
        <f>IFERROR(__xludf.DUMMYFUNCTION("GOOGLETRANSLATE(O:O, ""en"", ""te"")"),"ఉత్పత్తిలో (2011)")</f>
        <v>ఉత్పత్తిలో (2011)</v>
      </c>
      <c r="Q2" s="1">
        <v>6.0</v>
      </c>
      <c r="R2" s="1" t="s">
        <v>132</v>
      </c>
      <c r="S2" s="1" t="s">
        <v>133</v>
      </c>
      <c r="T2" s="1" t="s">
        <v>134</v>
      </c>
      <c r="U2" s="1" t="s">
        <v>135</v>
      </c>
      <c r="V2" s="1" t="s">
        <v>136</v>
      </c>
      <c r="W2" s="1" t="s">
        <v>137</v>
      </c>
      <c r="X2" s="1" t="s">
        <v>138</v>
      </c>
      <c r="Y2" s="1" t="s">
        <v>139</v>
      </c>
      <c r="Z2" s="1" t="s">
        <v>140</v>
      </c>
      <c r="AA2" s="1" t="s">
        <v>141</v>
      </c>
      <c r="AB2" s="1" t="s">
        <v>142</v>
      </c>
      <c r="AC2" s="1" t="s">
        <v>143</v>
      </c>
      <c r="AD2" s="1" t="s">
        <v>144</v>
      </c>
      <c r="AE2" s="1" t="s">
        <v>145</v>
      </c>
      <c r="AF2" s="1" t="s">
        <v>146</v>
      </c>
      <c r="AG2" s="1" t="s">
        <v>147</v>
      </c>
    </row>
    <row r="3">
      <c r="A3" s="1" t="s">
        <v>148</v>
      </c>
      <c r="B3" s="1" t="str">
        <f>IFERROR(__xludf.DUMMYFUNCTION("GOOGLETRANSLATE(A:A, ""en"", ""te"")"),"AERYON SCOUT")</f>
        <v>AERYON SCOUT</v>
      </c>
      <c r="C3" s="1" t="s">
        <v>149</v>
      </c>
      <c r="D3" s="1" t="str">
        <f>IFERROR(__xludf.DUMMYFUNCTION("GOOGLETRANSLATE(C:C, ""en"", ""te"")"),"ఎరియన్ స్కౌట్ అనేది ఒక చిన్న నిఘా మానవరహిత వైమానిక వాహనం (యుఎవి), దీనిని కెనడాలోని అంటారియోలోని వాటర్లూ యొక్క ఎరియన్ ల్యాబ్స్ రూపొందించారు మరియు నిర్మించారు. ఈ వాహనం 2007 మరియు 2009 మధ్య అభివృద్ధి చేయబడింది మరియు 2009-2015 నుండి ఉత్పత్తి చేయబడింది. ఉత్పత్"&amp;"తి పూర్తయింది మరియు ఇది ఇకపై కంపెనీ వెబ్‌సైట్‌లో అమ్మకానికి ప్రచారం చేయబడదు. [1] స్కౌట్ అనేది నిలువు టేకాఫ్ మరియు ల్యాండింగ్ VTOL క్వాడ్‌కాప్టర్, ఇది ప్రయోగ పరికరాలు అవసరం లేదు. ఇది స్థిర స్థితిలో ఉండి, పేలోడ్ లేకుండా 3.0 lb (1.4 kg) బరువు ఉంటుంది. [2] స్"&amp;"కౌట్ లేఅవుట్లో క్వాడ్‌కాప్టర్, నాలుగు రోటర్లు బూమ్స్ మరియు నాలుగు ల్యాండింగ్ గేర్ కాళ్ళపై అమర్చబడి ఉంటాయి. గింబాల్ మౌంట్‌లో ఫ్యూజ్‌లేజ్ కింద పేలోడ్‌లు అమర్చబడి ఉంటాయి. [3] స్కౌట్ వినియోగదారు నుండి 3 కిలోమీటర్ల (1.9 మైళ్ళు) వరకు దృష్టి రేఖకు మించి పనిచేస్త"&amp;"ుంది, రూపకల్పన చేసే కార్యాచరణ ఎత్తులో 300 నుండి 500 అడుగుల భూమి స్థాయికి మించి గంటకు 50 కిలోమీటర్ల వరకు ఎగిరే వేగంతో (గంటకు 31 మైళ్ళు ) మరియు 25 నిమిషాల ఓర్పు. [2] [4] స్కౌట్ యొక్క రూపకల్పన ప్రతికూల వాతావరణ పరిస్థితులలో విమానాన్ని అనుమతిస్తుంది మరియు ఇది "&amp;"గంటకు 80 కిలోమీటర్ల (50 mph) మరియు −30 ° C నుండి +50 ° C వరకు ఉష్ణోగ్రతలు గాలి వేగంతో ఎగురవేయబడింది. అన్ని సమాచార మార్పిడి డిజిటల్ మరియు గుప్తీకరించబడింది, ఇది హైజాకింగ్ మరియు వీడియో అంతరాయాల ప్రమాదాన్ని తగ్గిస్తుంది. [3] స్కౌట్ టాబ్లెట్ పిసి-ఆధారిత ఇంటర్"&amp;"‌ఫేస్‌తో నియంత్రించబడుతుంది. [5] ఈ వ్యవస్థ వినియోగదారులను కనీస శిక్షణతో వాహనాన్ని ఆపరేట్ చేయడానికి వినియోగదారులను అనుమతించడంలో జాయ్ స్టిక్ నియంత్రణ యొక్క ఆచార పద్ధతికి భిన్నంగా ఉంటుంది. మ్యాప్‌లోని ఒక ప్రాంతాన్ని సూచించడం ద్వారా స్కౌట్ పైలట్ చేయబడింది. [2"&amp;"] టచ్ స్క్రీన్ ఇంటర్‌ఫేస్‌లో స్క్రోల్ ఉపయోగించి ఎత్తు నియంత్రించబడుతుంది. సిస్టమ్ MRSID తో సహా అనేక ఫార్మాట్లలో కస్టమ్ లేదా వాణిజ్యపరంగా లభించే మ్యాప్ డేటాను ఉపయోగించి పనిచేస్తుంది. ఫ్లైట్ సమయంలో రియల్ టైమ్ మ్యాప్‌లను కూడా ఉపయోగించవచ్చు మరియు స్కౌట్‌ను ఆప"&amp;"రేటర్ రియల్ టైమ్ లేదా ప్రీ-ప్రోగ్రామ్ చేసిన GPS వే పాయింట్ పాయింట్ల శ్రేణిని ఎగరవచ్చు. స్కౌట్ నిరంతరం గాలి వేగం వంటి బాహ్య పరిస్థితులను, అలాగే బ్యాటరీ స్థాయి వంటి అంతర్గత ఫంక్షన్లను పర్యవేక్షిస్తుంది, ఇది ఇంటికి తిరిగి రావడానికి, వెంటనే దిగడానికి లేదా వేచ"&amp;"ి ఉండటానికి మార్గంలో స్వయంచాలక నిర్ణయాలు తీసుకోవడానికి వీలు కల్పిస్తుంది. [2] స్కౌట్ USB మరియు ఈథర్నెట్‌తో సహా సాధారణ ఇంటర్‌ఫేస్‌లతో శీఘ్ర-మార్పు పేలోడ్ ఇంటర్‌ఫేస్‌ను కలిగి ఉంది, ఇది అనుకూల పేలోడ్‌లను అభివృద్ధి చేయడానికి అనుమతిస్తుంది. సిస్టమ్ కనెక్ట్ చేయ"&amp;"బడిన పేలోడ్ రకాన్ని గుర్తించగలదు మరియు దానిని కాన్ఫిగర్ చేస్తుంది మరియు తగిన విధంగా ఆపరేట్ చేస్తుంది. సిస్టమ్ యొక్క పేలోడ్ సామర్థ్యం 250 గ్రా (0.55 పౌండ్లు). ఆఫర్ చేసిన పేలోడ్స్‌లో గింబాల్-మౌంటెడ్ డిజిటల్ స్టిల్ మరియు వీడియో కెమెరాలు, రిమోట్ సెన్సింగ్ కోస"&amp;"ం సమీప-ఐఆర్ కెమెరా, ఫ్లైర్ నైట్-విజన్ కెమెరా మరియు స్థిరీకరించిన 10x ఆప్టికల్ జూమ్ కెమెరా ఉన్నాయి. [3] సాధారణ లక్షణాలు పనితీరు ఏవియానిక్స్ సంబంధిత జాబితాలు")</f>
        <v>ఎరియన్ స్కౌట్ అనేది ఒక చిన్న నిఘా మానవరహిత వైమానిక వాహనం (యుఎవి), దీనిని కెనడాలోని అంటారియోలోని వాటర్లూ యొక్క ఎరియన్ ల్యాబ్స్ రూపొందించారు మరియు నిర్మించారు. ఈ వాహనం 2007 మరియు 2009 మధ్య అభివృద్ధి చేయబడింది మరియు 2009-2015 నుండి ఉత్పత్తి చేయబడింది. ఉత్పత్తి పూర్తయింది మరియు ఇది ఇకపై కంపెనీ వెబ్‌సైట్‌లో అమ్మకానికి ప్రచారం చేయబడదు. [1] స్కౌట్ అనేది నిలువు టేకాఫ్ మరియు ల్యాండింగ్ VTOL క్వాడ్‌కాప్టర్, ఇది ప్రయోగ పరికరాలు అవసరం లేదు. ఇది స్థిర స్థితిలో ఉండి, పేలోడ్ లేకుండా 3.0 lb (1.4 kg) బరువు ఉంటుంది. [2] స్కౌట్ లేఅవుట్లో క్వాడ్‌కాప్టర్, నాలుగు రోటర్లు బూమ్స్ మరియు నాలుగు ల్యాండింగ్ గేర్ కాళ్ళపై అమర్చబడి ఉంటాయి. గింబాల్ మౌంట్‌లో ఫ్యూజ్‌లేజ్ కింద పేలోడ్‌లు అమర్చబడి ఉంటాయి. [3] స్కౌట్ వినియోగదారు నుండి 3 కిలోమీటర్ల (1.9 మైళ్ళు) వరకు దృష్టి రేఖకు మించి పనిచేస్తుంది, రూపకల్పన చేసే కార్యాచరణ ఎత్తులో 300 నుండి 500 అడుగుల భూమి స్థాయికి మించి గంటకు 50 కిలోమీటర్ల వరకు ఎగిరే వేగంతో (గంటకు 31 మైళ్ళు ) మరియు 25 నిమిషాల ఓర్పు. [2] [4] స్కౌట్ యొక్క రూపకల్పన ప్రతికూల వాతావరణ పరిస్థితులలో విమానాన్ని అనుమతిస్తుంది మరియు ఇది గంటకు 80 కిలోమీటర్ల (50 mph) మరియు −30 ° C నుండి +50 ° C వరకు ఉష్ణోగ్రతలు గాలి వేగంతో ఎగురవేయబడింది. అన్ని సమాచార మార్పిడి డిజిటల్ మరియు గుప్తీకరించబడింది, ఇది హైజాకింగ్ మరియు వీడియో అంతరాయాల ప్రమాదాన్ని తగ్గిస్తుంది. [3] స్కౌట్ టాబ్లెట్ పిసి-ఆధారిత ఇంటర్‌ఫేస్‌తో నియంత్రించబడుతుంది. [5] ఈ వ్యవస్థ వినియోగదారులను కనీస శిక్షణతో వాహనాన్ని ఆపరేట్ చేయడానికి వినియోగదారులను అనుమతించడంలో జాయ్ స్టిక్ నియంత్రణ యొక్క ఆచార పద్ధతికి భిన్నంగా ఉంటుంది. మ్యాప్‌లోని ఒక ప్రాంతాన్ని సూచించడం ద్వారా స్కౌట్ పైలట్ చేయబడింది. [2] టచ్ స్క్రీన్ ఇంటర్‌ఫేస్‌లో స్క్రోల్ ఉపయోగించి ఎత్తు నియంత్రించబడుతుంది. సిస్టమ్ MRSID తో సహా అనేక ఫార్మాట్లలో కస్టమ్ లేదా వాణిజ్యపరంగా లభించే మ్యాప్ డేటాను ఉపయోగించి పనిచేస్తుంది. ఫ్లైట్ సమయంలో రియల్ టైమ్ మ్యాప్‌లను కూడా ఉపయోగించవచ్చు మరియు స్కౌట్‌ను ఆపరేటర్ రియల్ టైమ్ లేదా ప్రీ-ప్రోగ్రామ్ చేసిన GPS వే పాయింట్ పాయింట్ల శ్రేణిని ఎగరవచ్చు. స్కౌట్ నిరంతరం గాలి వేగం వంటి బాహ్య పరిస్థితులను, అలాగే బ్యాటరీ స్థాయి వంటి అంతర్గత ఫంక్షన్లను పర్యవేక్షిస్తుంది, ఇది ఇంటికి తిరిగి రావడానికి, వెంటనే దిగడానికి లేదా వేచి ఉండటానికి మార్గంలో స్వయంచాలక నిర్ణయాలు తీసుకోవడానికి వీలు కల్పిస్తుంది. [2] స్కౌట్ USB మరియు ఈథర్నెట్‌తో సహా సాధారణ ఇంటర్‌ఫేస్‌లతో శీఘ్ర-మార్పు పేలోడ్ ఇంటర్‌ఫేస్‌ను కలిగి ఉంది, ఇది అనుకూల పేలోడ్‌లను అభివృద్ధి చేయడానికి అనుమతిస్తుంది. సిస్టమ్ కనెక్ట్ చేయబడిన పేలోడ్ రకాన్ని గుర్తించగలదు మరియు దానిని కాన్ఫిగర్ చేస్తుంది మరియు తగిన విధంగా ఆపరేట్ చేస్తుంది. సిస్టమ్ యొక్క పేలోడ్ సామర్థ్యం 250 గ్రా (0.55 పౌండ్లు). ఆఫర్ చేసిన పేలోడ్స్‌లో గింబాల్-మౌంటెడ్ డిజిటల్ స్టిల్ మరియు వీడియో కెమెరాలు, రిమోట్ సెన్సింగ్ కోసం సమీప-ఐఆర్ కెమెరా, ఫ్లైర్ నైట్-విజన్ కెమెరా మరియు స్థిరీకరించిన 10x ఆప్టికల్ జూమ్ కెమెరా ఉన్నాయి. [3] సాధారణ లక్షణాలు పనితీరు ఏవియానిక్స్ సంబంధిత జాబితాలు</v>
      </c>
      <c r="E3" s="1" t="s">
        <v>150</v>
      </c>
      <c r="F3" s="1" t="s">
        <v>151</v>
      </c>
      <c r="G3" s="1" t="str">
        <f>IFERROR(__xludf.DUMMYFUNCTION("GOOGLETRANSLATE(F:F, ""en"", ""te"")"),"సూక్ష్మ UAV")</f>
        <v>సూక్ష్మ UAV</v>
      </c>
      <c r="H3" s="1" t="s">
        <v>152</v>
      </c>
      <c r="L3" s="1" t="s">
        <v>153</v>
      </c>
      <c r="M3" s="1" t="str">
        <f>IFERROR(__xludf.DUMMYFUNCTION("GOOGLETRANSLATE(L:L, ""en"", ""te"")"),"Aeryon ల్యాబ్స్")</f>
        <v>Aeryon ల్యాబ్స్</v>
      </c>
      <c r="N3" s="1" t="s">
        <v>154</v>
      </c>
      <c r="O3" s="1" t="s">
        <v>155</v>
      </c>
      <c r="P3" s="1" t="str">
        <f>IFERROR(__xludf.DUMMYFUNCTION("GOOGLETRANSLATE(O:O, ""en"", ""te"")"),"ఉత్పత్తి పూర్తయింది")</f>
        <v>ఉత్పత్తి పూర్తయింది</v>
      </c>
      <c r="S3" s="1" t="s">
        <v>156</v>
      </c>
      <c r="U3" s="1" t="s">
        <v>157</v>
      </c>
      <c r="Y3" s="1" t="s">
        <v>158</v>
      </c>
      <c r="AA3" s="1" t="s">
        <v>159</v>
      </c>
      <c r="AB3" s="1" t="s">
        <v>160</v>
      </c>
      <c r="AC3" s="1" t="s">
        <v>161</v>
      </c>
      <c r="AE3" s="1" t="s">
        <v>162</v>
      </c>
      <c r="AF3" s="1" t="s">
        <v>163</v>
      </c>
      <c r="AH3" s="1" t="s">
        <v>153</v>
      </c>
      <c r="AI3" s="1" t="s">
        <v>154</v>
      </c>
      <c r="AJ3" s="2">
        <v>39295.0</v>
      </c>
      <c r="AK3" s="2">
        <v>40118.0</v>
      </c>
      <c r="AL3" s="1" t="s">
        <v>164</v>
      </c>
      <c r="AM3" s="1" t="s">
        <v>165</v>
      </c>
      <c r="AN3" s="1" t="s">
        <v>166</v>
      </c>
      <c r="AO3" s="1" t="s">
        <v>167</v>
      </c>
      <c r="AP3" s="1" t="s">
        <v>168</v>
      </c>
      <c r="AQ3" s="1" t="s">
        <v>169</v>
      </c>
      <c r="AR3" s="1" t="s">
        <v>170</v>
      </c>
    </row>
    <row r="4">
      <c r="A4" s="1" t="s">
        <v>171</v>
      </c>
      <c r="B4" s="1" t="str">
        <f>IFERROR(__xludf.DUMMYFUNCTION("GOOGLETRANSLATE(A:A, ""en"", ""te"")"),"వాయుమార్గాన సరదా")</f>
        <v>వాయుమార్గాన సరదా</v>
      </c>
      <c r="C4" s="1" t="s">
        <v>172</v>
      </c>
      <c r="D4" s="1" t="str">
        <f>IFERROR(__xludf.DUMMYFUNCTION("GOOGLETRANSLATE(C:C, ""en"", ""te"")"),"ఎయిర్బోర్న్ ఫన్ అనేది ఆస్ట్రేలియన్ హై-వింగ్, సింగిల్ మరియు టూ-ప్లేస్, హాంగ్ గ్లైడర్స్, ఇది న్యూ సౌత్ వేల్స్లోని రెడ్ హెడ్ యొక్క వాయుమార్గాన విండ్ స్పోర్ట్స్ చేత రూపొందించబడింది మరియు నిర్మించబడింది మరియు 2000 ల ప్రారంభంలో ప్రవేశపెట్టబడింది. [1] ఫన్ సిరీస్"&amp;" అన్నీ వినోదభరితమైన ఫ్లయింగ్ మరియు విమాన శిక్షణ కోసం ఉపయోగించే బిగినర్స్ హాంగ్ గ్లైడర్‌లుగా ఉండటానికి ఉద్దేశించబడ్డాయి. [1] సరదా 190 మోడల్ అల్యూమినియం గొట్టాల నుండి తయారవుతుంది, సింగిల్-ఉపరితల విభాగం డాక్రాన్ సెయిల్‌క్లాత్‌లో కప్పబడి ఉంటుంది. దాని 10.45 మ"&amp;"ీ (34.3 అడుగులు) స్పాన్ వింగ్ కేబుల్, ఇది గ్రౌండ్ వైర్లకు మద్దతు ఇచ్చే ఒకే కింగ్‌పోస్ట్‌తో కలుపుతారు. ముక్కు కోణం 118 ° మరియు కారక నిష్పత్తి 5.51: 1. విమానం DHV 1 గా ధృవీకరించబడింది. [1] బెర్ట్రాండ్ నుండి డేటా [1] సాధారణ లక్షణాలు")</f>
        <v>ఎయిర్బోర్న్ ఫన్ అనేది ఆస్ట్రేలియన్ హై-వింగ్, సింగిల్ మరియు టూ-ప్లేస్, హాంగ్ గ్లైడర్స్, ఇది న్యూ సౌత్ వేల్స్లోని రెడ్ హెడ్ యొక్క వాయుమార్గాన విండ్ స్పోర్ట్స్ చేత రూపొందించబడింది మరియు నిర్మించబడింది మరియు 2000 ల ప్రారంభంలో ప్రవేశపెట్టబడింది. [1] ఫన్ సిరీస్ అన్నీ వినోదభరితమైన ఫ్లయింగ్ మరియు విమాన శిక్షణ కోసం ఉపయోగించే బిగినర్స్ హాంగ్ గ్లైడర్‌లుగా ఉండటానికి ఉద్దేశించబడ్డాయి. [1] సరదా 190 మోడల్ అల్యూమినియం గొట్టాల నుండి తయారవుతుంది, సింగిల్-ఉపరితల విభాగం డాక్రాన్ సెయిల్‌క్లాత్‌లో కప్పబడి ఉంటుంది. దాని 10.45 మీ (34.3 అడుగులు) స్పాన్ వింగ్ కేబుల్, ఇది గ్రౌండ్ వైర్లకు మద్దతు ఇచ్చే ఒకే కింగ్‌పోస్ట్‌తో కలుపుతారు. ముక్కు కోణం 118 ° మరియు కారక నిష్పత్తి 5.51: 1. విమానం DHV 1 గా ధృవీకరించబడింది. [1] బెర్ట్రాండ్ నుండి డేటా [1] సాధారణ లక్షణాలు</v>
      </c>
      <c r="F4" s="1" t="s">
        <v>173</v>
      </c>
      <c r="G4" s="1" t="str">
        <f>IFERROR(__xludf.DUMMYFUNCTION("GOOGLETRANSLATE(F:F, ""en"", ""te"")"),"గ్లైడర్ హాంగ్")</f>
        <v>గ్లైడర్ హాంగ్</v>
      </c>
      <c r="H4" s="1" t="s">
        <v>174</v>
      </c>
      <c r="I4" s="1" t="s">
        <v>175</v>
      </c>
      <c r="J4" s="1" t="str">
        <f>IFERROR(__xludf.DUMMYFUNCTION("GOOGLETRANSLATE(I:I, ""en"", ""te"")"),"ఆస్ట్రేలియా")</f>
        <v>ఆస్ట్రేలియా</v>
      </c>
      <c r="K4" s="3" t="s">
        <v>176</v>
      </c>
      <c r="L4" s="1" t="s">
        <v>177</v>
      </c>
      <c r="M4" s="1" t="str">
        <f>IFERROR(__xludf.DUMMYFUNCTION("GOOGLETRANSLATE(L:L, ""en"", ""te"")"),"వాయుమార్గాన విండ్‌స్పోర్ట్స్")</f>
        <v>వాయుమార్గాన విండ్‌స్పోర్ట్స్</v>
      </c>
      <c r="N4" s="1" t="s">
        <v>178</v>
      </c>
      <c r="O4" s="1" t="s">
        <v>179</v>
      </c>
      <c r="P4" s="1" t="str">
        <f>IFERROR(__xludf.DUMMYFUNCTION("GOOGLETRANSLATE(O:O, ""en"", ""te"")"),"ఉత్పత్తిలో")</f>
        <v>ఉత్పత్తిలో</v>
      </c>
      <c r="R4" s="1" t="s">
        <v>132</v>
      </c>
      <c r="S4" s="1" t="s">
        <v>133</v>
      </c>
      <c r="T4" s="1" t="s">
        <v>134</v>
      </c>
      <c r="V4" s="1" t="s">
        <v>180</v>
      </c>
      <c r="W4" s="1" t="s">
        <v>181</v>
      </c>
      <c r="AS4" s="1">
        <v>5.62</v>
      </c>
    </row>
    <row r="5">
      <c r="A5" s="1" t="s">
        <v>182</v>
      </c>
      <c r="B5" s="1" t="str">
        <f>IFERROR(__xludf.DUMMYFUNCTION("GOOGLETRANSLATE(A:A, ""en"", ""te"")"),"వాయుమార్గాన రెడ్‌బ్యాక్")</f>
        <v>వాయుమార్గాన రెడ్‌బ్యాక్</v>
      </c>
      <c r="C5" s="1" t="s">
        <v>183</v>
      </c>
      <c r="D5" s="1" t="str">
        <f>IFERROR(__xludf.DUMMYFUNCTION("GOOGLETRANSLATE(C:C, ""en"", ""te"")"),"వాయుమార్గాన రెడ్‌బ్యాక్ అనేది ఆస్ట్రేలియన్ రెండు-సీట్ల ఫ్లయింగ్ వింగ్ అల్ట్రాలైట్ ట్రైక్, ఇది వాయుమార్గాన విండ్‌స్పోర్ట్స్ చేత రూపొందించబడింది మరియు ఉత్పత్తి చేస్తుంది. [1] ఈ విమానం స్థానిక ఆస్ట్రేలియన్ రెడ్‌బ్యాక్ స్పైడర్ కోసం పేరు పెట్టబడింది. [1] ఈ విమ"&amp;"ానం ఫెడరేషన్ ఏరోనటిక్ ఇంటర్నేషనల్ మైక్రోలైట్ వర్గానికి అనుగుణంగా రూపొందించబడింది, ఇందులో వర్గం యొక్క గరిష్ట స్థూల బరువు 450 కిలోల (992 పౌండ్లు). ఈ విమానం గరిష్టంగా స్థూల బరువు 401 కిలోలు (884 పౌండ్లు). ఇది కేబుల్-బ్రేస్డ్ హాంగ్ గ్లైడర్-స్టైల్ హై-వింగ్, వె"&amp;"యిట్-షిఫ్ట్ కంట్రోల్స్, రెండు-సీట్ల-టెన్డం ఓపెన్ కాక్‌పిట్, ట్రైసైకిల్ ల్యాండింగ్ గేర్ మరియు పషర్ కాన్ఫిగరేషన్‌లో ఒకే ఇంజిన్ కలిగి ఉంది. [1] విమానం యొక్క విజార్డ్ మోడల్ వింగ్ బోల్ట్-కలిసి అల్యూమినియం గొట్టాల నుండి తయారవుతుంది, దాని సింగిల్ ఉపరితలం డాక్రాన"&amp;"్ సెయిల్‌క్లాత్‌లో కప్పబడి ఉంటుంది. దీని 9.96 మీ (32.7 అడుగులు) స్పాన్ వింగ్‌కు ఒకే ట్యూబ్-రకం కింగ్‌పోస్ట్ మద్దతు ఇస్తుంది మరియు ""ఎ"" ఫ్రేమ్ కంట్రోల్ బార్‌ను ఉపయోగిస్తుంది. ప్రామాణిక పవర్‌ప్లాంట్ 37 kW (50 HP) రోటాక్స్ 503 ట్విన్ సిలిండర్, ఎయిర్-కూల్డ్,"&amp;" టూ-స్ట్రోక్ ఎయిర్‌క్రాఫ్ట్ ఇంజిన్. [1] ప్రవేశపెట్టినప్పుడు రెడ్‌బ్యాక్ ఒకే కాన్ఫిగరేషన్ మోడల్, కాక్‌పిట్ ఫెయిరింగ్ మరియు ఎంపికలు అందుబాటులో లేవు. 2012 లో మోడల్ అభివృద్ధి చెందింది మరియు టండ్రా టైర్లు, తీసుకోవడం మరియు ఎగ్జాస్ట్ సైలెన్సర్, ట్రైనింగ్ బార్స్ "&amp;"మరియు ఏరో-టౌ వ్యవస్థను ఐచ్ఛిక పరికరాలుగా అందిస్తుంది. [1] [2] సమీక్షకులు నోయెల్ బెర్ట్రాండ్ మరియు ఇతరులు, 2003 లో నో-ఆప్షన్స్ విధానం గురించి వ్రాస్తూ, ""రెడ్ బ్యాక్ ఒక కాన్ఫిగరేషన్‌లో మాత్రమే ఎంపికలు లేకుండా ఉంది-ఈ ఆస్ట్రేలియన్ తయారీదారు తీసుకున్న తెలివైన"&amp;" చర్య యొక్క కోర్సు చాలా పూర్తి స్పెసిఫికేషన్ ద్వారా సాధ్యమైంది .. సరైన పదార్థాలన్నీ ఉన్నాయి; ఆస్ట్రేలియన్ మరియు అమెరికన్ పైలట్లు వారిని ఆరాధిస్తారు. ""[1] బెర్ట్రాండ్ నుండి డేటా [1] సాధారణ లక్షణాల పనితీరు")</f>
        <v>వాయుమార్గాన రెడ్‌బ్యాక్ అనేది ఆస్ట్రేలియన్ రెండు-సీట్ల ఫ్లయింగ్ వింగ్ అల్ట్రాలైట్ ట్రైక్, ఇది వాయుమార్గాన విండ్‌స్పోర్ట్స్ చేత రూపొందించబడింది మరియు ఉత్పత్తి చేస్తుంది. [1] ఈ విమానం స్థానిక ఆస్ట్రేలియన్ రెడ్‌బ్యాక్ స్పైడర్ కోసం పేరు పెట్టబడింది. [1]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401 కిలోలు (884 పౌండ్లు). ఇది కేబుల్-బ్రేస్డ్ హాంగ్ గ్లైడర్-స్టైల్ హై-వింగ్, వెయిట్-షిఫ్ట్ కంట్రోల్స్, రెండు-సీట్ల-టెన్డం ఓపెన్ కాక్‌పిట్, ట్రైసైకిల్ ల్యాండింగ్ గేర్ మరియు పషర్ కాన్ఫిగరేషన్‌లో ఒకే ఇంజిన్ కలిగి ఉంది. [1] విమానం యొక్క విజార్డ్ మోడల్ వింగ్ బోల్ట్-కలిసి అల్యూమినియం గొట్టాల నుండి తయారవుతుంది, దాని సింగిల్ ఉపరితలం డాక్రాన్ సెయిల్‌క్లాత్‌లో కప్పబడి ఉంటుంది. దీని 9.96 మీ (32.7 అడుగులు) స్పాన్ వింగ్‌కు ఒకే ట్యూబ్-రకం కింగ్‌పోస్ట్ మద్దతు ఇస్తుంది మరియు "ఎ" ఫ్రేమ్ కంట్రోల్ బార్‌ను ఉపయోగిస్తుంది. ప్రామాణిక పవర్‌ప్లాంట్ 37 kW (50 HP) రోటాక్స్ 503 ట్విన్ సిలిండర్, ఎయిర్-కూల్డ్, టూ-స్ట్రోక్ ఎయిర్‌క్రాఫ్ట్ ఇంజిన్. [1] ప్రవేశపెట్టినప్పుడు రెడ్‌బ్యాక్ ఒకే కాన్ఫిగరేషన్ మోడల్, కాక్‌పిట్ ఫెయిరింగ్ మరియు ఎంపికలు అందుబాటులో లేవు. 2012 లో మోడల్ అభివృద్ధి చెందింది మరియు టండ్రా టైర్లు, తీసుకోవడం మరియు ఎగ్జాస్ట్ సైలెన్సర్, ట్రైనింగ్ బార్స్ మరియు ఏరో-టౌ వ్యవస్థను ఐచ్ఛిక పరికరాలుగా అందిస్తుంది. [1] [2] సమీక్షకులు నోయెల్ బెర్ట్రాండ్ మరియు ఇతరులు, 2003 లో నో-ఆప్షన్స్ విధానం గురించి వ్రాస్తూ, "రెడ్ బ్యాక్ ఒక కాన్ఫిగరేషన్‌లో మాత్రమే ఎంపికలు లేకుండా ఉంది-ఈ ఆస్ట్రేలియన్ తయారీదారు తీసుకున్న తెలివైన చర్య యొక్క కోర్సు చాలా పూర్తి స్పెసిఫికేషన్ ద్వారా సాధ్యమైంది .. సరైన పదార్థాలన్నీ ఉన్నాయి; ఆస్ట్రేలియన్ మరియు అమెరికన్ పైలట్లు వారిని ఆరాధిస్తారు. "[1] బెర్ట్రాండ్ నుండి డేటా [1] సాధారణ లక్షణాల పనితీరు</v>
      </c>
      <c r="F5" s="1" t="s">
        <v>184</v>
      </c>
      <c r="G5" s="1" t="str">
        <f>IFERROR(__xludf.DUMMYFUNCTION("GOOGLETRANSLATE(F:F, ""en"", ""te"")"),"అల్ట్రాలైట్ ట్రైక్")</f>
        <v>అల్ట్రాలైట్ ట్రైక్</v>
      </c>
      <c r="H5" s="1" t="s">
        <v>185</v>
      </c>
      <c r="I5" s="1" t="s">
        <v>175</v>
      </c>
      <c r="J5" s="1" t="str">
        <f>IFERROR(__xludf.DUMMYFUNCTION("GOOGLETRANSLATE(I:I, ""en"", ""te"")"),"ఆస్ట్రేలియా")</f>
        <v>ఆస్ట్రేలియా</v>
      </c>
      <c r="L5" s="1" t="s">
        <v>177</v>
      </c>
      <c r="M5" s="1" t="str">
        <f>IFERROR(__xludf.DUMMYFUNCTION("GOOGLETRANSLATE(L:L, ""en"", ""te"")"),"వాయుమార్గాన విండ్‌స్పోర్ట్స్")</f>
        <v>వాయుమార్గాన విండ్‌స్పోర్ట్స్</v>
      </c>
      <c r="N5" s="1" t="s">
        <v>178</v>
      </c>
      <c r="O5" s="1" t="s">
        <v>179</v>
      </c>
      <c r="P5" s="1" t="str">
        <f>IFERROR(__xludf.DUMMYFUNCTION("GOOGLETRANSLATE(O:O, ""en"", ""te"")"),"ఉత్పత్తిలో")</f>
        <v>ఉత్పత్తిలో</v>
      </c>
      <c r="R5" s="1" t="s">
        <v>132</v>
      </c>
      <c r="S5" s="1" t="s">
        <v>133</v>
      </c>
      <c r="T5" s="1" t="s">
        <v>134</v>
      </c>
      <c r="V5" s="1" t="s">
        <v>186</v>
      </c>
      <c r="W5" s="1" t="s">
        <v>187</v>
      </c>
      <c r="X5" s="1" t="s">
        <v>188</v>
      </c>
      <c r="Y5" s="1" t="s">
        <v>189</v>
      </c>
      <c r="Z5" s="1" t="s">
        <v>190</v>
      </c>
      <c r="AA5" s="1" t="s">
        <v>191</v>
      </c>
      <c r="AC5" s="1" t="s">
        <v>192</v>
      </c>
      <c r="AD5" s="1" t="s">
        <v>193</v>
      </c>
      <c r="AF5" s="1" t="s">
        <v>194</v>
      </c>
      <c r="AP5" s="1" t="s">
        <v>195</v>
      </c>
    </row>
    <row r="6">
      <c r="A6" s="1" t="s">
        <v>196</v>
      </c>
      <c r="B6" s="1" t="str">
        <f>IFERROR(__xludf.DUMMYFUNCTION("GOOGLETRANSLATE(A:A, ""en"", ""te"")"),"ఎయిర్ రూమ్ బ్లెరియోట్")</f>
        <v>ఎయిర్ రూమ్ బ్లెరియోట్</v>
      </c>
      <c r="C6" s="1" t="s">
        <v>197</v>
      </c>
      <c r="D6" s="1" t="str">
        <f>IFERROR(__xludf.DUMMYFUNCTION("GOOGLETRANSLATE(C:C, ""en"", ""te"")"),"ఎయిర్‌డ్రోమ్ బ్లెరియోట్ మోడల్ XI, దీనిని ఎయిర్‌డ్రోమ్ బ్లెరియోట్ XI అని కూడా పిలుస్తారు, ఇది ఒక అమెరికన్ te త్సాహిక-నిర్మిత విమానం, ఇది మిస్సౌరీలోని హోల్డెన్ యొక్క ఎయిర్‌డ్రోమ్ విమానాల ద్వారా రూపొందించబడింది మరియు ఉత్పత్తి చేయబడింది. ఈ విమానం te త్సాహిక న"&amp;"ిర్మాణానికి కిట్‌గా సరఫరా చేయబడుతుంది. [1] ఈ విమానం ఫ్రెంచ్ బ్లెరియోట్ XI 1909 మార్గదర్శక విమానం యొక్క పూర్తి స్థాయి లేదా 3/4 ప్రతిరూపంగా లభిస్తుంది, ఇది లూయిస్ బ్లెరియోట్ చేత రూపొందించబడింది మరియు 25 జూలై 1909 న ఇంగ్లీష్ ఛానల్ మీదుగా ప్రయాణించడానికి ఉపయో"&amp;"గించబడింది. ప్రతిరూపం ఆధునిక పదార్థాల నుండి నిర్మించబడింది మరియు శక్తితో ఉంటుంది ఆధునిక ఇంజిన్ల ద్వారా. [1] ఎయిర్‌డ్రోమ్ బ్లెరియోట్ మోడల్ XI లో కేబుల్-బ్రెస్డ్ మోనోప్లేన్ లేఅవుట్, సింగిల్-సీట్ల ఓపెన్ కాక్‌పిట్, స్థిర సాంప్రదాయ ల్యాండింగ్ గేర్ మరియు ట్రాక్"&amp;"టర్ కాన్ఫిగరేషన్‌లో ఒకే ఇంజిన్ ఉన్నాయి. [1] ఈ విమానం ఉక్కు మరియు అల్యూమినియం నుండి తయారవుతుంది, దాని ఎగిరే ఉపరితలాలు డోప్డ్ ఎయిర్క్రాఫ్ట్ ఫాబ్రిక్‌లో కప్పబడి ఉంటాయి. పూర్తి స్థాయి ఎయిర్‌డ్రోమ్ బ్లెరియోట్ మోడల్ XI లో రెక్కలు 28.6 అడుగులు (8.7 మీ) మరియు 187"&amp;" చదరపు అడుగుల (17.4 మీ 2) రెక్క ప్రాంతం ఉన్నాయి. పూర్తి-స్థాయి సంస్కరణలో ఉపయోగించే ప్రామాణిక ఇంజిన్ 110 HP (82 kW) నాలుగు స్ట్రోక్ రోటెక్ R2800 రేడియల్ ఇంజిన్, 3/4 స్కేల్ వెర్షన్ వోక్స్వ్యాగన్ ఎయిర్-కూల్డ్ ఇంజిన్‌ను ఉపయోగిస్తుంది. ఫ్యాక్టరీ-సరఫరా చేసిన పూ"&amp;"ర్తి స్థాయి కిట్ నుండి భవనం సమయం తయారీదారు 375 గంటలు అంచనా వేయబడింది. [1] [2] పూర్తి స్థాయి మరియు ఒక 3/4 కిట్ యొక్క మూడు ఉదాహరణలు డిసెంబర్ 2011 నాటికి పూర్తయ్యాయి. [1] కిట్‌ప్లాన్‌ల నుండి డేటా [1] సాధారణ లక్షణాల పనితీరు")</f>
        <v>ఎయిర్‌డ్రోమ్ బ్లెరియోట్ మోడల్ XI, దీనిని ఎయిర్‌డ్రోమ్ బ్లెరియోట్ XI అని కూడా పిలుస్తారు, ఇది ఒక అమెరికన్ te త్సాహిక-నిర్మిత విమానం, ఇది మిస్సౌరీలోని హోల్డెన్ యొక్క ఎయిర్‌డ్రోమ్ విమానాల ద్వారా రూపొందించబడింది మరియు ఉత్పత్తి చేయబడింది. ఈ విమానం te త్సాహిక నిర్మాణానికి కిట్‌గా సరఫరా చేయబడుతుంది. [1] ఈ విమానం ఫ్రెంచ్ బ్లెరియోట్ XI 1909 మార్గదర్శక విమానం యొక్క పూర్తి స్థాయి లేదా 3/4 ప్రతిరూపంగా లభిస్తుంది, ఇది లూయిస్ బ్లెరియోట్ చేత రూపొందించబడింది మరియు 25 జూలై 1909 న ఇంగ్లీష్ ఛానల్ మీదుగా ప్రయాణించడానికి ఉపయోగించబడింది. ప్రతిరూపం ఆధునిక పదార్థాల నుండి నిర్మించబడింది మరియు శక్తితో ఉంటుంది ఆధునిక ఇంజిన్ల ద్వారా. [1] ఎయిర్‌డ్రోమ్ బ్లెరియోట్ మోడల్ XI లో కేబుల్-బ్రెస్డ్ మోనోప్లేన్ లేఅవుట్, సింగిల్-సీట్ల ఓపెన్ కాక్‌పిట్, స్థిర సాంప్రదాయ ల్యాండింగ్ గేర్ మరియు ట్రాక్టర్ కాన్ఫిగరేషన్‌లో ఒకే ఇంజిన్ ఉన్నాయి. [1] ఈ విమానం ఉక్కు మరియు అల్యూమినియం నుండి తయారవుతుంది, దాని ఎగిరే ఉపరితలాలు డోప్డ్ ఎయిర్క్రాఫ్ట్ ఫాబ్రిక్‌లో కప్పబడి ఉంటాయి. పూర్తి స్థాయి ఎయిర్‌డ్రోమ్ బ్లెరియోట్ మోడల్ XI లో రెక్కలు 28.6 అడుగులు (8.7 మీ) మరియు 187 చదరపు అడుగుల (17.4 మీ 2) రెక్క ప్రాంతం ఉన్నాయి. పూర్తి-స్థాయి సంస్కరణలో ఉపయోగించే ప్రామాణిక ఇంజిన్ 110 HP (82 kW) నాలుగు స్ట్రోక్ రోటెక్ R2800 రేడియల్ ఇంజిన్, 3/4 స్కేల్ వెర్షన్ వోక్స్వ్యాగన్ ఎయిర్-కూల్డ్ ఇంజిన్‌ను ఉపయోగిస్తుంది. ఫ్యాక్టరీ-సరఫరా చేసిన పూర్తి స్థాయి కిట్ నుండి భవనం సమయం తయారీదారు 375 గంటలు అంచనా వేయబడింది. [1] [2] పూర్తి స్థాయి మరియు ఒక 3/4 కిట్ యొక్క మూడు ఉదాహరణలు డిసెంబర్ 2011 నాటికి పూర్తయ్యాయి. [1] కిట్‌ప్లాన్‌ల నుండి డేటా [1] సాధారణ లక్షణాల పనితీరు</v>
      </c>
      <c r="F6" s="1" t="s">
        <v>125</v>
      </c>
      <c r="G6" s="1" t="str">
        <f>IFERROR(__xludf.DUMMYFUNCTION("GOOGLETRANSLATE(F:F, ""en"", ""te"")"),"Te త్సాహిక నిర్మించిన విమానం")</f>
        <v>Te త్సాహిక నిర్మించిన విమానం</v>
      </c>
      <c r="H6" s="1" t="s">
        <v>126</v>
      </c>
      <c r="I6" s="1" t="s">
        <v>127</v>
      </c>
      <c r="J6" s="1" t="str">
        <f>IFERROR(__xludf.DUMMYFUNCTION("GOOGLETRANSLATE(I:I, ""en"", ""te"")"),"సంయుక్త రాష్ట్రాలు")</f>
        <v>సంయుక్త రాష్ట్రాలు</v>
      </c>
      <c r="K6" s="1" t="s">
        <v>128</v>
      </c>
      <c r="L6" s="1" t="s">
        <v>198</v>
      </c>
      <c r="M6" s="1" t="str">
        <f>IFERROR(__xludf.DUMMYFUNCTION("GOOGLETRANSLATE(L:L, ""en"", ""te"")"),"ఎయిర్‌డ్రోమ్ విమానాలు")</f>
        <v>ఎయిర్‌డ్రోమ్ విమానాలు</v>
      </c>
      <c r="N6" s="1" t="s">
        <v>199</v>
      </c>
      <c r="O6" s="1" t="s">
        <v>131</v>
      </c>
      <c r="P6" s="1" t="str">
        <f>IFERROR(__xludf.DUMMYFUNCTION("GOOGLETRANSLATE(O:O, ""en"", ""te"")"),"ఉత్పత్తిలో (2011)")</f>
        <v>ఉత్పత్తిలో (2011)</v>
      </c>
      <c r="Q6" s="1" t="s">
        <v>200</v>
      </c>
      <c r="S6" s="1" t="s">
        <v>133</v>
      </c>
      <c r="V6" s="1" t="s">
        <v>201</v>
      </c>
      <c r="W6" s="1" t="s">
        <v>202</v>
      </c>
      <c r="X6" s="1" t="s">
        <v>203</v>
      </c>
      <c r="Y6" s="1" t="s">
        <v>204</v>
      </c>
      <c r="Z6" s="1" t="s">
        <v>205</v>
      </c>
      <c r="AA6" s="1" t="s">
        <v>206</v>
      </c>
      <c r="AB6" s="1" t="s">
        <v>207</v>
      </c>
      <c r="AC6" s="1" t="s">
        <v>208</v>
      </c>
      <c r="AD6" s="1" t="s">
        <v>209</v>
      </c>
      <c r="AE6" s="1" t="s">
        <v>210</v>
      </c>
      <c r="AF6" s="1" t="s">
        <v>211</v>
      </c>
      <c r="AG6" s="1" t="s">
        <v>212</v>
      </c>
      <c r="AT6" s="1" t="s">
        <v>213</v>
      </c>
      <c r="AU6" s="1" t="s">
        <v>214</v>
      </c>
    </row>
    <row r="7">
      <c r="A7" s="1" t="s">
        <v>215</v>
      </c>
      <c r="B7" s="1" t="str">
        <f>IFERROR(__xludf.DUMMYFUNCTION("GOOGLETRANSLATE(A:A, ""en"", ""te"")"),"ఆల్పి సిటన్ ఆహ్ 130")</f>
        <v>ఆల్పి సిటన్ ఆహ్ 130</v>
      </c>
      <c r="C7" s="1" t="s">
        <v>216</v>
      </c>
      <c r="D7" s="1" t="str">
        <f>IFERROR(__xludf.DUMMYFUNCTION("GOOGLETRANSLATE(C:C, ""en"", ""te"")"),"ఆల్పి సిటన్ ఆహ్ 130 అనేది ఇటాలియన్ హెలికాప్టర్, ఇది రోటర్‌వే ఎగ్జిక్యూటివ్ నుండి అభివృద్ధి చేయబడింది మరియు పోర్డెనోన్ యొక్క ఆల్పి ఏవియేషన్ చేత ఉత్పత్తి చేయబడుతుంది. [1] రోటర్‌వే ఎక్సెక్‌ని 1996 లో ఇటలీకి చెందిన అవియోటెక్నికా చేత టర్బైన్-శక్తితో పనిచేసే సం"&amp;"స్కరణగా అభివృద్ధి చేయబడింది మరియు అవియోటెక్నికా ES-101 రావెన్‌గా విక్రయించబడింది. 2008 లో రావెన్ డిజైన్‌ను ఆల్పిఐ స్వాధీనం చేసుకుంది మరియు మరింత అభివృద్ధి చెందింది. [1] AH 130 బాహ్యంగా రోటర్‌వే ఎగ్జిక్యూటివ్‌ను పోలి ఉంటుంది. ఇది సింగిల్ మెయిన్ రోటర్, రెండ"&amp;"ు-సీట్ల సైడ్-బై-సైడ్ కాన్ఫిగరేషన్ పరివేష్టిత కాక్‌పిట్, స్కిడ్-టైప్ ల్యాండింగ్ గేర్ మరియు 130 హెచ్‌పి (97 కిలోవాట్) సోలార్ టి 62 సహాయక శక్తి యూనిట్‌ను టర్బోషాఫ్ట్ ఇంజిన్‌గా ఉపయోగిస్తున్నారు. దీని 7.63 మీ (25.0 అడుగులు) వ్యాసం రెండు-బ్లేడెడ్ రోటర్ 20 సెం.మ"&amp;"ీ (7.9 అంగుళాలు) తీగను కలిగి ఉంటుంది. ఈ విమానం ఖాళీ బరువు 290 కిలోలు (639 పౌండ్లు) మరియు స్థూల బరువు 580 కిలోలు (1,279 పౌండ్లు), ఇది 290 కిలోల (639 పౌండ్లు) ఉపయోగకరమైన లోడ్‌ను ఇస్తుంది. 90 లీటర్ల పూర్తి ఇంధనంతో (20 ఇంప్ గల్; 24 యుఎస్ గాల్) పేలోడ్ 225 కిలో"&amp;"లు (496 ఎల్బి). [1] బేయర్ల్ మరియు ఆల్పి ఏవియేషన్ నుండి డేటా [1] [2] సాధారణ లక్షణాల పనితీరు")</f>
        <v>ఆల్పి సిటన్ ఆహ్ 130 అనేది ఇటాలియన్ హెలికాప్టర్, ఇది రోటర్‌వే ఎగ్జిక్యూటివ్ నుండి అభివృద్ధి చేయబడింది మరియు పోర్డెనోన్ యొక్క ఆల్పి ఏవియేషన్ చేత ఉత్పత్తి చేయబడుతుంది. [1] రోటర్‌వే ఎక్సెక్‌ని 1996 లో ఇటలీకి చెందిన అవియోటెక్నికా చేత టర్బైన్-శక్తితో పనిచేసే సంస్కరణగా అభివృద్ధి చేయబడింది మరియు అవియోటెక్నికా ES-101 రావెన్‌గా విక్రయించబడింది. 2008 లో రావెన్ డిజైన్‌ను ఆల్పిఐ స్వాధీనం చేసుకుంది మరియు మరింత అభివృద్ధి చెందింది. [1] AH 130 బాహ్యంగా రోటర్‌వే ఎగ్జిక్యూటివ్‌ను పోలి ఉంటుంది. ఇది సింగిల్ మెయిన్ రోటర్, రెండు-సీట్ల సైడ్-బై-సైడ్ కాన్ఫిగరేషన్ పరివేష్టిత కాక్‌పిట్, స్కిడ్-టైప్ ల్యాండింగ్ గేర్ మరియు 130 హెచ్‌పి (97 కిలోవాట్) సోలార్ టి 62 సహాయక శక్తి యూనిట్‌ను టర్బోషాఫ్ట్ ఇంజిన్‌గా ఉపయోగిస్తున్నారు. దీని 7.63 మీ (25.0 అడుగులు) వ్యాసం రెండు-బ్లేడెడ్ రోటర్ 20 సెం.మీ (7.9 అంగుళాలు) తీగను కలిగి ఉంటుంది. ఈ విమానం ఖాళీ బరువు 290 కిలోలు (639 పౌండ్లు) మరియు స్థూల బరువు 580 కిలోలు (1,279 పౌండ్లు), ఇది 290 కిలోల (639 పౌండ్లు) ఉపయోగకరమైన లోడ్‌ను ఇస్తుంది. 90 లీటర్ల పూర్తి ఇంధనంతో (20 ఇంప్ గల్; 24 యుఎస్ గాల్) పేలోడ్ 225 కిలోలు (496 ఎల్బి). [1] బేయర్ల్ మరియు ఆల్పి ఏవియేషన్ నుండి డేటా [1] [2] సాధారణ లక్షణాల పనితీరు</v>
      </c>
      <c r="E7" s="1" t="s">
        <v>217</v>
      </c>
      <c r="F7" s="1" t="s">
        <v>218</v>
      </c>
      <c r="G7" s="1" t="str">
        <f>IFERROR(__xludf.DUMMYFUNCTION("GOOGLETRANSLATE(F:F, ""en"", ""te"")"),"హెలికాప్టర్")</f>
        <v>హెలికాప్టర్</v>
      </c>
      <c r="H7" s="3" t="s">
        <v>219</v>
      </c>
      <c r="I7" s="1" t="s">
        <v>220</v>
      </c>
      <c r="J7" s="1" t="str">
        <f>IFERROR(__xludf.DUMMYFUNCTION("GOOGLETRANSLATE(I:I, ""en"", ""te"")"),"ఇటలీ")</f>
        <v>ఇటలీ</v>
      </c>
      <c r="K7" s="3" t="s">
        <v>221</v>
      </c>
      <c r="L7" s="1" t="s">
        <v>222</v>
      </c>
      <c r="M7" s="1" t="str">
        <f>IFERROR(__xludf.DUMMYFUNCTION("GOOGLETRANSLATE(L:L, ""en"", ""te"")"),"ఆల్పి ఏవియేషన్")</f>
        <v>ఆల్పి ఏవియేషన్</v>
      </c>
      <c r="N7" s="1" t="s">
        <v>223</v>
      </c>
      <c r="O7" s="1" t="s">
        <v>224</v>
      </c>
      <c r="P7" s="1" t="str">
        <f>IFERROR(__xludf.DUMMYFUNCTION("GOOGLETRANSLATE(O:O, ""en"", ""te"")"),"ఉత్పత్తిలో (2013)")</f>
        <v>ఉత్పత్తిలో (2013)</v>
      </c>
      <c r="S7" s="1" t="s">
        <v>133</v>
      </c>
      <c r="T7" s="1" t="s">
        <v>134</v>
      </c>
      <c r="U7" s="1" t="s">
        <v>225</v>
      </c>
      <c r="X7" s="1" t="s">
        <v>226</v>
      </c>
      <c r="Y7" s="1" t="s">
        <v>227</v>
      </c>
      <c r="Z7" s="1" t="s">
        <v>228</v>
      </c>
      <c r="AA7" s="1" t="s">
        <v>229</v>
      </c>
      <c r="AC7" s="1" t="s">
        <v>230</v>
      </c>
      <c r="AE7" s="1" t="s">
        <v>231</v>
      </c>
      <c r="AF7" s="1" t="s">
        <v>232</v>
      </c>
      <c r="AK7" s="1">
        <v>2008.0</v>
      </c>
      <c r="AM7" s="1" t="s">
        <v>233</v>
      </c>
      <c r="AO7" s="1" t="s">
        <v>234</v>
      </c>
      <c r="AP7" s="1" t="s">
        <v>235</v>
      </c>
      <c r="AR7" s="1" t="s">
        <v>236</v>
      </c>
      <c r="AT7" s="1" t="s">
        <v>237</v>
      </c>
      <c r="AU7" s="1" t="s">
        <v>238</v>
      </c>
      <c r="AV7" s="1" t="s">
        <v>239</v>
      </c>
      <c r="AW7" s="1" t="s">
        <v>240</v>
      </c>
    </row>
    <row r="8">
      <c r="A8" s="1" t="s">
        <v>241</v>
      </c>
      <c r="B8" s="1" t="str">
        <f>IFERROR(__xludf.DUMMYFUNCTION("GOOGLETRANSLATE(A:A, ""en"", ""te"")"),"ఐరో 1")</f>
        <v>ఐరో 1</v>
      </c>
      <c r="C8" s="1" t="s">
        <v>242</v>
      </c>
      <c r="D8" s="1" t="str">
        <f>IFERROR(__xludf.DUMMYFUNCTION("GOOGLETRANSLATE(C:C, ""en"", ""te"")"),"ఐరో 1 అనేది యునైటెడ్ అరబ్ ఎమిరేట్స్ అల్ట్రాలైట్ మరియు లైట్-స్పోర్ట్ విమానాలు విమానం పూర్తి రెడీ-టు-ఫ్లై-ఎయిర్‌క్రాఫ్ట్‌గా సరఫరా చేయబడుతుంది. [1] [2] ఈ విమానం ఇటాలియన్ యూరో అలా జెట్‌ఫాక్స్ యొక్క లైసెన్స్ పొందిన అభివృద్ధి మరియు ఇది ఫెడెరేషన్ ఏరోనటిక్ ఇంటర్న"&amp;"ేషనల్ మైక్రోలైట్ రూల్స్ మరియు యుఎస్ లైట్-స్పోర్ట్ విమానాల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ఇంజ"&amp;"ిన్ కలిగి ఉంది. ఇది 2008 లో యుఎస్ ఎల్‌ఎస్‌ఎగా అంగీకరించబడిందని కంపెనీ పేర్కొంది, అయితే ఇది అధికారిక ఫెడరల్ ఏవియేషన్ అడ్మినిస్ట్రేషన్ 2016 ఎస్-ఎల్‌ఎస్‌ఎల జాబితాలో కనిపించలేదు. [1] [2] [3] [4] [5] ఈ విమానం బోల్ట్-కలిసి అల్యూమినియం గొట్టాల నుండి తయారవుతుంది,"&amp;" దాని ఎగిరే ఉపరితలాలు డోప్డ్ ఎయిర్క్రాఫ్ట్ ఫాబ్రిక్‌లో కప్పబడి ఉంటాయి. దీని 9.78 మీ (32.1 అడుగులు) స్పాన్ వింగ్ వి-స్ట్రట్స్ మరియు జ్యూరీ స్ట్రట్‌లను ఉపయోగిస్తుంది. ప్రామాణిక ఇంజన్లు 80 హెచ్‌పి (60 కిలోవాట్ల) రోటాక్స్ 912 ఎల్ మరియు 100 హెచ్‌పి (75 కిలోవాట"&amp;"్) రోటాక్స్ 912లు నాలుగు-స్ట్రోక్ పవర్‌ప్లాంట్లు. ఇంజిన్ ప్రధాన కీల్ ట్యూబ్‌లో అమర్చబడి, తోక నుండి ఇంజిన్ వరకు నడుస్తుంది, కాక్‌పిట్ పైన ఇంజిన్‌ను మౌంట్ చేస్తుంది. [1] [2] బేయర్ల్ మరియు టాక్ నుండి డేటా [1] [2] సాధారణ లక్షణాల పనితీరు")</f>
        <v>ఐరో 1 అనేది యునైటెడ్ అరబ్ ఎమిరేట్స్ అల్ట్రాలైట్ మరియు లైట్-స్పోర్ట్ విమానాలు విమానం పూర్తి రెడీ-టు-ఫ్లై-ఎయిర్‌క్రాఫ్ట్‌గా సరఫరా చేయబడుతుంది. [1] [2] ఈ విమానం ఇటాలియన్ యూరో అలా జెట్‌ఫాక్స్ యొక్క లైసెన్స్ పొందిన అభివృద్ధి మరియు ఇది ఫెడెరేషన్ ఏరోనటిక్ ఇంటర్నేషనల్ మైక్రోలైట్ రూల్స్ మరియు యుఎస్ లైట్-స్పోర్ట్ విమానాల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ఇది 2008 లో యుఎస్ ఎల్‌ఎస్‌ఎగా అంగీకరించబడిందని కంపెనీ పేర్కొంది, అయితే ఇది అధికారిక ఫెడరల్ ఏవియేషన్ అడ్మినిస్ట్రేషన్ 2016 ఎస్-ఎల్‌ఎస్‌ఎల జాబితాలో కనిపించలేదు. [1] [2] [3] [4] [5] ఈ విమానం బోల్ట్-కలిసి అల్యూమినియం గొట్టాల నుండి తయారవుతుంది, దాని ఎగిరే ఉపరితలాలు డోప్డ్ ఎయిర్క్రాఫ్ట్ ఫాబ్రిక్‌లో కప్పబడి ఉంటాయి. దీని 9.78 మీ (32.1 అడుగులు) స్పాన్ వింగ్ వి-స్ట్రట్స్ మరియు జ్యూరీ స్ట్రట్‌లను ఉపయోగిస్తుంది. ప్రామాణిక ఇంజన్లు 80 హెచ్‌పి (60 కిలోవాట్ల) రోటాక్స్ 912 ఎల్ మరియు 100 హెచ్‌పి (75 కిలోవాట్) రోటాక్స్ 912లు నాలుగు-స్ట్రోక్ పవర్‌ప్లాంట్లు. ఇంజిన్ ప్రధాన కీల్ ట్యూబ్‌లో అమర్చబడి, తోక నుండి ఇంజిన్ వరకు నడుస్తుంది, కాక్‌పిట్ పైన ఇంజిన్‌ను మౌంట్ చేస్తుంది. [1] [2] బేయర్ల్ మరియు టాక్ నుండి డేటా [1] [2] సాధారణ లక్షణాల పనితీరు</v>
      </c>
      <c r="F8" s="1" t="s">
        <v>243</v>
      </c>
      <c r="G8" s="1" t="str">
        <f>IFERROR(__xludf.DUMMYFUNCTION("GOOGLETRANSLATE(F:F, ""en"", ""te"")"),"అల్ట్రాలైట్ విమానం మరియు లైట్-స్పోర్ట్ విమానం")</f>
        <v>అల్ట్రాలైట్ విమానం మరియు లైట్-స్పోర్ట్ విమానం</v>
      </c>
      <c r="H8" s="1" t="s">
        <v>244</v>
      </c>
      <c r="I8" s="1" t="s">
        <v>245</v>
      </c>
      <c r="J8" s="1" t="str">
        <f>IFERROR(__xludf.DUMMYFUNCTION("GOOGLETRANSLATE(I:I, ""en"", ""te"")"),"యునైటెడ్ అరబ్ ఎమిరేట్స్")</f>
        <v>యునైటెడ్ అరబ్ ఎమిరేట్స్</v>
      </c>
      <c r="K8" s="1" t="s">
        <v>246</v>
      </c>
      <c r="L8" s="1" t="s">
        <v>247</v>
      </c>
      <c r="M8" s="1" t="str">
        <f>IFERROR(__xludf.DUMMYFUNCTION("GOOGLETRANSLATE(L:L, ""en"", ""te"")"),"ఐరో ఏవియేషన్")</f>
        <v>ఐరో ఏవియేషన్</v>
      </c>
      <c r="N8" s="1" t="s">
        <v>248</v>
      </c>
      <c r="O8" s="1" t="s">
        <v>179</v>
      </c>
      <c r="P8" s="1" t="str">
        <f>IFERROR(__xludf.DUMMYFUNCTION("GOOGLETRANSLATE(O:O, ""en"", ""te"")"),"ఉత్పత్తిలో")</f>
        <v>ఉత్పత్తిలో</v>
      </c>
      <c r="S8" s="1" t="s">
        <v>133</v>
      </c>
      <c r="T8" s="1" t="s">
        <v>134</v>
      </c>
      <c r="V8" s="1" t="s">
        <v>249</v>
      </c>
      <c r="W8" s="1" t="s">
        <v>250</v>
      </c>
      <c r="X8" s="1" t="s">
        <v>251</v>
      </c>
      <c r="Y8" s="1" t="s">
        <v>252</v>
      </c>
      <c r="Z8" s="1" t="s">
        <v>253</v>
      </c>
      <c r="AA8" s="1" t="s">
        <v>254</v>
      </c>
      <c r="AB8" s="1" t="s">
        <v>255</v>
      </c>
      <c r="AC8" s="1" t="s">
        <v>256</v>
      </c>
      <c r="AD8" s="1" t="s">
        <v>257</v>
      </c>
      <c r="AF8" s="1" t="s">
        <v>258</v>
      </c>
      <c r="AG8" s="1" t="s">
        <v>259</v>
      </c>
      <c r="AK8" s="1">
        <v>2008.0</v>
      </c>
      <c r="AP8" s="1" t="s">
        <v>260</v>
      </c>
      <c r="AT8" s="1" t="s">
        <v>261</v>
      </c>
      <c r="AU8" s="1" t="s">
        <v>262</v>
      </c>
    </row>
    <row r="9">
      <c r="A9" s="1" t="s">
        <v>263</v>
      </c>
      <c r="B9" s="1" t="str">
        <f>IFERROR(__xludf.DUMMYFUNCTION("GOOGLETRANSLATE(A:A, ""en"", ""te"")"),"ఎయిర్‌బెట్ గిరాబెట్")</f>
        <v>ఎయిర్‌బెట్ గిరాబెట్</v>
      </c>
      <c r="C9" s="1" t="s">
        <v>264</v>
      </c>
      <c r="D9" s="1" t="str">
        <f>IFERROR(__xludf.DUMMYFUNCTION("GOOGLETRANSLATE(C:C, ""en"", ""te"")"),"ఎయిర్‌బెట్ గిరాబెట్ స్పానిష్ ఆటోజిరోస్ యొక్క కుటుంబం, ఇది బార్సిలోనాకు చెందిన ఎయిర్‌బెట్ రూపకల్పన చేసి ఉత్పత్తి చేస్తుంది. అవన్నీ పూర్తి రెడీ-టు-ఫ్లై-ఎయిర్‌క్రాఫ్ట్‌గా సరఫరా చేయబడతాయి. [1] డిజైన్ల యొక్క గిరాబెట్ కుటుంబం అన్నీ ఒకే మెయిన్ రోటర్, ట్రైసైకిల్ "&amp;"ల్యాండింగ్ గేర్ మరియు రోటాక్స్ టూ-స్ట్రోక్ మరియు నాలుగు-స్ట్రోక్ ఇంజన్లను పషర్ కాన్ఫిగరేషన్‌లో అమర్చాయి. విమానం ఫ్యూజ్‌లేజ్ వక్ర ఉక్కు మరియు అల్యూమినియం గొట్టాల నుండి తయారవుతుంది మరియు ఒక క్రూసిఫాం తోకను పెంచుతుంది. అన్ని రోటర్ బ్లేడ్లు మరియు ఇతర డైనమిక్ "&amp;"భాగాలు సంస్థ ఇంటిలో నిర్మించబడ్డాయి. టేక్-ఆఫ్ దూరాలను తగ్గించడానికి అన్ని నమూనాలు ప్రీ-రొటేటర్లకు సరిపోతాయి. [1] బేయర్ల్ నుండి డేటా [1] సాధారణ లక్షణాల పనితీరు")</f>
        <v>ఎయిర్‌బెట్ గిరాబెట్ స్పానిష్ ఆటోజిరోస్ యొక్క కుటుంబం, ఇది బార్సిలోనాకు చెందిన ఎయిర్‌బెట్ రూపకల్పన చేసి ఉత్పత్తి చేస్తుంది. అవన్నీ పూర్తి రెడీ-టు-ఫ్లై-ఎయిర్‌క్రాఫ్ట్‌గా సరఫరా చేయబడతాయి. [1] డిజైన్ల యొక్క గిరాబెట్ కుటుంబం అన్నీ ఒకే మెయిన్ రోటర్, ట్రైసైకిల్ ల్యాండింగ్ గేర్ మరియు రోటాక్స్ టూ-స్ట్రోక్ మరియు నాలుగు-స్ట్రోక్ ఇంజన్లను పషర్ కాన్ఫిగరేషన్‌లో అమర్చాయి. విమానం ఫ్యూజ్‌లేజ్ వక్ర ఉక్కు మరియు అల్యూమినియం గొట్టాల నుండి తయారవుతుంది మరియు ఒక క్రూసిఫాం తోకను పెంచుతుంది. అన్ని రోటర్ బ్లేడ్లు మరియు ఇతర డైనమిక్ భాగాలు సంస్థ ఇంటిలో నిర్మించబడ్డాయి. టేక్-ఆఫ్ దూరాలను తగ్గించడానికి అన్ని నమూనాలు ప్రీ-రొటేటర్లకు సరిపోతాయి. [1] బేయర్ల్ నుండి డేటా [1] సాధారణ లక్షణాల పనితీరు</v>
      </c>
      <c r="E9" s="1" t="s">
        <v>265</v>
      </c>
      <c r="F9" s="1" t="s">
        <v>266</v>
      </c>
      <c r="G9" s="1" t="str">
        <f>IFERROR(__xludf.DUMMYFUNCTION("GOOGLETRANSLATE(F:F, ""en"", ""te"")"),"ఆటోజీరో")</f>
        <v>ఆటోజీరో</v>
      </c>
      <c r="H9" s="3" t="s">
        <v>267</v>
      </c>
      <c r="I9" s="1" t="s">
        <v>268</v>
      </c>
      <c r="J9" s="1" t="str">
        <f>IFERROR(__xludf.DUMMYFUNCTION("GOOGLETRANSLATE(I:I, ""en"", ""te"")"),"స్పెయిన్")</f>
        <v>స్పెయిన్</v>
      </c>
      <c r="K9" s="3" t="s">
        <v>269</v>
      </c>
      <c r="L9" s="1" t="s">
        <v>270</v>
      </c>
      <c r="M9" s="1" t="str">
        <f>IFERROR(__xludf.DUMMYFUNCTION("GOOGLETRANSLATE(L:L, ""en"", ""te"")"),"ఎయిర్బెట్")</f>
        <v>ఎయిర్బెట్</v>
      </c>
      <c r="N9" s="3" t="s">
        <v>271</v>
      </c>
      <c r="O9" s="1" t="s">
        <v>179</v>
      </c>
      <c r="P9" s="1" t="str">
        <f>IFERROR(__xludf.DUMMYFUNCTION("GOOGLETRANSLATE(O:O, ""en"", ""te"")"),"ఉత్పత్తిలో")</f>
        <v>ఉత్పత్తిలో</v>
      </c>
      <c r="R9" s="1" t="s">
        <v>132</v>
      </c>
      <c r="S9" s="1" t="s">
        <v>133</v>
      </c>
      <c r="X9" s="1" t="s">
        <v>272</v>
      </c>
      <c r="Y9" s="1" t="s">
        <v>273</v>
      </c>
      <c r="Z9" s="1" t="s">
        <v>274</v>
      </c>
      <c r="AA9" s="1" t="s">
        <v>275</v>
      </c>
      <c r="AB9" s="1" t="s">
        <v>276</v>
      </c>
      <c r="AC9" s="1" t="s">
        <v>277</v>
      </c>
      <c r="AF9" s="1" t="s">
        <v>278</v>
      </c>
      <c r="AO9" s="1" t="s">
        <v>279</v>
      </c>
      <c r="AP9" s="1" t="s">
        <v>280</v>
      </c>
    </row>
    <row r="10">
      <c r="A10" s="1" t="s">
        <v>281</v>
      </c>
      <c r="B10" s="1" t="str">
        <f>IFERROR(__xludf.DUMMYFUNCTION("GOOGLETRANSLATE(A:A, ""en"", ""te"")"),"వాయుమార్గాన అంచు")</f>
        <v>వాయుమార్గాన అంచు</v>
      </c>
      <c r="C10" s="1" t="s">
        <v>282</v>
      </c>
      <c r="D10" s="1" t="str">
        <f>IFERROR(__xludf.DUMMYFUNCTION("GOOGLETRANSLATE(C:C, ""en"", ""te"")"),"ఎయిర్బోర్న్ ఎడ్జ్ అనేది న్యూ సౌత్ వేల్స్లోని రెడ్ హెడ్ యొక్క వాయుమార్గాన విండ్ స్పోర్ట్స్ చేత రూపొందించబడిన మరియు ఉత్పత్తి చేయబడిన ఆస్ట్రేలియన్ రెండు-సీట్ల అల్ట్రాలైట్ ట్రైక్స్ యొక్క రేఖ. విమానం పూర్తి చేసిన విమానంగా సరఫరా చేయబడుతుంది మరియు కిట్‌గా కాదు. "&amp;"[1] [2] [3] [4] అంచులో కేబుల్-బ్రేస్డ్ హాంగ్ గ్లైడర్-స్టైల్ హై-వింగ్, వెయిట్-షిఫ్ట్ కంట్రోల్స్, సింగిల్-సీట్, ఓపెన్ కాక్‌పిట్, ట్రైసైకిల్ ల్యాండింగ్ గేర్ మరియు పషర్ కాన్ఫిగరేషన్‌లో ఒకే ఇంజిన్ ఉన్నాయి. ఇది అనేక విభిన్న ఉప-మోడళ్లలో ఉత్పత్తి చేయబడింది మరియు "&amp;"దీనిని 2012 లో క్లాసిక్ అని పిలుస్తారు. [1] [2] విమానం వింగ్ బోల్ట్-టుగెథర్ అల్యూమినియం గొట్టాల నుండి తయారవుతుంది, దాని సింగిల్ లేదా ఐచ్ఛికంగా డబుల్ ఉపరితల వింగ్ డాక్రాన్ సెయిల్‌క్లాత్‌లో కప్పబడి ఉంటుంది. దీని 33.3 అడుగుల (10.1 మీ) స్పాన్ వింగ్‌కు ఒకే ట్య"&amp;"ూబ్-రకం కింగ్‌పోస్ట్ మద్దతు ఇస్తుంది మరియు ""ఎ"" ఫ్రేమ్ కంట్రోల్ బార్‌ను ఉపయోగిస్తుంది. ల్యాండింగ్ గేర్ మూడు చక్రాలపై సస్పెన్షన్ కలిగి ఉంది, ప్రధాన గేర్ బంగీ సస్పెండ్ మరియు ముక్కు చక్రం రబ్బరు బ్లాకులతో సస్పెండ్ చేయబడింది. ముక్కు చక్రాల స్టీరింగ్‌లో డంపెన"&amp;"ర్ మరియు డ్రమ్ బ్రేక్‌లు ఉన్నాయి. మెయిన్ వింగ్ సపోర్ట్ మాస్ట్ వింగ్ ఇన్‌స్టాలేషన్‌ను అనుమతించడానికి ముడుచుకుంటుంది. భూమి రవాణా లేదా నిల్వ కోసం విమానం విచ్ఛిన్నం చేయవచ్చు మరియు ఫ్లైట్ కోసం అసెంబ్లీని 30 నిమిషాల్లో సాధించవచ్చు. [1] అంచులో డ్యూయల్ స్టీరింగ్,"&amp;" డ్యూయల్ కంట్రోల్ బార్ ఎక్స్‌టెండర్లు మరియు రెండు థొరెటల్స్ సహా విమాన శిక్షణ కోసం పూర్తి ద్వంద్వ నియంత్రణలు ఉన్నాయి. సరఫరా చేయబడిన ఇంజిన్లలో ట్విన్ సిలిండర్, రెండు-స్ట్రోక్ ఎయిర్-కూల్డ్ 50 హెచ్‌పి (37 కిలోవాట్ ఏనుగు పరిరక్షణ ప్రాజెక్టు యొక్క వైమానిక మద్దత"&amp;"ుతో అంచు పశ్చిమ ఆఫ్రికాలో ఎగురవేయబడింది మరియు అంతరించిపోతున్న ఒరంగుటాన్ జనాభాను పర్యవేక్షించడానికి ఇండోనేషియాలో కూడా ఉపయోగించబడింది. [5] క్లిచ్ నుండి డేటా [1] సాధారణ లక్షణాల పనితీరు")</f>
        <v>ఎయిర్బోర్న్ ఎడ్జ్ అనేది న్యూ సౌత్ వేల్స్లోని రెడ్ హెడ్ యొక్క వాయుమార్గాన విండ్ స్పోర్ట్స్ చేత రూపొందించబడిన మరియు ఉత్పత్తి చేయబడిన ఆస్ట్రేలియన్ రెండు-సీట్ల అల్ట్రాలైట్ ట్రైక్స్ యొక్క రేఖ. విమానం పూర్తి చేసిన విమానంగా సరఫరా చేయబడుతుంది మరియు కిట్‌గా కాదు. [1] [2] [3] [4] అంచులో కేబుల్-బ్రేస్డ్ హాంగ్ గ్లైడర్-స్టైల్ హై-వింగ్, వెయిట్-షిఫ్ట్ కంట్రోల్స్, సింగిల్-సీట్, ఓపెన్ కాక్‌పిట్, ట్రైసైకిల్ ల్యాండింగ్ గేర్ మరియు పషర్ కాన్ఫిగరేషన్‌లో ఒకే ఇంజిన్ ఉన్నాయి. ఇది అనేక విభిన్న ఉప-మోడళ్లలో ఉత్పత్తి చేయబడింది మరియు దీనిని 2012 లో క్లాసిక్ అని పిలుస్తారు. [1] [2] విమానం వింగ్ బోల్ట్-టుగెథర్ అల్యూమినియం గొట్టాల నుండి తయారవుతుంది, దాని సింగిల్ లేదా ఐచ్ఛికంగా డబుల్ ఉపరితల వింగ్ డాక్రాన్ సెయిల్‌క్లాత్‌లో కప్పబడి ఉంటుంది. దీని 33.3 అడుగుల (10.1 మీ) స్పాన్ వింగ్‌కు ఒకే ట్యూబ్-రకం కింగ్‌పోస్ట్ మద్దతు ఇస్తుంది మరియు "ఎ" ఫ్రేమ్ కంట్రోల్ బార్‌ను ఉపయోగిస్తుంది. ల్యాండింగ్ గేర్ మూడు చక్రాలపై సస్పెన్షన్ కలిగి ఉంది, ప్రధాన గేర్ బంగీ సస్పెండ్ మరియు ముక్కు చక్రం రబ్బరు బ్లాకులతో సస్పెండ్ చేయబడింది. ముక్కు చక్రాల స్టీరింగ్‌లో డంపెనర్ మరియు డ్రమ్ బ్రేక్‌లు ఉన్నాయి. మెయిన్ వింగ్ సపోర్ట్ మాస్ట్ వింగ్ ఇన్‌స్టాలేషన్‌ను అనుమతించడానికి ముడుచుకుంటుంది. భూమి రవాణా లేదా నిల్వ కోసం విమానం విచ్ఛిన్నం చేయవచ్చు మరియు ఫ్లైట్ కోసం అసెంబ్లీని 30 నిమిషాల్లో సాధించవచ్చు. [1] అంచులో డ్యూయల్ స్టీరింగ్, డ్యూయల్ కంట్రోల్ బార్ ఎక్స్‌టెండర్లు మరియు రెండు థొరెటల్స్ సహా విమాన శిక్షణ కోసం పూర్తి ద్వంద్వ నియంత్రణలు ఉన్నాయి. సరఫరా చేయబడిన ఇంజిన్లలో ట్విన్ సిలిండర్, రెండు-స్ట్రోక్ ఎయిర్-కూల్డ్ 50 హెచ్‌పి (37 కిలోవాట్ ఏనుగు పరిరక్షణ ప్రాజెక్టు యొక్క వైమానిక మద్దతుతో అంచు పశ్చిమ ఆఫ్రికాలో ఎగురవేయబడింది మరియు అంతరించిపోతున్న ఒరంగుటాన్ జనాభాను పర్యవేక్షించడానికి ఇండోనేషియాలో కూడా ఉపయోగించబడింది. [5] క్లిచ్ నుండి డేటా [1] సాధారణ లక్షణాల పనితీరు</v>
      </c>
      <c r="E10" s="1" t="s">
        <v>283</v>
      </c>
      <c r="F10" s="1" t="s">
        <v>184</v>
      </c>
      <c r="G10" s="1" t="str">
        <f>IFERROR(__xludf.DUMMYFUNCTION("GOOGLETRANSLATE(F:F, ""en"", ""te"")"),"అల్ట్రాలైట్ ట్రైక్")</f>
        <v>అల్ట్రాలైట్ ట్రైక్</v>
      </c>
      <c r="H10" s="1" t="s">
        <v>185</v>
      </c>
      <c r="I10" s="1" t="s">
        <v>175</v>
      </c>
      <c r="J10" s="1" t="str">
        <f>IFERROR(__xludf.DUMMYFUNCTION("GOOGLETRANSLATE(I:I, ""en"", ""te"")"),"ఆస్ట్రేలియా")</f>
        <v>ఆస్ట్రేలియా</v>
      </c>
      <c r="L10" s="1" t="s">
        <v>177</v>
      </c>
      <c r="M10" s="1" t="str">
        <f>IFERROR(__xludf.DUMMYFUNCTION("GOOGLETRANSLATE(L:L, ""en"", ""te"")"),"వాయుమార్గాన విండ్‌స్పోర్ట్స్")</f>
        <v>వాయుమార్గాన విండ్‌స్పోర్ట్స్</v>
      </c>
      <c r="N10" s="1" t="s">
        <v>178</v>
      </c>
      <c r="O10" s="1" t="s">
        <v>179</v>
      </c>
      <c r="P10" s="1" t="str">
        <f>IFERROR(__xludf.DUMMYFUNCTION("GOOGLETRANSLATE(O:O, ""en"", ""te"")"),"ఉత్పత్తిలో")</f>
        <v>ఉత్పత్తిలో</v>
      </c>
      <c r="R10" s="1" t="s">
        <v>132</v>
      </c>
      <c r="S10" s="1" t="s">
        <v>133</v>
      </c>
      <c r="T10" s="1" t="s">
        <v>134</v>
      </c>
      <c r="V10" s="1" t="s">
        <v>284</v>
      </c>
      <c r="X10" s="1" t="s">
        <v>285</v>
      </c>
      <c r="Y10" s="1" t="s">
        <v>286</v>
      </c>
      <c r="Z10" s="1" t="s">
        <v>287</v>
      </c>
      <c r="AA10" s="1" t="s">
        <v>288</v>
      </c>
      <c r="AC10" s="1" t="s">
        <v>289</v>
      </c>
      <c r="AD10" s="1" t="s">
        <v>290</v>
      </c>
      <c r="AF10" s="1" t="s">
        <v>291</v>
      </c>
      <c r="AX10" s="1" t="s">
        <v>292</v>
      </c>
    </row>
    <row r="11">
      <c r="A11" s="1" t="s">
        <v>293</v>
      </c>
      <c r="B11" s="1" t="str">
        <f>IFERROR(__xludf.DUMMYFUNCTION("GOOGLETRANSLATE(A:A, ""en"", ""te"")"),"ఎయిర్‌డ్రోమ్ ఐండెకర్ ఇ-III")</f>
        <v>ఎయిర్‌డ్రోమ్ ఐండెకర్ ఇ-III</v>
      </c>
      <c r="C11" s="1" t="s">
        <v>294</v>
      </c>
      <c r="D11" s="1" t="str">
        <f>IFERROR(__xludf.DUMMYFUNCTION("GOOGLETRANSLATE(C:C, ""en"", ""te"")"),"ఎయిర్‌డ్రోమ్ ఐండెకర్ E-III అనేది సింగిల్-సీట్, మిడ్-వింగ్, సాంప్రదాయ ల్యాండింగ్ గేర్ ఫైటర్ ఎయిర్‌క్రాఫ్ట్ ప్రతిరూపం, కిట్ రూపంలో ఉత్పత్తి చేయబడిన హోల్డెన్, మిస్సౌరీ యొక్క ఎయిర్‌డ్రోమ్ విమానాలు. [1] [3] [3] [4] [5] [ శబ్ధం ఎయిర్‌డ్రోమ్ ఐండెక్కర్ E-III అనేద"&amp;"ి మొదటి ప్రపంచ యుద్ధం ఫోకర్ ఐండెక్కర్ E.III యొక్క 3/4 స్కేల్ ప్రతిరూపం, 1915 వేసవిలో ఫోకర్ శాపం యొక్క కథానాయకుడు, ఒకే సమకాలీకరించబడిన మాగ్జిమ్ మెషిన్ గన్, ఫోకర్ ఇ. III వెస్ట్రన్ ఫ్రంట్‌లో గాలి ఆధిపత్యాన్ని సాధించింది. [1] [2] [3] [4] [5] [7] ప్రతిరూప E-II"&amp;"I విమాన హోమ్‌బిల్డర్‌లకు ప్రతిరూప ఫైటర్‌ను నిర్మించే అవకాశాన్ని కల్పించడానికి రూపొందించబడింది మరియు పైలట్‌కు విజ్ఞప్తి చేయడానికి ఉద్దేశించబడింది, అతను కూడా హిస్టరీ బఫ్. ఈ విమానం యుఎస్ ఫార్ 103 అల్ట్రాలైట్ వెహికల్స్ వర్గానికి సరిపోతుంది మరియు ప్రామాణిక 50 "&amp;"హెచ్‌పి (37 కిలోవాట్) రోటాక్స్ 503 ఇంజిన్‌తో అమర్చినప్పుడు ప్రామాణిక ఖాళీ బరువు 238 ఎల్బి (108 కిలోలు) ఉంటుంది. ఐచ్ఛికంగా 38 హెచ్‌పి (28 కిలోవాట్ సోలో ఫ్లైట్ సోలో 40, రోటాక్స్ 447 మరియు హిర్త్ ఎఫ్ 23 తో సహా కెడబ్ల్యు (40–54 హెచ్‌పి) ను అమర్చవచ్చు. [8] UK "&amp;"రిజిస్టర్‌లో విమానాలకు అమర్చిన ఇతర ఇంజిన్లలో వార్నర్ స్కార్బ్ 145 మరియు కాంటినెంటల్ C85-12 ఉన్నాయి. [9] ఫ్యూజ్‌లేజ్ ప్రీ-వెల్డెడ్ 4130 స్టీల్ ట్యూబ్ నుండి నిర్మించబడింది, అల్యూమినియం గొట్టాలతో పాటు బోల్ట్ మరియు కలిసి రివర్ట్ అవుతుంది. రెక్క సాంప్రదాయ అల్య"&amp;"ూమినియం నిర్మాణం, ఒక చిన్న కింగ్‌పోస్ట్ నుండి వైర్ బ్రేస్ చేయబడింది మరియు మొత్తం విమానం విమానం ఫాబ్రిక్‌తో కప్పబడి ఉంటుంది. వింగ్-వార్పింగ్ ఉపయోగించిన అసలు E-III మాదిరిగా కాకుండా, ప్రతిరూపంలో ఐలెరోన్లు ఉన్నాయి. ల్యాండింగ్ గేర్ బంగీ సస్పెండ్ చేయబడింది. ఇంజ"&amp;"ిన్ కౌలింగ్‌లో షీట్ మెటల్ ర్యాప్-చుట్టూ తిరిగే అల్యూమినియం ముక్కు గిన్నె ఉంటుంది. [1] [5] [7] ఇంజిన్, ప్రొపెల్లర్ మరియు ఇన్స్ట్రుమెంట్స్ మినహా పెయింట్ మరియు ఫాబ్రిక్‌తో సహా కిట్‌లు పూర్తి సరఫరా చేయబడతాయి. గమనించదగినది, కిట్‌లో ప్రతిరూప మెషిన్ గన్ లేదు. ఫ్"&amp;"యాక్టరీ సగటు బిల్డర్ 300 గంటల్లో విమాన కిట్‌ను పూర్తి చేయగలదని అంచనా వేసింది. [1] [5] విమాన కిట్‌ను ""హాక్సా, హ్యాండ్ డ్రిల్, ఫైల్, పాప్ రివెట్ గన్, రెంచెస్ మరియు హ్యాండ్ నికో ప్రెస్ సాధనంతో కూడిన సాధారణ చేతి సాధనాలను ఉపయోగించి విమాన కిట్‌ను సమీకరించవచ్చన"&amp;"ి కంపెనీ పేర్కొంది. నిర్మాణానికి అవసరమైన ప్రాంతం ఒకే కార్ గ్యారేజ్ యొక్క పరిమాణాన్ని కలిగి ఉండాలి "". [[5] ఇరవై ఒకటి ఉదాహరణలు డిసెంబర్ 2011 నాటికి పూర్తయ్యాయి. [6] వీటిలో ఏడు 2019 లో UK రిజిస్టర్‌లో ఉన్నాయి. [9] క్లిచ్, ఏరోక్రాఫ్టర్, కిట్‌ప్లానెస్, ఎయిర్‌"&amp;"డ్రోమ్ విమానాలు [1] [2] [3] [4] [5] సాధారణ లక్షణాల పనితీరు ఆయుధాలు, కాన్ఫిగరేషన్ మరియు యుగం")</f>
        <v>ఎయిర్‌డ్రోమ్ ఐండెకర్ E-III అనేది సింగిల్-సీట్, మిడ్-వింగ్, సాంప్రదాయ ల్యాండింగ్ గేర్ ఫైటర్ ఎయిర్‌క్రాఫ్ట్ ప్రతిరూపం, కిట్ రూపంలో ఉత్పత్తి చేయబడిన హోల్డెన్, మిస్సౌరీ యొక్క ఎయిర్‌డ్రోమ్ విమానాలు. [1] [3] [3] [4] [5] [ శబ్ధం ఎయిర్‌డ్రోమ్ ఐండెక్కర్ E-III అనేది మొదటి ప్రపంచ యుద్ధం ఫోకర్ ఐండెక్కర్ E.III యొక్క 3/4 స్కేల్ ప్రతిరూపం, 1915 వేసవిలో ఫోకర్ శాపం యొక్క కథానాయకుడు, ఒకే సమకాలీకరించబడిన మాగ్జిమ్ మెషిన్ గన్, ఫోకర్ ఇ. III వెస్ట్రన్ ఫ్రంట్‌లో గాలి ఆధిపత్యాన్ని సాధించింది. [1] [2] [3] [4] [5] [7] ప్రతిరూప E-III విమాన హోమ్‌బిల్డర్‌లకు ప్రతిరూప ఫైటర్‌ను నిర్మించే అవకాశాన్ని కల్పించడానికి రూపొందించబడింది మరియు పైలట్‌కు విజ్ఞప్తి చేయడానికి ఉద్దేశించబడింది, అతను కూడా హిస్టరీ బఫ్. ఈ విమానం యుఎస్ ఫార్ 103 అల్ట్రాలైట్ వెహికల్స్ వర్గానికి సరిపోతుంది మరియు ప్రామాణిక 50 హెచ్‌పి (37 కిలోవాట్) రోటాక్స్ 503 ఇంజిన్‌తో అమర్చినప్పుడు ప్రామాణిక ఖాళీ బరువు 238 ఎల్బి (108 కిలోలు) ఉంటుంది. ఐచ్ఛికంగా 38 హెచ్‌పి (28 కిలోవాట్ సోలో ఫ్లైట్ సోలో 40, రోటాక్స్ 447 మరియు హిర్త్ ఎఫ్ 23 తో సహా కెడబ్ల్యు (40–54 హెచ్‌పి) ను అమర్చవచ్చు. [8] UK రిజిస్టర్‌లో విమానాలకు అమర్చిన ఇతర ఇంజిన్లలో వార్నర్ స్కార్బ్ 145 మరియు కాంటినెంటల్ C85-12 ఉన్నాయి. [9] ఫ్యూజ్‌లేజ్ ప్రీ-వెల్డెడ్ 4130 స్టీల్ ట్యూబ్ నుండి నిర్మించబడింది, అల్యూమినియం గొట్టాలతో పాటు బోల్ట్ మరియు కలిసి రివర్ట్ అవుతుంది. రెక్క సాంప్రదాయ అల్యూమినియం నిర్మాణం, ఒక చిన్న కింగ్‌పోస్ట్ నుండి వైర్ బ్రేస్ చేయబడింది మరియు మొత్తం విమానం విమానం ఫాబ్రిక్‌తో కప్పబడి ఉంటుంది. వింగ్-వార్పింగ్ ఉపయోగించిన అసలు E-III మాదిరిగా కాకుండా, ప్రతిరూపంలో ఐలెరోన్లు ఉన్నాయి. ల్యాండింగ్ గేర్ బంగీ సస్పెండ్ చేయబడింది. ఇంజిన్ కౌలింగ్‌లో షీట్ మెటల్ ర్యాప్-చుట్టూ తిరిగే అల్యూమినియం ముక్కు గిన్నె ఉంటుంది. [1] [5] [7] ఇంజిన్, ప్రొపెల్లర్ మరియు ఇన్స్ట్రుమెంట్స్ మినహా పెయింట్ మరియు ఫాబ్రిక్‌తో సహా కిట్‌లు పూర్తి సరఫరా చేయబడతాయి. గమనించదగినది, కిట్‌లో ప్రతిరూప మెషిన్ గన్ లేదు. ఫ్యాక్టరీ సగటు బిల్డర్ 300 గంటల్లో విమాన కిట్‌ను పూర్తి చేయగలదని అంచనా వేసింది. [1] [5] విమాన కిట్‌ను "హాక్సా, హ్యాండ్ డ్రిల్, ఫైల్, పాప్ రివెట్ గన్, రెంచెస్ మరియు హ్యాండ్ నికో ప్రెస్ సాధనంతో కూడిన సాధారణ చేతి సాధనాలను ఉపయోగించి విమాన కిట్‌ను సమీకరించవచ్చని కంపెనీ పేర్కొంది. నిర్మాణానికి అవసరమైన ప్రాంతం ఒకే కార్ గ్యారేజ్ యొక్క పరిమాణాన్ని కలిగి ఉండాలి ". [[5] ఇరవై ఒకటి ఉదాహరణలు డిసెంబర్ 2011 నాటికి పూర్తయ్యాయి. [6] వీటిలో ఏడు 2019 లో UK రిజిస్టర్‌లో ఉన్నాయి. [9] క్లిచ్, ఏరోక్రాఫ్టర్, కిట్‌ప్లానెస్, ఎయిర్‌డ్రోమ్ విమానాలు [1] [2] [3] [4] [5] సాధారణ లక్షణాల పనితీరు ఆయుధాలు, కాన్ఫిగరేషన్ మరియు యుగం</v>
      </c>
      <c r="E11" s="1" t="s">
        <v>295</v>
      </c>
      <c r="F11" s="1" t="s">
        <v>296</v>
      </c>
      <c r="G11" s="1" t="str">
        <f>IFERROR(__xludf.DUMMYFUNCTION("GOOGLETRANSLATE(F:F, ""en"", ""te"")"),"మొదటి ప్రపంచ యుద్ధం ప్రతిరూప పోరాట యోధుడు")</f>
        <v>మొదటి ప్రపంచ యుద్ధం ప్రతిరూప పోరాట యోధుడు</v>
      </c>
      <c r="H11" s="1" t="s">
        <v>297</v>
      </c>
      <c r="I11" s="1" t="s">
        <v>127</v>
      </c>
      <c r="J11" s="1" t="str">
        <f>IFERROR(__xludf.DUMMYFUNCTION("GOOGLETRANSLATE(I:I, ""en"", ""te"")"),"సంయుక్త రాష్ట్రాలు")</f>
        <v>సంయుక్త రాష్ట్రాలు</v>
      </c>
      <c r="K11" s="1" t="s">
        <v>128</v>
      </c>
      <c r="L11" s="1" t="s">
        <v>198</v>
      </c>
      <c r="M11" s="1" t="str">
        <f>IFERROR(__xludf.DUMMYFUNCTION("GOOGLETRANSLATE(L:L, ""en"", ""te"")"),"ఎయిర్‌డ్రోమ్ విమానాలు")</f>
        <v>ఎయిర్‌డ్రోమ్ విమానాలు</v>
      </c>
      <c r="N11" s="1" t="s">
        <v>199</v>
      </c>
      <c r="Q11" s="1" t="s">
        <v>298</v>
      </c>
      <c r="S11" s="1" t="s">
        <v>133</v>
      </c>
      <c r="T11" s="1" t="s">
        <v>299</v>
      </c>
      <c r="U11" s="1" t="s">
        <v>300</v>
      </c>
      <c r="V11" s="1" t="s">
        <v>301</v>
      </c>
      <c r="W11" s="1" t="s">
        <v>302</v>
      </c>
      <c r="X11" s="1" t="s">
        <v>303</v>
      </c>
      <c r="AA11" s="1" t="s">
        <v>304</v>
      </c>
      <c r="AC11" s="1" t="s">
        <v>305</v>
      </c>
      <c r="AD11" s="1" t="s">
        <v>306</v>
      </c>
      <c r="AE11" s="1" t="s">
        <v>307</v>
      </c>
      <c r="AF11" s="1" t="s">
        <v>308</v>
      </c>
      <c r="AG11" s="1" t="s">
        <v>309</v>
      </c>
      <c r="AH11" s="1" t="s">
        <v>310</v>
      </c>
      <c r="AN11" s="1" t="s">
        <v>311</v>
      </c>
      <c r="AP11" s="1" t="s">
        <v>312</v>
      </c>
      <c r="AT11" s="1" t="s">
        <v>313</v>
      </c>
      <c r="AU11" s="1" t="s">
        <v>314</v>
      </c>
      <c r="AY11" s="1" t="s">
        <v>315</v>
      </c>
      <c r="AZ11" s="1" t="s">
        <v>316</v>
      </c>
    </row>
    <row r="12">
      <c r="A12" s="1" t="s">
        <v>317</v>
      </c>
      <c r="B12" s="1" t="str">
        <f>IFERROR(__xludf.DUMMYFUNCTION("GOOGLETRANSLATE(A:A, ""en"", ""te"")"),"అకాఫ్లీగ్ డార్మ్‌స్టాడ్ట్ డి -28 విండ్‌స్పీల్")</f>
        <v>అకాఫ్లీగ్ డార్మ్‌స్టాడ్ట్ డి -28 విండ్‌స్పీల్</v>
      </c>
      <c r="C12" s="1" t="s">
        <v>318</v>
      </c>
      <c r="D12" s="1" t="str">
        <f>IFERROR(__xludf.DUMMYFUNCTION("GOOGLETRANSLATE(C:C, ""en"", ""te"")"),"అకాఫ్లీగ్ డార్మ్‌స్టాడ్ట్ డి -28 విండ్‌స్పీల్ (ఇంగ్లీష్: ఇటాలియన్ గ్రేహౌండ్) 1930 ల ప్రారంభంలో జర్మనీలో రూపొందించిన ఒకే సీటు, అధిక-పనితీరు గల పడవ. థర్మల్ పెరుగుతున్నట్లు పెరుగుతున్న అవగాహనను దోపిడీ చేయడానికి ఉద్దేశించినది, ఇది చిన్నది మరియు మనోహరమైనది, 12"&amp;" మీటర్ల వ్యవధిలో; తేలిక కోసం పట్టుతో కప్పబడినది, దాని పైలట్ల కంటే తక్కువ (ఖాళీ) బరువు ఉంటుంది. ఇది 1934 లో ప్రపంచ సరళ రేఖ రికార్డును కొంతకాలం నిర్వహించింది. డార్మ్‌స్టాడ్ట్ యొక్క సాంకేతిక విశ్వవిద్యాలయం యొక్క అకాడెమిష్ ఫ్లీగర్‌గ్రుప్పే మొదట 1921 లో ఏర్పడి"&amp;"ంది. ఇది వారిలో భాగంగా విమానాలను రూపకల్పన చేసి నిర్మించే ఏరోనాటికల్ విద్యార్థుల సమూహం అధ్యయనాలు మరియు వారి విశ్వవిద్యాలయం యొక్క సహాయం మరియు ప్రోత్సాహంతో. కొండ కోసం దీర్ఘకాలిక, అధిక కారక నిష్పత్తి రెక్కలతో ఆప్టిమైజ్ చేసిన గ్లైడర్‌లతో అవి ప్రారంభమయ్యాయి. 19"&amp;"30 ల ప్రారంభంలో, పాక్షికంగా యుఎస్‌లోని డార్మ్‌స్టాడ్ట్ మస్టర్లే ​​యొక్క అనుభవాల ద్వారా, ""నీలం"" థర్మల్స్ గురించి మంచి అవగాహన ఉంది మరియు డార్మ్‌స్టాడ్ట్ గ్రూప్ ఈ చిన్న, బలహీనమైన ప్రవాహాలను తేలికపాటి, మనోహరమైన విమానాలతో దోపిడీ చేయడానికి ప్రయత్నించింది, అది"&amp;" వాటిలో ఉండగలదు. పెరుగుతున్న నిలువు వరుసలు. ఫలితం D-28 విండ్‌స్పీల్, 12 మీ (39 అడుగుల 4 అంగుళాలు) స్పాన్‌ను కలిపి, ఆ సమయంలో ప్లైవుడ్ మరియు ఫాబ్రిక్ పదార్థాలతో సాధించగలిగే అతి తక్కువ బరువుతో. [2] [3] D-28 అనేది ఎత్తైన, కాంటిలివర్, సింగిల్-స్పార్ వింగ్, అకా"&amp;"ఫ్లీగ్ యొక్క స్థాపించబడిన లేఅవుట్ కలిగిన కలప-ఫ్రేమ్డ్ విమానం. ఇది కొన్సుల్ మరియు డార్మ్‌స్టాడ్ట్‌లలో అకాఫ్లీగ్ ఉపయోగించిన హై-లిఫ్ట్-టు-డ్రాగ్ నిష్పత్తి గుట్టింగెన్ 535 ప్రొఫైల్‌ను ఉపయోగించుకుంది, అయితే డ్రాగ్‌ను తగ్గించడానికి 10% సన్నబడి. ఈ నిర్మాణం అకాఫ్"&amp;"లీగ్ యొక్క మునుపటి చెక్క ఫ్రేమ్‌లు మరియు ఒత్తిడి-బేరింగ్ ప్లైవుడ్ చర్మాన్ని ఫ్యూజ్‌లేజ్ మరియు ఫ్లయింగ్ ఉపరితలాల యొక్క ప్రముఖ అంచులపై, ఫాబ్రిక్ కవరింగ్‌తో ఇతర చోట్ల కప్పబడి, కానీ ఖచ్చితత్వంతో ఎక్కువ శ్రద్ధతో, అనవసరమైన పదార్థాల తొలగింపు మరియు సంశ్లేషణల మీటర"&amp;"ింగ్‌ను అనుసరించింది. వింగ్ లీడింగ్ ఎడ్జ్ ప్లై 1 మిమీ (0.039 అంగుళాలు) మందంగా ఉంది, మరియు ఫ్యూజ్‌లేజ్ లాంగన్స్ లేకుండా నిర్మించబడింది. ప్రామాణిక విమాన నారకు బదులుగా, తేలిక కోసం విండ్‌స్పీల్ పట్టులో కప్పబడి ఉంటుంది. పూర్తయిన విండ్‌స్పీల్ యొక్క ఖాళీ బరువు 5"&amp;"5.5 కిలోలు (112 పౌండ్లు), దాని పైలట్ల కంటే చాలా తక్కువ ఒప్పందం. [2] ప్రణాళికలో, రెక్కను ఎలిప్టికల్ చిట్కాలతో నేరుగా టేప్ చేశారు. వెనుకంజలో ఉన్న అంచు మొత్తం కాంబర్-మారుతున్న ఫ్లాపెరాన్లచే ఆక్రమించబడింది, ఎప్పటిలాగే అనుబంధ స్పార్ కాకుండా, మరొక బరువు ఆదా కొల"&amp;"త కాకుండా ఎంచుకున్న పక్కటెముకలతో జతచేయబడింది. కీలు గ్యాప్ 500 μm (0.02 అంగుళాలు) ప్లై స్ట్రిప్స్‌తో మూసివేయబడింది. రెక్కను అంతకుముందు అకాఫ్లీగ్ సెయిల్ ప్లేన్, ఇరుకైన, ఫెయిర్డ్ పైలాన్ మీద, కాక్‌పిట్ దాని ముందు మరియు ప్రముఖ అంచు కింద ఉంచడం జరిగింది. ముక్కు "&amp;"నుండి పైలాన్ ముందు భాగంలో ఎగువ ఫ్యూజ్‌లేజ్ ఒకే ముక్కలో వేరు చేయగలిగింది, సెల్లోఫేన్ సింగిల్ వక్రత గ్లేజింగ్‌తో పాటు, పైలట్ కాక్‌పిట్‌ను యాక్సెస్ చేయగలడు. విండ్‌స్పీల్ యొక్క ఫ్యూజ్‌లేజ్ క్రాస్ సెక్షన్‌లో సన్నగా మరియు ఓవల్ గా ఉంది, మధ్య విభాగం కింద ఒక చిన్న"&amp;" స్కిడ్ మరియు చిన్న తోక బంపర్ అండర్ క్యారేజీగా ఉంటుంది. క్షితిజ సమాంతర తోక నేరుగా టేపర్డ్ చేయబడింది, టెయిల్‌ప్లేన్ ఫ్యూజ్‌లేజ్ పైభాగానికి పరిష్కరించబడింది మరియు చుక్కాని కదలిక కోసం సెంట్రల్ కటౌట్‌తో ఎలివేటర్లను మోస్తుంది. పొడవైన, సరళమైన అంచుగల చుక్కాని ఒక"&amp;" కదిలేది, కానీ అసాధారణమైన రూపకల్పన, నిలువుగా రెండు విభాగాలుగా విభజించబడింది, ముందు భాగం వెనుక ఉపరితలాన్ని మోస్తుంది. ముందు ఉపరితలం కదిలినప్పుడు, పెద్ద-ఏరియా, లోతైన వెనుక ఉపరితలం మళ్ళీ అదే మొత్తంతో విక్షేపం చెందుతుంది, ఇది కేంబర్డ్ ఉపరితలాన్ని ప్రదర్శిస్తు"&amp;"ంది. కొన్సుల్ మాదిరిగా, చుక్కాని మరియు ఐలెరాన్‌లు యావ్ దిద్దుబాటును తగ్గించడానికి ఒకదానితో ఒకటి అనుసంధానించబడ్డాయి. [2] మొదటి ఫ్లైట్ యొక్క తేదీ అనిశ్చితంగా ఉంది, కాని భవనం 1931-32 శీతాకాలంలో ప్రారంభించడానికి ప్రణాళిక చేయబడింది, [3] మరియు విండ్‌స్పీల్ 1934"&amp;" ప్రారంభంలో రికార్డ్ విమానాలను నిర్వహిస్తోంది. [4] జాగ్రత్తగా నిర్మాణం నెమ్మదిగా ఉన్నందున, 7,000 గంటలు పడుతుంది, [2] 1933 తేదీ ఆమోదయోగ్యమైనది. విమానంలో ఇది చిన్న థర్మల్స్‌లో ఉండటానికి అవసరమైన గట్టి మలుపులను సాధించింది; 25 ° యొక్క బ్యాంక్ కోణంతో మధ్యస్థ స్"&amp;"థాయి మలుపు 80 మీ (260 అడుగులు) వ్యాసార్థ వృత్తాన్ని ఉత్పత్తి చేసింది. [2] 1935 ప్రమాదం మరియు పునర్నిర్మాణం తరువాత, విండ్‌స్పీల్ కొంచెం బరువుగా ఉంది, కానీ పూర్తి-స్పాన్ ఫ్లెపరన్‌లను ఇన్‌బోర్డ్ ఫ్లాప్స్ మరియు అవుట్‌బోర్డ్ ఐలెరాన్‌లుగా విభజించడం మాత్రమే పెద్"&amp;"ద మార్పు. [2] 16 జూన్ 1934 న [గమనికలు 1] హన్స్ ఫిషర్ చేత పైలట్ చేయబడిన విండ్‌స్పియల్, కొత్త వరల్డ్ గ్లైడర్ స్ట్రెయిట్-లైన్ డిస్టెన్స్ రికార్డ్ 240 కిమీ (149 మైళ్ళు) ను గ్రీషీమ్, డార్మ్‌స్టాడ్ట్ నుండి థోన్నేహీమ్, ఫ్రాన్స్‌లో మోంట్మీడీకి విమానంతో సెట్ చేసిం"&amp;"ది. [4] 9 జూన్ 1935 న, లిస్బన్ సమీపంలోని అమాడోరా ఎయిర్‌ఫీల్డ్‌లో ఏరో క్లబ్ డి పోర్చుగల్ నిర్వహించిన విమాన ప్రదర్శన రోజున విండ్‌స్పీల్ యొక్క యుక్తిని ఫిషర్ ప్రదర్శించాడు. గ్లైడర్ ఏరోబాటిక్స్ ఆ సమయంలో ఒక కొత్తదనం. [5] 1935 లో గ్రీషీమ్‌లో డి -28 బి సంభవించిన"&amp;"ందున పునర్నిర్మాణానికి దారితీసిన ఈ ప్రమాదం. డి -28 మైదానంలో ఫిషర్‌తో కలిసి ఒక విమానం గ్లైడర్‌పైకి వచ్చినప్పుడు. ఇది శిధిలమైంది కాని ఫిషర్ గాయాలతో తప్పించుకున్నాడు. సుమారు 12% భారీగా పునర్నిర్మించబడింది, ఇది ఇప్పటికీ మంచి పనితీరును కలిగి ఉంది. హన్స్ ఒసాన్ "&amp;"దీనిని డార్మ్‌స్టాడ్ట్ నుండి నెదర్లాండ్స్‌లోకి ఎగరేశాడు, ఇది 275 కిమీ (171 మైళ్ళు) దూరం. 1937 లో సాల్జ్‌బర్గ్‌లో జరిగిన ఇస్టస్ సమావేశంలో, అతను ఆల్ప్స్ మీదుగా ప్రయాణించే సమూహంలో ఒకడు. [2] తరువాత D-28B సహారాలో థర్మల్ పెరిగేందుకు మార్గదర్శకత్వం వహించిన సెయిల"&amp;"్‌ప్లేన్ల సమూహంలో ఒకటి. ఇది బాగా ఎగిరినప్పటికీ, చాలా తేలికపాటి గ్లైడర్‌తో ఈ ప్రయోగం కొత్త సెయిల్ ప్లేన్ తరగతికి దారితీయలేదు. దీని పనితీరు పెద్ద, పొడవైన-విస్తరించిన విమానాల కంటే గొప్పది కాదు, ఇవి నిర్మించడానికి చౌకగా మరియు గాలిలో మరియు భూమిలో మరింత బలంగా ఉ"&amp;"న్నాయి. [2] సెయిల్ ప్లానేస్ 1920-1945 నుండి డేటా [2] ఫ్లూగ్జీగ్-టైపెన్‌బుచ్. హ్యాండ్‌బచ్ డెర్ డ్యూట్చెన్ లుఫ్ట్‌ఫహార్ట్- ఉండ్ జుబెహర్-ఇండస్ట్రీ 1944 [6] సాధారణ లక్షణాల పనితీరు")</f>
        <v>అకాఫ్లీగ్ డార్మ్‌స్టాడ్ట్ డి -28 విండ్‌స్పీల్ (ఇంగ్లీష్: ఇటాలియన్ గ్రేహౌండ్) 1930 ల ప్రారంభంలో జర్మనీలో రూపొందించిన ఒకే సీటు, అధిక-పనితీరు గల పడవ. థర్మల్ పెరుగుతున్నట్లు పెరుగుతున్న అవగాహనను దోపిడీ చేయడానికి ఉద్దేశించినది, ఇది చిన్నది మరియు మనోహరమైనది, 12 మీటర్ల వ్యవధిలో; తేలిక కోసం పట్టుతో కప్పబడినది, దాని పైలట్ల కంటే తక్కువ (ఖాళీ) బరువు ఉంటుంది. ఇది 1934 లో ప్రపంచ సరళ రేఖ రికార్డును కొంతకాలం నిర్వహించింది. డార్మ్‌స్టాడ్ట్ యొక్క సాంకేతిక విశ్వవిద్యాలయం యొక్క అకాడెమిష్ ఫ్లీగర్‌గ్రుప్పే మొదట 1921 లో ఏర్పడింది. ఇది వారిలో భాగంగా విమానాలను రూపకల్పన చేసి నిర్మించే ఏరోనాటికల్ విద్యార్థుల సమూహం అధ్యయనాలు మరియు వారి విశ్వవిద్యాలయం యొక్క సహాయం మరియు ప్రోత్సాహంతో. కొండ కోసం దీర్ఘకాలిక, అధిక కారక నిష్పత్తి రెక్కలతో ఆప్టిమైజ్ చేసిన గ్లైడర్‌లతో అవి ప్రారంభమయ్యాయి. 1930 ల ప్రారంభంలో, పాక్షికంగా యుఎస్‌లోని డార్మ్‌స్టాడ్ట్ మస్టర్లే ​​యొక్క అనుభవాల ద్వారా, "నీలం" థర్మల్స్ గురించి మంచి అవగాహన ఉంది మరియు డార్మ్‌స్టాడ్ట్ గ్రూప్ ఈ చిన్న, బలహీనమైన ప్రవాహాలను తేలికపాటి, మనోహరమైన విమానాలతో దోపిడీ చేయడానికి ప్రయత్నించింది, అది వాటిలో ఉండగలదు. పెరుగుతున్న నిలువు వరుసలు. ఫలితం D-28 విండ్‌స్పీల్, 12 మీ (39 అడుగుల 4 అంగుళాలు) స్పాన్‌ను కలిపి, ఆ సమయంలో ప్లైవుడ్ మరియు ఫాబ్రిక్ పదార్థాలతో సాధించగలిగే అతి తక్కువ బరువుతో. [2] [3] D-28 అనేది ఎత్తైన, కాంటిలివర్, సింగిల్-స్పార్ వింగ్, అకాఫ్లీగ్ యొక్క స్థాపించబడిన లేఅవుట్ కలిగిన కలప-ఫ్రేమ్డ్ విమానం. ఇది కొన్సుల్ మరియు డార్మ్‌స్టాడ్ట్‌లలో అకాఫ్లీగ్ ఉపయోగించిన హై-లిఫ్ట్-టు-డ్రాగ్ నిష్పత్తి గుట్టింగెన్ 535 ప్రొఫైల్‌ను ఉపయోగించుకుంది, అయితే డ్రాగ్‌ను తగ్గించడానికి 10% సన్నబడి. ఈ నిర్మాణం అకాఫ్లీగ్ యొక్క మునుపటి చెక్క ఫ్రేమ్‌లు మరియు ఒత్తిడి-బేరింగ్ ప్లైవుడ్ చర్మాన్ని ఫ్యూజ్‌లేజ్ మరియు ఫ్లయింగ్ ఉపరితలాల యొక్క ప్రముఖ అంచులపై, ఫాబ్రిక్ కవరింగ్‌తో ఇతర చోట్ల కప్పబడి, కానీ ఖచ్చితత్వంతో ఎక్కువ శ్రద్ధతో, అనవసరమైన పదార్థాల తొలగింపు మరియు సంశ్లేషణల మీటరింగ్‌ను అనుసరించింది. వింగ్ లీడింగ్ ఎడ్జ్ ప్లై 1 మిమీ (0.039 అంగుళాలు) మందంగా ఉంది, మరియు ఫ్యూజ్‌లేజ్ లాంగన్స్ లేకుండా నిర్మించబడింది. ప్రామాణిక విమాన నారకు బదులుగా, తేలిక కోసం విండ్‌స్పీల్ పట్టులో కప్పబడి ఉంటుంది. పూర్తయిన విండ్‌స్పీల్ యొక్క ఖాళీ బరువు 55.5 కిలోలు (112 పౌండ్లు), దాని పైలట్ల కంటే చాలా తక్కువ ఒప్పందం. [2] ప్రణాళికలో, రెక్కను ఎలిప్టికల్ చిట్కాలతో నేరుగా టేప్ చేశారు. వెనుకంజలో ఉన్న అంచు మొత్తం కాంబర్-మారుతున్న ఫ్లాపెరాన్లచే ఆక్రమించబడింది, ఎప్పటిలాగే అనుబంధ స్పార్ కాకుండా, మరొక బరువు ఆదా కొలత కాకుండా ఎంచుకున్న పక్కటెముకలతో జతచేయబడింది. కీలు గ్యాప్ 500 μm (0.02 అంగుళాలు) ప్లై స్ట్రిప్స్‌తో మూసివేయబడింది. రెక్కను అంతకుముందు అకాఫ్లీగ్ సెయిల్ ప్లేన్, ఇరుకైన, ఫెయిర్డ్ పైలాన్ మీద, కాక్‌పిట్ దాని ముందు మరియు ప్రముఖ అంచు కింద ఉంచడం జరిగింది. ముక్కు నుండి పైలాన్ ముందు భాగంలో ఎగువ ఫ్యూజ్‌లేజ్ ఒకే ముక్కలో వేరు చేయగలిగింది, సెల్లోఫేన్ సింగిల్ వక్రత గ్లేజింగ్‌తో పాటు, పైలట్ కాక్‌పిట్‌ను యాక్సెస్ చేయగలడు. విండ్‌స్పీల్ యొక్క ఫ్యూజ్‌లేజ్ క్రాస్ సెక్షన్‌లో సన్నగా మరియు ఓవల్ గా ఉంది, మధ్య విభాగం కింద ఒక చిన్న స్కిడ్ మరియు చిన్న తోక బంపర్ అండర్ క్యారేజీగా ఉంటుంది. క్షితిజ సమాంతర తోక నేరుగా టేపర్డ్ చేయబడింది, టెయిల్‌ప్లేన్ ఫ్యూజ్‌లేజ్ పైభాగానికి పరిష్కరించబడింది మరియు చుక్కాని కదలిక కోసం సెంట్రల్ కటౌట్‌తో ఎలివేటర్లను మోస్తుంది. పొడవైన, సరళమైన అంచుగల చుక్కాని ఒక కదిలేది, కానీ అసాధారణమైన రూపకల్పన, నిలువుగా రెండు విభాగాలుగా విభజించబడింది, ముందు భాగం వెనుక ఉపరితలాన్ని మోస్తుంది. ముందు ఉపరితలం కదిలినప్పుడు, పెద్ద-ఏరియా, లోతైన వెనుక ఉపరితలం మళ్ళీ అదే మొత్తంతో విక్షేపం చెందుతుంది, ఇది కేంబర్డ్ ఉపరితలాన్ని ప్రదర్శిస్తుంది. కొన్సుల్ మాదిరిగా, చుక్కాని మరియు ఐలెరాన్‌లు యావ్ దిద్దుబాటును తగ్గించడానికి ఒకదానితో ఒకటి అనుసంధానించబడ్డాయి. [2] మొదటి ఫ్లైట్ యొక్క తేదీ అనిశ్చితంగా ఉంది, కాని భవనం 1931-32 శీతాకాలంలో ప్రారంభించడానికి ప్రణాళిక చేయబడింది, [3] మరియు విండ్‌స్పీల్ 1934 ప్రారంభంలో రికార్డ్ విమానాలను నిర్వహిస్తోంది. [4] జాగ్రత్తగా నిర్మాణం నెమ్మదిగా ఉన్నందున, 7,000 గంటలు పడుతుంది, [2] 1933 తేదీ ఆమోదయోగ్యమైనది. విమానంలో ఇది చిన్న థర్మల్స్‌లో ఉండటానికి అవసరమైన గట్టి మలుపులను సాధించింది; 25 ° యొక్క బ్యాంక్ కోణంతో మధ్యస్థ స్థాయి మలుపు 80 మీ (260 అడుగులు) వ్యాసార్థ వృత్తాన్ని ఉత్పత్తి చేసింది. [2] 1935 ప్రమాదం మరియు పునర్నిర్మాణం తరువాత, విండ్‌స్పీల్ కొంచెం బరువుగా ఉంది, కానీ పూర్తి-స్పాన్ ఫ్లెపరన్‌లను ఇన్‌బోర్డ్ ఫ్లాప్స్ మరియు అవుట్‌బోర్డ్ ఐలెరాన్‌లుగా విభజించడం మాత్రమే పెద్ద మార్పు. [2] 16 జూన్ 1934 న [గమనికలు 1] హన్స్ ఫిషర్ చేత పైలట్ చేయబడిన విండ్‌స్పియల్, కొత్త వరల్డ్ గ్లైడర్ స్ట్రెయిట్-లైన్ డిస్టెన్స్ రికార్డ్ 240 కిమీ (149 మైళ్ళు) ను గ్రీషీమ్, డార్మ్‌స్టాడ్ట్ నుండి థోన్నేహీమ్, ఫ్రాన్స్‌లో మోంట్మీడీకి విమానంతో సెట్ చేసింది. [4] 9 జూన్ 1935 న, లిస్బన్ సమీపంలోని అమాడోరా ఎయిర్‌ఫీల్డ్‌లో ఏరో క్లబ్ డి పోర్చుగల్ నిర్వహించిన విమాన ప్రదర్శన రోజున విండ్‌స్పీల్ యొక్క యుక్తిని ఫిషర్ ప్రదర్శించాడు. గ్లైడర్ ఏరోబాటిక్స్ ఆ సమయంలో ఒక కొత్తదనం. [5] 1935 లో గ్రీషీమ్‌లో డి -28 బి సంభవించినందున పునర్నిర్మాణానికి దారితీసిన ఈ ప్రమాదం. డి -28 మైదానంలో ఫిషర్‌తో కలిసి ఒక విమానం గ్లైడర్‌పైకి వచ్చినప్పుడు. ఇది శిధిలమైంది కాని ఫిషర్ గాయాలతో తప్పించుకున్నాడు. సుమారు 12% భారీగా పునర్నిర్మించబడింది, ఇది ఇప్పటికీ మంచి పనితీరును కలిగి ఉంది. హన్స్ ఒసాన్ దీనిని డార్మ్‌స్టాడ్ట్ నుండి నెదర్లాండ్స్‌లోకి ఎగరేశాడు, ఇది 275 కిమీ (171 మైళ్ళు) దూరం. 1937 లో సాల్జ్‌బర్గ్‌లో జరిగిన ఇస్టస్ సమావేశంలో, అతను ఆల్ప్స్ మీదుగా ప్రయాణించే సమూహంలో ఒకడు. [2] తరువాత D-28B సహారాలో థర్మల్ పెరిగేందుకు మార్గదర్శకత్వం వహించిన సెయిల్‌ప్లేన్ల సమూహంలో ఒకటి. ఇది బాగా ఎగిరినప్పటికీ, చాలా తేలికపాటి గ్లైడర్‌తో ఈ ప్రయోగం కొత్త సెయిల్ ప్లేన్ తరగతికి దారితీయలేదు. దీని పనితీరు పెద్ద, పొడవైన-విస్తరించిన విమానాల కంటే గొప్పది కాదు, ఇవి నిర్మించడానికి చౌకగా మరియు గాలిలో మరియు భూమిలో మరింత బలంగా ఉన్నాయి. [2] సెయిల్ ప్లానేస్ 1920-1945 నుండి డేటా [2] ఫ్లూగ్జీగ్-టైపెన్‌బుచ్. హ్యాండ్‌బచ్ డెర్ డ్యూట్చెన్ లుఫ్ట్‌ఫహార్ట్- ఉండ్ జుబెహర్-ఇండస్ట్రీ 1944 [6] సాధారణ లక్షణాల పనితీరు</v>
      </c>
      <c r="F12" s="1" t="s">
        <v>319</v>
      </c>
      <c r="G12" s="1" t="str">
        <f>IFERROR(__xludf.DUMMYFUNCTION("GOOGLETRANSLATE(F:F, ""en"", ""te"")"),"సింగిల్-సీట్ గ్లైడర్")</f>
        <v>సింగిల్-సీట్ గ్లైడర్</v>
      </c>
      <c r="H12" s="1" t="s">
        <v>320</v>
      </c>
      <c r="I12" s="1" t="s">
        <v>321</v>
      </c>
      <c r="J12" s="1" t="str">
        <f>IFERROR(__xludf.DUMMYFUNCTION("GOOGLETRANSLATE(I:I, ""en"", ""te"")"),"జర్మనీ")</f>
        <v>జర్మనీ</v>
      </c>
      <c r="K12" s="3" t="s">
        <v>322</v>
      </c>
      <c r="L12" s="1" t="s">
        <v>323</v>
      </c>
      <c r="M12" s="1" t="str">
        <f>IFERROR(__xludf.DUMMYFUNCTION("GOOGLETRANSLATE(L:L, ""en"", ""te"")"),"అకాఫ్లీగ్ డార్మ్‌స్టాడ్ట్")</f>
        <v>అకాఫ్లీగ్ డార్మ్‌స్టాడ్ట్</v>
      </c>
      <c r="N12" s="1" t="s">
        <v>324</v>
      </c>
      <c r="R12" s="1" t="s">
        <v>132</v>
      </c>
      <c r="S12" s="1">
        <v>1.0</v>
      </c>
      <c r="U12" s="1" t="s">
        <v>325</v>
      </c>
      <c r="V12" s="1" t="s">
        <v>326</v>
      </c>
      <c r="W12" s="1" t="s">
        <v>327</v>
      </c>
      <c r="X12" s="1" t="s">
        <v>328</v>
      </c>
      <c r="Y12" s="1" t="s">
        <v>329</v>
      </c>
      <c r="AG12" s="1" t="s">
        <v>330</v>
      </c>
      <c r="AH12" s="1" t="s">
        <v>331</v>
      </c>
      <c r="AJ12" s="4">
        <v>11749.0</v>
      </c>
      <c r="AM12" s="1" t="s">
        <v>332</v>
      </c>
      <c r="AS12" s="1">
        <v>12.63</v>
      </c>
      <c r="BA12" s="1" t="s">
        <v>333</v>
      </c>
      <c r="BB12" s="1" t="s">
        <v>334</v>
      </c>
      <c r="BC12" s="1" t="s">
        <v>335</v>
      </c>
      <c r="BD12" s="1" t="s">
        <v>336</v>
      </c>
      <c r="BE12" s="1">
        <v>23.0</v>
      </c>
      <c r="BF12" s="1" t="s">
        <v>337</v>
      </c>
    </row>
    <row r="13">
      <c r="A13" s="1" t="s">
        <v>338</v>
      </c>
      <c r="B13" s="1" t="str">
        <f>IFERROR(__xludf.DUMMYFUNCTION("GOOGLETRANSLATE(A:A, ""en"", ""te"")"),"అకాఫ్లీగ్ డార్మ్‌స్టాడ్ట్ డి -34")</f>
        <v>అకాఫ్లీగ్ డార్మ్‌స్టాడ్ట్ డి -34</v>
      </c>
      <c r="C13" s="1" t="s">
        <v>339</v>
      </c>
      <c r="D13" s="1" t="str">
        <f>IFERROR(__xludf.DUMMYFUNCTION("GOOGLETRANSLATE(C:C, ""en"", ""te"")"),"అకాఫ్లీగ్ డార్మ్‌స్టాడ్ట్ డి -34 సెయిల్‌ప్లేన్లు ప్రయోగాత్మక సింగిల్ సీట్ సెయిల్‌ప్లేన్‌ల శ్రేణి, ఇవి 1950 లలో డార్మ్‌స్టాడ్ట్ విశ్వవిద్యాలయంలో మరియు 1960 ల ప్రారంభంలో అభివృద్ధి చెందుతున్న ప్లాస్టిక్‌లు మరియు కాంపోసైట్ పదార్థాల నిర్మాణ మరియు ఏరోడైనమిక్ ప్"&amp;"రయోజనాలను అన్వేషించడానికి రూపొందించబడ్డాయి. టెక్నికల్ యూనివర్శిటీ ఆఫ్ డార్మ్‌స్టాడ్ట్ (అకాఫ్లీగ్ డార్మ్‌స్టాడ్ట్) యొక్క అకాడెమిస్చే ఫ్లైగర్‌గ్రుప్పే మొదట 1921 లో ఏర్పడింది. ఇది వారి అధ్యయనాలలో భాగంగా విమానాలను రూపకల్పన చేసి నిర్మించే ఏరోనాటికల్ విద్యార్థు"&amp;"ల బృందం మరియు వారి విశ్వవిద్యాలయం యొక్క సహాయంతో మరియు ప్రోత్సాహంతో ఉంది. 1955 D-34 వారి మొట్టమొదటి రెండవ ప్రపంచ యుద్ధం II రూపకల్పన మరియు కొత్త పదార్థాలు, ఎయిర్‌ఫాయిల్స్ మరియు నిర్మాణ పద్ధతులను అన్వేషించిన ప్రయోగాత్మక సెయిల్‌ప్లేన్‌ల శ్రేణికి ఆధారం ఏర్పడిం"&amp;"ది. [2] D-34 ఒక చిన్న సింగిల్ సీట్ సెయిల్ ప్లేన్, అన్ని వేరియంట్లు వింగ్స్పాన్ మాత్రమే 12.65 మీ (41.5 అడుగులు). మొదటి మూడు వేరియంట్లు ఒక సాధారణ, సింగిల్ పీస్, స్ట్రెయిట్ టాపర్డ్ ప్లాన్ యొక్క రెక్కను పంచుకున్నాయి, ఇది రూట్ టు చిట్కా తీగ నిష్పత్తి 2.03 మరియ"&amp;"ు 8.0 మీ 2 (86 చదరపు అడుగులు). సాల్మన్స్ అని పిలువబడే చిన్న, సిగార్ ఆకారపు చిట్కా ఫెయిరింగ్‌లు ఉన్నాయి. ప్రొఫైల్ మందపాటి (21% మందం-నుండి-తీగ నిష్పత్తి) NACA 644621, ఇది రెక్క యొక్క 40% ముందు భాగంలో లామినార్ ప్రవాహాన్ని ఉత్పత్తి చేయడానికి ఉద్దేశించబడింది. "&amp;"ఇది పైన్ మరియు ప్లైవుడ్ యొక్క మూడు బాక్స్ స్పార్ చుట్టూ ఏర్పడింది, దాని కణాలు ప్లాస్టిక్ నురుగుతో నిండి ఉన్నాయి. స్పార్ రెక్క కంటే తక్కువ లోతుగా ఉంది మరియు ఉపరితల ప్రొఫైల్ తక్కువ సంఖ్యలో పూర్తి తీగ పక్కటెముకలతో పాటు జాగ్రత్తగా ఆకారంలో ఉన్న ప్లాస్టిక్ నురు"&amp;"గు బ్లాక్ ఫిల్లింగ్ మీద ప్లై ఆకారంలో ఉంది. [2] రెక్కలు ఫ్యూజ్‌లేజ్ పైభాగానికి జతచేయబడ్డాయి, కాక్‌పిట్ వెంటనే తొలగించగల, మృదువైన, సింగిల్ పీస్ పందిరి కింద ముందుకు సాగారు, ఇది ప్రముఖ అంచులోకి వచ్చింది మరియు దాదాపు ముక్కుకు విస్తరించింది. రెక్క ఉపరితల అవకతవక"&amp;"లను నివారించడానికి D-34 వింగ్ లీడింగ్ అంచు క్రింద దిగువ ఫ్యూజ్‌లేజ్‌పై ఎయిర్‌బ్రేక్‌లు అమర్చబడి, వెనుక అతుక్కొని కారు తలుపుల వలె తెరుచుకుంది. లోతైన, ఫెయిర్‌డ్ స్కిడ్ అండర్ క్యారేజీగా పనిచేసింది; తోక స్కిడ్ లేదు. ప్లైవుడ్ స్కిన్డ్, ఓవల్ విభాగం వెనుక వైపుకు"&amp;" ఒకే విధంగా దెబ్బతింది. D-34 లో టి-తోకను కలిగి ఉంది, నేరుగా దెబ్బతిన్న, గుండ్రని చిట్కా, టాబ్డ్ క్షితిజ సమాంతర ఉపరితలం. అసలు ఫిన్ నిటారుగా మరియు ఇరుకైన తీగతో ఉంది, టెయిల్‌ప్లేన్ కంటే చాలా వెడల్పుగా, సూటిగా, రాసిన వెనుకంజలో ఉన్న అంచుతో ఉంది. [2] D-34A మొదట"&amp;" 1955 లో ప్రయాణించింది. ఫ్లైట్ టెస్టింగ్ నవల వింగ్ నిర్మాణం బాగా పనిచేస్తుందని చూపించింది, కాని ఐలెరాన్లు మరియు నిలువు వెనుక ఉపరితలాలు రెండింటికీ ఎక్కువ ప్రాంతం అవసరమని తేలింది. ఐలెరాన్స్ యొక్క వెనుకంజలో ఉన్న అంచులను రెక్కలకు మించి విస్తరించి, చుక్కాని వె"&amp;"నుకకు విస్తరించడం ద్వారా ఇది పరిష్కరించబడింది, ఇది మరింత గుండ్రని రూపాన్ని ఇస్తుంది. అదే సమయంలో చుక్కాని టాబ్ అమర్చారు, ఫిన్ తీగ పెరిగింది మరియు డోర్సల్ ఫిల్లెట్ జోడించబడింది. వివిధ కాక్‌పిట్ మార్పులు కూడా చేయబడ్డాయి, వీటిలో కొత్త, పొడవైన సంస్కరణతో సహా, చ"&amp;"ిన్న మెటల్ ముక్కు కోన్‌కు విస్తరించిన ఫార్వర్డ్ ఫ్యూజ్‌లేజ్‌పై ముందుకు సాగింది. ఫ్యూజ్‌లేజ్ మౌంటెడ్ ఎయిర్‌బ్రేక్‌లు విజయవంతం కాలేదు. [2] 1957 లో విద్యార్థుల మరొక బృందం సవరించిన D-34B ఆఫ్రొడైట్‌ను నిర్మించింది, జి. జాకోబీ [1] పున es రూపకల్పనకు ప్రధానంగా బా"&amp;"ధ్యత వహిస్తుంది. ఇది కొత్త ఎయిర్ఫ్రేమ్ లేదా D-34A యొక్క పునర్నిర్మాణం కాదా అని ఖచ్చితంగా తెలియదు, కాని ఇది 60 ° విక్షేపాలు మరియు పొడవైన, తక్కువ తీగ ఐలెరాన్‌ల సామర్థ్యం గల ఫ్లాప్‌లను చేర్చడం వల్ల అదే రెక్కల రూపకల్పనను ఉపయోగించింది, ఇది మిగిలిన వాటిపై విస్త"&amp;"రించింది ఫ్లాప్స్ యొక్క వెనుకంజలో ఉన్న అంచు అవుట్‌బోర్డ్. ఫ్లాప్‌లు D-34A యొక్క అసంతృప్తికరమైన ఎయిర్‌బ్రేక్‌లను భర్తీ చేశాయి, కాని విస్తరించిన ఐలెరాన్లు సమర్థవంతమైన పార్శ్వ నియంత్రణను ఉత్పత్తి చేయలేదు. D-34B తక్కువ విస్తరించిన పందిరితో ఉన్నప్పటికీ, సవరించ"&amp;"ిన D-34A యొక్క ఎక్కువ దూరం ఫ్యూజ్‌లేజ్‌ను ఉంచింది, కాని అసలు D-34 ఫిన్ మరియు చుక్కాని కలిగి ఉంది. కాక్‌పిట్ వెనుక ఎగువ ఫ్యూజ్‌లేజ్ పెంచబడింది మరియు రెక్కపై మరింత బలంగా ఉంటుంది, ఎగువ ఫ్యూజ్‌లేజ్ రేఖను వెనుకంజలో ఉన్న అంచుపై సున్నితంగా చేస్తుంది. ఇది D-34A య"&amp;"ొక్క స్థూలమైన ప్రధాన స్కిడ్ స్థానంలో ముడుచుకునే మోనోహీల్ అండర్ క్యారేజ్ మరియు చిన్న టెయిల్స్కిడ్ కలిగి ఉంది. ఈ మార్పులు ఖాళీ బరువును D-34A యొక్క 128 కిలోల (282 పౌండ్లు) నుండి 141 కిలోల (311 పౌండ్లు) కు పెంచాయి. 1960 లో పనితీరు పరీక్షించబడే సమయానికి D-34B "&amp;"వయస్సు సంకేతాలను చూపుతోంది, కాని ఇప్పటికీ ఉత్తమ గ్లైడ్ నిష్పత్తిని 28.3: 1 తిరిగి ఇచ్చింది, ఇది 12.65 మీ (41.5 అడుగులు) స్పాన్ గ్లైడర్‌కు చాలా గౌరవప్రదమైనది. [2] D-34C B'mhrodite 1958 లో M. రేడ్ మరియు ప్రయాణించారు. ప్రధాన మార్పు ఫ్యూజ్‌లేజ్‌కు, అసలు ఒత్తి"&amp;"డితో కూడిన-ప్లై కప్పబడిన, కలప-ఫ్రేమ్డ్ స్ట్రక్చర్ స్థానంలో ఫాబ్రిక్ కవర్ స్టీల్ ఫ్రేమ్ ద్వారా భర్తీ చేయబడింది. మోనోహీల్ రిట్రాకబుల్ చేయలేనిది మరియు వింగ్టిప్ సాల్మన్లు ​​తొలగించబడ్డాయి. ఖాళీ బరువు 4 కిలోలు (8.8 పౌండ్లు) తగ్గింది. [3] చివరి వేరియంట్ 1960 య"&amp;"ొక్క D-34. ఇతరులలో, గెర్హార్డ్ వైబెల్ చేత రూపొందించబడింది, ఇది D-34B ఫ్యూజ్‌లేజ్ మరియు తోకను ఉంచింది, కాని కొత్త నిర్మాణ పద్ధతులు, విభిన్న ప్రొఫైల్ మరియు పెద్ద ప్రాంతాల రెక్కతో వివాహం చేసుకుంది, అదే సమయంలో అదే వ్యవధిని ఉంచుతుంది మునుపటి మోడళ్లుగా. తరువాతి"&amp;" సాధించడానికి రూట్ మరియు చిట్కా తీగలు రెండింటినీ సుమారు 12%పెంచారు. రెక్కలు 1 ° డైహెడ్రల్ మరియు 2 ° ఫార్వర్డ్ స్వీప్ కలిగి ఉన్నాయి. సాల్మన్లను గుండ్రని చిట్కాలతో భర్తీ చేశారు మరియు ఐలెరాన్లు D-34B కంటే ఎక్కువ మరియు వెడల్పుగా ఉన్నాయి; ఇన్బోర్డ్ ఇన్బోర్డ్ ఇ"&amp;"న్బోర్డ్ స్పాయిలర్లు ఫ్లాప్‌లను భర్తీ చేశాయి. నిర్మాణాత్మకంగా రెక్క చాలా భిన్నంగా ఉంది; ప్రధాన స్పార్ లేదు. ముందు 60%, ఒక కాంతి నుండి, బాల్సా నిండిన ముక్కును ప్లైవుడ్ సహాయక స్పార్ వరకు, గ్లాస్ రీన్ఫోర్స్డ్ ప్లాస్టిక్ (GRP) షెల్, గట్టిపడే కాగితం తేనెగూడు న"&amp;"ింపడం. ఐలెరాన్లు మరియు ఎయిర్‌బ్రేక్‌లు సహాయక స్పార్‌కు జతచేయబడ్డాయి. దాని వెనుక, రెక్కలో GRP/ప్లాస్టిక్ నురుగు శాండ్‌విచ్‌తో కప్పబడిన పక్కటెముకలు ఉన్నాయి. జాగ్రత్తగా నిర్మాణం స్థానిక ""వేవెన్"" ను 20 μm (0.00079 in) కన్నా తక్కువకు ఉంచింది. [2] రెక్కల విస్"&amp;"తీర్ణం కారణంగా ఇది D-34B (20) కన్నా తక్కువ కారక నిష్పత్తి (17.5) కలిగి ఉన్నప్పటికీ, D-34D 35.1: 1 యొక్క ఉత్తమ గ్లైడ్ నిష్పత్తిని కలిగి ఉంది. మునుపటి వైవిధ్యాల మాదిరిగానే, ఇది ఉత్పత్తి లేదా పోటీ విమానంగా ఉద్దేశించబడలేదు, కానీ ఆ సమయంలో కొత్త పదార్థాలతో విద్"&amp;"యార్థుల అనుభవం అభివృద్ధికి వాహనంగా. [2] D-34C D-4644 ను వాస్సెర్కుప్ప్‌లోని జర్మన్ గ్లైడింగ్ మ్యూజియంలో ముందస్తు అనుమతితో చూడవచ్చు. [4] D-34D వింగ్ యొక్క ఒక విభాగం కూడా ఉంది. [2] సెయిల్‌ప్లేన్స్ నుండి డేటా 1945-1965 [2] సాధారణ లక్షణాల పనితీరు")</f>
        <v>అకాఫ్లీగ్ డార్మ్‌స్టాడ్ట్ డి -34 సెయిల్‌ప్లేన్లు ప్రయోగాత్మక సింగిల్ సీట్ సెయిల్‌ప్లేన్‌ల శ్రేణి, ఇవి 1950 లలో డార్మ్‌స్టాడ్ట్ విశ్వవిద్యాలయంలో మరియు 1960 ల ప్రారంభంలో అభివృద్ధి చెందుతున్న ప్లాస్టిక్‌లు మరియు కాంపోసైట్ పదార్థాల నిర్మాణ మరియు ఏరోడైనమిక్ ప్రయోజనాలను అన్వేషించడానికి రూపొందించబడ్డాయి. టెక్నికల్ యూనివర్శిటీ ఆఫ్ డార్మ్‌స్టాడ్ట్ (అకాఫ్లీగ్ డార్మ్‌స్టాడ్ట్) యొక్క అకాడెమిస్చే ఫ్లైగర్‌గ్రుప్పే మొదట 1921 లో ఏర్పడింది. ఇది వారి అధ్యయనాలలో భాగంగా విమానాలను రూపకల్పన చేసి నిర్మించే ఏరోనాటికల్ విద్యార్థుల బృందం మరియు వారి విశ్వవిద్యాలయం యొక్క సహాయంతో మరియు ప్రోత్సాహంతో ఉంది. 1955 D-34 వారి మొట్టమొదటి రెండవ ప్రపంచ యుద్ధం II రూపకల్పన మరియు కొత్త పదార్థాలు, ఎయిర్‌ఫాయిల్స్ మరియు నిర్మాణ పద్ధతులను అన్వేషించిన ప్రయోగాత్మక సెయిల్‌ప్లేన్‌ల శ్రేణికి ఆధారం ఏర్పడింది. [2] D-34 ఒక చిన్న సింగిల్ సీట్ సెయిల్ ప్లేన్, అన్ని వేరియంట్లు వింగ్స్పాన్ మాత్రమే 12.65 మీ (41.5 అడుగులు). మొదటి మూడు వేరియంట్లు ఒక సాధారణ, సింగిల్ పీస్, స్ట్రెయిట్ టాపర్డ్ ప్లాన్ యొక్క రెక్కను పంచుకున్నాయి, ఇది రూట్ టు చిట్కా తీగ నిష్పత్తి 2.03 మరియు 8.0 మీ 2 (86 చదరపు అడుగులు). సాల్మన్స్ అని పిలువబడే చిన్న, సిగార్ ఆకారపు చిట్కా ఫెయిరింగ్‌లు ఉన్నాయి. ప్రొఫైల్ మందపాటి (21% మందం-నుండి-తీగ నిష్పత్తి) NACA 644621, ఇది రెక్క యొక్క 40% ముందు భాగంలో లామినార్ ప్రవాహాన్ని ఉత్పత్తి చేయడానికి ఉద్దేశించబడింది. ఇది పైన్ మరియు ప్లైవుడ్ యొక్క మూడు బాక్స్ స్పార్ చుట్టూ ఏర్పడింది, దాని కణాలు ప్లాస్టిక్ నురుగుతో నిండి ఉన్నాయి. స్పార్ రెక్క కంటే తక్కువ లోతుగా ఉంది మరియు ఉపరితల ప్రొఫైల్ తక్కువ సంఖ్యలో పూర్తి తీగ పక్కటెముకలతో పాటు జాగ్రత్తగా ఆకారంలో ఉన్న ప్లాస్టిక్ నురుగు బ్లాక్ ఫిల్లింగ్ మీద ప్లై ఆకారంలో ఉంది. [2] రెక్కలు ఫ్యూజ్‌లేజ్ పైభాగానికి జతచేయబడ్డాయి, కాక్‌పిట్ వెంటనే తొలగించగల, మృదువైన, సింగిల్ పీస్ పందిరి కింద ముందుకు సాగారు, ఇది ప్రముఖ అంచులోకి వచ్చింది మరియు దాదాపు ముక్కుకు విస్తరించింది. రెక్క ఉపరితల అవకతవకలను నివారించడానికి D-34 వింగ్ లీడింగ్ అంచు క్రింద దిగువ ఫ్యూజ్‌లేజ్‌పై ఎయిర్‌బ్రేక్‌లు అమర్చబడి, వెనుక అతుక్కొని కారు తలుపుల వలె తెరుచుకుంది. లోతైన, ఫెయిర్‌డ్ స్కిడ్ అండర్ క్యారేజీగా పనిచేసింది; తోక స్కిడ్ లేదు. ప్లైవుడ్ స్కిన్డ్, ఓవల్ విభాగం వెనుక వైపుకు ఒకే విధంగా దెబ్బతింది. D-34 లో టి-తోకను కలిగి ఉంది, నేరుగా దెబ్బతిన్న, గుండ్రని చిట్కా, టాబ్డ్ క్షితిజ సమాంతర ఉపరితలం. అసలు ఫిన్ నిటారుగా మరియు ఇరుకైన తీగతో ఉంది, టెయిల్‌ప్లేన్ కంటే చాలా వెడల్పుగా, సూటిగా, రాసిన వెనుకంజలో ఉన్న అంచుతో ఉంది. [2] D-34A మొదట 1955 లో ప్రయాణించింది. ఫ్లైట్ టెస్టింగ్ నవల వింగ్ నిర్మాణం బాగా పనిచేస్తుందని చూపించింది, కాని ఐలెరాన్లు మరియు నిలువు వెనుక ఉపరితలాలు రెండింటికీ ఎక్కువ ప్రాంతం అవసరమని తేలింది. ఐలెరాన్స్ యొక్క వెనుకంజలో ఉన్న అంచులను రెక్కలకు మించి విస్తరించి, చుక్కాని వెనుకకు విస్తరించడం ద్వారా ఇది పరిష్కరించబడింది, ఇది మరింత గుండ్రని రూపాన్ని ఇస్తుంది. అదే సమయంలో చుక్కాని టాబ్ అమర్చారు, ఫిన్ తీగ పెరిగింది మరియు డోర్సల్ ఫిల్లెట్ జోడించబడింది. వివిధ కాక్‌పిట్ మార్పులు కూడా చేయబడ్డాయి, వీటిలో కొత్త, పొడవైన సంస్కరణతో సహా, చిన్న మెటల్ ముక్కు కోన్‌కు విస్తరించిన ఫార్వర్డ్ ఫ్యూజ్‌లేజ్‌పై ముందుకు సాగింది. ఫ్యూజ్‌లేజ్ మౌంటెడ్ ఎయిర్‌బ్రేక్‌లు విజయవంతం కాలేదు. [2] 1957 లో విద్యార్థుల మరొక బృందం సవరించిన D-34B ఆఫ్రొడైట్‌ను నిర్మించింది, జి. జాకోబీ [1] పున es రూపకల్పనకు ప్రధానంగా బాధ్యత వహిస్తుంది. ఇది కొత్త ఎయిర్ఫ్రేమ్ లేదా D-34A యొక్క పునర్నిర్మాణం కాదా అని ఖచ్చితంగా తెలియదు, కాని ఇది 60 ° విక్షేపాలు మరియు పొడవైన, తక్కువ తీగ ఐలెరాన్‌ల సామర్థ్యం గల ఫ్లాప్‌లను చేర్చడం వల్ల అదే రెక్కల రూపకల్పనను ఉపయోగించింది, ఇది మిగిలిన వాటిపై విస్తరించింది ఫ్లాప్స్ యొక్క వెనుకంజలో ఉన్న అంచు అవుట్‌బోర్డ్. ఫ్లాప్‌లు D-34A యొక్క అసంతృప్తికరమైన ఎయిర్‌బ్రేక్‌లను భర్తీ చేశాయి, కాని విస్తరించిన ఐలెరాన్లు సమర్థవంతమైన పార్శ్వ నియంత్రణను ఉత్పత్తి చేయలేదు. D-34B తక్కువ విస్తరించిన పందిరితో ఉన్నప్పటికీ, సవరించిన D-34A యొక్క ఎక్కువ దూరం ఫ్యూజ్‌లేజ్‌ను ఉంచింది, కాని అసలు D-34 ఫిన్ మరియు చుక్కాని కలిగి ఉంది. కాక్‌పిట్ వెనుక ఎగువ ఫ్యూజ్‌లేజ్ పెంచబడింది మరియు రెక్కపై మరింత బలంగా ఉంటుంది, ఎగువ ఫ్యూజ్‌లేజ్ రేఖను వెనుకంజలో ఉన్న అంచుపై సున్నితంగా చేస్తుంది. ఇది D-34A యొక్క స్థూలమైన ప్రధాన స్కిడ్ స్థానంలో ముడుచుకునే మోనోహీల్ అండర్ క్యారేజ్ మరియు చిన్న టెయిల్స్కిడ్ కలిగి ఉంది. ఈ మార్పులు ఖాళీ బరువును D-34A యొక్క 128 కిలోల (282 పౌండ్లు) నుండి 141 కిలోల (311 పౌండ్లు) కు పెంచాయి. 1960 లో పనితీరు పరీక్షించబడే సమయానికి D-34B వయస్సు సంకేతాలను చూపుతోంది, కాని ఇప్పటికీ ఉత్తమ గ్లైడ్ నిష్పత్తిని 28.3: 1 తిరిగి ఇచ్చింది, ఇది 12.65 మీ (41.5 అడుగులు) స్పాన్ గ్లైడర్‌కు చాలా గౌరవప్రదమైనది. [2] D-34C B'mhrodite 1958 లో M. రేడ్ మరియు ప్రయాణించారు. ప్రధాన మార్పు ఫ్యూజ్‌లేజ్‌కు, అసలు ఒత్తిడితో కూడిన-ప్లై కప్పబడిన, కలప-ఫ్రేమ్డ్ స్ట్రక్చర్ స్థానంలో ఫాబ్రిక్ కవర్ స్టీల్ ఫ్రేమ్ ద్వారా భర్తీ చేయబడింది. మోనోహీల్ రిట్రాకబుల్ చేయలేనిది మరియు వింగ్టిప్ సాల్మన్లు ​​తొలగించబడ్డాయి. ఖాళీ బరువు 4 కిలోలు (8.8 పౌండ్లు) తగ్గింది. [3] చివరి వేరియంట్ 1960 యొక్క D-34. ఇతరులలో, గెర్హార్డ్ వైబెల్ చేత రూపొందించబడింది, ఇది D-34B ఫ్యూజ్‌లేజ్ మరియు తోకను ఉంచింది, కాని కొత్త నిర్మాణ పద్ధతులు, విభిన్న ప్రొఫైల్ మరియు పెద్ద ప్రాంతాల రెక్కతో వివాహం చేసుకుంది, అదే సమయంలో అదే వ్యవధిని ఉంచుతుంది మునుపటి మోడళ్లుగా. తరువాతి సాధించడానికి రూట్ మరియు చిట్కా తీగలు రెండింటినీ సుమారు 12%పెంచారు. రెక్కలు 1 ° డైహెడ్రల్ మరియు 2 ° ఫార్వర్డ్ స్వీప్ కలిగి ఉన్నాయి. సాల్మన్లను గుండ్రని చిట్కాలతో భర్తీ చేశారు మరియు ఐలెరాన్లు D-34B కంటే ఎక్కువ మరియు వెడల్పుగా ఉన్నాయి; ఇన్బోర్డ్ ఇన్బోర్డ్ ఇన్బోర్డ్ స్పాయిలర్లు ఫ్లాప్‌లను భర్తీ చేశాయి. నిర్మాణాత్మకంగా రెక్క చాలా భిన్నంగా ఉంది; ప్రధాన స్పార్ లేదు. ముందు 60%, ఒక కాంతి నుండి, బాల్సా నిండిన ముక్కును ప్లైవుడ్ సహాయక స్పార్ వరకు, గ్లాస్ రీన్ఫోర్స్డ్ ప్లాస్టిక్ (GRP) షెల్, గట్టిపడే కాగితం తేనెగూడు నింపడం. ఐలెరాన్లు మరియు ఎయిర్‌బ్రేక్‌లు సహాయక స్పార్‌కు జతచేయబడ్డాయి. దాని వెనుక, రెక్కలో GRP/ప్లాస్టిక్ నురుగు శాండ్‌విచ్‌తో కప్పబడిన పక్కటెముకలు ఉన్నాయి. జాగ్రత్తగా నిర్మాణం స్థానిక "వేవెన్" ను 20 μm (0.00079 in) కన్నా తక్కువకు ఉంచింది. [2] రెక్కల విస్తీర్ణం కారణంగా ఇది D-34B (20) కన్నా తక్కువ కారక నిష్పత్తి (17.5) కలిగి ఉన్నప్పటికీ, D-34D 35.1: 1 యొక్క ఉత్తమ గ్లైడ్ నిష్పత్తిని కలిగి ఉంది. మునుపటి వైవిధ్యాల మాదిరిగానే, ఇది ఉత్పత్తి లేదా పోటీ విమానంగా ఉద్దేశించబడలేదు, కానీ ఆ సమయంలో కొత్త పదార్థాలతో విద్యార్థుల అనుభవం అభివృద్ధికి వాహనంగా. [2] D-34C D-4644 ను వాస్సెర్కుప్ప్‌లోని జర్మన్ గ్లైడింగ్ మ్యూజియంలో ముందస్తు అనుమతితో చూడవచ్చు. [4] D-34D వింగ్ యొక్క ఒక విభాగం కూడా ఉంది. [2] సెయిల్‌ప్లేన్స్ నుండి డేటా 1945-1965 [2] సాధారణ లక్షణాల పనితీరు</v>
      </c>
      <c r="F13" s="1" t="s">
        <v>340</v>
      </c>
      <c r="G13" s="1" t="str">
        <f>IFERROR(__xludf.DUMMYFUNCTION("GOOGLETRANSLATE(F:F, ""en"", ""te"")"),"ప్రయోగాత్మక సింగిల్ సీటు సెయిల్ ప్లేన్")</f>
        <v>ప్రయోగాత్మక సింగిల్ సీటు సెయిల్ ప్లేన్</v>
      </c>
      <c r="H13" s="1" t="s">
        <v>341</v>
      </c>
      <c r="I13" s="1" t="s">
        <v>321</v>
      </c>
      <c r="J13" s="1" t="str">
        <f>IFERROR(__xludf.DUMMYFUNCTION("GOOGLETRANSLATE(I:I, ""en"", ""te"")"),"జర్మనీ")</f>
        <v>జర్మనీ</v>
      </c>
      <c r="K13" s="3" t="s">
        <v>322</v>
      </c>
      <c r="L13" s="1" t="s">
        <v>323</v>
      </c>
      <c r="M13" s="1" t="str">
        <f>IFERROR(__xludf.DUMMYFUNCTION("GOOGLETRANSLATE(L:L, ""en"", ""te"")"),"అకాఫ్లీగ్ డార్మ్‌స్టాడ్ట్")</f>
        <v>అకాఫ్లీగ్ డార్మ్‌స్టాడ్ట్</v>
      </c>
      <c r="N13" s="1" t="s">
        <v>324</v>
      </c>
      <c r="Q13" s="1" t="s">
        <v>342</v>
      </c>
      <c r="R13" s="1" t="s">
        <v>132</v>
      </c>
      <c r="S13" s="1">
        <v>1.0</v>
      </c>
      <c r="U13" s="1" t="s">
        <v>343</v>
      </c>
      <c r="V13" s="1" t="s">
        <v>344</v>
      </c>
      <c r="W13" s="1" t="s">
        <v>345</v>
      </c>
      <c r="X13" s="1" t="s">
        <v>346</v>
      </c>
      <c r="Y13" s="1" t="s">
        <v>347</v>
      </c>
      <c r="AD13" s="1" t="s">
        <v>348</v>
      </c>
      <c r="AG13" s="1" t="s">
        <v>349</v>
      </c>
      <c r="AH13" s="1" t="s">
        <v>350</v>
      </c>
      <c r="AJ13" s="1">
        <v>1955.0</v>
      </c>
      <c r="AS13" s="1">
        <v>17.5</v>
      </c>
      <c r="BD13" s="1" t="s">
        <v>351</v>
      </c>
      <c r="BE13" s="1">
        <v>31.6</v>
      </c>
      <c r="BF13" s="1" t="s">
        <v>352</v>
      </c>
    </row>
    <row r="14">
      <c r="A14" s="1" t="s">
        <v>353</v>
      </c>
      <c r="B14" s="1" t="str">
        <f>IFERROR(__xludf.DUMMYFUNCTION("GOOGLETRANSLATE(A:A, ""en"", ""te"")"),"పార్నాల్ ప్లోవర్")</f>
        <v>పార్నాల్ ప్లోవర్</v>
      </c>
      <c r="C14" s="1" t="s">
        <v>354</v>
      </c>
      <c r="D14" s="1" t="str">
        <f>IFERROR(__xludf.DUMMYFUNCTION("GOOGLETRANSLATE(C:C, ""en"", ""te"")"),"పార్నాల్ ప్లోవర్ 1920 లలో బ్రిటిష్ సింగిల్-సీట్ నావికాదళ యుద్ధ విమానాలు. రాయల్ నేవీ ఎయిర్క్రాఫ్ట్ క్యారియర్‌లపై ఉపయోగం కోసం జార్జ్ పార్నాల్ &amp; కో రూపొందించారు మరియు నిర్మించారు, దీనిని చిన్న-స్థాయి ఉత్పత్తికి ఆదేశించారు, కాని విస్తృతమైన మూల్యాంకనం తరువాత, "&amp;"ఫైరీ ఫ్లైకాచర్‌కు పెద్ద-స్థాయి సేవకు ప్రాధాన్యత ఇవ్వబడింది. పార్నాల్ ప్లోవర్‌ను ఒకే సీట్ల ఫైటర్ విమానాల కోసం బ్రిటిష్ వైమానిక మంత్రిత్వ శాఖ స్పెసిఫికేషన్ 6/22 యొక్క అవసరాలను తీర్చడానికి సంస్కరించబడిన జార్జ్ పార్నాల్ &amp; కో యొక్క చీఫ్ డిజైనర్ హెరాల్డ్ బోలాస్"&amp;" రూపొందించారు. విజయవంతమైన విమానం నైవ్‌పోర్ట్ నైట్‌జార్‌ను భర్తీ చేయడం మరియు బ్రిస్టల్ బృహస్పతి లేదా ఆర్మ్‌స్ట్రాంగ్ సిడ్డ్లీ జాగ్వార్ ఇంజిన్ ద్వారా శక్తినివ్వడం, విమానం క్యారియర్‌ల నుండి లేదా ఫ్లోట్‌ప్లేన్‌గా పనిచేసే సామర్థ్యం ఉంది. ప్లోవర్ కలప-మరియు-ఫాబ్"&amp;"రిక్ నిర్మాణం యొక్క సింగిల్-బే బైప్‌లేన్, ఇది పూర్తి-స్పాన్ ఫ్లాప్‌లతో అమర్చబడి ఉంటుంది మరియు సాంప్రదాయ చక్రాల అండర్ క్యారేజ్ లేదా ఫ్లోట్‌లతో అమర్చవచ్చు (ఫ్లోట్ల దిగువన చక్రాలు పొడుచుకు వస్తాయి). మొట్టమొదటి నమూనా 1922 చివరలో ఎగిరింది, ఇది బ్రిస్టల్ బృహస్ప"&amp;"తి చేత శక్తిని పొందింది. మరో రెండు ప్రోటోటైప్‌లు అనుసరించాయి, రెండవది ఫ్లోట్‌ప్లేన్‌తో, బృహస్పతి మరియు మూడవది జాగ్వార్ ఇంజిన్‌తో నడిచే ల్యాండ్‌ప్లేన్. [1] మూడు ప్రోటోటైప్‌లు పోటీపడే ఫైరీ ఫ్లైకాచర్‌కు పనితీరులో సమానంగా ఉన్నాయని నిరూపించబడింది, రెండు రకాలైన"&amp;" చిన్న ఆర్డర్‌లను, ప్లోవర్ కోసం పది, మరింత వివరణాత్మక కార్యాచరణ మూల్యాంకనాన్ని అనుమతించడానికి. [2] ఆరు ప్లోవర్లు 1923 లో రాయల్ వైమానిక దళం యొక్క 403 మరియు 404 ఫ్లీట్ ఫైటర్ విమానాలతో సేవల్లోకి ప్రవేశించాయి, ఈ రకాన్ని ఫ్లైకాచర్ మరియు నైట్జార్‌కు వ్యతిరేకంగా"&amp;" సేవలో అంచనా వేయడానికి వీలు కల్పించింది, వీటిని రెండు రకాలు భర్తీ చేయడానికి ప్రణాళిక చేయబడ్డాయి. ఫ్లైకాచర్‌కు ప్రాధాన్యత ఇవ్వబడింది, ఇది ఎగరడానికి మరింత ప్రాచుర్యం పొందిన విమానం మరియు రిగ్ చేయడం సులభం, 1924 లో ప్లోవర్‌ను భర్తీ చేస్తుంది. [1] సివిల్ రిజిస్"&amp;"టర్‌లో ఒక విమానం జి-ఎబాన్‌గా ప్రవేశించింది మరియు 1919 కింగ్స్ కప్ ఎయిర్ రేసులో ఎగురవేయబడింది, ప్లోవర్ ఇంధన ప్రవాహ సమస్యల కారణంగా రేసు నుండి రిటైర్ అయ్యారు. [3] జి-ఎగాన్ క్రాష్ అయ్యింది మరియు జనవరి 1929 లో నాశనం చేయబడింది. పూర్తి బుక్ ఆఫ్ ఫైటర్స్ నుండి డేట"&amp;"ా [4] సాధారణ లక్షణాలు పనితీరు ఆయుధాలు పోల్చదగిన పాత్ర, కాన్ఫిగరేషన్ మరియు యుగం యొక్క విమానం")</f>
        <v>పార్నాల్ ప్లోవర్ 1920 లలో బ్రిటిష్ సింగిల్-సీట్ నావికాదళ యుద్ధ విమానాలు. రాయల్ నేవీ ఎయిర్క్రాఫ్ట్ క్యారియర్‌లపై ఉపయోగం కోసం జార్జ్ పార్నాల్ &amp; కో రూపొందించారు మరియు నిర్మించారు, దీనిని చిన్న-స్థాయి ఉత్పత్తికి ఆదేశించారు, కాని విస్తృతమైన మూల్యాంకనం తరువాత, ఫైరీ ఫ్లైకాచర్‌కు పెద్ద-స్థాయి సేవకు ప్రాధాన్యత ఇవ్వబడింది. పార్నాల్ ప్లోవర్‌ను ఒకే సీట్ల ఫైటర్ విమానాల కోసం బ్రిటిష్ వైమానిక మంత్రిత్వ శాఖ స్పెసిఫికేషన్ 6/22 యొక్క అవసరాలను తీర్చడానికి సంస్కరించబడిన జార్జ్ పార్నాల్ &amp; కో యొక్క చీఫ్ డిజైనర్ హెరాల్డ్ బోలాస్ రూపొందించారు. విజయవంతమైన విమానం నైవ్‌పోర్ట్ నైట్‌జార్‌ను భర్తీ చేయడం మరియు బ్రిస్టల్ బృహస్పతి లేదా ఆర్మ్‌స్ట్రాంగ్ సిడ్డ్లీ జాగ్వార్ ఇంజిన్ ద్వారా శక్తినివ్వడం, విమానం క్యారియర్‌ల నుండి లేదా ఫ్లోట్‌ప్లేన్‌గా పనిచేసే సామర్థ్యం ఉంది. ప్లోవర్ కలప-మరియు-ఫాబ్రిక్ నిర్మాణం యొక్క సింగిల్-బే బైప్‌లేన్, ఇది పూర్తి-స్పాన్ ఫ్లాప్‌లతో అమర్చబడి ఉంటుంది మరియు సాంప్రదాయ చక్రాల అండర్ క్యారేజ్ లేదా ఫ్లోట్‌లతో అమర్చవచ్చు (ఫ్లోట్ల దిగువన చక్రాలు పొడుచుకు వస్తాయి). మొట్టమొదటి నమూనా 1922 చివరలో ఎగిరింది, ఇది బ్రిస్టల్ బృహస్పతి చేత శక్తిని పొందింది. మరో రెండు ప్రోటోటైప్‌లు అనుసరించాయి, రెండవది ఫ్లోట్‌ప్లేన్‌తో, బృహస్పతి మరియు మూడవది జాగ్వార్ ఇంజిన్‌తో నడిచే ల్యాండ్‌ప్లేన్. [1] మూడు ప్రోటోటైప్‌లు పోటీపడే ఫైరీ ఫ్లైకాచర్‌కు పనితీరులో సమానంగా ఉన్నాయని నిరూపించబడింది, రెండు రకాలైన చిన్న ఆర్డర్‌లను, ప్లోవర్ కోసం పది, మరింత వివరణాత్మక కార్యాచరణ మూల్యాంకనాన్ని అనుమతించడానికి. [2] ఆరు ప్లోవర్లు 1923 లో రాయల్ వైమానిక దళం యొక్క 403 మరియు 404 ఫ్లీట్ ఫైటర్ విమానాలతో సేవల్లోకి ప్రవేశించాయి, ఈ రకాన్ని ఫ్లైకాచర్ మరియు నైట్జార్‌కు వ్యతిరేకంగా సేవలో అంచనా వేయడానికి వీలు కల్పించింది, వీటిని రెండు రకాలు భర్తీ చేయడానికి ప్రణాళిక చేయబడ్డాయి. ఫ్లైకాచర్‌కు ప్రాధాన్యత ఇవ్వబడింది, ఇది ఎగరడానికి మరింత ప్రాచుర్యం పొందిన విమానం మరియు రిగ్ చేయడం సులభం, 1924 లో ప్లోవర్‌ను భర్తీ చేస్తుంది. [1] సివిల్ రిజిస్టర్‌లో ఒక విమానం జి-ఎబాన్‌గా ప్రవేశించింది మరియు 1919 కింగ్స్ కప్ ఎయిర్ రేసులో ఎగురవేయబడింది, ప్లోవర్ ఇంధన ప్రవాహ సమస్యల కారణంగా రేసు నుండి రిటైర్ అయ్యారు. [3] జి-ఎగాన్ క్రాష్ అయ్యింది మరియు జనవరి 1929 లో నాశనం చేయబడింది. పూర్తి బుక్ ఆఫ్ ఫైటర్స్ నుండి డేటా [4] సాధారణ లక్షణాలు పనితీరు ఆయుధాలు పోల్చదగిన పాత్ర, కాన్ఫిగరేషన్ మరియు యుగం యొక్క విమానం</v>
      </c>
      <c r="E14" s="1" t="s">
        <v>355</v>
      </c>
      <c r="F14" s="1" t="s">
        <v>356</v>
      </c>
      <c r="G14" s="1" t="str">
        <f>IFERROR(__xludf.DUMMYFUNCTION("GOOGLETRANSLATE(F:F, ""en"", ""te"")"),"యుద్ధ")</f>
        <v>యుద్ధ</v>
      </c>
      <c r="I14" s="1" t="s">
        <v>357</v>
      </c>
      <c r="J14" s="1" t="str">
        <f>IFERROR(__xludf.DUMMYFUNCTION("GOOGLETRANSLATE(I:I, ""en"", ""te"")"),"యునైటెడ్ కింగ్‌డమ్")</f>
        <v>యునైటెడ్ కింగ్‌డమ్</v>
      </c>
      <c r="L14" s="1" t="s">
        <v>358</v>
      </c>
      <c r="M14" s="1" t="str">
        <f>IFERROR(__xludf.DUMMYFUNCTION("GOOGLETRANSLATE(L:L, ""en"", ""te"")"),"పార్నాల్ &amp; కో")</f>
        <v>పార్నాల్ &amp; కో</v>
      </c>
      <c r="N14" s="1" t="s">
        <v>359</v>
      </c>
      <c r="Q14" s="1">
        <v>13.0</v>
      </c>
      <c r="S14" s="1">
        <v>1.0</v>
      </c>
      <c r="U14" s="1" t="s">
        <v>360</v>
      </c>
      <c r="V14" s="1" t="s">
        <v>361</v>
      </c>
      <c r="W14" s="1" t="s">
        <v>362</v>
      </c>
      <c r="X14" s="1" t="s">
        <v>363</v>
      </c>
      <c r="Y14" s="1" t="s">
        <v>364</v>
      </c>
      <c r="AA14" s="1" t="s">
        <v>365</v>
      </c>
      <c r="AB14" s="1" t="s">
        <v>366</v>
      </c>
      <c r="AG14" s="1" t="s">
        <v>367</v>
      </c>
      <c r="AH14" s="1" t="s">
        <v>368</v>
      </c>
      <c r="AI14" s="1" t="s">
        <v>369</v>
      </c>
      <c r="AJ14" s="1">
        <v>1922.0</v>
      </c>
      <c r="AK14" s="1">
        <v>1923.0</v>
      </c>
      <c r="AM14" s="1" t="s">
        <v>370</v>
      </c>
      <c r="AP14" s="1" t="s">
        <v>371</v>
      </c>
      <c r="AR14" s="1" t="s">
        <v>372</v>
      </c>
      <c r="AY14" s="1" t="s">
        <v>373</v>
      </c>
      <c r="AZ14" s="1" t="s">
        <v>374</v>
      </c>
      <c r="BG14" s="1">
        <v>1924.0</v>
      </c>
      <c r="BH14" s="1" t="s">
        <v>375</v>
      </c>
      <c r="BI14" s="1" t="s">
        <v>376</v>
      </c>
      <c r="BJ14" s="1" t="s">
        <v>377</v>
      </c>
    </row>
    <row r="15">
      <c r="A15" s="1" t="s">
        <v>378</v>
      </c>
      <c r="B15" s="1" t="str">
        <f>IFERROR(__xludf.DUMMYFUNCTION("GOOGLETRANSLATE(A:A, ""en"", ""te"")"),"అలిస్పోర్ట్ సైలెంట్ 2 ఎలక్ట్రో")</f>
        <v>అలిస్పోర్ట్ సైలెంట్ 2 ఎలక్ట్రో</v>
      </c>
      <c r="C15" s="1" t="s">
        <v>379</v>
      </c>
      <c r="D15" s="1" t="str">
        <f>IFERROR(__xludf.DUMMYFUNCTION("GOOGLETRANSLATE(C:C, ""en"", ""te"")"),"అలిస్పోర్ట్ సైలెంట్ 2 ఎలెక్ట్రో ఒక ఇటాలియన్ మిడ్-వింగ్, సింగిల్-సీట్ మోటార్ గ్లైడర్, ఇది క్రెమెల్లా యొక్క అలిస్పోర్ట్ చేత రూపొందించబడింది మరియు ఉత్పత్తి చేయబడింది మరియు ఇది పూర్తి రెడీ-టు-ఫ్లై విమానం గా అందించబడింది. ఈ విమానం 2011 లో ఫ్రెడరిచాఫెన్‌లో జరిగ"&amp;"ిన ఏరో షోలో ప్రవేశపెట్టబడింది. [1] సైలెంట్ 2 ఎలక్ట్రో అలిస్పోర్ట్ సైలెంట్ 2 టార్గా నుండి తీసుకోబడింది మరియు ప్రధానంగా దాని ముక్కు-మౌంటెడ్ ఎలక్ట్రిక్ మోటారు మరియు ప్రొపెల్లర్ మరియు అనుబంధ బ్యాటరీలు మరియు నియంత్రికలతో ఫ్రంట్ ఎలక్ట్రిక్ సస్టైనర్‌ను కలిగి ఉండ"&amp;"టానికి భిన్నంగా ఉంటుంది. దీనిని మొదట సైలెంట్ టార్గా ఇ అని పిలుస్తారు. [1] ఈ విమానం మిశ్రమాల నుండి తయారవుతుంది మరియు టి-తోకను కలిగి ఉంటుంది. రెక్కల తొక్కలు పల్ట్రెడ్ కార్బన్ ఫైబర్ స్పార్స్‌పై నిర్మించిన మిశ్రమ శాండ్‌విచ్ నుండి తయారవుతాయి. దాని 13.3 మీ (43."&amp;"6 అడుగులు) స్పాన్, ఎలిప్టికల్ ప్లాన్‌ఫార్మ్ వింగ్ 16% IMD 050 ఎయిర్‌ఫాయిల్‌ను ఉపయోగిస్తుంది, ఇది 8.9 m2 (96 చదరపు అడుగులు) మరియు ఫ్లేపెరాన్లను మౌంట్ చేస్తుంది. బబుల్ పందిరి ప్రాప్యత కోసం చిట్కాలు మరియు అంతర్నిర్మిత బిలం కలిగి ఉంటుంది. ల్యాండింగ్ గేర్‌లో మ"&amp;"ుడుచుకునే ప్రధాన మోనోహీల్ గేర్, స్థిర (లేదా ఐచ్ఛికంగా స్టీరబుల్) తోక చక్రం మరియు ఫెయిర్‌డ్ పాలిమర్ వింగ్ టిప్ వీల్స్ ఉంటాయి. 22 కిలోవాట్ల (30 హెచ్‌పి) ఎలక్ట్రిక్ మోటారు విమానం యొక్క గురుత్వాకర్షణ కేంద్రానికి సమీపంలో అమర్చిన రెండు లిథియం పాలిమర్ బ్యాటరీ ప్"&amp;"యాక్‌లతో పనిచేస్తుంది, మొత్తం 4.3 కిలోవాట్ల సామర్థ్యం మరియు 15.5 కిలోల (34.2 పౌండ్లు) బరువు ఉంటుంది. ముక్కు-మౌంటెడ్ ప్రొపెల్లర్ శక్తిని వర్తింపజేసినప్పుడు డ్రాగ్ మరియు స్వీయ-క్షీణతను తగ్గించడానికి శక్తినివ్వనప్పుడు విమానం యొక్క ముక్కుతో పాటు ముడుచుకుంటుంద"&amp;"ి. ప్రొపెల్లర్ మౌంటు స్థానం ముడుచుకునే పైలాన్ యొక్క అవసరాన్ని తొలగిస్తుంది మరియు విమానంలో ఎప్పుడైనా, తయారీ లేకుండా ఇంజిన్ యొక్క తక్షణ పున ar ప్రారంభాలను అనుమతిస్తుంది. [1] [2] తారుపై టేకాఫ్ దూరం 140 మీ (459 అడుగులు) మరియు ఇంజిన్ 2.0 m/s (400 ft/min) యొక్క"&amp;" ఆరోహణ రేటును ఇస్తుంది. [2] వరల్డ్ డైరెక్టరీ ఆఫ్ లీజర్ ఏవియేషన్ 2011–12 మరియు అలిస్పోర్ట్ [1] [2] సాధారణ లక్షణాల పనితీరు నుండి డేటా")</f>
        <v>అలిస్పోర్ట్ సైలెంట్ 2 ఎలెక్ట్రో ఒక ఇటాలియన్ మిడ్-వింగ్, సింగిల్-సీట్ మోటార్ గ్లైడర్, ఇది క్రెమెల్లా యొక్క అలిస్పోర్ట్ చేత రూపొందించబడింది మరియు ఉత్పత్తి చేయబడింది మరియు ఇది పూర్తి రెడీ-టు-ఫ్లై విమానం గా అందించబడింది. ఈ విమానం 2011 లో ఫ్రెడరిచాఫెన్‌లో జరిగిన ఏరో షోలో ప్రవేశపెట్టబడింది. [1] సైలెంట్ 2 ఎలక్ట్రో అలిస్పోర్ట్ సైలెంట్ 2 టార్గా నుండి తీసుకోబడింది మరియు ప్రధానంగా దాని ముక్కు-మౌంటెడ్ ఎలక్ట్రిక్ మోటారు మరియు ప్రొపెల్లర్ మరియు అనుబంధ బ్యాటరీలు మరియు నియంత్రికలతో ఫ్రంట్ ఎలక్ట్రిక్ సస్టైనర్‌ను కలిగి ఉండటానికి భిన్నంగా ఉంటుంది. దీనిని మొదట సైలెంట్ టార్గా ఇ అని పిలుస్తారు. [1] ఈ విమానం మిశ్రమాల నుండి తయారవుతుంది మరియు టి-తోకను కలిగి ఉంటుంది. రెక్కల తొక్కలు పల్ట్రెడ్ కార్బన్ ఫైబర్ స్పార్స్‌పై నిర్మించిన మిశ్రమ శాండ్‌విచ్ నుండి తయారవుతాయి. దాని 13.3 మీ (43.6 అడుగులు) స్పాన్, ఎలిప్టికల్ ప్లాన్‌ఫార్మ్ వింగ్ 16% IMD 050 ఎయిర్‌ఫాయిల్‌ను ఉపయోగిస్తుంది, ఇది 8.9 m2 (96 చదరపు అడుగులు) మరియు ఫ్లేపెరాన్లను మౌంట్ చేస్తుంది. బబుల్ పందిరి ప్రాప్యత కోసం చిట్కాలు మరియు అంతర్నిర్మిత బిలం కలిగి ఉంటుంది. ల్యాండింగ్ గేర్‌లో ముడుచుకునే ప్రధాన మోనోహీల్ గేర్, స్థిర (లేదా ఐచ్ఛికంగా స్టీరబుల్) తోక చక్రం మరియు ఫెయిర్‌డ్ పాలిమర్ వింగ్ టిప్ వీల్స్ ఉంటాయి. 22 కిలోవాట్ల (30 హెచ్‌పి) ఎలక్ట్రిక్ మోటారు విమానం యొక్క గురుత్వాకర్షణ కేంద్రానికి సమీపంలో అమర్చిన రెండు లిథియం పాలిమర్ బ్యాటరీ ప్యాక్‌లతో పనిచేస్తుంది, మొత్తం 4.3 కిలోవాట్ల సామర్థ్యం మరియు 15.5 కిలోల (34.2 పౌండ్లు) బరువు ఉంటుంది. ముక్కు-మౌంటెడ్ ప్రొపెల్లర్ శక్తిని వర్తింపజేసినప్పుడు డ్రాగ్ మరియు స్వీయ-క్షీణతను తగ్గించడానికి శక్తినివ్వనప్పుడు విమానం యొక్క ముక్కుతో పాటు ముడుచుకుంటుంది. ప్రొపెల్లర్ మౌంటు స్థానం ముడుచుకునే పైలాన్ యొక్క అవసరాన్ని తొలగిస్తుంది మరియు విమానంలో ఎప్పుడైనా, తయారీ లేకుండా ఇంజిన్ యొక్క తక్షణ పున ar ప్రారంభాలను అనుమతిస్తుంది. [1] [2] తారుపై టేకాఫ్ దూరం 140 మీ (459 అడుగులు) మరియు ఇంజిన్ 2.0 m/s (400 ft/min) యొక్క ఆరోహణ రేటును ఇస్తుంది. [2] వరల్డ్ డైరెక్టరీ ఆఫ్ లీజర్ ఏవియేషన్ 2011–12 మరియు అలిస్పోర్ట్ [1] [2] సాధారణ లక్షణాల పనితీరు నుండి డేటా</v>
      </c>
      <c r="E15" s="1" t="s">
        <v>380</v>
      </c>
      <c r="F15" s="1" t="s">
        <v>381</v>
      </c>
      <c r="G15" s="1" t="str">
        <f>IFERROR(__xludf.DUMMYFUNCTION("GOOGLETRANSLATE(F:F, ""en"", ""te"")"),"మోటార్ గ్లైడర్")</f>
        <v>మోటార్ గ్లైడర్</v>
      </c>
      <c r="H15" s="1" t="s">
        <v>382</v>
      </c>
      <c r="I15" s="1" t="s">
        <v>220</v>
      </c>
      <c r="J15" s="1" t="str">
        <f>IFERROR(__xludf.DUMMYFUNCTION("GOOGLETRANSLATE(I:I, ""en"", ""te"")"),"ఇటలీ")</f>
        <v>ఇటలీ</v>
      </c>
      <c r="L15" s="1" t="s">
        <v>383</v>
      </c>
      <c r="M15" s="1" t="str">
        <f>IFERROR(__xludf.DUMMYFUNCTION("GOOGLETRANSLATE(L:L, ""en"", ""te"")"),"అలిస్పోర్ట్")</f>
        <v>అలిస్పోర్ట్</v>
      </c>
      <c r="N15" s="3" t="s">
        <v>384</v>
      </c>
      <c r="S15" s="1" t="s">
        <v>133</v>
      </c>
      <c r="U15" s="1" t="s">
        <v>385</v>
      </c>
      <c r="V15" s="1" t="s">
        <v>386</v>
      </c>
      <c r="W15" s="1" t="s">
        <v>387</v>
      </c>
      <c r="X15" s="1" t="s">
        <v>388</v>
      </c>
      <c r="Y15" s="1" t="s">
        <v>389</v>
      </c>
      <c r="AB15" s="1" t="s">
        <v>390</v>
      </c>
      <c r="AD15" s="1" t="s">
        <v>391</v>
      </c>
      <c r="AF15" s="1" t="s">
        <v>392</v>
      </c>
      <c r="AG15" s="1" t="s">
        <v>393</v>
      </c>
      <c r="AK15" s="1">
        <v>2011.0</v>
      </c>
      <c r="AM15" s="1" t="s">
        <v>394</v>
      </c>
      <c r="AS15" s="1">
        <v>20.0</v>
      </c>
      <c r="AT15" s="1" t="s">
        <v>395</v>
      </c>
      <c r="AU15" s="1" t="s">
        <v>396</v>
      </c>
      <c r="AW15" s="1" t="s">
        <v>397</v>
      </c>
      <c r="AX15" s="1" t="s">
        <v>398</v>
      </c>
      <c r="BD15" s="1" t="s">
        <v>399</v>
      </c>
      <c r="BE15" s="1">
        <v>40.0</v>
      </c>
      <c r="BF15" s="1" t="s">
        <v>400</v>
      </c>
    </row>
    <row r="16">
      <c r="A16" s="1" t="s">
        <v>401</v>
      </c>
      <c r="B16" s="1" t="str">
        <f>IFERROR(__xludf.DUMMYFUNCTION("GOOGLETRANSLATE(A:A, ""en"", ""te"")"),"నావల్ రీసెర్చ్ లాబొరేటరీ ఫ్లైర్ట్")</f>
        <v>నావల్ రీసెర్చ్ లాబొరేటరీ ఫ్లైర్ట్</v>
      </c>
      <c r="C16" s="1" t="s">
        <v>402</v>
      </c>
      <c r="D16" s="1" t="str">
        <f>IFERROR(__xludf.DUMMYFUNCTION("GOOGLETRANSLATE(C:C, ""en"", ""te"")"),"నావల్ రీసెర్చ్ లాబొరేటరీ ఫ్లైర్ట్, లేదా ఫ్లయింగ్ రాడార్ టార్గెట్, యునైటెడ్ స్టేట్స్ నావల్ రీసెర్చ్ లాబొరేటరీ అభివృద్ధి చేసిన ఒక చిన్న విద్యుత్-శక్తితో పనిచేసే మానవరహిత వైమానిక వాహనం, ఇది యునైటెడ్ స్టేట్స్ నేవీ షిప్‌ల రక్షణ కోసం ఖర్చు చేయదగిన రాడార్ డికోయ్"&amp;"‌గా ఉపయోగపడుతుంది. 1993 పతనం లో పరీక్షించబడింది, ఇది విజయవంతమైంది, కానీ ఉత్పత్తిలోకి ఆదేశించబడలేదు. 1991 లో ప్రారంభమైంది, [1] ఫ్లైర్ట్ ప్రోగ్రామ్ రాడార్-గైడెడ్ యాంటిషిప్ క్షిపణులకు వ్యతిరేకంగా యుద్ధనౌకల రక్షణ కోసం, కొత్తగా వచ్చే మౌలిక సదుపాయాలు అవసరం లేని"&amp;" ఖర్చు చేయదగిన డికోయ్ డ్రోన్‌ను ఉత్పత్తి చేయడానికి ఉద్దేశించబడింది. [2] ఇది సాంప్రదాయిక కాన్ఫిగరేషన్‌కు చెందిన డ్రోన్‌ను ఉత్పత్తి చేసింది, తక్కువ-మౌంటెడ్, మడత రెక్క మరియు క్రూసిఫార్మ్ తోక విభాగాన్ని కలిగి ఉంది; విమానం యొక్క ముక్కులో ఎలక్ట్రిక్ మోటారును అమ"&amp;"ర్చారు. ప్రయోగం రాకెట్ బూస్టర్ ద్వారా, 1.6 సెకన్ల థ్రస్ట్‌ను అందిస్తుంది, [3] మార్క్ 36 SRBOC సిస్టమ్ యొక్క మార్క్ 137 లాంచర్ నుండి; [2] మార్క్ 36 లాంచర్ యొక్క ఉపయోగం డ్రోన్ యొక్క సాధ్యమైన పరిమాణంపై అడ్డంకినిచ్చింది, [ 4] ఇది ప్రామాణిక నాటో మార్క్ 36 చాఫ్"&amp;" రాకెట్ యొక్క పరిమాణాన్ని ప్యాకేజీగా కుదించడానికి రూపొందించబడింది. [2] తోక రెక్కలు ప్రారంభించిన వెంటనే విప్పుతాయి, అయితే వింగ్ బర్న్అవుట్ తర్వాత మోటారు ప్రారంభమవుతుంది మరియు విమానాలు బాలిస్టిక్ పథం యొక్క అపోజీకి వంగి ఉండటంతో. ఖర్చు చేయగల ఫ్లైర్ట్ ఎనిమీ రా"&amp;"డార్ సిగ్నల్స్ స్పూఫింగ్ కోసం రెండు యాంటెన్నాలతో రేడియో రిపీటర్‌ను తీసుకువెళ్ళింది. [3] లాంచర్ యొక్క అనుకూలతను ధృవీకరించడానికి బాలిస్టిక్ పరీక్షల శ్రేణిని అనుసరించి, [5] ఫ్లైర్ట్ ట్రయల్ ప్రోగ్రామ్ వాహనం యొక్క పూర్తి స్థాయి పరీక్షలకు తరలించబడింది, డ్రోన్ య"&amp;"ొక్క మొదటి ఫ్లైట్ 9 సెప్టెంబర్ 1993 న వస్తుంది. [6] ఈ కార్యక్రమం కోసం పదమూడు డ్రోన్లు నిర్మించబడ్డాయి, ఇది NRL యొక్క చెసాపీక్ బే డిటాచ్మెంట్ వద్ద నిర్వహించింది, ఇది విజయవంతమైంది; అయితే, ఉత్పత్తి చేపట్టలేదు. [3] పార్స్చ్ 2006 నుండి డేటా [3] పోల్చదగిన పాత్ర"&amp;", కాన్ఫిగరేషన్ మరియు ERA సంబంధిత జాబితాల సాధారణ లక్షణాల పనితీరు విమానం")</f>
        <v>నావల్ రీసెర్చ్ లాబొరేటరీ ఫ్లైర్ట్, లేదా ఫ్లయింగ్ రాడార్ టార్గెట్, యునైటెడ్ స్టేట్స్ నావల్ రీసెర్చ్ లాబొరేటరీ అభివృద్ధి చేసిన ఒక చిన్న విద్యుత్-శక్తితో పనిచేసే మానవరహిత వైమానిక వాహనం, ఇది యునైటెడ్ స్టేట్స్ నేవీ షిప్‌ల రక్షణ కోసం ఖర్చు చేయదగిన రాడార్ డికోయ్‌గా ఉపయోగపడుతుంది. 1993 పతనం లో పరీక్షించబడింది, ఇది విజయవంతమైంది, కానీ ఉత్పత్తిలోకి ఆదేశించబడలేదు. 1991 లో ప్రారంభమైంది, [1] ఫ్లైర్ట్ ప్రోగ్రామ్ రాడార్-గైడెడ్ యాంటిషిప్ క్షిపణులకు వ్యతిరేకంగా యుద్ధనౌకల రక్షణ కోసం, కొత్తగా వచ్చే మౌలిక సదుపాయాలు అవసరం లేని ఖర్చు చేయదగిన డికోయ్ డ్రోన్‌ను ఉత్పత్తి చేయడానికి ఉద్దేశించబడింది. [2] ఇది సాంప్రదాయిక కాన్ఫిగరేషన్‌కు చెందిన డ్రోన్‌ను ఉత్పత్తి చేసింది, తక్కువ-మౌంటెడ్, మడత రెక్క మరియు క్రూసిఫార్మ్ తోక విభాగాన్ని కలిగి ఉంది; విమానం యొక్క ముక్కులో ఎలక్ట్రిక్ మోటారును అమర్చారు. ప్రయోగం రాకెట్ బూస్టర్ ద్వారా, 1.6 సెకన్ల థ్రస్ట్‌ను అందిస్తుంది, [3] మార్క్ 36 SRBOC సిస్టమ్ యొక్క మార్క్ 137 లాంచర్ నుండి; [2] మార్క్ 36 లాంచర్ యొక్క ఉపయోగం డ్రోన్ యొక్క సాధ్యమైన పరిమాణంపై అడ్డంకినిచ్చింది, [ 4] ఇది ప్రామాణిక నాటో మార్క్ 36 చాఫ్ రాకెట్ యొక్క పరిమాణాన్ని ప్యాకేజీగా కుదించడానికి రూపొందించబడింది. [2] తోక రెక్కలు ప్రారంభించిన వెంటనే విప్పుతాయి, అయితే వింగ్ బర్న్అవుట్ తర్వాత మోటారు ప్రారంభమవుతుంది మరియు విమానాలు బాలిస్టిక్ పథం యొక్క అపోజీకి వంగి ఉండటంతో. ఖర్చు చేయగల ఫ్లైర్ట్ ఎనిమీ రాడార్ సిగ్నల్స్ స్పూఫింగ్ కోసం రెండు యాంటెన్నాలతో రేడియో రిపీటర్‌ను తీసుకువెళ్ళింది. [3] లాంచర్ యొక్క అనుకూలతను ధృవీకరించడానికి బాలిస్టిక్ పరీక్షల శ్రేణిని అనుసరించి, [5] ఫ్లైర్ట్ ట్రయల్ ప్రోగ్రామ్ వాహనం యొక్క పూర్తి స్థాయి పరీక్షలకు తరలించబడింది, డ్రోన్ యొక్క మొదటి ఫ్లైట్ 9 సెప్టెంబర్ 1993 న వస్తుంది. [6] ఈ కార్యక్రమం కోసం పదమూడు డ్రోన్లు నిర్మించబడ్డాయి, ఇది NRL యొక్క చెసాపీక్ బే డిటాచ్మెంట్ వద్ద నిర్వహించింది, ఇది విజయవంతమైంది; అయితే, ఉత్పత్తి చేపట్టలేదు. [3] పార్స్చ్ 2006 నుండి డేటా [3] పోల్చదగిన పాత్ర, కాన్ఫిగరేషన్ మరియు ERA సంబంధిత జాబితాల సాధారణ లక్షణాల పనితీరు విమానం</v>
      </c>
      <c r="E16" s="1" t="s">
        <v>403</v>
      </c>
      <c r="F16" s="1" t="s">
        <v>404</v>
      </c>
      <c r="G16" s="1" t="str">
        <f>IFERROR(__xludf.DUMMYFUNCTION("GOOGLETRANSLATE(F:F, ""en"", ""te"")"),"రాడార్ డికోయ్ డ్రోన్")</f>
        <v>రాడార్ డికోయ్ డ్రోన్</v>
      </c>
      <c r="I16" s="1" t="s">
        <v>127</v>
      </c>
      <c r="J16" s="1" t="str">
        <f>IFERROR(__xludf.DUMMYFUNCTION("GOOGLETRANSLATE(I:I, ""en"", ""te"")"),"సంయుక్త రాష్ట్రాలు")</f>
        <v>సంయుక్త రాష్ట్రాలు</v>
      </c>
      <c r="L16" s="1" t="s">
        <v>405</v>
      </c>
      <c r="M16" s="1" t="str">
        <f>IFERROR(__xludf.DUMMYFUNCTION("GOOGLETRANSLATE(L:L, ""en"", ""te"")"),"నావల్ రీసెర్చ్ లాబొరేటరీ")</f>
        <v>నావల్ రీసెర్చ్ లాబొరేటరీ</v>
      </c>
      <c r="N16" s="1" t="s">
        <v>406</v>
      </c>
      <c r="Q16" s="1">
        <v>13.0</v>
      </c>
      <c r="S16" s="1" t="s">
        <v>407</v>
      </c>
      <c r="T16" s="1" t="s">
        <v>408</v>
      </c>
      <c r="V16" s="1" t="s">
        <v>409</v>
      </c>
      <c r="Y16" s="1" t="s">
        <v>410</v>
      </c>
      <c r="AJ16" s="5">
        <v>34221.0</v>
      </c>
      <c r="AP16" s="1" t="s">
        <v>411</v>
      </c>
      <c r="BH16" s="1" t="s">
        <v>412</v>
      </c>
      <c r="BI16" s="1" t="s">
        <v>413</v>
      </c>
    </row>
    <row r="17">
      <c r="A17" s="1" t="s">
        <v>414</v>
      </c>
      <c r="B17" s="1" t="str">
        <f>IFERROR(__xludf.DUMMYFUNCTION("GOOGLETRANSLATE(A:A, ""en"", ""te"")"),"రిపబ్లిక్ SD-4 స్వాలో")</f>
        <v>రిపబ్లిక్ SD-4 స్వాలో</v>
      </c>
      <c r="C17" s="1" t="s">
        <v>415</v>
      </c>
      <c r="D17" s="1" t="str">
        <f>IFERROR(__xludf.DUMMYFUNCTION("GOOGLETRANSLATE(C:C, ""en"", ""te"")"),"రిపబ్లిక్ SD-4 స్వాలో అనేది యునైటెడ్ స్టేట్స్ ఆర్మీ కోసం రిపబ్లిక్ ఏవియేషన్ అభివృద్ధి చేసిన ప్రారంభ హై-స్పీడ్ నిఘా డ్రోన్. వ్యూహాత్మక బాలిస్టిక్ క్షిపణులను లక్ష్యంగా చేసుకోవడానికి యు.ఎస్. ఆర్మీ సిగ్నల్ కార్ప్స్ ఉపయోగం కోసం ఉద్దేశించినది, మొదటి నమూనా పూర్త"&amp;"య్యే ముందు ఇది రద్దు చేయబడింది మరియు కార్యాచరణ సేవను చూడలేదు. సైన్యం యొక్క వ్యూహాత్మక బాలిస్టిక్ క్షిపణి శక్తికి లక్ష్య సమాచారాన్ని అందించడానికి హై-స్పీడ్, లాంగ్-రేంజ్ రికనైసెన్స్ డ్రోన్ అభివృద్ధి కోసం 1960 లో యు.ఎస్. ఆర్మీ ఒప్పందాలను ప్రదానం చేసింది; అవస"&amp;"రం కోసం పోటీ నమూనాలను రిపబ్లిక్ ఏవియేషన్ అభివృద్ధి చేసింది, ఇది SD-4 స్వాలో అనే హోదాను ఇచ్చిన 'క్లీన్-షీట్' విమానాన్ని ప్రతిపాదించింది, మరియు ఫెయిర్‌చైల్డ్ విమానాలు, ఇది ఎద్దు గూస్ డికోయ్ క్షిపణి యొక్క వైవిధ్యాన్ని SD-5 ఓస్ప్రేగా అభివృద్ధి చేసింది [[[[ 1]"&amp;" దాని మొత్తం వ్యవస్థకు పూర్తి హోదా AN/USD-4 కారణంగా, [2] SD-4 టైలెస్ డెల్టా కాన్ఫిగరేషన్, [1] ప్రాట్ &amp; విట్నీ J60 టర్బోజెట్ అందించిన శక్తితో, పౌర JT12 ఇంజిన్ యొక్క సైనిక వెర్షన్; . రిపబ్లిక్ యొక్క చిన్న SD-3 డ్రోన్‌కు సమానమైన పద్ధతిలో, మిషన్ అవసరాలను బట్ట"&amp;"ి ఏరియల్ ఫోటోగ్రఫి, ఇన్ఫ్రారెడ్ ఫోటోగ్రఫి లేదా రాడార్ వ్యవస్థలను వ్యవస్థాపించడానికి అనుమతించే మార్చుకోగలిగిన ముక్కు విభాగంతో స్వాలో అమర్చారు. [4] ఏదైనా వాతావరణ పరిస్థితులలో పనిచేయగల సామర్థ్యం, ​​[5] SD-4 యొక్క మిషన్ పూర్తయిన తరువాత రికవరీ పారాచూట్ ద్వారా "&amp;"ఉండాలి. [4] ఏదైనా విమాన పరీక్ష వాహనాలు నిర్మించబడటానికి ముందు, [1] ఖర్చు అడ్డంకుల కారణంగా ఈ కార్యక్రమం 1961 జనవరిలో రద్దు చేయబడింది. [6] పార్స్ 2004 నుండి వచ్చిన డేటా [2] సాధారణ లక్షణాలు పనితీరు SD-4 మరియు SD-5 సబ్‌సోనిక్ అని పేర్కొంది. [1] పోల్చదగిన పాత్"&amp;"ర, కాన్ఫిగరేషన్ మరియు ERA సంబంధిత జాబితా అనులేఖనాల గ్రంథ పట్టిక")</f>
        <v>రిపబ్లిక్ SD-4 స్వాలో అనేది యునైటెడ్ స్టేట్స్ ఆర్మీ కోసం రిపబ్లిక్ ఏవియేషన్ అభివృద్ధి చేసిన ప్రారంభ హై-స్పీడ్ నిఘా డ్రోన్. వ్యూహాత్మక బాలిస్టిక్ క్షిపణులను లక్ష్యంగా చేసుకోవడానికి యు.ఎస్. ఆర్మీ సిగ్నల్ కార్ప్స్ ఉపయోగం కోసం ఉద్దేశించినది, మొదటి నమూనా పూర్తయ్యే ముందు ఇది రద్దు చేయబడింది మరియు కార్యాచరణ సేవను చూడలేదు. సైన్యం యొక్క వ్యూహాత్మక బాలిస్టిక్ క్షిపణి శక్తికి లక్ష్య సమాచారాన్ని అందించడానికి హై-స్పీడ్, లాంగ్-రేంజ్ రికనైసెన్స్ డ్రోన్ అభివృద్ధి కోసం 1960 లో యు.ఎస్. ఆర్మీ ఒప్పందాలను ప్రదానం చేసింది; అవసరం కోసం పోటీ నమూనాలను రిపబ్లిక్ ఏవియేషన్ అభివృద్ధి చేసింది, ఇది SD-4 స్వాలో అనే హోదాను ఇచ్చిన 'క్లీన్-షీట్' విమానాన్ని ప్రతిపాదించింది, మరియు ఫెయిర్‌చైల్డ్ విమానాలు, ఇది ఎద్దు గూస్ డికోయ్ క్షిపణి యొక్క వైవిధ్యాన్ని SD-5 ఓస్ప్రేగా అభివృద్ధి చేసింది [[[[ 1] దాని మొత్తం వ్యవస్థకు పూర్తి హోదా AN/USD-4 కారణంగా, [2] SD-4 టైలెస్ డెల్టా కాన్ఫిగరేషన్, [1] ప్రాట్ &amp; విట్నీ J60 టర్బోజెట్ అందించిన శక్తితో, పౌర JT12 ఇంజిన్ యొక్క సైనిక వెర్షన్; . రిపబ్లిక్ యొక్క చిన్న SD-3 డ్రోన్‌కు సమానమైన పద్ధతిలో, మిషన్ అవసరాలను బట్టి ఏరియల్ ఫోటోగ్రఫి, ఇన్ఫ్రారెడ్ ఫోటోగ్రఫి లేదా రాడార్ వ్యవస్థలను వ్యవస్థాపించడానికి అనుమతించే మార్చుకోగలిగిన ముక్కు విభాగంతో స్వాలో అమర్చారు. [4] ఏదైనా వాతావరణ పరిస్థితులలో పనిచేయగల సామర్థ్యం, ​​[5] SD-4 యొక్క మిషన్ పూర్తయిన తరువాత రికవరీ పారాచూట్ ద్వారా ఉండాలి. [4] ఏదైనా విమాన పరీక్ష వాహనాలు నిర్మించబడటానికి ముందు, [1] ఖర్చు అడ్డంకుల కారణంగా ఈ కార్యక్రమం 1961 జనవరిలో రద్దు చేయబడింది. [6] పార్స్ 2004 నుండి వచ్చిన డేటా [2] సాధారణ లక్షణాలు పనితీరు SD-4 మరియు SD-5 సబ్‌సోనిక్ అని పేర్కొంది. [1] పోల్చదగిన పాత్ర, కాన్ఫిగరేషన్ మరియు ERA సంబంధిత జాబితా అనులేఖనాల గ్రంథ పట్టిక</v>
      </c>
      <c r="F17" s="1" t="s">
        <v>416</v>
      </c>
      <c r="G17" s="1" t="str">
        <f>IFERROR(__xludf.DUMMYFUNCTION("GOOGLETRANSLATE(F:F, ""en"", ""te"")"),"నిఘా డ్రోన్")</f>
        <v>నిఘా డ్రోన్</v>
      </c>
      <c r="I17" s="1" t="s">
        <v>127</v>
      </c>
      <c r="J17" s="1" t="str">
        <f>IFERROR(__xludf.DUMMYFUNCTION("GOOGLETRANSLATE(I:I, ""en"", ""te"")"),"సంయుక్త రాష్ట్రాలు")</f>
        <v>సంయుక్త రాష్ట్రాలు</v>
      </c>
      <c r="L17" s="1" t="s">
        <v>417</v>
      </c>
      <c r="M17" s="1" t="str">
        <f>IFERROR(__xludf.DUMMYFUNCTION("GOOGLETRANSLATE(L:L, ""en"", ""te"")"),"రిపబ్లిక్ ఏవియేషన్")</f>
        <v>రిపబ్లిక్ ఏవియేషన్</v>
      </c>
      <c r="N17" s="1" t="s">
        <v>418</v>
      </c>
      <c r="Q17" s="1">
        <v>0.0</v>
      </c>
      <c r="S17" s="1" t="s">
        <v>407</v>
      </c>
      <c r="U17" s="1" t="s">
        <v>419</v>
      </c>
      <c r="V17" s="1" t="s">
        <v>420</v>
      </c>
      <c r="Y17" s="1" t="s">
        <v>421</v>
      </c>
      <c r="AA17" s="1" t="s">
        <v>422</v>
      </c>
      <c r="AE17" s="1" t="s">
        <v>423</v>
      </c>
      <c r="AP17" s="1" t="s">
        <v>424</v>
      </c>
      <c r="AR17" s="1" t="s">
        <v>425</v>
      </c>
      <c r="BH17" s="1" t="s">
        <v>426</v>
      </c>
      <c r="BI17" s="1" t="s">
        <v>427</v>
      </c>
    </row>
    <row r="18">
      <c r="A18" s="1" t="s">
        <v>428</v>
      </c>
      <c r="B18" s="1" t="str">
        <f>IFERROR(__xludf.DUMMYFUNCTION("GOOGLETRANSLATE(A:A, ""en"", ""te"")"),"STEMAL III")</f>
        <v>STEMAL III</v>
      </c>
      <c r="C18" s="1" t="s">
        <v>429</v>
      </c>
      <c r="D18" s="1" t="str">
        <f>IFERROR(__xludf.DUMMYFUNCTION("GOOGLETRANSLATE(C:C, ""en"", ""te"")"),"సెమాల్ III అనేది వేరియబుల్ కాంబర్ ఉన్న రెక్క కోసం పారాసోల్ వింగ్ టెస్ట్ బెడ్, ఇది విమానాల వేగ పరిధిని పెంచడానికి మరియు ల్యాండింగ్ వేగాన్ని తగ్గించడానికి ఉద్దేశించబడింది. ఇది ఒక న్యూపోర్ట్ 80 ఆధారంగా రూపొందించబడింది. స్టీఫన్ మాలినోవ్స్కీ యొక్క అనేక విమాన న"&amp;"మూనాలు అన్నీ స్టెమల్ అని పేరు పెట్టబడ్డాయి, అతని పేర్ల యొక్క మొదటి అక్షరాలు కలిసి ఉన్నాయి. స్టెమల్ III వేరియబుల్ కాంబర్ రెక్కలను ఉపయోగించి విమానాల వేగ శ్రేణిని విస్తరించడానికి అతని ఆలోచనల కోసం ఒక పరీక్ష-మంచం, ఇది మొదటి ప్రపంచ యుద్ధం ప్రారంభంలో అభివృద్ధి చ"&amp;"ెందడం ప్రారంభించాడు, అదే సమయంలో గుస్టావ్ ఈఫిల్ విండ్ టన్నెల్ ఫలితాలను అధ్యయనం చేస్తాడు [1] లిఫ్ట్‌లో కేంబర్డ్ ఏరోఫాయిల్ విభాగాల ద్వారా ఉత్పత్తి అవుతుంది. అతని మొదటి ప్రయోగాలు సవరించిన కాడ్రాన్ వింగ్‌తో ఉన్నాయి, కాని అతను ఉపయోగించిన బాహ్య విధానం డ్రాగ్‌ను "&amp;"ఆమోదయోగ్యం కాని విధంగా పెంచింది. బదులుగా, అతను పక్కటెముకలతో ఒక రెక్కను అభివృద్ధి చేశాడు, ఇవి ప్రధానమైన, ముందుకు, స్పార్, అంతర్గత, వెనుక స్పార్, వాటిని వంగడానికి కామ్-ఆధారిత యంత్రాంగాన్ని కలిగి ఉన్నాయి. [2] మాలింకోవ్స్కీ ఇటలీలోని విండ్ టన్నెల్స్లో ఏరోడైనమి"&amp;"క్ పరీక్షలు ఉన్నప్పటికీ పరికరాన్ని తీసుకున్నాడు మరియు టురిన్లో అన్సాల్డోతో కొన్ని ప్రారంభ ఆచరణాత్మక పరీక్షలు చేశాడు, ఇవన్నీ ప్రోత్సాహకరమైన ఫలితాలతో. నిర్మాణ మరియు కార్యాచరణ పరీక్షల కోసం మొట్టమొదటి పూర్తి స్థాయి వింగ్ ప్యానెల్ 1921 లో బైడ్గోజ్జ్జ్ వద్ద, అక"&amp;"్కడ మిలిటరీ ఫ్లయింగ్ స్కూల్ యొక్క వర్క్‌షాప్‌లలో నిర్మించబడింది. ఫలితంగా మాలింకోవ్స్కీ పూర్తి విభాగాన్ని నిర్మించడానికి మరియు ఎగరడానికి వైమానిక నావిగేషన్ విభాగం నుండి మద్దతు పొందాడు. [2] పరీక్ష విమానం మొదట న్యూపోర్ట్ 80 బిప్‌లేన్‌గా నిర్మించబడింది, ఇది న్"&amp;"యూపోర్ట్ 12 ఫైటర్ ఎయిర్‌క్రాఫ్ట్ యొక్క రెండు సీట్ల ట్రైనర్ వేరియంట్. దాని రెక్కలు మరియు వెనుక కాక్‌పిట్ తొలగించబడి, కొత్త ఎంపెనేజ్‌తో, దీనిని పారాసోల్ వింగ్ మోనోప్లేన్‌గా మార్చారు. మాలినోవ్స్కీ రెక్కలు ప్రతి వైపు ఫ్యూజ్‌లేజ్‌పై రెండు బాహ్య-వాలుగా ఉన్న విల"&amp;"ోమ విలకమైన వి-స్ట్రట్‌లతో ఎగువ ఫ్యూజ్‌లేజ్ నుండి ముందు మరియు వెనుక స్పార్‌లు మరియు వైర్-బ్రెస్డ్ పైన మరియు వింగ్ సెంటర్ పైన ఉన్న స్ట్రట్ పిరమిడ్ నుండి మరియు దిగువ ఫ్యూజ్‌లేజ్ నుండి వైర్లతో క్రింద వైర్-బ్రెడ్ దీర్ఘకాలిక. కాంబర్ మార్పులు రెక్క యొక్క మధ్య భా"&amp;"గానికి పరిమితం చేయబడ్డాయి, తద్వారా ఐలెరాన్లు ప్రభావితం కాలేదు. [2] జెర్జీ కోసోవ్స్కీ చేత పైలట్ చేయబడిన, స్టెమల్ III ఆగస్టు 1922 చివరలో మొదటిసారిగా ఎగిరింది. తరువాతి పరీక్షలు మంచి ఫలితాలను ఇచ్చాయి, టేకాఫ్ మరియు ల్యాండింగ్ దూరాలు సగానికి సగం, ఆరోహణ రేటు 33%"&amp;" మరియు సేవా పైకప్పును 20% పెంచింది. దాని స్టాలింగ్ వేగం కాంబర్ లేకుండా 70 కిమీ/గం (43 mph; 38 kn) నుండి కాంబర్ మరియు దాని స్పీడ్ రేంజ్, 1: 3.4 తో 48 కిమీ/గం (30 mph; 26 kn) కు తగ్గించబడింది. దాని సమకాలీనులలో. [2] ఈ పరీక్షలు కొంత ఆసక్తిని కలిగించాయి, ముఖ్య"&amp;"ంగా 1924 లో పారిస్‌లోని ఏరోడైనమిక్స్ (S.T.Aè) సాంకేతిక సేవల్లో, ఇదే విధమైన రెక్క యొక్క హాన్రియోట్ చేసిన అధ్యయనాలకు దారితీసింది. 1925 లో, వార్సా టెక్నికల్ విశ్వవిద్యాలయం ఒక వింగ్లో ఎక్కువ కాంబర్ పరిధిని దాని పూర్తి వ్యవధిలో వింగ్లో ఎయిర్-టన్నెల్ కొలతలను చే"&amp;"సింది, ఇది సరళీకృత యంత్రాంగాన్ని నియంత్రించబడుతుంది. [2] స్టెమల్ III కాకుండా, వేరియబుల్-కాంబర్ వింగ్‌ను చేర్చడానికి ఇతర విమానాలు మాలినోవ్స్కీ యొక్క డిజియాబా, అత్యంత ప్రతిష్టాత్మక ఎగిరే వింగ్ గ్లైడర్. ఇది ఆగష్టు 1923 లో జరిగిన రెండవ పోలిష్ గ్లైడర్ పోటీలో ప"&amp;"ోటీ పడి ఉండాలి. ఇది హాజరైంది, కానీ దాని మొదటి ప్రయోగానికి పరుగులు తీసింది మరియు పోటీ ముగిసేలోపు మరమ్మతులు చేయబడినప్పటికీ, గాలి లేకపోవడం దానిపై ఉంచింది గ్రౌండ్. [3] నిధుల సమస్యలు మాలినోవ్స్కీ చేత రెక్కల అభివృద్ధిని పరిమితం చేశాయి మరియు అతను నవంబర్ 1925 లో "&amp;"తన పేటెంట్లను విక్రయించినప్పటికీ, వాటిలో ఇంకేమీ చేయలేదు. [2] సింక్ (1971) [2] పనితీరు నుండి డేటా కాంబర్ మార్పు లేకుండా పనితీరును గుర్తించడం తప్ప")</f>
        <v>సెమాల్ III అనేది వేరియబుల్ కాంబర్ ఉన్న రెక్క కోసం పారాసోల్ వింగ్ టెస్ట్ బెడ్, ఇది విమానాల వేగ పరిధిని పెంచడానికి మరియు ల్యాండింగ్ వేగాన్ని తగ్గించడానికి ఉద్దేశించబడింది. ఇది ఒక న్యూపోర్ట్ 80 ఆధారంగా రూపొందించబడింది. స్టీఫన్ మాలినోవ్స్కీ యొక్క అనేక విమాన నమూనాలు అన్నీ స్టెమల్ అని పేరు పెట్టబడ్డాయి, అతని పేర్ల యొక్క మొదటి అక్షరాలు కలిసి ఉన్నాయి. స్టెమల్ III వేరియబుల్ కాంబర్ రెక్కలను ఉపయోగించి విమానాల వేగ శ్రేణిని విస్తరించడానికి అతని ఆలోచనల కోసం ఒక పరీక్ష-మంచం, ఇది మొదటి ప్రపంచ యుద్ధం ప్రారంభంలో అభివృద్ధి చెందడం ప్రారంభించాడు, అదే సమయంలో గుస్టావ్ ఈఫిల్ విండ్ టన్నెల్ ఫలితాలను అధ్యయనం చేస్తాడు [1] లిఫ్ట్‌లో కేంబర్డ్ ఏరోఫాయిల్ విభాగాల ద్వారా ఉత్పత్తి అవుతుంది. అతని మొదటి ప్రయోగాలు సవరించిన కాడ్రాన్ వింగ్‌తో ఉన్నాయి, కాని అతను ఉపయోగించిన బాహ్య విధానం డ్రాగ్‌ను ఆమోదయోగ్యం కాని విధంగా పెంచింది. బదులుగా, అతను పక్కటెముకలతో ఒక రెక్కను అభివృద్ధి చేశాడు, ఇవి ప్రధానమైన, ముందుకు, స్పార్, అంతర్గత, వెనుక స్పార్, వాటిని వంగడానికి కామ్-ఆధారిత యంత్రాంగాన్ని కలిగి ఉన్నాయి. [2] మాలింకోవ్స్కీ ఇటలీలోని విండ్ టన్నెల్స్లో ఏరోడైనమిక్ పరీక్షలు ఉన్నప్పటికీ పరికరాన్ని తీసుకున్నాడు మరియు టురిన్లో అన్సాల్డోతో కొన్ని ప్రారంభ ఆచరణాత్మక పరీక్షలు చేశాడు, ఇవన్నీ ప్రోత్సాహకరమైన ఫలితాలతో. నిర్మాణ మరియు కార్యాచరణ పరీక్షల కోసం మొట్టమొదటి పూర్తి స్థాయి వింగ్ ప్యానెల్ 1921 లో బైడ్గోజ్జ్జ్ వద్ద, అక్కడ మిలిటరీ ఫ్లయింగ్ స్కూల్ యొక్క వర్క్‌షాప్‌లలో నిర్మించబడింది. ఫలితంగా మాలింకోవ్స్కీ పూర్తి విభాగాన్ని నిర్మించడానికి మరియు ఎగరడానికి వైమానిక నావిగేషన్ విభాగం నుండి మద్దతు పొందాడు. [2] పరీక్ష విమానం మొదట న్యూపోర్ట్ 80 బిప్‌లేన్‌గా నిర్మించబడింది, ఇది న్యూపోర్ట్ 12 ఫైటర్ ఎయిర్‌క్రాఫ్ట్ యొక్క రెండు సీట్ల ట్రైనర్ వేరియంట్. దాని రెక్కలు మరియు వెనుక కాక్‌పిట్ తొలగించబడి, కొత్త ఎంపెనేజ్‌తో, దీనిని పారాసోల్ వింగ్ మోనోప్లేన్‌గా మార్చారు. మాలినోవ్స్కీ రెక్కలు ప్రతి వైపు ఫ్యూజ్‌లేజ్‌పై రెండు బాహ్య-వాలుగా ఉన్న విలోమ విలకమైన వి-స్ట్రట్‌లతో ఎగువ ఫ్యూజ్‌లేజ్ నుండి ముందు మరియు వెనుక స్పార్‌లు మరియు వైర్-బ్రెస్డ్ పైన మరియు వింగ్ సెంటర్ పైన ఉన్న స్ట్రట్ పిరమిడ్ నుండి మరియు దిగువ ఫ్యూజ్‌లేజ్ నుండి వైర్లతో క్రింద వైర్-బ్రెడ్ దీర్ఘకాలిక. కాంబర్ మార్పులు రెక్క యొక్క మధ్య భాగానికి పరిమితం చేయబడ్డాయి, తద్వారా ఐలెరాన్లు ప్రభావితం కాలేదు. [2] జెర్జీ కోసోవ్స్కీ చేత పైలట్ చేయబడిన, స్టెమల్ III ఆగస్టు 1922 చివరలో మొదటిసారిగా ఎగిరింది. తరువాతి పరీక్షలు మంచి ఫలితాలను ఇచ్చాయి, టేకాఫ్ మరియు ల్యాండింగ్ దూరాలు సగానికి సగం, ఆరోహణ రేటు 33% మరియు సేవా పైకప్పును 20% పెంచింది. దాని స్టాలింగ్ వేగం కాంబర్ లేకుండా 70 కిమీ/గం (43 mph; 38 kn) నుండి కాంబర్ మరియు దాని స్పీడ్ రేంజ్, 1: 3.4 తో 48 కిమీ/గం (30 mph; 26 kn) కు తగ్గించబడింది. దాని సమకాలీనులలో. [2] ఈ పరీక్షలు కొంత ఆసక్తిని కలిగించాయి, ముఖ్యంగా 1924 లో పారిస్‌లోని ఏరోడైనమిక్స్ (S.T.Aè) సాంకేతిక సేవల్లో, ఇదే విధమైన రెక్క యొక్క హాన్రియోట్ చేసిన అధ్యయనాలకు దారితీసింది. 1925 లో, వార్సా టెక్నికల్ విశ్వవిద్యాలయం ఒక వింగ్లో ఎక్కువ కాంబర్ పరిధిని దాని పూర్తి వ్యవధిలో వింగ్లో ఎయిర్-టన్నెల్ కొలతలను చేసింది, ఇది సరళీకృత యంత్రాంగాన్ని నియంత్రించబడుతుంది. [2] స్టెమల్ III కాకుండా, వేరియబుల్-కాంబర్ వింగ్‌ను చేర్చడానికి ఇతర విమానాలు మాలినోవ్స్కీ యొక్క డిజియాబా, అత్యంత ప్రతిష్టాత్మక ఎగిరే వింగ్ గ్లైడర్. ఇది ఆగష్టు 1923 లో జరిగిన రెండవ పోలిష్ గ్లైడర్ పోటీలో పోటీ పడి ఉండాలి. ఇది హాజరైంది, కానీ దాని మొదటి ప్రయోగానికి పరుగులు తీసింది మరియు పోటీ ముగిసేలోపు మరమ్మతులు చేయబడినప్పటికీ, గాలి లేకపోవడం దానిపై ఉంచింది గ్రౌండ్. [3] నిధుల సమస్యలు మాలినోవ్స్కీ చేత రెక్కల అభివృద్ధిని పరిమితం చేశాయి మరియు అతను నవంబర్ 1925 లో తన పేటెంట్లను విక్రయించినప్పటికీ, వాటిలో ఇంకేమీ చేయలేదు. [2] సింక్ (1971) [2] పనితీరు నుండి డేటా కాంబర్ మార్పు లేకుండా పనితీరును గుర్తించడం తప్ప</v>
      </c>
      <c r="F18" s="1" t="s">
        <v>430</v>
      </c>
      <c r="G18" s="1" t="str">
        <f>IFERROR(__xludf.DUMMYFUNCTION("GOOGLETRANSLATE(F:F, ""en"", ""te"")"),"ప్రయోగాత్మక విమానం")</f>
        <v>ప్రయోగాత్మక విమానం</v>
      </c>
      <c r="I18" s="1" t="s">
        <v>431</v>
      </c>
      <c r="J18" s="1" t="str">
        <f>IFERROR(__xludf.DUMMYFUNCTION("GOOGLETRANSLATE(I:I, ""en"", ""te"")"),"పోలాండ్")</f>
        <v>పోలాండ్</v>
      </c>
      <c r="K18" s="3" t="s">
        <v>432</v>
      </c>
      <c r="Q18" s="1">
        <v>1.0</v>
      </c>
      <c r="S18" s="1" t="s">
        <v>433</v>
      </c>
      <c r="U18" s="1" t="s">
        <v>434</v>
      </c>
      <c r="V18" s="1" t="s">
        <v>435</v>
      </c>
      <c r="W18" s="1" t="s">
        <v>436</v>
      </c>
      <c r="X18" s="1" t="s">
        <v>437</v>
      </c>
      <c r="Y18" s="1" t="s">
        <v>438</v>
      </c>
      <c r="AA18" s="1" t="s">
        <v>439</v>
      </c>
      <c r="AB18" s="1" t="s">
        <v>440</v>
      </c>
      <c r="AD18" s="1" t="s">
        <v>441</v>
      </c>
      <c r="AH18" s="1" t="s">
        <v>442</v>
      </c>
      <c r="AJ18" s="1" t="s">
        <v>443</v>
      </c>
      <c r="AP18" s="1" t="s">
        <v>444</v>
      </c>
      <c r="AR18" s="1" t="s">
        <v>445</v>
      </c>
      <c r="BJ18" s="1" t="s">
        <v>446</v>
      </c>
      <c r="BK18" s="1" t="s">
        <v>447</v>
      </c>
      <c r="BL18" s="1" t="s">
        <v>448</v>
      </c>
    </row>
    <row r="19">
      <c r="A19" s="1" t="s">
        <v>449</v>
      </c>
      <c r="B19" s="1" t="str">
        <f>IFERROR(__xludf.DUMMYFUNCTION("GOOGLETRANSLATE(A:A, ""en"", ""te"")"),"కమాన్ కె -16 బి")</f>
        <v>కమాన్ కె -16 బి</v>
      </c>
      <c r="C19" s="1" t="s">
        <v>450</v>
      </c>
      <c r="D19" s="1" t="str">
        <f>IFERROR(__xludf.DUMMYFUNCTION("GOOGLETRANSLATE(C:C, ""en"", ""te"")"),"కమాన్ కె -16 బి అనేది ప్రయోగాత్మక నిలువు-టేకాఫ్-అండ్-ల్యాండింగ్ విమానం, ఇది టిల్ట్‌వింగ్ భావనను అంచనా వేయడానికి 1959 లో యునైటెడ్ స్టేట్స్ నేవీ కోసం కమాన్ విమానం నిర్మించింది. గ్రుమ్మన్ గూస్ ఉభయచరం నుండి మార్చబడిన K-16B విస్తృతమైన విండ్ టన్నెల్ మరియు టెథర్"&amp;"డ్ టెస్టింగ్ చేయించుకుంది, కాని 1962 లో ఈ ప్రాజెక్ట్ ముగిసేలోపు ఎగరలేదు. 1950 ల చివరలో, నిలువు టేకాఫ్ మరియు ల్యాండింగ్ భావనపై విస్తృతమైన ఆసక్తి ఉంది, బహుళ ప్రయోగాత్మక రకాలు సంభావ్య సేవ కోసం సాంకేతికతను అభివృద్ధి చేయమని ఆదేశించారు. యునైటెడ్ స్టేట్స్ నావికా"&amp;"దళం కనెక్టికట్‌లోని బ్లూమ్‌ఫీల్డ్‌లోని కమాన్ ఎయిర్‌క్రాఫ్ట్‌తో ఒప్పందం కుదుర్చుకుంది, టిల్ట్‌వింగ్ విమానాల కోసం కంపెనీ 'రోటార్‌ప్రాప్' భావన ఆధారంగా టెస్ట్‌బెడ్‌ను నిర్మించడానికి, [1] ఒక గ్రుమ్మన్ జెఆర్ఎఫ్ -5 గూస్ ఉభయచరాలు మరియు ఇప్పటికే ఉన్న ఇతర భాగాలను ఉ"&amp;"పయోగించడం . [[ గూస్ యొక్క ఫ్యూజ్‌లేజ్ మరియు తోక కొత్త టిల్టింగ్ వింగ్ మరియు ఇంజిన్ కాన్ఫిగరేషన్‌కు జతచేయబడ్డాయి; [3] అనుమతించబడిన గరిష్ట కోణం 50 డిగ్రీలు మాత్రమే; తక్కువ కోణం ఉన్నప్పటికీ VTOL కార్యకలాపాలను అనుమతించడానికి రోటర్‌ప్రోప్ తగినంత థ్రస్ట్‌ను అంద"&amp;"ిస్తుందని భావించారు. [1] 1959 చివరలో పంపిణీ చేయబడిన, K-16B టిల్ట్‌వింగ్ కాన్ఫిగరేషన్ యొక్క ఏరోడైనమిక్ లక్షణాలను అంచనా వేయడానికి కొన్ని టెథర్డ్ హాప్‌లతో పాటు విస్తృతమైన విండ్ టన్నెల్ పరీక్షకు గురైంది. [4] విమాన పరీక్ష మొదట 1960 చివరలో ప్రారంభమవుతుందని ated"&amp;" హించబడింది, [2] అయితే ఈ ప్రాథమిక పరీక్షలు 1962 వరకు కొనసాగాయి. [5] ఆ సంవత్సరం ఈ ప్రాజెక్ట్ దాని మొదటి ఉచిత ఫ్లైట్ నిర్వహించకపోవడంతో విమానం రద్దు చేయబడింది. [4] కనెక్టికట్‌లోని విండ్సర్ లాక్‌లలోని న్యూ ఇంగ్లాండ్ ఎయిర్ మ్యూజియంలో K-16B ప్రోటోటైప్ ప్రదర్శనల"&amp;"ో ఉంది. [4] జేన్ యొక్క 1959-1960 [2] మరియు న్యూ ఇంగ్లాండ్ ఎయిర్ మ్యూజియం నుండి డేటా. [4] అన్ని పనితీరు డేటా అంచనా. సాధారణ లక్షణాలు పనితీరు సంబంధిత అభివృద్ధి అభివృద్ధి విమానం పోల్చదగిన పాత్ర, కాన్ఫిగరేషన్ మరియు ERA సంబంధిత జాబితాలు")</f>
        <v>కమాన్ కె -16 బి అనేది ప్రయోగాత్మక నిలువు-టేకాఫ్-అండ్-ల్యాండింగ్ విమానం, ఇది టిల్ట్‌వింగ్ భావనను అంచనా వేయడానికి 1959 లో యునైటెడ్ స్టేట్స్ నేవీ కోసం కమాన్ విమానం నిర్మించింది. గ్రుమ్మన్ గూస్ ఉభయచరం నుండి మార్చబడిన K-16B విస్తృతమైన విండ్ టన్నెల్ మరియు టెథర్డ్ టెస్టింగ్ చేయించుకుంది, కాని 1962 లో ఈ ప్రాజెక్ట్ ముగిసేలోపు ఎగరలేదు. 1950 ల చివరలో, నిలువు టేకాఫ్ మరియు ల్యాండింగ్ భావనపై విస్తృతమైన ఆసక్తి ఉంది, బహుళ ప్రయోగాత్మక రకాలు సంభావ్య సేవ కోసం సాంకేతికతను అభివృద్ధి చేయమని ఆదేశించారు. యునైటెడ్ స్టేట్స్ నావికాదళం కనెక్టికట్‌లోని బ్లూమ్‌ఫీల్డ్‌లోని కమాన్ ఎయిర్‌క్రాఫ్ట్‌తో ఒప్పందం కుదుర్చుకుంది, టిల్ట్‌వింగ్ విమానాల కోసం కంపెనీ 'రోటార్‌ప్రాప్' భావన ఆధారంగా టెస్ట్‌బెడ్‌ను నిర్మించడానికి, [1] ఒక గ్రుమ్మన్ జెఆర్ఎఫ్ -5 గూస్ ఉభయచరాలు మరియు ఇప్పటికే ఉన్న ఇతర భాగాలను ఉపయోగించడం . [[ గూస్ యొక్క ఫ్యూజ్‌లేజ్ మరియు తోక కొత్త టిల్టింగ్ వింగ్ మరియు ఇంజిన్ కాన్ఫిగరేషన్‌కు జతచేయబడ్డాయి; [3] అనుమతించబడిన గరిష్ట కోణం 50 డిగ్రీలు మాత్రమే; తక్కువ కోణం ఉన్నప్పటికీ VTOL కార్యకలాపాలను అనుమతించడానికి రోటర్‌ప్రోప్ తగినంత థ్రస్ట్‌ను అందిస్తుందని భావించారు. [1] 1959 చివరలో పంపిణీ చేయబడిన, K-16B టిల్ట్‌వింగ్ కాన్ఫిగరేషన్ యొక్క ఏరోడైనమిక్ లక్షణాలను అంచనా వేయడానికి కొన్ని టెథర్డ్ హాప్‌లతో పాటు విస్తృతమైన విండ్ టన్నెల్ పరీక్షకు గురైంది. [4] విమాన పరీక్ష మొదట 1960 చివరలో ప్రారంభమవుతుందని ated హించబడింది, [2] అయితే ఈ ప్రాథమిక పరీక్షలు 1962 వరకు కొనసాగాయి. [5] ఆ సంవత్సరం ఈ ప్రాజెక్ట్ దాని మొదటి ఉచిత ఫ్లైట్ నిర్వహించకపోవడంతో విమానం రద్దు చేయబడింది. [4] కనెక్టికట్‌లోని విండ్సర్ లాక్‌లలోని న్యూ ఇంగ్లాండ్ ఎయిర్ మ్యూజియంలో K-16B ప్రోటోటైప్ ప్రదర్శనలో ఉంది. [4] జేన్ యొక్క 1959-1960 [2] మరియు న్యూ ఇంగ్లాండ్ ఎయిర్ మ్యూజియం నుండి డేటా. [4] అన్ని పనితీరు డేటా అంచనా. సాధారణ లక్షణాలు పనితీరు సంబంధిత అభివృద్ధి అభివృద్ధి విమానం పోల్చదగిన పాత్ర, కాన్ఫిగరేషన్ మరియు ERA సంబంధిత జాబితాలు</v>
      </c>
      <c r="E19" s="1" t="s">
        <v>451</v>
      </c>
      <c r="F19" s="1" t="s">
        <v>452</v>
      </c>
      <c r="G19" s="1" t="str">
        <f>IFERROR(__xludf.DUMMYFUNCTION("GOOGLETRANSLATE(F:F, ""en"", ""te"")"),"ప్రయోగాత్మక టిల్ట్‌వింగ్")</f>
        <v>ప్రయోగాత్మక టిల్ట్‌వింగ్</v>
      </c>
      <c r="I19" s="1" t="s">
        <v>127</v>
      </c>
      <c r="J19" s="1" t="str">
        <f>IFERROR(__xludf.DUMMYFUNCTION("GOOGLETRANSLATE(I:I, ""en"", ""te"")"),"సంయుక్త రాష్ట్రాలు")</f>
        <v>సంయుక్త రాష్ట్రాలు</v>
      </c>
      <c r="L19" s="1" t="s">
        <v>453</v>
      </c>
      <c r="M19" s="1" t="str">
        <f>IFERROR(__xludf.DUMMYFUNCTION("GOOGLETRANSLATE(L:L, ""en"", ""te"")"),"కమాన్ విమానం")</f>
        <v>కమాన్ విమానం</v>
      </c>
      <c r="N19" s="1" t="s">
        <v>454</v>
      </c>
      <c r="Q19" s="1">
        <v>1.0</v>
      </c>
      <c r="S19" s="1">
        <v>2.0</v>
      </c>
      <c r="U19" s="1" t="s">
        <v>455</v>
      </c>
      <c r="V19" s="1" t="s">
        <v>456</v>
      </c>
      <c r="X19" s="1" t="s">
        <v>457</v>
      </c>
      <c r="Y19" s="1" t="s">
        <v>458</v>
      </c>
      <c r="AA19" s="1" t="s">
        <v>459</v>
      </c>
      <c r="AB19" s="1" t="s">
        <v>460</v>
      </c>
      <c r="AE19" s="1" t="s">
        <v>461</v>
      </c>
      <c r="AM19" s="1" t="s">
        <v>462</v>
      </c>
      <c r="AP19" s="1" t="s">
        <v>463</v>
      </c>
      <c r="AR19" s="1" t="s">
        <v>464</v>
      </c>
      <c r="AT19" s="1" t="s">
        <v>465</v>
      </c>
      <c r="AU19" s="1" t="s">
        <v>466</v>
      </c>
      <c r="BH19" s="1" t="s">
        <v>412</v>
      </c>
      <c r="BI19" s="1" t="s">
        <v>413</v>
      </c>
    </row>
    <row r="20">
      <c r="A20" s="1" t="s">
        <v>467</v>
      </c>
      <c r="B20" s="1" t="str">
        <f>IFERROR(__xludf.DUMMYFUNCTION("GOOGLETRANSLATE(A:A, ""en"", ""te"")"),"PADC హమ్మింగ్‌బర్డ్")</f>
        <v>PADC హమ్మింగ్‌బర్డ్</v>
      </c>
      <c r="C20" s="1" t="s">
        <v>468</v>
      </c>
      <c r="D20" s="1" t="str">
        <f>IFERROR(__xludf.DUMMYFUNCTION("GOOGLETRANSLATE(C:C, ""en"", ""te"")"),"PADC హమ్మింగ్‌బర్డ్ ఒక తేలికపాటి యుటిలిటీ హెలికాప్టర్, దీనిని ఫిలిప్పీన్స్ ఏరోస్పేస్ డెవలప్‌మెంట్ కార్పొరేషన్ అభివృద్ధి చేసింది, ఫిలిప్పీన్ వైమానిక దళం కోసం సెకండ్ హ్యాండ్ విమానంపై ఆధారపడటాన్ని తగ్గించడానికి. [2] 1980 లలో ఫిలిప్పీన్ వైమానిక దళం (పిఎఎఫ్) త"&amp;"న సొంత స్వదేశీ విమాన కార్యక్రమాలను ప్రారంభించడం ద్వారా అమెరికన్ సెకండ్ హ్యాండ్ విమానంపై ఆధారపడటాన్ని తగ్గించడానికి ప్రయత్నించింది. మొదటి కార్యక్రమం సింగిల్-ఇంజిన్ ట్రైనర్ విమానం, PADC ధిక్కరణ 300 ను నియమించింది, ఇది సాయుధ మరియు కౌంటర్-తిరుగుబాటు పాత్రలో ఉ"&amp;"పయోగించబడుతుంది. రెండవది ఫిలిప్పీన్-నిర్మిత లైట్ యుటిలిటీ హెలికాప్టర్ ""హమ్మింగ్‌బర్డ్"". ఈ రెండు విమానాల కార్యక్రమాలకు ఫిలిప్పీన్స్ సాయుధ దళాల సభ్యులు మద్దతు ఇచ్చారు, కాని జూలై 1997 వరకు అధ్యక్షుడు ఫిడేల్ రామోస్ ఈ ప్రాజెక్ట్ కోసం ఖర్చు చేయడానికి అధికారం "&amp;"పొందారు. ఫిలిప్పీన్ ఏరోస్పేస్ డెవలప్‌మెంట్ కార్పొరేషన్ (PADC) అభివృద్ధి ప్రయత్నాన్ని చేపట్టింది. [సైటేషన్ అవసరం] రామోస్ కొంతకాలం తర్వాత అధ్యక్షుడు జోసెఫ్ ఎస్ట్రాడా తరువాత వచ్చారు, దీని ప్రభుత్వం వెంటనే ధిక్కార మరియు హమ్మింగ్‌బర్డ్ కార్యక్రమాల సమీక్ష నిర్వ"&amp;"హించింది. ఆ సమయంలో ఒక సంవత్సరం మాత్రమే ఉన్న ఈ రెండు ప్రాజెక్టులు అన్యాయంగా సుదీర్ఘంగా మరియు ఖరీదైనవిగా ఉన్నాయని సమీక్ష తేల్చింది. ఫలితంగా, రెండూ వెంటనే రద్దు చేయబడ్డాయి. మరొక అంశం ఏమిటంటే, హమ్మింగ్‌బర్డ్ వాస్తవానికి తప్పనిసరిగా MBB/యూరోకాప్టర్ BO 105C యొక"&amp;"్క లైసెన్స్ లేని కాపీ మరియు యూరోకాప్టర్ ఫిలిప్పీన్స్ ప్రభుత్వంపై కేసు పెడతామని బెదిరించింది. 1970 లలో మొదట పొందిన హెలికాప్టర్లపై అసెంబ్లీ మరియు నిర్వహణతో PADC పాల్గొంది. రాబోయే న్యాయ యుద్ధాన్ని నివారించడానికి, PAF ఈ కార్యక్రమాన్ని రద్దు చేసింది. 2012 నాటి"&amp;"కి, ధిక్కరించడానికి లేదా మరొక హెలికాప్టర్ కార్యక్రమాన్ని అభివృద్ధి చేయడానికి ఎటువంటి ప్రయత్నం చేయలేదు. [2] [3] పోల్చదగిన పాత్ర, కాన్ఫిగరేషన్ మరియు ERA సంబంధిత జాబితాల సంబంధిత అభివృద్ధి విమానం")</f>
        <v>PADC హమ్మింగ్‌బర్డ్ ఒక తేలికపాటి యుటిలిటీ హెలికాప్టర్, దీనిని ఫిలిప్పీన్స్ ఏరోస్పేస్ డెవలప్‌మెంట్ కార్పొరేషన్ అభివృద్ధి చేసింది, ఫిలిప్పీన్ వైమానిక దళం కోసం సెకండ్ హ్యాండ్ విమానంపై ఆధారపడటాన్ని తగ్గించడానికి. [2] 1980 లలో ఫిలిప్పీన్ వైమానిక దళం (పిఎఎఫ్) తన సొంత స్వదేశీ విమాన కార్యక్రమాలను ప్రారంభించడం ద్వారా అమెరికన్ సెకండ్ హ్యాండ్ విమానంపై ఆధారపడటాన్ని తగ్గించడానికి ప్రయత్నించింది. మొదటి కార్యక్రమం సింగిల్-ఇంజిన్ ట్రైనర్ విమానం, PADC ధిక్కరణ 300 ను నియమించింది, ఇది సాయుధ మరియు కౌంటర్-తిరుగుబాటు పాత్రలో ఉపయోగించబడుతుంది. రెండవది ఫిలిప్పీన్-నిర్మిత లైట్ యుటిలిటీ హెలికాప్టర్ "హమ్మింగ్‌బర్డ్". ఈ రెండు విమానాల కార్యక్రమాలకు ఫిలిప్పీన్స్ సాయుధ దళాల సభ్యులు మద్దతు ఇచ్చారు, కాని జూలై 1997 వరకు అధ్యక్షుడు ఫిడేల్ రామోస్ ఈ ప్రాజెక్ట్ కోసం ఖర్చు చేయడానికి అధికారం పొందారు. ఫిలిప్పీన్ ఏరోస్పేస్ డెవలప్‌మెంట్ కార్పొరేషన్ (PADC) అభివృద్ధి ప్రయత్నాన్ని చేపట్టింది. [సైటేషన్ అవసరం] రామోస్ కొంతకాలం తర్వాత అధ్యక్షుడు జోసెఫ్ ఎస్ట్రాడా తరువాత వచ్చారు, దీని ప్రభుత్వం వెంటనే ధిక్కార మరియు హమ్మింగ్‌బర్డ్ కార్యక్రమాల సమీక్ష నిర్వహించింది. ఆ సమయంలో ఒక సంవత్సరం మాత్రమే ఉన్న ఈ రెండు ప్రాజెక్టులు అన్యాయంగా సుదీర్ఘంగా మరియు ఖరీదైనవిగా ఉన్నాయని సమీక్ష తేల్చింది. ఫలితంగా, రెండూ వెంటనే రద్దు చేయబడ్డాయి. మరొక అంశం ఏమిటంటే, హమ్మింగ్‌బర్డ్ వాస్తవానికి తప్పనిసరిగా MBB/యూరోకాప్టర్ BO 105C యొక్క లైసెన్స్ లేని కాపీ మరియు యూరోకాప్టర్ ఫిలిప్పీన్స్ ప్రభుత్వంపై కేసు పెడతామని బెదిరించింది. 1970 లలో మొదట పొందిన హెలికాప్టర్లపై అసెంబ్లీ మరియు నిర్వహణతో PADC పాల్గొంది. రాబోయే న్యాయ యుద్ధాన్ని నివారించడానికి, PAF ఈ కార్యక్రమాన్ని రద్దు చేసింది. 2012 నాటికి, ధిక్కరించడానికి లేదా మరొక హెలికాప్టర్ కార్యక్రమాన్ని అభివృద్ధి చేయడానికి ఎటువంటి ప్రయత్నం చేయలేదు. [2] [3] పోల్చదగిన పాత్ర, కాన్ఫిగరేషన్ మరియు ERA సంబంధిత జాబితాల సంబంధిత అభివృద్ధి విమానం</v>
      </c>
      <c r="F20" s="1" t="s">
        <v>469</v>
      </c>
      <c r="G20" s="1" t="str">
        <f>IFERROR(__xludf.DUMMYFUNCTION("GOOGLETRANSLATE(F:F, ""en"", ""te"")"),"లైట్ యుటిలిటీ హెలికాప్టర్")</f>
        <v>లైట్ యుటిలిటీ హెలికాప్టర్</v>
      </c>
      <c r="H20" s="1" t="s">
        <v>470</v>
      </c>
      <c r="I20" s="1" t="s">
        <v>471</v>
      </c>
      <c r="J20" s="1" t="str">
        <f>IFERROR(__xludf.DUMMYFUNCTION("GOOGLETRANSLATE(I:I, ""en"", ""te"")"),"ఫిలిప్పీన్స్")</f>
        <v>ఫిలిప్పీన్స్</v>
      </c>
      <c r="L20" s="1" t="s">
        <v>472</v>
      </c>
      <c r="M20" s="1" t="str">
        <f>IFERROR(__xludf.DUMMYFUNCTION("GOOGLETRANSLATE(L:L, ""en"", ""te"")"),"ఫిలిప్పీన్స్ ఏరోస్పేస్ డెవలప్‌మెంట్ కార్పొరేషన్")</f>
        <v>ఫిలిప్పీన్స్ ఏరోస్పేస్ డెవలప్‌మెంట్ కార్పొరేషన్</v>
      </c>
      <c r="N20" s="1" t="s">
        <v>473</v>
      </c>
      <c r="O20" s="1" t="s">
        <v>474</v>
      </c>
      <c r="P20" s="1" t="str">
        <f>IFERROR(__xludf.DUMMYFUNCTION("GOOGLETRANSLATE(O:O, ""en"", ""te"")"),"రద్దు")</f>
        <v>రద్దు</v>
      </c>
      <c r="Q20" s="1" t="s">
        <v>475</v>
      </c>
      <c r="R20" s="1" t="s">
        <v>132</v>
      </c>
      <c r="AJ20" s="1" t="s">
        <v>476</v>
      </c>
      <c r="AT20" s="1" t="s">
        <v>477</v>
      </c>
      <c r="AU20" s="1" t="s">
        <v>478</v>
      </c>
      <c r="BH20" s="1" t="s">
        <v>479</v>
      </c>
      <c r="BI20" s="1" t="s">
        <v>480</v>
      </c>
    </row>
    <row r="21">
      <c r="A21" s="1" t="s">
        <v>481</v>
      </c>
      <c r="B21" s="1" t="str">
        <f>IFERROR(__xludf.DUMMYFUNCTION("GOOGLETRANSLATE(A:A, ""en"", ""te"")"),"షాంక్సీ KJ-500")</f>
        <v>షాంక్సీ KJ-500</v>
      </c>
      <c r="C21" s="1" t="s">
        <v>482</v>
      </c>
      <c r="D21" s="1" t="str">
        <f>IFERROR(__xludf.DUMMYFUNCTION("GOOGLETRANSLATE(C:C, ""en"", ""te"")"),"KJ-500 (చైనీస్: 空警 -500; పిన్యిన్: kōngjǐng wǔbǎi; అక్షరాలా: ""ఎయిర్ హెచ్చరిక 500"") అనేది మూడవ తరం వాయుమార్గాన ప్రారంభ హెచ్చరిక మరియు నియంత్రణ (AEW &amp; C) విమానం, ఇది చైనా ప్రజల విముక్తి ఆర్మీ వైమానిక దళం. దీనిని షాన్క్సి ఎయిర్‌క్రాఫ్ట్ కార్పొరేషన్ నిర్మిం"&amp;"చింది, [2] మరియు ఇది Y-9 ఎయిర్‌ఫ్రేమ్ ఆధారంగా ఆధారపడింది. 21 వ శతాబ్దం ప్రారంభం నుండి, గుర్తించే పరిధి మరియు వాయుమార్గాన రాడార్ల యొక్క ఖచ్చితత్వం పెరుగుతోంది, వివిధ రకాల గాలి నుండి గాలికి క్షిపణులు మరియు తక్కువ-ఎత్తు క్రూయిజ్ క్షిపణులతో కూడిన యోధులు పనితీ"&amp;"రును మెరుగుపరుస్తూనే ఉన్నాయి, మరింత సమర్థవంతమైన AEW &amp; సి. పై సమస్యలను పరిష్కరించడానికి, చైనా 2000 ల చివరలో KJ-500, దాని మూడవ AEW &amp; C అభివృద్ధిని ప్రారంభించింది. KJ-500 మూడు ముఖ్యమైన లక్షణాలను కలిగి ఉండాలి, అవి మంచి గుర్తింపు సామర్ధ్యం, మంచి గుర్తింపు సామర"&amp;"్థ్యం మరియు శీఘ్ర ప్రతిస్పందన. ఇన్ఫర్మేటైజ్డ్ కంబాట్ సిస్టమ్ యొక్క ప్రధాన శక్తికి KJ-500 కూడా అవసరం, దాని అమర్చిన సాంకేతిక పరిజ్ఞానం నాలుగు ప్రధాన లక్షణాలను కలిగి ఉంది, ఇవి నెట్‌వర్కింగ్, బహుళ-క్రియాత్మక, అధిక-సమగ్ర మరియు తక్కువ బరువు. [3] ఈ విమానం 360 డి"&amp;"గ్రీల కవరేజ్ కోసం మూడు AESA రాడార్ శ్రేణులను కలిగి ఉన్న స్థిర డోర్సల్ రాడోమ్‌ను కలిగి ఉంటుంది మరియు ఇది మునుపటి KJ-200 లో ఉపయోగించే రెండు-ప్లానార్ 'బ్యాలెన్స్ బీమ్' శ్రేణి రూపకల్పన కంటే సమర్థవంతంగా ఉంటుంది. KJ-500 పూర్తి కార్యాచరణ సామర్థ్యాన్ని చేరుకోవటాన"&amp;"ికి ప్రతిస్పందనగా పాత AEW &amp; C రకాల ఉత్పత్తి 2018 లో ఆగిపోయినట్లు నివేదించింది. KJ-500 యొక్క పరిమిత పనితీరు పారామితులు ఈ క్రింది విధంగా ప్రచురించబడ్డాయి: [6]")</f>
        <v>KJ-500 (చైనీస్: 空警 -500; పిన్యిన్: kōngjǐng wǔbǎi; అక్షరాలా: "ఎయిర్ హెచ్చరిక 500") అనేది మూడవ తరం వాయుమార్గాన ప్రారంభ హెచ్చరిక మరియు నియంత్రణ (AEW &amp; C) విమానం, ఇది చైనా ప్రజల విముక్తి ఆర్మీ వైమానిక దళం. దీనిని షాన్క్సి ఎయిర్‌క్రాఫ్ట్ కార్పొరేషన్ నిర్మించింది, [2] మరియు ఇది Y-9 ఎయిర్‌ఫ్రేమ్ ఆధారంగా ఆధారపడింది. 21 వ శతాబ్దం ప్రారంభం నుండి, గుర్తించే పరిధి మరియు వాయుమార్గాన రాడార్ల యొక్క ఖచ్చితత్వం పెరుగుతోంది, వివిధ రకాల గాలి నుండి గాలికి క్షిపణులు మరియు తక్కువ-ఎత్తు క్రూయిజ్ క్షిపణులతో కూడిన యోధులు పనితీరును మెరుగుపరుస్తూనే ఉన్నాయి, మరింత సమర్థవంతమైన AEW &amp; సి. పై సమస్యలను పరిష్కరించడానికి, చైనా 2000 ల చివరలో KJ-500, దాని మూడవ AEW &amp; C అభివృద్ధిని ప్రారంభించింది. KJ-500 మూడు ముఖ్యమైన లక్షణాలను కలిగి ఉండాలి, అవి మంచి గుర్తింపు సామర్ధ్యం, మంచి గుర్తింపు సామర్థ్యం మరియు శీఘ్ర ప్రతిస్పందన. ఇన్ఫర్మేటైజ్డ్ కంబాట్ సిస్టమ్ యొక్క ప్రధాన శక్తికి KJ-500 కూడా అవసరం, దాని అమర్చిన సాంకేతిక పరిజ్ఞానం నాలుగు ప్రధాన లక్షణాలను కలిగి ఉంది, ఇవి నెట్‌వర్కింగ్, బహుళ-క్రియాత్మక, అధిక-సమగ్ర మరియు తక్కువ బరువు. [3] ఈ విమానం 360 డిగ్రీల కవరేజ్ కోసం మూడు AESA రాడార్ శ్రేణులను కలిగి ఉన్న స్థిర డోర్సల్ రాడోమ్‌ను కలిగి ఉంటుంది మరియు ఇది మునుపటి KJ-200 లో ఉపయోగించే రెండు-ప్లానార్ 'బ్యాలెన్స్ బీమ్' శ్రేణి రూపకల్పన కంటే సమర్థవంతంగా ఉంటుంది. KJ-500 పూర్తి కార్యాచరణ సామర్థ్యాన్ని చేరుకోవటానికి ప్రతిస్పందనగా పాత AEW &amp; C రకాల ఉత్పత్తి 2018 లో ఆగిపోయినట్లు నివేదించింది. KJ-500 యొక్క పరిమిత పనితీరు పారామితులు ఈ క్రింది విధంగా ప్రచురించబడ్డాయి: [6]</v>
      </c>
      <c r="E21" s="1" t="s">
        <v>483</v>
      </c>
      <c r="F21" s="1" t="s">
        <v>484</v>
      </c>
      <c r="G21" s="1" t="str">
        <f>IFERROR(__xludf.DUMMYFUNCTION("GOOGLETRANSLATE(F:F, ""en"", ""te"")"),"వాయుమార్గాన ముందస్తు హెచ్చరిక మరియు నియంత్రణ (AEW &amp; C)")</f>
        <v>వాయుమార్గాన ముందస్తు హెచ్చరిక మరియు నియంత్రణ (AEW &amp; C)</v>
      </c>
      <c r="H21" s="1" t="s">
        <v>485</v>
      </c>
      <c r="I21" s="1" t="s">
        <v>486</v>
      </c>
      <c r="J21" s="1" t="str">
        <f>IFERROR(__xludf.DUMMYFUNCTION("GOOGLETRANSLATE(I:I, ""en"", ""te"")"),"చైనా")</f>
        <v>చైనా</v>
      </c>
      <c r="L21" s="1" t="s">
        <v>487</v>
      </c>
      <c r="M21" s="1" t="str">
        <f>IFERROR(__xludf.DUMMYFUNCTION("GOOGLETRANSLATE(L:L, ""en"", ""te"")"),"షాంక్సీ ఎయిర్క్రాఫ్ట్ కార్పొరేషన్")</f>
        <v>షాంక్సీ ఎయిర్క్రాఫ్ట్ కార్పొరేషన్</v>
      </c>
      <c r="N21" s="1" t="s">
        <v>488</v>
      </c>
      <c r="Q21" s="1" t="s">
        <v>489</v>
      </c>
      <c r="AT21" s="1" t="s">
        <v>490</v>
      </c>
      <c r="AU21" s="1" t="s">
        <v>491</v>
      </c>
      <c r="BM21" s="1" t="s">
        <v>492</v>
      </c>
    </row>
    <row r="22">
      <c r="A22" s="1" t="s">
        <v>493</v>
      </c>
      <c r="B22" s="1" t="str">
        <f>IFERROR(__xludf.DUMMYFUNCTION("GOOGLETRANSLATE(A:A, ""en"", ""te"")"),"జలేవ్స్కి W.Z.II")</f>
        <v>జలేవ్స్కి W.Z.II</v>
      </c>
      <c r="C22" s="1" t="s">
        <v>494</v>
      </c>
      <c r="D22" s="1" t="str">
        <f>IFERROR(__xludf.DUMMYFUNCTION("GOOGLETRANSLATE(C:C, ""en"", ""te"")"),"జలేవ్స్కీ W.Z.II అనేది 1912 లో పోలాండ్‌లో వాడిస్సావ్ జలేవ్స్కీ రూపొందించిన మరియు నిర్మించిన ఒక సాధారణ గ్లైడర్, అతను 1918 లో పోలాండ్ స్వాతంత్ర్యం పొందిన తరువాత, విమానాలు మరియు విమాన ఇంజిన్‌ల యొక్క ప్రసిద్ధ డిజైనర్ అయ్యాడు. జలేవ్స్కీ W.Z.II వాడిస్సావ్ జలేవ్"&amp;"స్కీ యొక్క డిజైన్లలో మొదటిది మరియు నిర్మించిన మరియు ఎగిరినప్పుడు, W.Z.I పూర్తయినందున, 1909 లో జలేవ్స్కీ పదిహేడు సంవత్సరాల వయసులో రూపొందించిన శక్తితో కూడిన బిప్లేన్, రాజకీయ సంఘటనల ద్వారా ముగిసింది. ఇది గుండ్రని చిట్కాలతో పాటు దీర్ఘచతురస్రాకార ప్రణాళిక యొక్"&amp;"క రెండు-భాగాల విభాగాన్ని కలిగి ఉంది. ప్రతి సగం-వింగ్ ఒక ఫాబ్రిక్ కప్పబడిన చెక్క నిర్మాణం, ఇది మిడ్-టార్డ్ మరియు రెండు సహాయక స్పార్స్‌లో ప్రధాన స్పార్‌తో ఉంటుంది, వాటిలో ఒకటి ప్రముఖ అంచుని ఏర్పరుస్తుంది. ఐలెరాన్‌ల కంటే వింగ్-వార్పింగ్ పార్శ్వ నియంత్రణను అం"&amp;"దించింది. రెక్కలు ఫ్యూజ్‌లేజ్ ఫ్రేమ్ పైన మరియు క్రింద ఉన్న నిర్మాణాల నుండి వైర్-బ్రేస్ చేయబడ్డాయి, పైన రెండు విలోమ V- స్ట్రట్‌లు, పిరమిడ్ మరియు క్రింద రెండు ఏర్పడటానికి కలిసి వాలుతూ, ఒక రేఖాంశ సభ్యుడితో కలిసి షాక్ శోషక ల్యాండింగ్ స్కిడ్‌గా పనిచేశాయి. వైర్"&amp;"లు ప్రతి వింగ్ ప్యానెల్ యొక్క బయటి భాగానికి ప్రధాన స్పార్‌పై అమర్చిన నిలువు కింగ్‌పోస్ట్ ద్వారా చేరుకున్నాయి మరియు రెక్క పైన మరియు క్రింద విస్తరించి ఉన్నాయి. [1] చాలా ప్రాథమిక ఫ్యూజ్‌లేజ్ కేవలం ఒక క్షితిజ సమాంతర, క్రాస్-బ్రెస్డ్ చెక్క గిర్డర్, పైలట్ లాంగన"&amp;"్స్‌కు కట్టి, మధ్య తీగ వద్ద మరియు వైర్ల ద్వారా రెక్కల క్రింద ఉన్న సైకిల్ సీటుపై కూర్చుని. టేకాఫ్ లేదా ల్యాండింగ్ కోసం కాళ్ళు విస్తరించడంతో, అతని అడుగులు ల్యాండింగ్ స్కిడ్ క్రింద బాగా చేరుకున్నాయి. సామ్రాజ్యం క్రూసిఫాం రకానికి చెందినది, ప్రత్యేక రడ్డర్లను "&amp;"మోసే నిలువు రెక్కలు, పైభాగం అదే చేతితో నడుపుతుంది, ఇది రెక్క-వార్పింగ్ మరియు దిగువ ఒకటి చుక్కాని బార్ ద్వారా నియంత్రించబడుతుంది. మరొక చేతి-లీవర్ ఎలివేటర్‌ను నియంత్రించాడు. [1] W.Z.II 1912 వసంత in తువులో కేవలం మూడు వారాల్లో మిలానెవెక్‌లోని జలేవ్స్కీ యొక్క "&amp;"వర్క్‌షాప్‌లో నిర్మించబడింది మరియు విమాన పరీక్ష త్వరలో ప్రారంభమైంది. ప్రారంభంలో, నిర్వహణ పేలవంగా ఉంది, కానీ ఇది అదనపు వైర్ బ్రేసింగ్‌తో ఫ్యూజ్‌లేజ్‌ను గట్టిపడటం మరియు నిలువు తోకకు చిన్న మార్పుల ద్వారా నయమైంది. దీనిని ఆ సంవత్సరంలో ఇద్దరు సహాయకులు ప్రారంభిం"&amp;"చారు, ఒక్కొక్కటి ప్రత్యేక తాడుతో మరియు జలేవ్స్కీ ఒక కొండ నుండి బయలుదేరడానికి భూమిని తన్నాడు. ఈ విమానాలు తేలికపాటి గాలులలో 1 మీ (3.3 అడుగులు) ఎత్తులో 50 మీ (160 అడుగులు) మాత్రమే ఉన్నాయి, అయినప్పటికీ 1913 లో నాలుగు లేదా ఆరు సహాయకులు ప్రారంభించినప్పుడు దూరాల"&amp;"ు పెరిగాయి. [1] సిన్క్, 1971 నుండి డేటా [1] సాధారణ లక్షణాలు")</f>
        <v>జలేవ్స్కీ W.Z.II అనేది 1912 లో పోలాండ్‌లో వాడిస్సావ్ జలేవ్స్కీ రూపొందించిన మరియు నిర్మించిన ఒక సాధారణ గ్లైడర్, అతను 1918 లో పోలాండ్ స్వాతంత్ర్యం పొందిన తరువాత, విమానాలు మరియు విమాన ఇంజిన్‌ల యొక్క ప్రసిద్ధ డిజైనర్ అయ్యాడు. జలేవ్స్కీ W.Z.II వాడిస్సావ్ జలేవ్స్కీ యొక్క డిజైన్లలో మొదటిది మరియు నిర్మించిన మరియు ఎగిరినప్పుడు, W.Z.I పూర్తయినందున, 1909 లో జలేవ్స్కీ పదిహేడు సంవత్సరాల వయసులో రూపొందించిన శక్తితో కూడిన బిప్లేన్, రాజకీయ సంఘటనల ద్వారా ముగిసింది. ఇది గుండ్రని చిట్కాలతో పాటు దీర్ఘచతురస్రాకార ప్రణాళిక యొక్క రెండు-భాగాల విభాగాన్ని కలిగి ఉంది. ప్రతి సగం-వింగ్ ఒక ఫాబ్రిక్ కప్పబడిన చెక్క నిర్మాణం, ఇది మిడ్-టార్డ్ మరియు రెండు సహాయక స్పార్స్‌లో ప్రధాన స్పార్‌తో ఉంటుంది, వాటిలో ఒకటి ప్రముఖ అంచుని ఏర్పరుస్తుంది. ఐలెరాన్‌ల కంటే వింగ్-వార్పింగ్ పార్శ్వ నియంత్రణను అందించింది. రెక్కలు ఫ్యూజ్‌లేజ్ ఫ్రేమ్ పైన మరియు క్రింద ఉన్న నిర్మాణాల నుండి వైర్-బ్రేస్ చేయబడ్డాయి, పైన రెండు విలోమ V- స్ట్రట్‌లు, పిరమిడ్ మరియు క్రింద రెండు ఏర్పడటానికి కలిసి వాలుతూ, ఒక రేఖాంశ సభ్యుడితో కలిసి షాక్ శోషక ల్యాండింగ్ స్కిడ్‌గా పనిచేశాయి. వైర్లు ప్రతి వింగ్ ప్యానెల్ యొక్క బయటి భాగానికి ప్రధాన స్పార్‌పై అమర్చిన నిలువు కింగ్‌పోస్ట్ ద్వారా చేరుకున్నాయి మరియు రెక్క పైన మరియు క్రింద విస్తరించి ఉన్నాయి. [1] చాలా ప్రాథమిక ఫ్యూజ్‌లేజ్ కేవలం ఒక క్షితిజ సమాంతర, క్రాస్-బ్రెస్డ్ చెక్క గిర్డర్, పైలట్ లాంగన్స్‌కు కట్టి, మధ్య తీగ వద్ద మరియు వైర్ల ద్వారా రెక్కల క్రింద ఉన్న సైకిల్ సీటుపై కూర్చుని. టేకాఫ్ లేదా ల్యాండింగ్ కోసం కాళ్ళు విస్తరించడంతో, అతని అడుగులు ల్యాండింగ్ స్కిడ్ క్రింద బాగా చేరుకున్నాయి. సామ్రాజ్యం క్రూసిఫాం రకానికి చెందినది, ప్రత్యేక రడ్డర్లను మోసే నిలువు రెక్కలు, పైభాగం అదే చేతితో నడుపుతుంది, ఇది రెక్క-వార్పింగ్ మరియు దిగువ ఒకటి చుక్కాని బార్ ద్వారా నియంత్రించబడుతుంది. మరొక చేతి-లీవర్ ఎలివేటర్‌ను నియంత్రించాడు. [1] W.Z.II 1912 వసంత in తువులో కేవలం మూడు వారాల్లో మిలానెవెక్‌లోని జలేవ్స్కీ యొక్క వర్క్‌షాప్‌లో నిర్మించబడింది మరియు విమాన పరీక్ష త్వరలో ప్రారంభమైంది. ప్రారంభంలో, నిర్వహణ పేలవంగా ఉంది, కానీ ఇది అదనపు వైర్ బ్రేసింగ్‌తో ఫ్యూజ్‌లేజ్‌ను గట్టిపడటం మరియు నిలువు తోకకు చిన్న మార్పుల ద్వారా నయమైంది. దీనిని ఆ సంవత్సరంలో ఇద్దరు సహాయకులు ప్రారంభించారు, ఒక్కొక్కటి ప్రత్యేక తాడుతో మరియు జలేవ్స్కీ ఒక కొండ నుండి బయలుదేరడానికి భూమిని తన్నాడు. ఈ విమానాలు తేలికపాటి గాలులలో 1 మీ (3.3 అడుగులు) ఎత్తులో 50 మీ (160 అడుగులు) మాత్రమే ఉన్నాయి, అయినప్పటికీ 1913 లో నాలుగు లేదా ఆరు సహాయకులు ప్రారంభించినప్పుడు దూరాలు పెరిగాయి. [1] సిన్క్, 1971 నుండి డేటా [1] సాధారణ లక్షణాలు</v>
      </c>
      <c r="F22" s="1" t="s">
        <v>495</v>
      </c>
      <c r="G22" s="1" t="str">
        <f>IFERROR(__xludf.DUMMYFUNCTION("GOOGLETRANSLATE(F:F, ""en"", ""te"")"),"ఫుట్-లాంచ్ గ్లైడర్")</f>
        <v>ఫుట్-లాంచ్ గ్లైడర్</v>
      </c>
      <c r="H22" s="1" t="s">
        <v>496</v>
      </c>
      <c r="I22" s="1" t="s">
        <v>431</v>
      </c>
      <c r="J22" s="1" t="str">
        <f>IFERROR(__xludf.DUMMYFUNCTION("GOOGLETRANSLATE(I:I, ""en"", ""te"")"),"పోలాండ్")</f>
        <v>పోలాండ్</v>
      </c>
      <c r="K22" s="3" t="s">
        <v>432</v>
      </c>
      <c r="L22" s="1" t="s">
        <v>497</v>
      </c>
      <c r="M22" s="1" t="str">
        <f>IFERROR(__xludf.DUMMYFUNCTION("GOOGLETRANSLATE(L:L, ""en"", ""te"")"),"Waadysław zalewski")</f>
        <v>Waadysław zalewski</v>
      </c>
      <c r="N22" s="1" t="s">
        <v>498</v>
      </c>
      <c r="Q22" s="1">
        <v>1.0</v>
      </c>
      <c r="S22" s="1" t="s">
        <v>433</v>
      </c>
      <c r="U22" s="1" t="s">
        <v>499</v>
      </c>
      <c r="V22" s="1" t="s">
        <v>500</v>
      </c>
      <c r="W22" s="1" t="s">
        <v>501</v>
      </c>
      <c r="X22" s="1" t="s">
        <v>502</v>
      </c>
      <c r="AC22" s="1" t="s">
        <v>503</v>
      </c>
      <c r="AH22" s="1" t="s">
        <v>497</v>
      </c>
      <c r="AJ22" s="1">
        <v>1912.0</v>
      </c>
      <c r="AM22" s="1" t="s">
        <v>504</v>
      </c>
      <c r="AS22" s="1">
        <v>5.9</v>
      </c>
      <c r="BF22" s="1" t="s">
        <v>505</v>
      </c>
      <c r="BG22" s="1">
        <v>1913.0</v>
      </c>
    </row>
    <row r="23">
      <c r="A23" s="1" t="s">
        <v>506</v>
      </c>
      <c r="B23" s="1" t="str">
        <f>IFERROR(__xludf.DUMMYFUNCTION("GOOGLETRANSLATE(A:A, ""en"", ""te"")"),"బాణం కోక్స్ లివెల్లా యునో")</f>
        <v>బాణం కోక్స్ లివెల్లా యునో</v>
      </c>
      <c r="C23" s="1" t="s">
        <v>507</v>
      </c>
      <c r="D23" s="1" t="str">
        <f>IFERROR(__xludf.DUMMYFUNCTION("GOOGLETRANSLATE(C:C, ""en"", ""te"")"),"బాణం కోక్స్ లివెల్లా యునో (ట్రాన్స్. 1] లివెల్లా యునో యుఎస్ ఫార్ 103 అల్ట్రాలైట్ వాహనాలు మరియు యూరోపియన్ 120 కిలోల క్లాస్ అల్ట్రాలైట్ విమాన నియమాలకు అనుగుణంగా రూపొందించబడింది. ఇది ద్వంద్వ ఏకాక్షక ప్రధాన రోటర్లను కలిగి ఉంది, విలోమ వి-తోక, విండ్‌షీల్డ్ లేకు"&amp;"ండా ఒకే ఓపెన్-ఎయిర్ పైలట్ సీటు, ట్రైసైకిల్ ల్యాండింగ్ గేర్ మరియు 40 హెచ్‌పి (30 కిలోవాట్) వాంకెల్ ఐక్స్రో xh40 ఇంజిన్. [1] విమానం ఫ్యూజ్‌లేజ్ గొట్టాల నుండి తయారవుతుంది. దీని రెండు-బ్లేడెడ్ రోటర్లు 3.8 మీ (12.5 అడుగులు) వ్యాసం కలిగి ఉంటాయి. ఈ విమానం ఒక సాధ"&amp;"ారణ ఖాళీ బరువు 85 కిలోల (187 ఎల్బి) మరియు 195 కిలోల (430 ఎల్బి) స్థూల బరువు, 110 కిలోల (243 ఎల్బి) యొక్క ఉపయోగకరమైన లోడ్‌ను ఇస్తుంది. [1] ఈ విమానం రోటర్ మాస్ట్‌లో గెలాక్సీ రెస్క్యూ సిస్టమ్ బాలిస్టిక్ పారాచూట్‌ను మౌంట్ చేస్తుంది. ఇంజిన్ వైఫల్యం సంభవించినప్"&amp;"పుడు బ్యాటరీ నుండి రోటర్ వ్యవస్థను శక్తివంతం చేయడానికి ఇది ఒక చిన్న ఎలక్ట్రిక్ మోటారును కలిగి ఉంది, తక్కువ జడత్వం రోటర్ బ్లేడ్లు ఆటోరోటేషన్‌కు మద్దతు ఇవ్వకపోవచ్చు కాబట్టి, ఐదు నిమిషాల శక్తిని భూమికి అనుమతిస్తుంది. [2] టాక్ నుండి డేటా [1] సాధారణ లక్షణాల పన"&amp;"ితీరు")</f>
        <v>బాణం కోక్స్ లివెల్లా యునో (ట్రాన్స్. 1] లివెల్లా యునో యుఎస్ ఫార్ 103 అల్ట్రాలైట్ వాహనాలు మరియు యూరోపియన్ 120 కిలోల క్లాస్ అల్ట్రాలైట్ విమాన నియమాలకు అనుగుణంగా రూపొందించబడింది. ఇది ద్వంద్వ ఏకాక్షక ప్రధాన రోటర్లను కలిగి ఉంది, విలోమ వి-తోక, విండ్‌షీల్డ్ లేకుండా ఒకే ఓపెన్-ఎయిర్ పైలట్ సీటు, ట్రైసైకిల్ ల్యాండింగ్ గేర్ మరియు 40 హెచ్‌పి (30 కిలోవాట్) వాంకెల్ ఐక్స్రో xh40 ఇంజిన్. [1] విమానం ఫ్యూజ్‌లేజ్ గొట్టాల నుండి తయారవుతుంది. దీని రెండు-బ్లేడెడ్ రోటర్లు 3.8 మీ (12.5 అడుగులు) వ్యాసం కలిగి ఉంటాయి. ఈ విమానం ఒక సాధారణ ఖాళీ బరువు 85 కిలోల (187 ఎల్బి) మరియు 195 కిలోల (430 ఎల్బి) స్థూల బరువు, 110 కిలోల (243 ఎల్బి) యొక్క ఉపయోగకరమైన లోడ్‌ను ఇస్తుంది. [1] ఈ విమానం రోటర్ మాస్ట్‌లో గెలాక్సీ రెస్క్యూ సిస్టమ్ బాలిస్టిక్ పారాచూట్‌ను మౌంట్ చేస్తుంది. ఇంజిన్ వైఫల్యం సంభవించినప్పుడు బ్యాటరీ నుండి రోటర్ వ్యవస్థను శక్తివంతం చేయడానికి ఇది ఒక చిన్న ఎలక్ట్రిక్ మోటారును కలిగి ఉంది, తక్కువ జడత్వం రోటర్ బ్లేడ్లు ఆటోరోటేషన్‌కు మద్దతు ఇవ్వకపోవచ్చు కాబట్టి, ఐదు నిమిషాల శక్తిని భూమికి అనుమతిస్తుంది. [2] టాక్ నుండి డేటా [1] సాధారణ లక్షణాల పనితీరు</v>
      </c>
      <c r="F23" s="1" t="s">
        <v>218</v>
      </c>
      <c r="G23" s="1" t="str">
        <f>IFERROR(__xludf.DUMMYFUNCTION("GOOGLETRANSLATE(F:F, ""en"", ""te"")"),"హెలికాప్టర్")</f>
        <v>హెలికాప్టర్</v>
      </c>
      <c r="H23" s="3" t="s">
        <v>219</v>
      </c>
      <c r="I23" s="1" t="s">
        <v>321</v>
      </c>
      <c r="J23" s="1" t="str">
        <f>IFERROR(__xludf.DUMMYFUNCTION("GOOGLETRANSLATE(I:I, ""en"", ""te"")"),"జర్మనీ")</f>
        <v>జర్మనీ</v>
      </c>
      <c r="K23" s="3" t="s">
        <v>322</v>
      </c>
      <c r="L23" s="1" t="s">
        <v>508</v>
      </c>
      <c r="M23" s="1" t="str">
        <f>IFERROR(__xludf.DUMMYFUNCTION("GOOGLETRANSLATE(L:L, ""en"", ""te"")"),"బాణం కోక్స్ అల్ట్రా లైట్ హెలికాప్టర్")</f>
        <v>బాణం కోక్స్ అల్ట్రా లైట్ హెలికాప్టర్</v>
      </c>
      <c r="N23" s="1" t="s">
        <v>509</v>
      </c>
      <c r="O23" s="1" t="s">
        <v>510</v>
      </c>
      <c r="P23" s="1" t="str">
        <f>IFERROR(__xludf.DUMMYFUNCTION("GOOGLETRANSLATE(O:O, ""en"", ""te"")"),"అండర్ డెవలప్‌మెంట్ (2015)")</f>
        <v>అండర్ డెవలప్‌మెంట్ (2015)</v>
      </c>
      <c r="Q23" s="1" t="s">
        <v>511</v>
      </c>
      <c r="S23" s="1" t="s">
        <v>133</v>
      </c>
      <c r="X23" s="1" t="s">
        <v>512</v>
      </c>
      <c r="Y23" s="1" t="s">
        <v>513</v>
      </c>
      <c r="AA23" s="1" t="s">
        <v>514</v>
      </c>
      <c r="AC23" s="1" t="s">
        <v>515</v>
      </c>
      <c r="AK23" s="1">
        <v>2015.0</v>
      </c>
      <c r="AO23" s="1" t="s">
        <v>516</v>
      </c>
      <c r="AP23" s="1" t="s">
        <v>517</v>
      </c>
      <c r="BN23" s="1" t="s">
        <v>518</v>
      </c>
      <c r="BO23" s="1" t="s">
        <v>519</v>
      </c>
    </row>
    <row r="24">
      <c r="A24" s="1" t="s">
        <v>520</v>
      </c>
      <c r="B24" s="1" t="str">
        <f>IFERROR(__xludf.DUMMYFUNCTION("GOOGLETRANSLATE(A:A, ""en"", ""te"")"),"IRI T22B")</f>
        <v>IRI T22B</v>
      </c>
      <c r="C24" s="1" t="s">
        <v>521</v>
      </c>
      <c r="D24" s="1" t="str">
        <f>IFERROR(__xludf.DUMMYFUNCTION("GOOGLETRANSLATE(C:C, ""en"", ""te"")"),"IRI T22B ఒక ఇటాలియన్ హెలికాప్టర్, దీనిని లాజియోలోని అప్రిలియా యొక్క ఇటాలియన్ రోటర్ల పరిశ్రమలు రూపొందించాయి మరియు ఉత్పత్తి చేశాయి. ఇప్పుడు ఉత్పత్తిలో లేదు, ఇది అందుబాటులో ఉన్నప్పుడు విమానం పూర్తి మరియు సిద్ధంగా ఉండటానికి సిద్ధంగా ఉంది. [1] ఈ సంస్థ 2013 లో "&amp;"స్థాపించబడింది మరియు జూన్ 2016 లో ఉత్పత్తి నుండి బయటపడింది, ఉత్పత్తిని ముగించింది. [2] [3] T22B లో సింగిల్ మెయిన్ రోటర్ మరియు టెయిల్ రోటర్, విండ్‌షీల్డ్, స్కిడ్ ల్యాండింగ్ గేర్ మరియు నాలుగు సిలిండర్, ఎయిర్-కూల్డ్, నాలుగు స్ట్రోక్ 160 హెచ్‌పి (119 kW) తో ర"&amp;"ెండు-సీట్ల సైడ్-బై-సైడ్ కాన్ఫిగరేషన్ పరివేష్టిత కాక్‌పిట్ ఉన్నాయి. లైమింగ్ O-320-B2C ఎయిర్క్రాఫ్ట్ ఇంజిన్. [1] విమానం ఫ్యూజ్‌లేజ్ మిశ్రమాల నుండి తయారవుతుంది. దీని రెండు-బ్లేడెడ్ రోటర్ 7.6 మీ (24.9 అడుగులు) వ్యాసం కలిగి ఉంది. ఈ విమానం ఒక సాధారణ ఖాళీ బరువు "&amp;"355 కిలోల (783 పౌండ్లు) మరియు స్థూల బరువు 650 కిలోలు (1,433 పౌండ్లు), ఇది 295 కిలోల (650 పౌండ్లు) ఉపయోగకరమైన లోడ్ ఇస్తుంది. 70 లీటర్ల పూర్తి ఇంధనంతో (15 ఇంప్ గల్; 18 యుఎస్ గాల్), సిబ్బందికి పేలోడ్, ప్రయాణీకుడు మరియు సామాను 244 కిలోలు (538 ఎల్బి). [1] 2015"&amp;" లో, సమీక్షకుడు వెర్నర్ పిఫెండ్లర్ T22B యొక్క రూపకల్పనను ""సొగసైన"" గా అభివర్ణించారు. [1] టాక్ నుండి డేటా [1] సాధారణ లక్షణాల పనితీరు")</f>
        <v>IRI T22B ఒక ఇటాలియన్ హెలికాప్టర్, దీనిని లాజియోలోని అప్రిలియా యొక్క ఇటాలియన్ రోటర్ల పరిశ్రమలు రూపొందించాయి మరియు ఉత్పత్తి చేశాయి. ఇప్పుడు ఉత్పత్తిలో లేదు, ఇది అందుబాటులో ఉన్నప్పుడు విమానం పూర్తి మరియు సిద్ధంగా ఉండటానికి సిద్ధంగా ఉంది. [1] ఈ సంస్థ 2013 లో స్థాపించబడింది మరియు జూన్ 2016 లో ఉత్పత్తి నుండి బయటపడింది, ఉత్పత్తిని ముగించింది. [2] [3] T22B లో సింగిల్ మెయిన్ రోటర్ మరియు టెయిల్ రోటర్, విండ్‌షీల్డ్, స్కిడ్ ల్యాండింగ్ గేర్ మరియు నాలుగు సిలిండర్, ఎయిర్-కూల్డ్, నాలుగు స్ట్రోక్ 160 హెచ్‌పి (119 kW) తో రెండు-సీట్ల సైడ్-బై-సైడ్ కాన్ఫిగరేషన్ పరివేష్టిత కాక్‌పిట్ ఉన్నాయి. లైమింగ్ O-320-B2C ఎయిర్క్రాఫ్ట్ ఇంజిన్. [1] విమానం ఫ్యూజ్‌లేజ్ మిశ్రమాల నుండి తయారవుతుంది. దీని రెండు-బ్లేడెడ్ రోటర్ 7.6 మీ (24.9 అడుగులు) వ్యాసం కలిగి ఉంది. ఈ విమానం ఒక సాధారణ ఖాళీ బరువు 355 కిలోల (783 పౌండ్లు) మరియు స్థూల బరువు 650 కిలోలు (1,433 పౌండ్లు), ఇది 295 కిలోల (650 పౌండ్లు) ఉపయోగకరమైన లోడ్ ఇస్తుంది. 70 లీటర్ల పూర్తి ఇంధనంతో (15 ఇంప్ గల్; 18 యుఎస్ గాల్), సిబ్బందికి పేలోడ్, ప్రయాణీకుడు మరియు సామాను 244 కిలోలు (538 ఎల్బి). [1] 2015 లో, సమీక్షకుడు వెర్నర్ పిఫెండ్లర్ T22B యొక్క రూపకల్పనను "సొగసైన" గా అభివర్ణించారు. [1] టాక్ నుండి డేటా [1] సాధారణ లక్షణాల పనితీరు</v>
      </c>
      <c r="F24" s="1" t="s">
        <v>218</v>
      </c>
      <c r="G24" s="1" t="str">
        <f>IFERROR(__xludf.DUMMYFUNCTION("GOOGLETRANSLATE(F:F, ""en"", ""te"")"),"హెలికాప్టర్")</f>
        <v>హెలికాప్టర్</v>
      </c>
      <c r="H24" s="3" t="s">
        <v>219</v>
      </c>
      <c r="I24" s="1" t="s">
        <v>220</v>
      </c>
      <c r="J24" s="1" t="str">
        <f>IFERROR(__xludf.DUMMYFUNCTION("GOOGLETRANSLATE(I:I, ""en"", ""te"")"),"ఇటలీ")</f>
        <v>ఇటలీ</v>
      </c>
      <c r="K24" s="3" t="s">
        <v>221</v>
      </c>
      <c r="L24" s="1" t="s">
        <v>522</v>
      </c>
      <c r="M24" s="1" t="str">
        <f>IFERROR(__xludf.DUMMYFUNCTION("GOOGLETRANSLATE(L:L, ""en"", ""te"")"),"ఇటాలియన్ రోటర్స్ ఇండస్ట్రీస్")</f>
        <v>ఇటాలియన్ రోటర్స్ ఇండస్ట్రీస్</v>
      </c>
      <c r="N24" s="1" t="s">
        <v>523</v>
      </c>
      <c r="O24" s="1" t="s">
        <v>524</v>
      </c>
      <c r="P24" s="1" t="str">
        <f>IFERROR(__xludf.DUMMYFUNCTION("GOOGLETRANSLATE(O:O, ""en"", ""te"")"),"ఉత్పత్తి పూర్తయింది (2016)")</f>
        <v>ఉత్పత్తి పూర్తయింది (2016)</v>
      </c>
      <c r="R24" s="1" t="s">
        <v>132</v>
      </c>
      <c r="S24" s="1" t="s">
        <v>133</v>
      </c>
      <c r="T24" s="1" t="s">
        <v>134</v>
      </c>
      <c r="X24" s="1" t="s">
        <v>525</v>
      </c>
      <c r="Y24" s="1" t="s">
        <v>526</v>
      </c>
      <c r="Z24" s="1" t="s">
        <v>527</v>
      </c>
      <c r="AA24" s="1" t="s">
        <v>528</v>
      </c>
      <c r="AC24" s="1" t="s">
        <v>444</v>
      </c>
      <c r="AF24" s="1" t="s">
        <v>529</v>
      </c>
      <c r="AO24" s="1" t="s">
        <v>530</v>
      </c>
      <c r="AP24" s="1" t="s">
        <v>531</v>
      </c>
      <c r="BN24" s="1" t="s">
        <v>532</v>
      </c>
      <c r="BO24" s="1" t="s">
        <v>533</v>
      </c>
      <c r="BP24" s="1" t="s">
        <v>534</v>
      </c>
    </row>
    <row r="25">
      <c r="A25" s="1" t="s">
        <v>535</v>
      </c>
      <c r="B25" s="1" t="str">
        <f>IFERROR(__xludf.DUMMYFUNCTION("GOOGLETRANSLATE(A:A, ""en"", ""te"")"),"రోటార్స్చ్మిడ్ VA115")</f>
        <v>రోటార్స్చ్మిడ్ VA115</v>
      </c>
      <c r="C25" s="1" t="s">
        <v>536</v>
      </c>
      <c r="D25" s="1" t="str">
        <f>IFERROR(__xludf.DUMMYFUNCTION("GOOGLETRANSLATE(C:C, ""en"", ""te"")"),"రోటార్ష్మిడ్ VA115 అనేది జర్మన్ హెలికాప్టర్, ఇది మ్యూనిచ్‌కు చెందిన రోటార్స్‌చ్మిడ్ GmbH చేత రూపొందించబడింది మరియు ఉత్పత్తి చేయబడింది, ఇది 2015 లో ఏరో ఫ్రీడ్రిచ్‌షాఫెన్ ఎయిర్‌షోలో ప్రవేశపెట్టబడింది. ఈ విమానం పూర్తి మరియు సిద్ధంగా ఉండటానికి సిద్ధంగా ఉంది. "&amp;"[1] ఈ విమానం మొదట 2015 వేసవిలో ఎగిరింది. [1] VA115 యుఎస్ ఫార్ 103 అల్ట్రాలైట్ వెహికల్స్ రెగ్యులేషన్స్, అలాగే జర్మన్ 120 కిలోల తరగతి మరియు యూరోపియన్ క్లాస్ 6 మైక్రోలైట్ హెలికాప్టర్ నిబంధనలను పాటించేలా రూపొందించబడింది. దాని హోదా సూచించినట్లుగా, విమానం ప్రామ"&amp;"ాణిక ఖాళీ బరువు 115 కిలోలు (254 పౌండ్లు). [1] VA115 లో డ్యూయల్, ఏకాక్షక ప్రధాన రోటర్లు NACA 23012 ఎయిర్‌ఫాయిల్స్, విండ్‌షీల్డ్ లేకుండా సింగిల్-సీట్ల ఓపెన్ కాక్‌పిట్, ట్రైసైకిల్ ల్యాండింగ్ గేర్ మరియు రెండు సిలిండర్, ఎయిర్-కూల్డ్, రెండు స్ట్రోక్, ఇంధన-ఇంధన "&amp;"50 హెచ్‌పి (37 కిలోవాట్ల) హిర్త్ ఎఫ్ 23 ఉన్నాయి ఇంజిన్ విమానం ఫ్యూజ్‌లేజ్ మెటల్ గొట్టాల నుండి తయారవుతుంది, చిన్న కాక్‌పిట్ ఫెయిరింగ్ ఉంటుంది. దాని ద్వంద్వ రెండు-బ్లేడెడ్ రోటర్లు ఒక్కొక్కటి 4.5 మీ (14.8 అడుగులు) వ్యాసాలను కలిగి ఉంటాయి. ఈ విమానం సాధారణ ఖాళీ"&amp;" బరువు 115 కిలోల (254 ఎల్బి) మరియు స్థూల బరువు 275 కిలోలు (606 ఎల్బి), ఇది 160 కిలోల (353 ఎల్బి) ఉపయోగకరమైన లోడ్‌ను ఇస్తుంది. 19 లీటర్ల పూర్తి ఇంధనంతో (4.2 ఇంప్ గల్; 5.0 యుఎస్ గాల్) పైలట్ మరియు సామాను కోసం పేలోడ్ 146 కిలోలు (322 ఎల్బి). [1] సమీక్షకుడు వెర"&amp;"్నర్ పిఫెండ్లర్, VA115 ను ""అందంగా ఇంజనీరింగ్"" గా అభివర్ణించారు. [1] టాక్ మరియు తయారీదారు నుండి డేటా [1] [2] సాధారణ లక్షణాల పనితీరు")</f>
        <v>రోటార్ష్మిడ్ VA115 అనేది జర్మన్ హెలికాప్టర్, ఇది మ్యూనిచ్‌కు చెందిన రోటార్స్‌చ్మిడ్ GmbH చేత రూపొందించబడింది మరియు ఉత్పత్తి చేయబడింది, ఇది 2015 లో ఏరో ఫ్రీడ్రిచ్‌షాఫెన్ ఎయిర్‌షోలో ప్రవేశపెట్టబడింది. ఈ విమానం పూర్తి మరియు సిద్ధంగా ఉండటానికి సిద్ధంగా ఉంది. [1] ఈ విమానం మొదట 2015 వేసవిలో ఎగిరింది. [1] VA115 యుఎస్ ఫార్ 103 అల్ట్రాలైట్ వెహికల్స్ రెగ్యులేషన్స్, అలాగే జర్మన్ 120 కిలోల తరగతి మరియు యూరోపియన్ క్లాస్ 6 మైక్రోలైట్ హెలికాప్టర్ నిబంధనలను పాటించేలా రూపొందించబడింది. దాని హోదా సూచించినట్లుగా, విమానం ప్రామాణిక ఖాళీ బరువు 115 కిలోలు (254 పౌండ్లు). [1] VA115 లో డ్యూయల్, ఏకాక్షక ప్రధాన రోటర్లు NACA 23012 ఎయిర్‌ఫాయిల్స్, విండ్‌షీల్డ్ లేకుండా సింగిల్-సీట్ల ఓపెన్ కాక్‌పిట్, ట్రైసైకిల్ ల్యాండింగ్ గేర్ మరియు రెండు సిలిండర్, ఎయిర్-కూల్డ్, రెండు స్ట్రోక్, ఇంధన-ఇంధన 50 హెచ్‌పి (37 కిలోవాట్ల) హిర్త్ ఎఫ్ 23 ఉన్నాయి ఇంజిన్ విమానం ఫ్యూజ్‌లేజ్ మెటల్ గొట్టాల నుండి తయారవుతుంది, చిన్న కాక్‌పిట్ ఫెయిరింగ్ ఉంటుంది. దాని ద్వంద్వ రెండు-బ్లేడెడ్ రోటర్లు ఒక్కొక్కటి 4.5 మీ (14.8 అడుగులు) వ్యాసాలను కలిగి ఉంటాయి. ఈ విమానం సాధారణ ఖాళీ బరువు 115 కిలోల (254 ఎల్బి) మరియు స్థూల బరువు 275 కిలోలు (606 ఎల్బి), ఇది 160 కిలోల (353 ఎల్బి) ఉపయోగకరమైన లోడ్‌ను ఇస్తుంది. 19 లీటర్ల పూర్తి ఇంధనంతో (4.2 ఇంప్ గల్; 5.0 యుఎస్ గాల్) పైలట్ మరియు సామాను కోసం పేలోడ్ 146 కిలోలు (322 ఎల్బి). [1] సమీక్షకుడు వెర్నర్ పిఫెండ్లర్, VA115 ను "అందంగా ఇంజనీరింగ్" గా అభివర్ణించారు. [1] టాక్ మరియు తయారీదారు నుండి డేటా [1] [2] సాధారణ లక్షణాల పనితీరు</v>
      </c>
      <c r="F25" s="1" t="s">
        <v>218</v>
      </c>
      <c r="G25" s="1" t="str">
        <f>IFERROR(__xludf.DUMMYFUNCTION("GOOGLETRANSLATE(F:F, ""en"", ""te"")"),"హెలికాప్టర్")</f>
        <v>హెలికాప్టర్</v>
      </c>
      <c r="H25" s="3" t="s">
        <v>219</v>
      </c>
      <c r="I25" s="1" t="s">
        <v>321</v>
      </c>
      <c r="J25" s="1" t="str">
        <f>IFERROR(__xludf.DUMMYFUNCTION("GOOGLETRANSLATE(I:I, ""en"", ""te"")"),"జర్మనీ")</f>
        <v>జర్మనీ</v>
      </c>
      <c r="K25" s="3" t="s">
        <v>322</v>
      </c>
      <c r="L25" s="1" t="s">
        <v>537</v>
      </c>
      <c r="M25" s="1" t="str">
        <f>IFERROR(__xludf.DUMMYFUNCTION("GOOGLETRANSLATE(L:L, ""en"", ""te"")"),"రోటార్ష్మిడ్ Gmbh")</f>
        <v>రోటార్ష్మిడ్ Gmbh</v>
      </c>
      <c r="N25" s="1" t="s">
        <v>538</v>
      </c>
      <c r="O25" s="1" t="s">
        <v>539</v>
      </c>
      <c r="P25" s="1" t="str">
        <f>IFERROR(__xludf.DUMMYFUNCTION("GOOGLETRANSLATE(O:O, ""en"", ""te"")"),"ఉత్పత్తిలో (2017)")</f>
        <v>ఉత్పత్తిలో (2017)</v>
      </c>
      <c r="S25" s="1" t="s">
        <v>133</v>
      </c>
      <c r="U25" s="1" t="s">
        <v>540</v>
      </c>
      <c r="X25" s="1" t="s">
        <v>541</v>
      </c>
      <c r="Y25" s="1" t="s">
        <v>542</v>
      </c>
      <c r="Z25" s="1" t="s">
        <v>543</v>
      </c>
      <c r="AA25" s="1" t="s">
        <v>544</v>
      </c>
      <c r="AC25" s="1" t="s">
        <v>517</v>
      </c>
      <c r="AJ25" s="1" t="s">
        <v>545</v>
      </c>
      <c r="AM25" s="1" t="s">
        <v>546</v>
      </c>
      <c r="AO25" s="1" t="s">
        <v>547</v>
      </c>
      <c r="AP25" s="1" t="s">
        <v>548</v>
      </c>
      <c r="AQ25" s="1" t="s">
        <v>549</v>
      </c>
      <c r="AV25" s="1" t="s">
        <v>550</v>
      </c>
      <c r="BD25" s="1" t="s">
        <v>551</v>
      </c>
      <c r="BN25" s="1" t="s">
        <v>552</v>
      </c>
      <c r="BO25" s="1" t="s">
        <v>553</v>
      </c>
    </row>
    <row r="26">
      <c r="A26" s="1" t="s">
        <v>554</v>
      </c>
      <c r="B26" s="1" t="str">
        <f>IFERROR(__xludf.DUMMYFUNCTION("GOOGLETRANSLATE(A:A, ""en"", ""te"")"),"అంటారెస్ ఎ -10 సోలో")</f>
        <v>అంటారెస్ ఎ -10 సోలో</v>
      </c>
      <c r="C26" s="1" t="s">
        <v>555</v>
      </c>
      <c r="D26" s="1" t="str">
        <f>IFERROR(__xludf.DUMMYFUNCTION("GOOGLETRANSLATE(C:C, ""en"", ""te"")"),"అంటారెస్ ఎ -10 సోలో అనేది ఉక్రేనియన్ అల్ట్రాలైట్ ట్రైక్, ఇది అంటారెస్ విమానాలచే రూపొందించబడింది మరియు ఉత్పత్తి చేస్తుంది. ఈ విమానం te త్సాహిక నిర్మాణానికి కిట్‌గా సరఫరా చేయబడుతుంది లేదా పూర్తి మరియు రెడీ-ఫ్లై. [1] A-10 సోలో రెండు-సీట్ల అంటారెస్ MA-32 యొక్"&amp;"క సింగిల్-సీట్ ఉత్పన్నం. వర్గం యొక్క గరిష్ట స్థూల బరువు 450 కిలోల (992 పౌండ్లు) తో సహా, ఫెడెరేషన్ ఏరోనటిక్ ఇంటర్నేషనల్ మైక్రోలైట్ వర్గానికి అనుగుణంగా ఇది రూపొందించబడింది. ఈ విమానం గరిష్టంగా స్థూల బరువు 450 కిలోలు (992 పౌండ్లు). A-10 యునైటెడ్ స్టేట్స్లో కి"&amp;"ట్‌గా పంపిణీ చేయబడింది, ఇక్కడ ప్రయోగాత్మక-te త్సాహిక-నిర్మిత వర్గానికి ఆమోదించబడింది. [1] విమాన రూపకల్పనలో కేబుల్-బ్రేస్డ్ హాంగ్ గ్లైడర్-స్టైల్ హై-వింగ్, వెయిట్-షిఫ్ట్ కంట్రోల్స్, కాక్‌పిట్ ఫెయిరింగ్ ఉన్న సింగిల్-సీట్ల ఓపెన్ కాక్‌పిట్, వీల్ ప్యాంటుతో ట్రై"&amp;"సైకిల్ ల్యాండింగ్ గేర్ మరియు పషర్ కాన్ఫిగరేషన్‌లో ఒకే ఇంజిన్ ఉన్నాయి. [1] ఈ విమానం బోల్ట్-టుగేథర్ అల్యూమినియం గొట్టాల నుండి తయారవుతుంది, సింగిల్-పీస్ కాంపోజిట్ మెయిన్‌వీల్ స్ప్రింగ్ సిస్టమ్ మరియు ఆఫ్-విమానాశ్రయం ల్యాండింగ్‌ల కోసం టైటానియం ఫ్రంట్ వీల్ ఫోర్"&amp;"క్. డాక్రాన్ సెయిల్‌క్లాత్‌లో కప్పబడిన డబుల్ ఉపరితల వింగ్. దాని 10 మీ (32.8 అడుగుల) స్పాన్ వింగ్‌కు ఒకే ట్యూబ్-రకం కింగ్‌పోస్ట్ మద్దతు ఇస్తుంది మరియు ""ఎ"" ఫ్రేమ్ వెయిట్-షిఫ్ట్ కంట్రోల్ బార్‌ను ఉపయోగిస్తుంది. ఐచ్ఛికంగా ""టాప్‌లెస్"" రెక్క, కింగ్‌పోస్ట్ లే"&amp;"కపోవడం, అమర్చవచ్చు. పవర్‌ప్లాంట్ ఒక ట్విన్ సిలిండర్, ఎయిర్-కూల్డ్, టూ-స్ట్రోక్, డ్యూయల్-ఇగ్నిషన్ 50 హెచ్‌పి (37 కిలోవాట్) రోటాక్స్ 503 ఇంజిన్ లేదా ఐచ్ఛికంగా 40 హెచ్‌పి (30 కిలోవాట్) రోటాక్స్ 447 ఇంజిన్. [1] ఈ విమానం ఖాళీ బరువు 170 కిలోల (375 ఎల్బి) మరియు "&amp;"స్థూల బరువు 450 కిలోలు (992 పౌండ్లు), ఇది 280 కిలోల (617 ఎల్బి) ఉపయోగకరమైన లోడ్ ఇస్తుంది. 19 లీటర్ల పూర్తి ఇంధనంతో (4.2 ఇంప్ గల్; 5.0 యుఎస్ గాల్) పేలోడ్ 266 కిలోలు (586 ఎల్బి). [1] ప్రామాణిక ఎరోస్ స్ట్రేంజర్ 2, లేదా ఎరోస్ ఇప్పటికీ 17. ఐచ్ఛిక రెక్కలతో సహా "&amp;"అనేక విభిన్న రెక్కలను ప్రాథమిక క్యారేజీకి అమర్చవచ్చు. టాక్ మరియు అంటారెస్ యుఎస్ఎ నుండి ఎరోస్ స్ట్రేంజర్ 2 ఎమ్, ఎరోస్ స్ట్రీమ్ 16 లేదా ఎరోస్ ప్రొఫెసర్ [1] డేటా ఉన్నాయి [1 ] [2] సాధారణ లక్షణాల పనితీరు")</f>
        <v>అంటారెస్ ఎ -10 సోలో అనేది ఉక్రేనియన్ అల్ట్రాలైట్ ట్రైక్, ఇది అంటారెస్ విమానాలచే రూపొందించబడింది మరియు ఉత్పత్తి చేస్తుంది. ఈ విమానం te త్సాహిక నిర్మాణానికి కిట్‌గా సరఫరా చేయబడుతుంది లేదా పూర్తి మరియు రెడీ-ఫ్లై. [1] A-10 సోలో రెండు-సీట్ల అంటారెస్ MA-32 యొక్క సింగిల్-సీట్ ఉత్పన్నం. వర్గం యొక్క గరిష్ట స్థూల బరువు 450 కిలోల (992 పౌండ్లు) తో సహా, ఫెడెరేషన్ ఏరోనటిక్ ఇంటర్నేషనల్ మైక్రోలైట్ వర్గానికి అనుగుణంగా ఇది రూపొందించబడింది. ఈ విమానం గరిష్టంగా స్థూల బరువు 450 కిలోలు (992 పౌండ్లు). A-10 యునైటెడ్ స్టేట్స్లో కిట్‌గా పంపిణీ చేయబడింది, ఇక్కడ ప్రయోగాత్మక-te త్సాహిక-నిర్మిత వర్గానికి ఆమోదించబడింది. [1] విమాన రూపకల్పనలో కేబుల్-బ్రేస్డ్ హాంగ్ గ్లైడర్-స్టైల్ హై-వింగ్, వెయిట్-షిఫ్ట్ కంట్రోల్స్, కాక్‌పిట్ ఫెయిరింగ్ ఉన్న సింగిల్-సీట్ల ఓపెన్ కాక్‌పిట్, వీల్ ప్యాంటుతో ట్రైసైకిల్ ల్యాండింగ్ గేర్ మరియు పషర్ కాన్ఫిగరేషన్‌లో ఒకే ఇంజిన్ ఉన్నాయి. [1] ఈ విమానం బోల్ట్-టుగేథర్ అల్యూమినియం గొట్టాల నుండి తయారవుతుంది, సింగిల్-పీస్ కాంపోజిట్ మెయిన్‌వీల్ స్ప్రింగ్ సిస్టమ్ మరియు ఆఫ్-విమానాశ్రయం ల్యాండింగ్‌ల కోసం టైటానియం ఫ్రంట్ వీల్ ఫోర్క్. డాక్రాన్ సెయిల్‌క్లాత్‌లో కప్పబడిన డబుల్ ఉపరితల వింగ్. దాని 10 మీ (32.8 అడుగుల) స్పాన్ వింగ్‌కు ఒకే ట్యూబ్-రకం కింగ్‌పోస్ట్ మద్దతు ఇస్తుంది మరియు "ఎ" ఫ్రేమ్ వెయిట్-షిఫ్ట్ కంట్రోల్ బార్‌ను ఉపయోగిస్తుంది. ఐచ్ఛికంగా "టాప్‌లెస్" రెక్క, కింగ్‌పోస్ట్ లేకపోవడం, అమర్చవచ్చు. పవర్‌ప్లాంట్ ఒక ట్విన్ సిలిండర్, ఎయిర్-కూల్డ్, టూ-స్ట్రోక్, డ్యూయల్-ఇగ్నిషన్ 50 హెచ్‌పి (37 కిలోవాట్) రోటాక్స్ 503 ఇంజిన్ లేదా ఐచ్ఛికంగా 40 హెచ్‌పి (30 కిలోవాట్) రోటాక్స్ 447 ఇంజిన్. [1] ఈ విమానం ఖాళీ బరువు 170 కిలోల (375 ఎల్బి) మరియు స్థూల బరువు 450 కిలోలు (992 పౌండ్లు), ఇది 280 కిలోల (617 ఎల్బి) ఉపయోగకరమైన లోడ్ ఇస్తుంది. 19 లీటర్ల పూర్తి ఇంధనంతో (4.2 ఇంప్ గల్; 5.0 యుఎస్ గాల్) పేలోడ్ 266 కిలోలు (586 ఎల్బి). [1] ప్రామాణిక ఎరోస్ స్ట్రేంజర్ 2, లేదా ఎరోస్ ఇప్పటికీ 17. ఐచ్ఛిక రెక్కలతో సహా అనేక విభిన్న రెక్కలను ప్రాథమిక క్యారేజీకి అమర్చవచ్చు. టాక్ మరియు అంటారెస్ యుఎస్ఎ నుండి ఎరోస్ స్ట్రేంజర్ 2 ఎమ్, ఎరోస్ స్ట్రీమ్ 16 లేదా ఎరోస్ ప్రొఫెసర్ [1] డేటా ఉన్నాయి [1 ] [2] సాధారణ లక్షణాల పనితీరు</v>
      </c>
      <c r="F26" s="1" t="s">
        <v>184</v>
      </c>
      <c r="G26" s="1" t="str">
        <f>IFERROR(__xludf.DUMMYFUNCTION("GOOGLETRANSLATE(F:F, ""en"", ""te"")"),"అల్ట్రాలైట్ ట్రైక్")</f>
        <v>అల్ట్రాలైట్ ట్రైక్</v>
      </c>
      <c r="H26" s="1" t="s">
        <v>185</v>
      </c>
      <c r="I26" s="1" t="s">
        <v>556</v>
      </c>
      <c r="J26" s="1" t="str">
        <f>IFERROR(__xludf.DUMMYFUNCTION("GOOGLETRANSLATE(I:I, ""en"", ""te"")"),"ఉక్రెయిన్")</f>
        <v>ఉక్రెయిన్</v>
      </c>
      <c r="K26" s="3" t="s">
        <v>557</v>
      </c>
      <c r="L26" s="1" t="s">
        <v>558</v>
      </c>
      <c r="M26" s="1" t="str">
        <f>IFERROR(__xludf.DUMMYFUNCTION("GOOGLETRANSLATE(L:L, ""en"", ""te"")"),"అంటారెస్ విమానం")</f>
        <v>అంటారెస్ విమానం</v>
      </c>
      <c r="N26" s="1" t="s">
        <v>559</v>
      </c>
      <c r="O26" s="1" t="s">
        <v>560</v>
      </c>
      <c r="P26" s="1" t="str">
        <f>IFERROR(__xludf.DUMMYFUNCTION("GOOGLETRANSLATE(O:O, ""en"", ""te"")"),"ఉత్పత్తిలో (2018)")</f>
        <v>ఉత్పత్తిలో (2018)</v>
      </c>
      <c r="S26" s="1" t="s">
        <v>133</v>
      </c>
      <c r="U26" s="1" t="s">
        <v>561</v>
      </c>
      <c r="V26" s="1" t="s">
        <v>562</v>
      </c>
      <c r="W26" s="1" t="s">
        <v>563</v>
      </c>
      <c r="X26" s="1" t="s">
        <v>564</v>
      </c>
      <c r="Y26" s="1" t="s">
        <v>252</v>
      </c>
      <c r="Z26" s="1" t="s">
        <v>543</v>
      </c>
      <c r="AA26" s="1" t="s">
        <v>565</v>
      </c>
      <c r="AB26" s="1" t="s">
        <v>566</v>
      </c>
      <c r="AC26" s="1" t="s">
        <v>567</v>
      </c>
      <c r="AD26" s="1" t="s">
        <v>568</v>
      </c>
      <c r="AF26" s="1" t="s">
        <v>529</v>
      </c>
      <c r="AP26" s="1" t="s">
        <v>280</v>
      </c>
      <c r="AR26" s="1" t="s">
        <v>569</v>
      </c>
      <c r="AT26" s="1" t="s">
        <v>570</v>
      </c>
      <c r="AU26" s="1" t="s">
        <v>571</v>
      </c>
      <c r="AX26" s="1" t="s">
        <v>572</v>
      </c>
    </row>
    <row r="27">
      <c r="A27" s="1" t="s">
        <v>573</v>
      </c>
      <c r="B27" s="1" t="str">
        <f>IFERROR(__xludf.DUMMYFUNCTION("GOOGLETRANSLATE(A:A, ""en"", ""te"")"),"Dziaayowski d.k.d.1")</f>
        <v>Dziaayowski d.k.d.1</v>
      </c>
      <c r="C27" s="1" t="s">
        <v>574</v>
      </c>
      <c r="D27" s="1" t="str">
        <f>IFERROR(__xludf.DUMMYFUNCTION("GOOGLETRANSLATE(C:C, ""en"", ""te"")"),"డిజియాకోవ్స్కీ డి.కె.డి.1 స్టానిస్లా డిజియానోవ్స్కీ రూపొందించిన మొట్టమొదటి శక్తితో కూడిన విమానం. ఇది ఒక ప్రయాణీకుడికి క్యాబిన్ ఉన్న తక్కువ శక్తి హై-వింగ్ మోనోప్లేన్. 1927 లో వార్సాలో ఒక విమానయాన ప్రదర్శనలో హాజరైన తరువాత, ఇంజిన్ వెళ్ళినప్పుడు విఫలమైనప్పుడు"&amp;" అది తీవ్రంగా దెబ్బతింది మరియు అది మళ్లీ ఎగరలేదు. 1920 ల ప్రారంభంలో, స్టానిస్సా డిజియానోవ్స్కీ బైడ్గోజ్జ్జ్ వద్ద ఉన్న మిలిటరీ ఫ్లయింగ్ స్కూల్లో విమాన అసెంబ్లీ అధిపతి. అతను మరియు అతని సోదరుడు మియాక్జిసావ్ విమాన రూపకల్పనను గ్లైడర్, బైడ్గోడాస్జ్కాంకాతో ప్రార"&amp;"ంభించారు, ఇది 1925 రెండవ పోలిష్ గ్లైడర్ పోటీలో ప్రయాణించింది. [1] [2] అదే సంవత్సరంలో వారు D.K.D.1 లో పనిని ప్రారంభించారు. ఇంటిపేరు అక్షరాలు D.K.D ఇద్దరు సోదరులు మరియు జాన్ క్రుగర్, స్థానిక షూమేకర్, అతను కొంత నిధులు సమకూర్చాడు మరియు గాబ్రియేల్ బ్రదర్స్ గాబ"&amp;"్రియేల్ P 5 మరియు P 6 లలో ఉపయోగించిన హాక్ ఇంజిన్‌ను కూడా కొనుగోలు చేశాడు. మిలిటరీ వర్క్‌షాప్ కానీ తరువాత వారు పట్టణంలోని ఒక గదికి బలవంతం చేయబడ్డారు. [1] D.K.D.1 అనేది ఒక ప్రయాణీకుడికి పరివేష్టిత క్యాబిన్ మరియు పైలట్ కోసం ఓపెన్ కాక్‌పిట్ ఉన్న ఎత్తైన వింగ్ "&amp;"విమానం. ఇది ట్రాపెజోయిడల్ ప్లాన్ యొక్క వన్-పీస్ చెక్క రెక్కను కలిగి ఉంది, ఇది ఒక ప్రముఖ అంచుతో, రెండు స్పార్లు మరియు ఫాబ్రిక్ చుట్టూ నిర్మించబడింది. రెక్కను తక్కువ ఫ్యూజ్‌లేజ్ లాంగన్స్ నుండి స్పార్స్‌కు V- స్ట్రట్‌లతో కలుపుతారు. ఈ విమానం మొదట రెక్కతో నేరు"&amp;"గా ఫ్యూజ్‌లేజ్ పైభాగానికి కేంద్రంగా పరిష్కరించబడింది, కాని ఫ్లైట్ టెస్టింగ్ కాక్‌పిట్ నుండి పేలవమైన దృశ్యమానతను వెల్లడించింది మరియు రెక్క నాలుగు నిలువు, ఫెయిర్‌డ్ స్ట్రట్‌లపై కొద్ది దూరం పెరిగింది, పైలట్ రెక్క కింద ఎదురుచూడటానికి వీలు కల్పిస్తుంది . కాక్‌"&amp;"పిట్ మీద వెనుకంజలో ఉన్న అంచులో పెద్ద, లోతైన కటౌట్ ఉంది. దాని ఐలెరాన్‌లపై ఉదార ​​బ్యాలెన్స్ స్క్వేర్డ్ వింగ్ చిట్కాలకు మించి విస్తరించింది. [1] D.K.D.1 ను 22 kW (30 hp) హాక్ HFM-2 ఎయిర్-కూల్డ్ ఫ్లాట్ ట్విన్ ఇంజిన్ సింగిల్-కర్వేచర్ డ్యూరాలిమిన్ షీట్ కింద దీ"&amp;"ర్ఘచతురస్రాకార విభాగం స్టీల్ ట్యూబ్ ఫ్యూజ్‌లేజ్ ఫ్రేమ్‌లో అమర్చారు, దాని సిలిండర్ తలలు శీతలీకరణకు గురయ్యాయి. దాని వెనుక లోతైన, ఫ్లాట్-సైడెడ్ ఫ్యూజ్‌లేజ్ దాని గుండ్రని, ప్లైవుడ్ కవర్ డెక్కింగ్ నుండి కప్పబడి ఉంటుంది. పరివేష్టిత, సింగిల్ సీట్ ప్యాసింజర్ క్యా"&amp;"బిన్ వెంటనే ఇంజిన్ వెనుక మరియు కాక్‌పిట్ ముందు ఉంది. ఇది ప్రతి వైపు ఒక చిన్న కిటికీని కలిగి ఉంది మరియు పోర్ట్-సైడ్ తలుపు ద్వారా ప్రవేశించింది. [1] ఫిన్ మరియు టెయిల్‌ప్లేన్ రెండూ, రెండోది ఫ్యూజ్‌లేజ్ పైన ఉన్నది, చిన్న మరియు దీర్ఘచతురస్రాకార ఆకారంలో ఉండేవి,"&amp;" పెద్ద, సమతుల్య నియంత్రణ ఉపరితలాలు పెరుగుతాయి. ఇవి సుమారుగా దీర్ఘచతురస్రాకారంగా ఉన్నాయి, అయితే చుక్కాని దిగువ భాగాన్ని ఒక కోణంలో కత్తిరించారు, వన్-పీస్ ఎలివేటర్ ఆపరేట్ చేయడానికి వీలు కల్పిస్తుంది. అన్ని వెనుక ఉపరితలాలు చెక్క ఫ్రేమ్డ్ మరియు ఫాబ్రిక్ కప్పబడ"&amp;"ి ఉన్నాయి. [1] దీని అండర్ క్యారేజ్ స్థిరంగా ఉంది మరియు టెయిల్స్కిడ్ రకం, మెయిన్‌వీల్స్ ఒకే ఇరుసుపై రబ్బరు త్రాడు షాక్ అబ్జార్బర్‌లతో ఉన్నాయి. చిన్న స్టీల్ ట్యూబ్ వి-స్ట్రట్‌లపై ఇరుసును అమర్చారు, దిగువ ఫ్యూజ్‌లేజ్ లాంగన్స్ నుండి, లాంగన్స్ మరియు సెంట్రల్ ఫ్"&amp;"యూజ్‌లేజ్ అండర్ సైడ్ రెండింటి నుండి ఇరుసు కేంద్రానికి మరింత ఉక్కు స్ట్రట్‌లు ఉన్నాయి. [1] D.K.D.1 మొట్టమొదట ఫిబ్రవరి 1926 లో ఎగిరింది, ముస్లేవ్స్కీ చేత పైలట్ చేయబడింది మరియు ప్రారంభ పరీక్షలు పైన పేర్కొన్న రెక్కను పెంచడానికి మరియు సెంటర్-సెక్షన్కు ఇతర మార్"&amp;"పులకు దారితీశాయి. దాని డిజైనర్ కూడా ఎగిరింది మరియు ఏప్రిల్ 1927 చివరలో వార్సాలో జరిగిన విమానయాన ప్రదర్శనకు తీసుకువెళ్ళింది. అతని 300 కి.మీ (190 మైళ్ళు; 160 ఎన్ఎమ్ఐ), టోరుస్ నుండి వార్సా వరకు చెడు వాతావరణ కాలు ""పోలిష్-రూపొందించిన లైట్ ప్లేన్ మీద తయారు చేయ"&amp;"బడిన మొట్టమొదటి పొడవైన క్రాస్ కంట్రీ ఫ్లైట్"" గా నివేదించబడింది. [1] [3] బైడ్గోడాస్జ్జ్ వద్ద వారి మునుపటి స్థావరం పౌర ఎగిరేందుకు అంగీకరించలేదు, కాని క్రాకోవ్ వద్ద మరొక రెజిమెంట్ చాలా సానుభూతితో ఉంది, కాబట్టి అతను అక్కడ D.K.D.1 ను తీసుకోవడానికి ప్రయత్నించా"&amp;"డు. విమాన ప్రారంభంలో ఓల్డ్ హాక్ ఇంజిన్ విఫలమైంది మరియు అత్యవసర ల్యాండింగ్‌లో D.K.D.1 తీవ్రంగా దెబ్బతింది. దాని అవశేషాలను క్రాకోవ్‌కు తీసుకువెళ్లారు మరియు దాని భాగాలను సమూహం యొక్క తదుపరి విమానం D.K.D.3 లో ఉపయోగించారు. [1] సింక్ (1971) నుండి డేటా [1] సాధారణ"&amp;" లక్షణాల పనితీరు")</f>
        <v>డిజియాకోవ్స్కీ డి.కె.డి.1 స్టానిస్లా డిజియానోవ్స్కీ రూపొందించిన మొట్టమొదటి శక్తితో కూడిన విమానం. ఇది ఒక ప్రయాణీకుడికి క్యాబిన్ ఉన్న తక్కువ శక్తి హై-వింగ్ మోనోప్లేన్. 1927 లో వార్సాలో ఒక విమానయాన ప్రదర్శనలో హాజరైన తరువాత, ఇంజిన్ వెళ్ళినప్పుడు విఫలమైనప్పుడు అది తీవ్రంగా దెబ్బతింది మరియు అది మళ్లీ ఎగరలేదు. 1920 ల ప్రారంభంలో, స్టానిస్సా డిజియానోవ్స్కీ బైడ్గోజ్జ్జ్ వద్ద ఉన్న మిలిటరీ ఫ్లయింగ్ స్కూల్లో విమాన అసెంబ్లీ అధిపతి. అతను మరియు అతని సోదరుడు మియాక్జిసావ్ విమాన రూపకల్పనను గ్లైడర్, బైడ్గోడాస్జ్కాంకాతో ప్రారంభించారు, ఇది 1925 రెండవ పోలిష్ గ్లైడర్ పోటీలో ప్రయాణించింది. [1] [2] అదే సంవత్సరంలో వారు D.K.D.1 లో పనిని ప్రారంభించారు. ఇంటిపేరు అక్షరాలు D.K.D ఇద్దరు సోదరులు మరియు జాన్ క్రుగర్, స్థానిక షూమేకర్, అతను కొంత నిధులు సమకూర్చాడు మరియు గాబ్రియేల్ బ్రదర్స్ గాబ్రియేల్ P 5 మరియు P 6 లలో ఉపయోగించిన హాక్ ఇంజిన్‌ను కూడా కొనుగోలు చేశాడు. మిలిటరీ వర్క్‌షాప్ కానీ తరువాత వారు పట్టణంలోని ఒక గదికి బలవంతం చేయబడ్డారు. [1] D.K.D.1 అనేది ఒక ప్రయాణీకుడికి పరివేష్టిత క్యాబిన్ మరియు పైలట్ కోసం ఓపెన్ కాక్‌పిట్ ఉన్న ఎత్తైన వింగ్ విమానం. ఇది ట్రాపెజోయిడల్ ప్లాన్ యొక్క వన్-పీస్ చెక్క రెక్కను కలిగి ఉంది, ఇది ఒక ప్రముఖ అంచుతో, రెండు స్పార్లు మరియు ఫాబ్రిక్ చుట్టూ నిర్మించబడింది. రెక్కను తక్కువ ఫ్యూజ్‌లేజ్ లాంగన్స్ నుండి స్పార్స్‌కు V- స్ట్రట్‌లతో కలుపుతారు. ఈ విమానం మొదట రెక్కతో నేరుగా ఫ్యూజ్‌లేజ్ పైభాగానికి కేంద్రంగా పరిష్కరించబడింది, కాని ఫ్లైట్ టెస్టింగ్ కాక్‌పిట్ నుండి పేలవమైన దృశ్యమానతను వెల్లడించింది మరియు రెక్క నాలుగు నిలువు, ఫెయిర్‌డ్ స్ట్రట్‌లపై కొద్ది దూరం పెరిగింది, పైలట్ రెక్క కింద ఎదురుచూడటానికి వీలు కల్పిస్తుంది . కాక్‌పిట్ మీద వెనుకంజలో ఉన్న అంచులో పెద్ద, లోతైన కటౌట్ ఉంది. దాని ఐలెరాన్‌లపై ఉదార ​​బ్యాలెన్స్ స్క్వేర్డ్ వింగ్ చిట్కాలకు మించి విస్తరించింది. [1] D.K.D.1 ను 22 kW (30 hp) హాక్ HFM-2 ఎయిర్-కూల్డ్ ఫ్లాట్ ట్విన్ ఇంజిన్ సింగిల్-కర్వేచర్ డ్యూరాలిమిన్ షీట్ కింద దీర్ఘచతురస్రాకార విభాగం స్టీల్ ట్యూబ్ ఫ్యూజ్‌లేజ్ ఫ్రేమ్‌లో అమర్చారు, దాని సిలిండర్ తలలు శీతలీకరణకు గురయ్యాయి. దాని వెనుక లోతైన, ఫ్లాట్-సైడెడ్ ఫ్యూజ్‌లేజ్ దాని గుండ్రని, ప్లైవుడ్ కవర్ డెక్కింగ్ నుండి కప్పబడి ఉంటుంది. పరివేష్టిత, సింగిల్ సీట్ ప్యాసింజర్ క్యాబిన్ వెంటనే ఇంజిన్ వెనుక మరియు కాక్‌పిట్ ముందు ఉంది. ఇది ప్రతి వైపు ఒక చిన్న కిటికీని కలిగి ఉంది మరియు పోర్ట్-సైడ్ తలుపు ద్వారా ప్రవేశించింది. [1] ఫిన్ మరియు టెయిల్‌ప్లేన్ రెండూ, రెండోది ఫ్యూజ్‌లేజ్ పైన ఉన్నది, చిన్న మరియు దీర్ఘచతురస్రాకార ఆకారంలో ఉండేవి, పెద్ద, సమతుల్య నియంత్రణ ఉపరితలాలు పెరుగుతాయి. ఇవి సుమారుగా దీర్ఘచతురస్రాకారంగా ఉన్నాయి, అయితే చుక్కాని దిగువ భాగాన్ని ఒక కోణంలో కత్తిరించారు, వన్-పీస్ ఎలివేటర్ ఆపరేట్ చేయడానికి వీలు కల్పిస్తుంది. అన్ని వెనుక ఉపరితలాలు చెక్క ఫ్రేమ్డ్ మరియు ఫాబ్రిక్ కప్పబడి ఉన్నాయి. [1] దీని అండర్ క్యారేజ్ స్థిరంగా ఉంది మరియు టెయిల్స్కిడ్ రకం, మెయిన్‌వీల్స్ ఒకే ఇరుసుపై రబ్బరు త్రాడు షాక్ అబ్జార్బర్‌లతో ఉన్నాయి. చిన్న స్టీల్ ట్యూబ్ వి-స్ట్రట్‌లపై ఇరుసును అమర్చారు, దిగువ ఫ్యూజ్‌లేజ్ లాంగన్స్ నుండి, లాంగన్స్ మరియు సెంట్రల్ ఫ్యూజ్‌లేజ్ అండర్ సైడ్ రెండింటి నుండి ఇరుసు కేంద్రానికి మరింత ఉక్కు స్ట్రట్‌లు ఉన్నాయి. [1] D.K.D.1 మొట్టమొదట ఫిబ్రవరి 1926 లో ఎగిరింది, ముస్లేవ్స్కీ చేత పైలట్ చేయబడింది మరియు ప్రారంభ పరీక్షలు పైన పేర్కొన్న రెక్కను పెంచడానికి మరియు సెంటర్-సెక్షన్కు ఇతర మార్పులకు దారితీశాయి. దాని డిజైనర్ కూడా ఎగిరింది మరియు ఏప్రిల్ 1927 చివరలో వార్సాలో జరిగిన విమానయాన ప్రదర్శనకు తీసుకువెళ్ళింది. అతని 300 కి.మీ (190 మైళ్ళు; 160 ఎన్ఎమ్ఐ), టోరుస్ నుండి వార్సా వరకు చెడు వాతావరణ కాలు "పోలిష్-రూపొందించిన లైట్ ప్లేన్ మీద తయారు చేయబడిన మొట్టమొదటి పొడవైన క్రాస్ కంట్రీ ఫ్లైట్" గా నివేదించబడింది. [1] [3] బైడ్గోడాస్జ్జ్ వద్ద వారి మునుపటి స్థావరం పౌర ఎగిరేందుకు అంగీకరించలేదు, కాని క్రాకోవ్ వద్ద మరొక రెజిమెంట్ చాలా సానుభూతితో ఉంది, కాబట్టి అతను అక్కడ D.K.D.1 ను తీసుకోవడానికి ప్రయత్నించాడు. విమాన ప్రారంభంలో ఓల్డ్ హాక్ ఇంజిన్ విఫలమైంది మరియు అత్యవసర ల్యాండింగ్‌లో D.K.D.1 తీవ్రంగా దెబ్బతింది. దాని అవశేషాలను క్రాకోవ్‌కు తీసుకువెళ్లారు మరియు దాని భాగాలను సమూహం యొక్క తదుపరి విమానం D.K.D.3 లో ఉపయోగించారు. [1] సింక్ (1971) నుండి డేటా [1] సాధారణ లక్షణాల పనితీరు</v>
      </c>
      <c r="E27" s="1" t="s">
        <v>575</v>
      </c>
      <c r="F27" s="1" t="s">
        <v>576</v>
      </c>
      <c r="G27" s="1" t="str">
        <f>IFERROR(__xludf.DUMMYFUNCTION("GOOGLETRANSLATE(F:F, ""en"", ""te"")"),"రెండు సీట్ల క్యాబిన్ మోనోప్లేన్")</f>
        <v>రెండు సీట్ల క్యాబిన్ మోనోప్లేన్</v>
      </c>
      <c r="I27" s="1" t="s">
        <v>431</v>
      </c>
      <c r="J27" s="1" t="str">
        <f>IFERROR(__xludf.DUMMYFUNCTION("GOOGLETRANSLATE(I:I, ""en"", ""te"")"),"పోలాండ్")</f>
        <v>పోలాండ్</v>
      </c>
      <c r="K27" s="3" t="s">
        <v>432</v>
      </c>
      <c r="Q27" s="1">
        <v>1.0</v>
      </c>
      <c r="S27" s="1" t="s">
        <v>433</v>
      </c>
      <c r="T27" s="1" t="s">
        <v>577</v>
      </c>
      <c r="U27" s="1" t="s">
        <v>578</v>
      </c>
      <c r="V27" s="1" t="s">
        <v>579</v>
      </c>
      <c r="W27" s="1" t="s">
        <v>580</v>
      </c>
      <c r="X27" s="1" t="s">
        <v>581</v>
      </c>
      <c r="Y27" s="1" t="s">
        <v>582</v>
      </c>
      <c r="AA27" s="1" t="s">
        <v>583</v>
      </c>
      <c r="AB27" s="1" t="s">
        <v>440</v>
      </c>
      <c r="AC27" s="1" t="s">
        <v>584</v>
      </c>
      <c r="AD27" s="1" t="s">
        <v>585</v>
      </c>
      <c r="AH27" s="1" t="s">
        <v>586</v>
      </c>
      <c r="AJ27" s="5">
        <v>9529.0</v>
      </c>
      <c r="AM27" s="1" t="s">
        <v>587</v>
      </c>
      <c r="AP27" s="1" t="s">
        <v>588</v>
      </c>
      <c r="AS27" s="1">
        <v>5.6</v>
      </c>
      <c r="BD27" s="1" t="s">
        <v>589</v>
      </c>
      <c r="BQ27" s="1" t="s">
        <v>590</v>
      </c>
      <c r="BR27" s="1" t="s">
        <v>591</v>
      </c>
    </row>
    <row r="28">
      <c r="A28" s="1" t="s">
        <v>592</v>
      </c>
      <c r="B28" s="1" t="str">
        <f>IFERROR(__xludf.DUMMYFUNCTION("GOOGLETRANSLATE(A:A, ""en"", ""te"")"),"మెడ్వెక్కి మరియు నోవాకోవ్స్కీ M.N.5")</f>
        <v>మెడ్వెక్కి మరియు నోవాకోవ్స్కీ M.N.5</v>
      </c>
      <c r="C28" s="1" t="s">
        <v>593</v>
      </c>
      <c r="D28" s="1" t="str">
        <f>IFERROR(__xludf.DUMMYFUNCTION("GOOGLETRANSLATE(C:C, ""en"", ""te"")"),"మెడ్వెక్కీ మరియు నోవాకోవ్స్కీ M.N.5 అనేది ఆర్థిక పోలిష్ ట్రైనర్ విమానం మొదట్లో క్లబ్ మార్కెట్‌ను లక్ష్యంగా చేసుకుంది, అయినప్పటికీ కొంత సైనిక ఆసక్తి కూడా ఉంది. 1930 లో సమోలోట్ దివాలా తీసిన తరువాత ఇది బాగా పనిచేసింది కాని కన్స్ట్రక్టర్ లేదు, కాబట్టి ఒకటి మా"&amp;"త్రమే పూర్తయింది. 1930 ల ప్రారంభంలో పెరుగుతున్న పోలిష్ ఏరోక్లబ్‌ల సంఖ్య తగిన శిక్షణా విమానానికి పిలుపునిచ్చింది. లాప్, పోలిష్ గాలి-మనస్సును ప్రోత్సహించిన సమూహం 60 కిలోవాట్ల (80 హెచ్‌పి) ఇంజిన్‌తో నడిచే తగిన డిజైన్ల కోసం పిలుపునిచ్చింది, అది కొనడానికి మరియ"&amp;"ు నడపడానికి చౌకగా ఉంటుంది. మూడు నమూనాలు అభివృద్ధి ఒప్పందాలను అందుకున్నాయి, PZL 5, SIDO S.1 మరియు M.N.5. తరువాతిదాన్ని జజెఫ్ మెడ్‌వెక్కీ మరియు జైగ్మండ్ నోవాకోవ్స్కీ రూపొందించారు, వీరిద్దరూ సమోలోట్ కోసం పనిచేశారు. సంస్థ సహాయంతో, రెండు M.N.5 ఎయిర్‌ఫ్రేమ్‌లు "&amp;"నిర్మించబడ్డాయి, ఒకటి స్టాటిక్ లోడ్ పరీక్ష కోసం మరియు మరొకటి విమానానికి. [1] కలప-ఫ్రేమ్డ్ M.N.5 అనేది కాక్‌పిట్ యాక్సెస్‌ను తగ్గించడానికి అస్థిరమైన సింగిల్ బే బిప్‌లేన్ మరియు పెద్ద ఇంటర్‌ప్లేన్ గ్యాప్. సమాన స్పాన్ ఎగువ మరియు దిగువ రెక్కలు రెండూ రెండు భాగా"&amp;"లలో దీర్ఘచతురస్రాకార ప్రణాళికలతో మొద్దుబారిన చిట్కాలకు ఉన్నాయి. అవి జత స్పార్‌ల చుట్టూ నిర్మించబడ్డాయి మరియు ఎక్కువగా ఫాబ్రిక్‌తో కప్పబడి ఉన్నాయి, కొన్ని ప్లైవుడ్‌తో పాటు. ఎగువ మరియు దిగువ రెక్కలు సాంప్రదాయిక ఎన్-ఫారమ్ ఇంటర్‌ప్లేన్ స్ట్రట్‌లతో కలిసి ఉన్నా"&amp;"యి, కాని అదనంగా పొడవైన స్టీల్ ట్యూబ్ స్ట్రట్, ఇతరులకన్నా పెద్ద వ్యాసం, ఫార్వర్డ్ స్పార్‌ల విమానంలో ఇంటర్‌ప్లేన్ స్ట్రట్ పై నుండి దిగువ స్పార్ వరకు నడిచింది రూట్ యొక్క అవుట్‌బోర్డ్. ఫ్లయింగ్ వైర్లను మార్చడంతో పాటు, రెక్కలు రూట్ నుండి డిస్‌కనెక్ట్ చేయబడినప్"&amp;"పుడు మరియు ఫ్యూజ్‌లేజ్‌తో పాటు వెనుకకు ముడుచుకున్నప్పుడు, వెనుక వింగ్ యొక్క ప్రముఖ అంచుకి ఈ స్ట్రట్ మద్దతు ఇచ్చింది, వెనుక స్పార్‌లపై హింగ్ చేస్తుంది. వింగ్ రూట్ దాని స్పార్స్ నుండి ఎగువ ఫ్యూజ్‌లేజ్ లాంగ్‌కు విలోమ వి-స్ట్రట్ ద్వారా బలోపేతం చేయబడింది. ఎగువ"&amp;" సెంటర్ విభాగం ఏరోఫాయిల్ సెక్షన్ ఇంధన ట్యాంక్ ద్వారా ఏర్పడింది, ఎగువ ఫ్యూజ్‌లేజ్‌పై మూడు జతల స్ట్రట్‌ల ద్వారా, ఫార్వర్డ్-మోస్ట్ రియార్వర్లను ఫార్వర్డ్ స్పార్‌కు మరియు ఇతరులు, సమాంతరంగా, వెనుక స్పార్‌లకు బాహ్యంగా. దిగువ రెక్క మాత్రమే డైహెడ్రాల్‌తో అమర్చబడి"&amp;"ంది; ఇది M.N.5 యొక్క పూర్తి వ్యవధి, ఇరుకైన తీగ ఐలెరాన్‌లను కూడా కలిగి ఉంది. రెక్కలు ముడుచుకున్నప్పుడు, M.N.5 3 మీ (9 అడుగులు 10 అంగుళాలు) వెడల్పు. [1] M.N.5 ను 60 కిలోవాట్ల (80 హెచ్‌పి) ఆర్మ్‌స్ట్రాంగ్ సిడ్లీ జెనెట్ ఫైవ్-సిలిండర్ రేడియల్ ఇంజిన్ టౌనెండ్ రి"&amp;"ంగ్ చేత కప్పబడి ఉంది. ఎక్కువగా చెక్క ఫ్యూజ్‌లేజ్‌లో నలుగురు లాంగన్‌లను ఫ్రేమ్‌ల ద్వారా అనుసంధానించారు, అయినప్పటికీ ఫార్వర్డ్ భాగం స్టీల్ ట్యూబ్‌లతో బలోపేతం చేయబడింది. గుండ్రని డెక్కింగ్‌తో సహా దాని కవరింగ్ ప్లైవుడ్. ద్వంద్వ నియంత్రణతో అమర్చిన రెండు కాక్‌ప"&amp;"ిట్‌లు ఉన్నాయి. బోధకుడు రెక్క కింద ముందు కూర్చున్నాడు మరియు విద్యార్థి వెనుకంజలో ఉన్న అంచు యొక్క వెనుకకు కూర్చున్నాడు. విద్యార్థి కాక్‌పిట్ వెనుక వేరు చేయగలిగిన ప్లై కవర్ కింద మూడవ సీటు ఉంది. [1] దాని వంగిన మరియు కొద్దిగా సూచించబడిన ఎంపెనేజ్ స్టీల్-ఫ్రేమ్"&amp;"డ్ మరియు ఫాబ్రిక్ కప్పబడిన ఒక చుక్కానితో కప్పబడి ఉంది, అది కీల్‌కు విస్తరించింది. టెయిల్ ప్లేన్ యొక్క కోణాన్ని విమానంలో సర్దుబాటు చేయవచ్చు. ప్రత్యేక ఎలివేటర్లు ఉన్నాయి, ప్రతి ఒక్కటి ఒకదానికొకటి మరియు చుక్కానికి సమానంగా ఉంటాయి, ఖర్చులను తగ్గిస్తాయి. [1] M."&amp;"N.5 విస్తృత ట్రాక్‌ను కలిగి ఉంది, ఫ్యూజ్‌లేజ్ అండర్ సైడ్ సెంట్రెలైన్ నుండి అతుక్కొని ఉన్న సగం-గొడ్డలిపై మెయిన్‌వీల్స్‌తో అండర్ క్యారేజీని విభజించారు; స్టబ్ వింగ్ నుండి ఒక విక్కర్స్ ఒలియో స్ట్రట్ మరియు వ్యాసార్థం చేయి ప్రతి వైపు ఒక V- స్ట్రట్‌ను ఏర్పరుస్తు"&amp;"ంది. దీని చిన్న తోకతో నిలువు, రబ్బరు త్రాడు షాక్ అబ్జార్బర్ ఉంది. [1] ఇది మొదటిసారి 21 ఆగస్టు 1932 న పోజ్నాస్-వికా నుండి ప్రయాణించింది. ప్రారంభ పరీక్షలో ఇంజిన్‌ను 300 మిమీ (11.8 అంగుళాలు) పొడవైన ముక్కులో కదిలించడం ద్వారా కొన్ని స్థిరత్వ సమస్యలను వెల్లడించ"&amp;"ింది. [1] M.N.5 ను సివిల్ మరియు సర్వీస్ పైలట్లు ఇద్దరూ ఎగురవేశారు, వారు దాని మంచి నిర్వహణ మరియు యుక్తిపై వ్యాఖ్యానించారు. ఏరోనాటిక్స్ విభాగం, దాని హాన్రియాట్స్‌కు బదులుగా, ఉత్సాహంగా ఉంది మరియు వేగవంతమైన అభివృద్ధికి రెండవ నమూనా నిర్మాణం ప్రతిపాదించబడింది. "&amp;"దురదృష్టవశాత్తు, సమోలోట్ లిక్విడేషన్ ప్రక్రియలో ఉన్నందున, మరొక బిల్డర్ కనుగొనవలసి వచ్చింది. మంత్రిత్వ శాఖ PZL 5 ను అభివృద్ధి చేస్తున్న మరియు పోటీదారునికి సహాయం చేయడానికి ఆసక్తి చూపని PZL ను ప్రతిపాదించింది, కాబట్టి ఎక్కువ N.M.5 లు నిర్మించబడలేదు. [1] ఒంటర"&amp;"ి ఉదాహరణను 1931 లో విల్నియస్ ఏరోక్లబ్ కొనుగోలు చేసింది మరియు, ఎస్పి-ఎహెచ్‌ఇహెచ్‌గా నమోదు చేయబడింది, వాటిని చాలా సంవత్సరాలు సేవలందించింది. ఇది చాలా ర్యాలీలలో పాల్గొంది మరియు ప్రాంతీయ మరియు జాతీయ ఛాంపియన్‌షిప్‌లలో పోటీ పడింది. [1] సింక్ (1971) నుండి డేటా [1"&amp;"] సాధారణ లక్షణాల పనితీరు")</f>
        <v>మెడ్వెక్కీ మరియు నోవాకోవ్స్కీ M.N.5 అనేది ఆర్థిక పోలిష్ ట్రైనర్ విమానం మొదట్లో క్లబ్ మార్కెట్‌ను లక్ష్యంగా చేసుకుంది, అయినప్పటికీ కొంత సైనిక ఆసక్తి కూడా ఉంది. 1930 లో సమోలోట్ దివాలా తీసిన తరువాత ఇది బాగా పనిచేసింది కాని కన్స్ట్రక్టర్ లేదు, కాబట్టి ఒకటి మాత్రమే పూర్తయింది. 1930 ల ప్రారంభంలో పెరుగుతున్న పోలిష్ ఏరోక్లబ్‌ల సంఖ్య తగిన శిక్షణా విమానానికి పిలుపునిచ్చింది. లాప్, పోలిష్ గాలి-మనస్సును ప్రోత్సహించిన సమూహం 60 కిలోవాట్ల (80 హెచ్‌పి) ఇంజిన్‌తో నడిచే తగిన డిజైన్ల కోసం పిలుపునిచ్చింది, అది కొనడానికి మరియు నడపడానికి చౌకగా ఉంటుంది. మూడు నమూనాలు అభివృద్ధి ఒప్పందాలను అందుకున్నాయి, PZL 5, SIDO S.1 మరియు M.N.5. తరువాతిదాన్ని జజెఫ్ మెడ్‌వెక్కీ మరియు జైగ్మండ్ నోవాకోవ్స్కీ రూపొందించారు, వీరిద్దరూ సమోలోట్ కోసం పనిచేశారు. సంస్థ సహాయంతో, రెండు M.N.5 ఎయిర్‌ఫ్రేమ్‌లు నిర్మించబడ్డాయి, ఒకటి స్టాటిక్ లోడ్ పరీక్ష కోసం మరియు మరొకటి విమానానికి. [1] కలప-ఫ్రేమ్డ్ M.N.5 అనేది కాక్‌పిట్ యాక్సెస్‌ను తగ్గించడానికి అస్థిరమైన సింగిల్ బే బిప్‌లేన్ మరియు పెద్ద ఇంటర్‌ప్లేన్ గ్యాప్. సమాన స్పాన్ ఎగువ మరియు దిగువ రెక్కలు రెండూ రెండు భాగాలలో దీర్ఘచతురస్రాకార ప్రణాళికలతో మొద్దుబారిన చిట్కాలకు ఉన్నాయి. అవి జత స్పార్‌ల చుట్టూ నిర్మించబడ్డాయి మరియు ఎక్కువగా ఫాబ్రిక్‌తో కప్పబడి ఉన్నాయి, కొన్ని ప్లైవుడ్‌తో పాటు. ఎగువ మరియు దిగువ రెక్కలు సాంప్రదాయిక ఎన్-ఫారమ్ ఇంటర్‌ప్లేన్ స్ట్రట్‌లతో కలిసి ఉన్నాయి, కాని అదనంగా పొడవైన స్టీల్ ట్యూబ్ స్ట్రట్, ఇతరులకన్నా పెద్ద వ్యాసం, ఫార్వర్డ్ స్పార్‌ల విమానంలో ఇంటర్‌ప్లేన్ స్ట్రట్ పై నుండి దిగువ స్పార్ వరకు నడిచింది రూట్ యొక్క అవుట్‌బోర్డ్. ఫ్లయింగ్ వైర్లను మార్చడంతో పాటు, రెక్కలు రూట్ నుండి డిస్‌కనెక్ట్ చేయబడినప్పుడు మరియు ఫ్యూజ్‌లేజ్‌తో పాటు వెనుకకు ముడుచుకున్నప్పుడు, వెనుక వింగ్ యొక్క ప్రముఖ అంచుకి ఈ స్ట్రట్ మద్దతు ఇచ్చింది, వెనుక స్పార్‌లపై హింగ్ చేస్తుంది. వింగ్ రూట్ దాని స్పార్స్ నుండి ఎగువ ఫ్యూజ్‌లేజ్ లాంగ్‌కు విలోమ వి-స్ట్రట్ ద్వారా బలోపేతం చేయబడింది. ఎగువ సెంటర్ విభాగం ఏరోఫాయిల్ సెక్షన్ ఇంధన ట్యాంక్ ద్వారా ఏర్పడింది, ఎగువ ఫ్యూజ్‌లేజ్‌పై మూడు జతల స్ట్రట్‌ల ద్వారా, ఫార్వర్డ్-మోస్ట్ రియార్వర్లను ఫార్వర్డ్ స్పార్‌కు మరియు ఇతరులు, సమాంతరంగా, వెనుక స్పార్‌లకు బాహ్యంగా. దిగువ రెక్క మాత్రమే డైహెడ్రాల్‌తో అమర్చబడింది; ఇది M.N.5 యొక్క పూర్తి వ్యవధి, ఇరుకైన తీగ ఐలెరాన్‌లను కూడా కలిగి ఉంది. రెక్కలు ముడుచుకున్నప్పుడు, M.N.5 3 మీ (9 అడుగులు 10 అంగుళాలు) వెడల్పు. [1] M.N.5 ను 60 కిలోవాట్ల (80 హెచ్‌పి) ఆర్మ్‌స్ట్రాంగ్ సిడ్లీ జెనెట్ ఫైవ్-సిలిండర్ రేడియల్ ఇంజిన్ టౌనెండ్ రింగ్ చేత కప్పబడి ఉంది. ఎక్కువగా చెక్క ఫ్యూజ్‌లేజ్‌లో నలుగురు లాంగన్‌లను ఫ్రేమ్‌ల ద్వారా అనుసంధానించారు, అయినప్పటికీ ఫార్వర్డ్ భాగం స్టీల్ ట్యూబ్‌లతో బలోపేతం చేయబడింది. గుండ్రని డెక్కింగ్‌తో సహా దాని కవరింగ్ ప్లైవుడ్. ద్వంద్వ నియంత్రణతో అమర్చిన రెండు కాక్‌పిట్‌లు ఉన్నాయి. బోధకుడు రెక్క కింద ముందు కూర్చున్నాడు మరియు విద్యార్థి వెనుకంజలో ఉన్న అంచు యొక్క వెనుకకు కూర్చున్నాడు. విద్యార్థి కాక్‌పిట్ వెనుక వేరు చేయగలిగిన ప్లై కవర్ కింద మూడవ సీటు ఉంది. [1] దాని వంగిన మరియు కొద్దిగా సూచించబడిన ఎంపెనేజ్ స్టీల్-ఫ్రేమ్డ్ మరియు ఫాబ్రిక్ కప్పబడిన ఒక చుక్కానితో కప్పబడి ఉంది, అది కీల్‌కు విస్తరించింది. టెయిల్ ప్లేన్ యొక్క కోణాన్ని విమానంలో సర్దుబాటు చేయవచ్చు. ప్రత్యేక ఎలివేటర్లు ఉన్నాయి, ప్రతి ఒక్కటి ఒకదానికొకటి మరియు చుక్కానికి సమానంగా ఉంటాయి, ఖర్చులను తగ్గిస్తాయి. [1] M.N.5 విస్తృత ట్రాక్‌ను కలిగి ఉంది, ఫ్యూజ్‌లేజ్ అండర్ సైడ్ సెంట్రెలైన్ నుండి అతుక్కొని ఉన్న సగం-గొడ్డలిపై మెయిన్‌వీల్స్‌తో అండర్ క్యారేజీని విభజించారు; స్టబ్ వింగ్ నుండి ఒక విక్కర్స్ ఒలియో స్ట్రట్ మరియు వ్యాసార్థం చేయి ప్రతి వైపు ఒక V- స్ట్రట్‌ను ఏర్పరుస్తుంది. దీని చిన్న తోకతో నిలువు, రబ్బరు త్రాడు షాక్ అబ్జార్బర్ ఉంది. [1] ఇది మొదటిసారి 21 ఆగస్టు 1932 న పోజ్నాస్-వికా నుండి ప్రయాణించింది. ప్రారంభ పరీక్షలో ఇంజిన్‌ను 300 మిమీ (11.8 అంగుళాలు) పొడవైన ముక్కులో కదిలించడం ద్వారా కొన్ని స్థిరత్వ సమస్యలను వెల్లడించింది. [1] M.N.5 ను సివిల్ మరియు సర్వీస్ పైలట్లు ఇద్దరూ ఎగురవేశారు, వారు దాని మంచి నిర్వహణ మరియు యుక్తిపై వ్యాఖ్యానించారు. ఏరోనాటిక్స్ విభాగం, దాని హాన్రియాట్స్‌కు బదులుగా, ఉత్సాహంగా ఉంది మరియు వేగవంతమైన అభివృద్ధికి రెండవ నమూనా నిర్మాణం ప్రతిపాదించబడింది. దురదృష్టవశాత్తు, సమోలోట్ లిక్విడేషన్ ప్రక్రియలో ఉన్నందున, మరొక బిల్డర్ కనుగొనవలసి వచ్చింది. మంత్రిత్వ శాఖ PZL 5 ను అభివృద్ధి చేస్తున్న మరియు పోటీదారునికి సహాయం చేయడానికి ఆసక్తి చూపని PZL ను ప్రతిపాదించింది, కాబట్టి ఎక్కువ N.M.5 లు నిర్మించబడలేదు. [1] ఒంటరి ఉదాహరణను 1931 లో విల్నియస్ ఏరోక్లబ్ కొనుగోలు చేసింది మరియు, ఎస్పి-ఎహెచ్‌ఇహెచ్‌గా నమోదు చేయబడింది, వాటిని చాలా సంవత్సరాలు సేవలందించింది. ఇది చాలా ర్యాలీలలో పాల్గొంది మరియు ప్రాంతీయ మరియు జాతీయ ఛాంపియన్‌షిప్‌లలో పోటీ పడింది. [1] సింక్ (1971) నుండి డేటా [1] సాధారణ లక్షణాల పనితీరు</v>
      </c>
      <c r="E28" s="1" t="s">
        <v>594</v>
      </c>
      <c r="F28" s="1" t="s">
        <v>595</v>
      </c>
      <c r="G28" s="1" t="str">
        <f>IFERROR(__xludf.DUMMYFUNCTION("GOOGLETRANSLATE(F:F, ""en"", ""te"")"),"సివిల్ ట్రైనర్ విమానం")</f>
        <v>సివిల్ ట్రైనర్ విమానం</v>
      </c>
      <c r="H28" s="1" t="s">
        <v>596</v>
      </c>
      <c r="I28" s="1" t="s">
        <v>431</v>
      </c>
      <c r="J28" s="1" t="str">
        <f>IFERROR(__xludf.DUMMYFUNCTION("GOOGLETRANSLATE(I:I, ""en"", ""te"")"),"పోలాండ్")</f>
        <v>పోలాండ్</v>
      </c>
      <c r="K28" s="3" t="s">
        <v>432</v>
      </c>
      <c r="S28" s="1" t="s">
        <v>597</v>
      </c>
      <c r="T28" s="1" t="s">
        <v>598</v>
      </c>
      <c r="U28" s="1" t="s">
        <v>599</v>
      </c>
      <c r="V28" s="1" t="s">
        <v>435</v>
      </c>
      <c r="W28" s="1" t="s">
        <v>518</v>
      </c>
      <c r="X28" s="1" t="s">
        <v>600</v>
      </c>
      <c r="Y28" s="1" t="s">
        <v>601</v>
      </c>
      <c r="AA28" s="1" t="s">
        <v>602</v>
      </c>
      <c r="AB28" s="1" t="s">
        <v>440</v>
      </c>
      <c r="AC28" s="1" t="s">
        <v>517</v>
      </c>
      <c r="AH28" s="1" t="s">
        <v>603</v>
      </c>
      <c r="AJ28" s="5">
        <v>11191.0</v>
      </c>
      <c r="AM28" s="1" t="s">
        <v>604</v>
      </c>
      <c r="AP28" s="1" t="s">
        <v>605</v>
      </c>
      <c r="AQ28" s="1" t="s">
        <v>606</v>
      </c>
      <c r="AR28" s="1" t="s">
        <v>607</v>
      </c>
      <c r="BD28" s="1" t="s">
        <v>608</v>
      </c>
      <c r="BS28" s="1" t="s">
        <v>609</v>
      </c>
    </row>
    <row r="29">
      <c r="A29" s="1" t="s">
        <v>610</v>
      </c>
      <c r="B29" s="1" t="str">
        <f>IFERROR(__xludf.DUMMYFUNCTION("GOOGLETRANSLATE(A:A, ""en"", ""te"")"),"రోగ్స్కి మరియు విగురా R.W.1")</f>
        <v>రోగ్స్కి మరియు విగురా R.W.1</v>
      </c>
      <c r="C29" s="1" t="s">
        <v>611</v>
      </c>
      <c r="D29" s="1" t="str">
        <f>IFERROR(__xludf.DUMMYFUNCTION("GOOGLETRANSLATE(C:C, ""en"", ""te"")"),"రోగల్స్కి మరియు విగురా R.W.1 ను 1927 లో వార్సా టెక్నికల్ విశ్వవిద్యాలయంలో ఒక జత విద్యార్థులు రూపొందించారు మరియు నిర్మించారు. ఒకే ఉదాహరణ రెండు-సీట్ల పారాసోల్-వింగ్ మోనోప్లేన్, ఇది రెండు జాతీయ పోటీలలోకి ప్రవేశించింది, వార్సా అకాడెమిక్ ఏరోక్లబ్‌కు సేవలు అంది"&amp;"ంచింది మరియు ఒక ప్రకటనను కూడా లాగింది బ్యానర్. 1916 లో రైస్‌జార్డ్ బార్టెల్ చేత స్థాపించబడిన మరియు 1921 లో పునరుద్ధరించబడిన వార్సా టెక్నికల్ యూనివర్శిటీ యొక్క సెక్జా లోట్నిక్జా (ఎస్ఎల్) లేదా ఏరోనాటికల్ విభాగం, పోలిష్ క్లబ్ ఎగురుతున్న వృద్ధిలో ముఖ్యమైన పాత"&amp;"్ర పోషించింది. 1925 డ్రెజ్విక్కీ జెడి -2 నిర్మించిన వారి శక్తితో కూడిన విమాన డిజైన్లలో మొట్టమొదటిది మరియు రెండవది, ఎస్ఎల్ సభ్యులు స్టానిస్లా రోజల్స్కి మరియు స్టానిస్లా విగురా రూపొందించినది R.W.1. SL వర్క్‌షాప్‌లో దాని నిర్మాణానికి LOPP నిధులు సమకూర్చింది "&amp;"మరియు వారికి E. ప్లేజ్ మరియు T. లాకివిచ్ యొక్క ఫ్యాక్టరీ నుండి సిబ్బంది సహాయం చేశారు. [1] దీని పారాసోల్ వింగ్ ప్రణాళికలో ట్రాపెజోయిడల్ మరియు ఏరోడైనమిక్‌గా సెమీ మందపాటి విభాగాన్ని కలిగి ఉంది. ఇది రెండు భాగాలుగా నిర్మించబడింది, ఒక్కొక్కటి రెండు స్పార్స్ ఆధా"&amp;"రంగా. ఫార్వర్డ్ స్పార్ ముందు వింగ్ ప్లైవుడ్-కప్పబడినది, ఫాబ్రిక్ వెనుక ఉంది. రెండు భాగాలు కేంద్రంగా చేరారు మరియు ఒక జత విలోమ విలోమ-V కాబేన్ స్ట్రట్‌లపై ఫ్యూజ్‌లేజ్‌పై ఉంచారు. ప్రతి వైపు స్పార్స్ నుండి దిగువ ఫ్యూజ్‌లేజ్ కోసం ఒక జత సమాంతర స్ట్రట్‌లు ప్రాధమి"&amp;"క వింగ్ బ్రేసింగ్‌ను అందించాయి. [1] R.W.1 ను 45 HP (34 kW) అంజాని 6 ఆరు-సిలిండర్ రేడియల్ ఇంజిన్ ద్వారా నడిపించింది. ఇంధన ట్యాంకులు, 70 ఎల్ (15 ఇంప్ గల్; 18 యుఎస్ గాల్) ను కలిగి ఉన్నాయి, వింగ్ మూలాలలో ఉన్నాయి. ఇంజిన్ ఫైర్ గోడ వెనుక సాధారణ ఫ్యూజ్‌లేజ్ దెబ్బ"&amp;"తిన్న, దీర్ఘచతురస్రాకార విభాగాన్ని కలిగి ఉంది, ఇది నాలుగు లాంగన్లు మరియు ఫ్రేమ్‌ల చుట్టూ నిర్మించబడింది మరియు ప్లై కప్పబడి ఉంది. ఇది రెక్క కింద రెండు ఓపెన్ కాక్‌పిట్‌లను కలిగి ఉంది, ఇది ద్వంద్వ నియంత్రణతో అమర్చబడి ఉంటుంది. సామ్రాజ్యం సాంప్రదాయకంగా ఉంది, ద"&amp;"ాని టెయిల్‌ప్లేన్ ఫ్యూజ్‌లేజ్ పైన మరియు గుండ్రని నిలువు తోకతో అమర్చబడి ఉంది. తోక ఉపరితలాలు రెక్కల మాదిరిగానే నిర్మించబడ్డాయి మరియు ఐలెరాన్స్ వంటి వెనుక నియంత్రణ ఉపరితలాలు అసమతుల్యమైనవి. [1] దాని స్థిర ల్యాండింగ్ గేర్ యొక్క మెయిన్‌వీల్స్ ప్రతి చివర రబ్బరు "&amp;"షాక్ అబ్జార్బర్‌లతో ఒకే ఇరుసుపై ఉన్నాయి మరియు దిగువ లాంగన్స్ నుండి స్టీల్ వి-స్ట్రట్‌లచే మద్దతు ఇస్తున్నాయి. ఫిన్ కింద టెయిల్‌స్కిడ్ ఉంది. [1] ఇది సెప్టెంబర్ 1927 లో మొదటిసారిగా ప్రయాణించింది. [1] మొట్టమొదటి విమానంలో ఉన్న వెంటనే R.W.1 అక్టోబర్ 1927 ప్రారం"&amp;"భంలో వార్సాలో జరిగిన మొదటి జాతీయ లైట్ ప్లేన్ పోటీలో పోటీ పడింది. ఈ సంఘటనలో విశ్వసనీయత చరిత్ర కలిగిన అంజాని ఇంజిన్ విఫలమైంది మరియు తరువాతి అత్యవసర పరిస్థితుల్లో ఎయిర్ఫ్రేమ్ దెబ్బతింది. ల్యాండింగ్. మరమ్మత్తు తరువాత దీనిని వార్సా అకాడెమిక్ ఏరోక్లబ్ ఉపయోగించా"&amp;"రు. [1] 1928 లో, ఇది ఒక కాఫీ సంస్థ కోసం ఎయిర్-అడ్వర్టైజ్మెంట్ టగ్‌గా పనిచేయడం ద్వారా క్లబ్‌కు కొంత ఆదాయాన్ని సంపాదించింది. అక్టోబర్ చివరలో ఇది వార్సాలో జరిగిన రెండవ నేషనల్ లైట్ ప్లేన్ పోటీలో పాల్గొంది. ఇది పన్నెండవ స్థానంలో అర్హత సాధించింది, కాని టేక్-ఆఫ్"&amp;" ప్రమాదం వెనుక ఫ్యూజ్‌లేజ్‌ను విచ్ఛిన్నం చేసింది, ఆ తర్వాత R.W.1 మళ్లీ ఎగరలేదు. [1] దీని డిజైనర్లు మరొక వార్సా విద్యార్థి జెర్జీ డ్రెజ్‌విక్కీతో జతకట్టారు మరియు కొన్ని ఇరవై రెండు డిజైన్లు ఉమ్మడి ఆర్‌డబ్ల్యుడి ఎక్రోనిం కింద నిర్మించబడ్డాయి. [1] సింక్ (1971"&amp;") నుండి డేటా [1] సాధారణ లక్షణాల పనితీరు")</f>
        <v>రోగల్స్కి మరియు విగురా R.W.1 ను 1927 లో వార్సా టెక్నికల్ విశ్వవిద్యాలయంలో ఒక జత విద్యార్థులు రూపొందించారు మరియు నిర్మించారు. ఒకే ఉదాహరణ రెండు-సీట్ల పారాసోల్-వింగ్ మోనోప్లేన్, ఇది రెండు జాతీయ పోటీలలోకి ప్రవేశించింది, వార్సా అకాడెమిక్ ఏరోక్లబ్‌కు సేవలు అందించింది మరియు ఒక ప్రకటనను కూడా లాగింది బ్యానర్. 1916 లో రైస్‌జార్డ్ బార్టెల్ చేత స్థాపించబడిన మరియు 1921 లో పునరుద్ధరించబడిన వార్సా టెక్నికల్ యూనివర్శిటీ యొక్క సెక్జా లోట్నిక్జా (ఎస్ఎల్) లేదా ఏరోనాటికల్ విభాగం, పోలిష్ క్లబ్ ఎగురుతున్న వృద్ధిలో ముఖ్యమైన పాత్ర పోషించింది. 1925 డ్రెజ్విక్కీ జెడి -2 నిర్మించిన వారి శక్తితో కూడిన విమాన డిజైన్లలో మొట్టమొదటిది మరియు రెండవది, ఎస్ఎల్ సభ్యులు స్టానిస్లా రోజల్స్కి మరియు స్టానిస్లా విగురా రూపొందించినది R.W.1. SL వర్క్‌షాప్‌లో దాని నిర్మాణానికి LOPP నిధులు సమకూర్చింది మరియు వారికి E. ప్లేజ్ మరియు T. లాకివిచ్ యొక్క ఫ్యాక్టరీ నుండి సిబ్బంది సహాయం చేశారు. [1] దీని పారాసోల్ వింగ్ ప్రణాళికలో ట్రాపెజోయిడల్ మరియు ఏరోడైనమిక్‌గా సెమీ మందపాటి విభాగాన్ని కలిగి ఉంది. ఇది రెండు భాగాలుగా నిర్మించబడింది, ఒక్కొక్కటి రెండు స్పార్స్ ఆధారంగా. ఫార్వర్డ్ స్పార్ ముందు వింగ్ ప్లైవుడ్-కప్పబడినది, ఫాబ్రిక్ వెనుక ఉంది. రెండు భాగాలు కేంద్రంగా చేరారు మరియు ఒక జత విలోమ విలోమ-V కాబేన్ స్ట్రట్‌లపై ఫ్యూజ్‌లేజ్‌పై ఉంచారు. ప్రతి వైపు స్పార్స్ నుండి దిగువ ఫ్యూజ్‌లేజ్ కోసం ఒక జత సమాంతర స్ట్రట్‌లు ప్రాధమిక వింగ్ బ్రేసింగ్‌ను అందించాయి. [1] R.W.1 ను 45 HP (34 kW) అంజాని 6 ఆరు-సిలిండర్ రేడియల్ ఇంజిన్ ద్వారా నడిపించింది. ఇంధన ట్యాంకులు, 70 ఎల్ (15 ఇంప్ గల్; 18 యుఎస్ గాల్) ను కలిగి ఉన్నాయి, వింగ్ మూలాలలో ఉన్నాయి. ఇంజిన్ ఫైర్ గోడ వెనుక సాధారణ ఫ్యూజ్‌లేజ్ దెబ్బతిన్న, దీర్ఘచతురస్రాకార విభాగాన్ని కలిగి ఉంది, ఇది నాలుగు లాంగన్లు మరియు ఫ్రేమ్‌ల చుట్టూ నిర్మించబడింది మరియు ప్లై కప్పబడి ఉంది. ఇది రెక్క కింద రెండు ఓపెన్ కాక్‌పిట్‌లను కలిగి ఉంది, ఇది ద్వంద్వ నియంత్రణతో అమర్చబడి ఉంటుంది. సామ్రాజ్యం సాంప్రదాయకంగా ఉంది, దాని టెయిల్‌ప్లేన్ ఫ్యూజ్‌లేజ్ పైన మరియు గుండ్రని నిలువు తోకతో అమర్చబడి ఉంది. తోక ఉపరితలాలు రెక్కల మాదిరిగానే నిర్మించబడ్డాయి మరియు ఐలెరాన్స్ వంటి వెనుక నియంత్రణ ఉపరితలాలు అసమతుల్యమైనవి. [1] దాని స్థిర ల్యాండింగ్ గేర్ యొక్క మెయిన్‌వీల్స్ ప్రతి చివర రబ్బరు షాక్ అబ్జార్బర్‌లతో ఒకే ఇరుసుపై ఉన్నాయి మరియు దిగువ లాంగన్స్ నుండి స్టీల్ వి-స్ట్రట్‌లచే మద్దతు ఇస్తున్నాయి. ఫిన్ కింద టెయిల్‌స్కిడ్ ఉంది. [1] ఇది సెప్టెంబర్ 1927 లో మొదటిసారిగా ప్రయాణించింది. [1] మొట్టమొదటి విమానంలో ఉన్న వెంటనే R.W.1 అక్టోబర్ 1927 ప్రారంభంలో వార్సాలో జరిగిన మొదటి జాతీయ లైట్ ప్లేన్ పోటీలో పోటీ పడింది. ఈ సంఘటనలో విశ్వసనీయత చరిత్ర కలిగిన అంజాని ఇంజిన్ విఫలమైంది మరియు తరువాతి అత్యవసర పరిస్థితుల్లో ఎయిర్ఫ్రేమ్ దెబ్బతింది. ల్యాండింగ్. మరమ్మత్తు తరువాత దీనిని వార్సా అకాడెమిక్ ఏరోక్లబ్ ఉపయోగించారు. [1] 1928 లో, ఇది ఒక కాఫీ సంస్థ కోసం ఎయిర్-అడ్వర్టైజ్మెంట్ టగ్‌గా పనిచేయడం ద్వారా క్లబ్‌కు కొంత ఆదాయాన్ని సంపాదించింది. అక్టోబర్ చివరలో ఇది వార్సాలో జరిగిన రెండవ నేషనల్ లైట్ ప్లేన్ పోటీలో పాల్గొంది. ఇది పన్నెండవ స్థానంలో అర్హత సాధించింది, కాని టేక్-ఆఫ్ ప్రమాదం వెనుక ఫ్యూజ్‌లేజ్‌ను విచ్ఛిన్నం చేసింది, ఆ తర్వాత R.W.1 మళ్లీ ఎగరలేదు. [1] దీని డిజైనర్లు మరొక వార్సా విద్యార్థి జెర్జీ డ్రెజ్‌విక్కీతో జతకట్టారు మరియు కొన్ని ఇరవై రెండు డిజైన్లు ఉమ్మడి ఆర్‌డబ్ల్యుడి ఎక్రోనిం కింద నిర్మించబడ్డాయి. [1] సింక్ (1971) నుండి డేటా [1] సాధారణ లక్షణాల పనితీరు</v>
      </c>
      <c r="E29" s="1" t="s">
        <v>612</v>
      </c>
      <c r="F29" s="1" t="s">
        <v>613</v>
      </c>
      <c r="G29" s="1" t="str">
        <f>IFERROR(__xludf.DUMMYFUNCTION("GOOGLETRANSLATE(F:F, ""en"", ""te"")"),"తేలికపాటి విమానం")</f>
        <v>తేలికపాటి విమానం</v>
      </c>
      <c r="I29" s="1" t="s">
        <v>431</v>
      </c>
      <c r="J29" s="1" t="str">
        <f>IFERROR(__xludf.DUMMYFUNCTION("GOOGLETRANSLATE(I:I, ""en"", ""te"")"),"పోలాండ్")</f>
        <v>పోలాండ్</v>
      </c>
      <c r="K29" s="3" t="s">
        <v>432</v>
      </c>
      <c r="Q29" s="1">
        <v>1.0</v>
      </c>
      <c r="S29" s="1" t="s">
        <v>597</v>
      </c>
      <c r="T29" s="1" t="s">
        <v>577</v>
      </c>
      <c r="U29" s="1" t="s">
        <v>614</v>
      </c>
      <c r="V29" s="1" t="s">
        <v>615</v>
      </c>
      <c r="W29" s="1" t="s">
        <v>616</v>
      </c>
      <c r="X29" s="1" t="s">
        <v>617</v>
      </c>
      <c r="Y29" s="1" t="s">
        <v>618</v>
      </c>
      <c r="Z29" s="1" t="s">
        <v>619</v>
      </c>
      <c r="AA29" s="1" t="s">
        <v>620</v>
      </c>
      <c r="AB29" s="1" t="s">
        <v>440</v>
      </c>
      <c r="AH29" s="1" t="s">
        <v>621</v>
      </c>
      <c r="AJ29" s="2">
        <v>10106.0</v>
      </c>
      <c r="AM29" s="1" t="s">
        <v>546</v>
      </c>
      <c r="AP29" s="1" t="s">
        <v>622</v>
      </c>
      <c r="BG29" s="1">
        <v>1928.0</v>
      </c>
      <c r="BS29" s="1" t="s">
        <v>609</v>
      </c>
    </row>
    <row r="30">
      <c r="A30" s="1" t="s">
        <v>623</v>
      </c>
      <c r="B30" s="1" t="str">
        <f>IFERROR(__xludf.DUMMYFUNCTION("GOOGLETRANSLATE(A:A, ""en"", ""te"")"),"స్వెన్స్కా ఏరో ఫాల్కెన్")</f>
        <v>స్వెన్స్కా ఏరో ఫాల్కెన్</v>
      </c>
      <c r="C30" s="1" t="s">
        <v>624</v>
      </c>
      <c r="D30" s="1" t="str">
        <f>IFERROR(__xludf.DUMMYFUNCTION("GOOGLETRANSLATE(C:C, ""en"", ""te"")"),"స్వెన్స్కా ఏరో ఫాల్కెన్ ఒక స్వీడిష్ ట్రైనర్ విమానం. రెండు వేర్వేరు ఇంజిన్లతో నిర్మించబడ్డాయి మరియు స్వీడిష్ వైమానిక దళం ఉపయోగించారు. ఫాల్కెన్ ట్రైనర్, జాక్‌ఫాల్కెన్ ఫైటర్‌తో దగ్గరి సంబంధం కలిగి ఉంది, ఇది మునుపటి పిరాటెన్ నుండి తీసుకోబడింది. ఇది అన్‌స్పెప్"&amp;"ట్, స్థిరమైన తీగ, సన్నని విభాగం రెక్కలతో కూడిన సింగిల్ బే బైప్‌లేన్. రెండు రెక్కలు దీర్ఘచతురస్రాకార విభాగం స్టీల్ స్పార్స్ చుట్టూ నిర్మించబడ్డాయి మరియు ఫాబ్రిక్ కప్పబడి ఉన్నాయి. అవి లైట్ డైహెడ్రల్‌తో అమర్చబడ్డాయి, కాని చాలా బలంగా ఉన్నందున ఫార్వర్డ్ దిగువ "&amp;"స్పార్ నేరుగా ఎగువ వెనుక భాగంలో ఉంది. అస్థిరత మరియు కొంచెం తక్కువ తక్కువ వింగ్ కారణంగా N- రూపం ఇంటర్‌ప్లేన్ స్ట్రట్స్ ముందుకు మరియు బయటికి వస్తాయి. ఎగువ రెక్కకు ఫ్యూజ్‌లేజ్‌పై ఒక జత పార్శ్వ, విలోమ V- స్ట్రట్‌లు ఫార్వర్డ్ స్పార్‌కు ఏర్పడ్డాయి మరియు ఒకే, వి"&amp;"లోమ విలోమ V AFT స్పార్‌కు ఏర్పడతాయి. ఎగువ మరియు దిగువ రెక్కలపై పొడవైన, విస్తృత ఐలెరాన్‌లు ఉన్నాయి, అవి బాహ్యంగా క్రమబద్ధీకరించిన గొట్టాల ద్వారా అనుసంధానించబడి ఉన్నాయి. [1] ఫాల్కెన్ రెండు రేడియల్ ఇంజిన్లలో ఒకటి, ఐదు సిలిండర్, 101 కిలోవాట్ల (135 హెచ్‌పి) ఆర"&amp;"్మ్‌స్ట్రాంగ్-సిడ్లీ ముంగూస్ లేదా ఏడు సిలిండర్ 150 కిలోవాట్ (200 హెచ్‌పి) ఆర్మ్‌స్ట్రాంగ్-సిడ్లీ లింక్స్. [1] ముంగూస్-శక్తితో పనిచేసే సంస్కరణను SA-12 స్కోల్ఫాల్కెన్ మరియు లింక్స్-శక్తితో SA-13 övningsfalken అని పిలుస్తారు. [2] ఇంజిన్ వెనుక ఫ్యూజ్‌లేజ్ ట్య"&amp;"ూబ్ స్టీల్ నిర్మాణం చుట్టూ నిర్మించబడింది. ఇది ఫ్లాట్ సైడెడ్ మరియు ఫాబ్రిక్ కప్పబడి ఉంది, అయినప్పటికీ ఇది అల్యూమినియం కప్పబడి ఉంది, గుండ్రని డెక్కింగ్. ఫాల్కెన్ యొక్క రెండు ఓపెన్ టెన్డం కాక్‌పిట్‌లను ద్వంద్వ నియంత్రణతో అమర్చారు; ఫార్వర్డ్ ఒకటి వెనుకంజలో ఉ"&amp;"న్న అంచులో కటౌట్ కింద మరియు మరొకటి దిగువ రెక్కలో ఇదే విధమైన కటౌట్ మీద ఉంది. [1] దీని సామ్రాజ్యం సాంప్రదాయికమైనది, సెమీ-ఎలిప్టికల్ టెయిల్‌ప్లేన్ ఫ్యూజ్‌లేజ్ పైన అమర్చబడి, ప్రతి వైపు నుండి దిగువ నుండి ఒకే స్ట్రట్ ద్వారా కలుపుతుంది. దాని సంఘటనల కోణం భూమి-సర్"&amp;"దుబాటు. ఇది చుక్కాని ఉద్యమానికి కటౌట్‌తో సమాంతర తీగ ఎలివేటర్లను తీసుకువెళ్ళింది. ఫిన్, చిన్న మరియు సుమారుగా త్రిభుజాకారంగా, సరళమైన అంచుగల, నిటారుగా ఉన్న సమతుల్య చుక్కానిని అమర్చారు. చాలా ఫాల్కెన్ మాదిరిగా, ఈ ఉపరితలాలు స్టీల్ గొట్టాలు మరియు ఫాబ్రిక్ నుండి "&amp;"ఏర్పడ్డాయి. [1] ఫాల్కెన్ సాంప్రదాయిక, స్థిర ల్యాండింగ్ గేర్‌ను కలిగి ఉంది. మెయిన్‌వీల్స్ ఒకే ఇరుసుపై ఉన్నాయి, వీటిని 1.65 మీ (65 అంగుళాలు) వేరు చేశారు. ఇరుసు చివరలను రబ్బరు త్రాడు షాక్ అబ్జార్బర్స్ ద్వారా ప్రతి వైపు దిగువ ఫ్యూజ్‌లేజ్ నుండి మూడు కాళ్లను కల"&amp;"ిగి ఉన్న ఫ్రేమ్ యొక్క క్రాస్‌పీస్‌కు అమర్చారు మరియు V- స్ట్రట్ ద్వారా క్రాస్‌పీస్ సెంటర్‌కు స్థిరీకరించబడింది. [1] స్కోల్ఫాల్కెన్ యొక్క మొదటి ఫ్లైట్ సెప్టెంబర్ 1929 లో జరిగింది, అయినప్పటికీ ఖచ్చితమైన తేదీ తెలియదు. 1930 ప్రారంభంలో ఓవ్నింగ్స్‌ఫాల్కెన్ ఎగురు"&amp;"తున్నాడు. [2] మొట్టమొదటి మరియు ఏకైక SA-12 స్కోల్ఫాల్కెన్ ljungbyhed లోని స్వీడిష్ ఎయిర్ ఫోర్స్ ఫ్లైట్ అకాడమీకి వెళ్ళాడు, అక్కడ దీనిని ఎయిర్ ఫోర్స్ బేసిక్ ట్రైనర్ హోదా SK 8 అని పిలిచారు. పరీక్షలు కొత్త నిలువు తోకకు దారితీశాయి, ఫ్లాట్-టాప్ మరియు మునుపటి ప్ర"&amp;"ముఖ బ్యాలెన్స్ లేకుండా కొమ్ము. ఇది కొంతకాలం అక్కడే ఉంది మరియు తరువాత మాల్మోకు తరలించబడింది, అక్కడ 1939 లో మేన్‌ఫైర్‌లో 386 గంటల ఎగురుతూ ముగిసింది. [2] ఒక SA-13 övningsfalken మాత్రమే ఉంది; దీనిని ö 8 (fround ఒక అధునాతన శిక్షకుడిని సూచిస్తుంది) అని పిలుస్తా"&amp;"రు, 1930 మొదటి భాగంలో పరీక్షించబడింది, కాని కొన్ని నెలల తరువాత పోయింది. [3] లెస్ ఐల్స్, డిసెంబర్ 1929 నుండి డేటా [1] సాధారణ లక్షణాల పనితీరు")</f>
        <v>స్వెన్స్కా ఏరో ఫాల్కెన్ ఒక స్వీడిష్ ట్రైనర్ విమానం. రెండు వేర్వేరు ఇంజిన్లతో నిర్మించబడ్డాయి మరియు స్వీడిష్ వైమానిక దళం ఉపయోగించారు. ఫాల్కెన్ ట్రైనర్, జాక్‌ఫాల్కెన్ ఫైటర్‌తో దగ్గరి సంబంధం కలిగి ఉంది, ఇది మునుపటి పిరాటెన్ నుండి తీసుకోబడింది. ఇది అన్‌స్పెప్ట్, స్థిరమైన తీగ, సన్నని విభాగం రెక్కలతో కూడిన సింగిల్ బే బైప్‌లేన్. రెండు రెక్కలు దీర్ఘచతురస్రాకార విభాగం స్టీల్ స్పార్స్ చుట్టూ నిర్మించబడ్డాయి మరియు ఫాబ్రిక్ కప్పబడి ఉన్నాయి. అవి లైట్ డైహెడ్రల్‌తో అమర్చబడ్డాయి, కాని చాలా బలంగా ఉన్నందున ఫార్వర్డ్ దిగువ స్పార్ నేరుగా ఎగువ వెనుక భాగంలో ఉంది. అస్థిరత మరియు కొంచెం తక్కువ తక్కువ వింగ్ కారణంగా N- రూపం ఇంటర్‌ప్లేన్ స్ట్రట్స్ ముందుకు మరియు బయటికి వస్తాయి. ఎగువ రెక్కకు ఫ్యూజ్‌లేజ్‌పై ఒక జత పార్శ్వ, విలోమ V- స్ట్రట్‌లు ఫార్వర్డ్ స్పార్‌కు ఏర్పడ్డాయి మరియు ఒకే, విలోమ విలోమ V AFT స్పార్‌కు ఏర్పడతాయి. ఎగువ మరియు దిగువ రెక్కలపై పొడవైన, విస్తృత ఐలెరాన్‌లు ఉన్నాయి, అవి బాహ్యంగా క్రమబద్ధీకరించిన గొట్టాల ద్వారా అనుసంధానించబడి ఉన్నాయి. [1] ఫాల్కెన్ రెండు రేడియల్ ఇంజిన్లలో ఒకటి, ఐదు సిలిండర్, 101 కిలోవాట్ల (135 హెచ్‌పి) ఆర్మ్‌స్ట్రాంగ్-సిడ్లీ ముంగూస్ లేదా ఏడు సిలిండర్ 150 కిలోవాట్ (200 హెచ్‌పి) ఆర్మ్‌స్ట్రాంగ్-సిడ్లీ లింక్స్. [1] ముంగూస్-శక్తితో పనిచేసే సంస్కరణను SA-12 స్కోల్ఫాల్కెన్ మరియు లింక్స్-శక్తితో SA-13 övningsfalken అని పిలుస్తారు. [2] ఇంజిన్ వెనుక ఫ్యూజ్‌లేజ్ ట్యూబ్ స్టీల్ నిర్మాణం చుట్టూ నిర్మించబడింది. ఇది ఫ్లాట్ సైడెడ్ మరియు ఫాబ్రిక్ కప్పబడి ఉంది, అయినప్పటికీ ఇది అల్యూమినియం కప్పబడి ఉంది, గుండ్రని డెక్కింగ్. ఫాల్కెన్ యొక్క రెండు ఓపెన్ టెన్డం కాక్‌పిట్‌లను ద్వంద్వ నియంత్రణతో అమర్చారు; ఫార్వర్డ్ ఒకటి వెనుకంజలో ఉన్న అంచులో కటౌట్ కింద మరియు మరొకటి దిగువ రెక్కలో ఇదే విధమైన కటౌట్ మీద ఉంది. [1] దీని సామ్రాజ్యం సాంప్రదాయికమైనది, సెమీ-ఎలిప్టికల్ టెయిల్‌ప్లేన్ ఫ్యూజ్‌లేజ్ పైన అమర్చబడి, ప్రతి వైపు నుండి దిగువ నుండి ఒకే స్ట్రట్ ద్వారా కలుపుతుంది. దాని సంఘటనల కోణం భూమి-సర్దుబాటు. ఇది చుక్కాని ఉద్యమానికి కటౌట్‌తో సమాంతర తీగ ఎలివేటర్లను తీసుకువెళ్ళింది. ఫిన్, చిన్న మరియు సుమారుగా త్రిభుజాకారంగా, సరళమైన అంచుగల, నిటారుగా ఉన్న సమతుల్య చుక్కానిని అమర్చారు. చాలా ఫాల్కెన్ మాదిరిగా, ఈ ఉపరితలాలు స్టీల్ గొట్టాలు మరియు ఫాబ్రిక్ నుండి ఏర్పడ్డాయి. [1] ఫాల్కెన్ సాంప్రదాయిక, స్థిర ల్యాండింగ్ గేర్‌ను కలిగి ఉంది. మెయిన్‌వీల్స్ ఒకే ఇరుసుపై ఉన్నాయి, వీటిని 1.65 మీ (65 అంగుళాలు) వేరు చేశారు. ఇరుసు చివరలను రబ్బరు త్రాడు షాక్ అబ్జార్బర్స్ ద్వారా ప్రతి వైపు దిగువ ఫ్యూజ్‌లేజ్ నుండి మూడు కాళ్లను కలిగి ఉన్న ఫ్రేమ్ యొక్క క్రాస్‌పీస్‌కు అమర్చారు మరియు V- స్ట్రట్ ద్వారా క్రాస్‌పీస్ సెంటర్‌కు స్థిరీకరించబడింది. [1] స్కోల్ఫాల్కెన్ యొక్క మొదటి ఫ్లైట్ సెప్టెంబర్ 1929 లో జరిగింది, అయినప్పటికీ ఖచ్చితమైన తేదీ తెలియదు. 1930 ప్రారంభంలో ఓవ్నింగ్స్‌ఫాల్కెన్ ఎగురుతున్నాడు. [2] మొట్టమొదటి మరియు ఏకైక SA-12 స్కోల్ఫాల్కెన్ ljungbyhed లోని స్వీడిష్ ఎయిర్ ఫోర్స్ ఫ్లైట్ అకాడమీకి వెళ్ళాడు, అక్కడ దీనిని ఎయిర్ ఫోర్స్ బేసిక్ ట్రైనర్ హోదా SK 8 అని పిలిచారు. పరీక్షలు కొత్త నిలువు తోకకు దారితీశాయి, ఫ్లాట్-టాప్ మరియు మునుపటి ప్రముఖ బ్యాలెన్స్ లేకుండా కొమ్ము. ఇది కొంతకాలం అక్కడే ఉంది మరియు తరువాత మాల్మోకు తరలించబడింది, అక్కడ 1939 లో మేన్‌ఫైర్‌లో 386 గంటల ఎగురుతూ ముగిసింది. [2] ఒక SA-13 övningsfalken మాత్రమే ఉంది; దీనిని ö 8 (fround ఒక అధునాతన శిక్షకుడిని సూచిస్తుంది) అని పిలుస్తారు, 1930 మొదటి భాగంలో పరీక్షించబడింది, కాని కొన్ని నెలల తరువాత పోయింది. [3] లెస్ ఐల్స్, డిసెంబర్ 1929 నుండి డేటా [1] సాధారణ లక్షణాల పనితీరు</v>
      </c>
      <c r="E30" s="1" t="s">
        <v>625</v>
      </c>
      <c r="F30" s="1" t="s">
        <v>626</v>
      </c>
      <c r="G30" s="1" t="str">
        <f>IFERROR(__xludf.DUMMYFUNCTION("GOOGLETRANSLATE(F:F, ""en"", ""te"")"),"ట్రైనర్ విమానం")</f>
        <v>ట్రైనర్ విమానం</v>
      </c>
      <c r="H30" s="1" t="s">
        <v>627</v>
      </c>
      <c r="I30" s="1" t="s">
        <v>628</v>
      </c>
      <c r="J30" s="1" t="str">
        <f>IFERROR(__xludf.DUMMYFUNCTION("GOOGLETRANSLATE(I:I, ""en"", ""te"")"),"స్వీడన్")</f>
        <v>స్వీడన్</v>
      </c>
      <c r="K30" s="3" t="s">
        <v>629</v>
      </c>
      <c r="L30" s="1" t="s">
        <v>630</v>
      </c>
      <c r="M30" s="1" t="str">
        <f>IFERROR(__xludf.DUMMYFUNCTION("GOOGLETRANSLATE(L:L, ""en"", ""te"")"),"స్వెన్స్కా ఏరో")</f>
        <v>స్వెన్స్కా ఏరో</v>
      </c>
      <c r="N30" s="1" t="s">
        <v>631</v>
      </c>
      <c r="Q30" s="1">
        <v>2.0</v>
      </c>
      <c r="R30" s="1" t="s">
        <v>132</v>
      </c>
      <c r="S30" s="1" t="s">
        <v>632</v>
      </c>
      <c r="U30" s="1" t="s">
        <v>633</v>
      </c>
      <c r="W30" s="1" t="s">
        <v>634</v>
      </c>
      <c r="X30" s="1" t="s">
        <v>635</v>
      </c>
      <c r="Y30" s="1" t="s">
        <v>636</v>
      </c>
      <c r="AA30" s="1" t="s">
        <v>637</v>
      </c>
      <c r="AB30" s="1" t="s">
        <v>440</v>
      </c>
      <c r="AJ30" s="2">
        <v>10837.0</v>
      </c>
      <c r="AM30" s="1" t="s">
        <v>638</v>
      </c>
      <c r="AP30" s="1" t="s">
        <v>639</v>
      </c>
      <c r="AQ30" s="1" t="s">
        <v>640</v>
      </c>
      <c r="BJ30" s="1" t="s">
        <v>641</v>
      </c>
      <c r="BS30" s="1" t="s">
        <v>642</v>
      </c>
      <c r="BT30" s="1" t="s">
        <v>643</v>
      </c>
    </row>
    <row r="31">
      <c r="A31" s="1" t="s">
        <v>644</v>
      </c>
      <c r="B31" s="1" t="str">
        <f>IFERROR(__xludf.DUMMYFUNCTION("GOOGLETRANSLATE(A:A, ""en"", ""te"")"),"ఎయిర్ క్రియేషన్ పిక్సెల్")</f>
        <v>ఎయిర్ క్రియేషన్ పిక్సెల్</v>
      </c>
      <c r="C31" s="1" t="s">
        <v>645</v>
      </c>
      <c r="D31" s="1" t="str">
        <f>IFERROR(__xludf.DUMMYFUNCTION("GOOGLETRANSLATE(C:C, ""en"", ""te"")"),"ఎయిర్ క్రియేషన్ పిక్సెల్ ఒక ఫ్రెంచ్ అల్ట్రాలైట్ ట్రైక్, ఇది ఆబెనాస్ యొక్క గాలి సృష్టి ద్వారా రూపొందించబడింది మరియు ఉత్పత్తి చేయబడింది. విమానం పూర్తి మరియు రెడీ-టు-ఫ్లై లేదా te త్సాహిక నిర్మాణానికి కిట్‌గా సరఫరా చేయబడుతుంది. [1] పిక్సెల్ ఫెడరేషన్ ఏరోనటిక్ "&amp;"ఇంటర్నేషనల్ మైక్రోలైట్ కేటగిరీ, యుఎస్ ఫార్ 103 అల్ట్రాలైట్ వెహికల్స్ రూల్స్ మరియు జర్మన్ 120 కిలోల తరగతికి అనుగుణంగా రూపొందించబడింది. ఈ విమానం ప్రామాణిక ఖాళీ బరువు 95 కిలోలు (209 పౌండ్లు). [1] విమాన రూపకల్పనలో కేబుల్-బ్రేస్డ్ హాంగ్ గ్లైడర్-స్టైల్ హై-వింగ్"&amp;", వెయిట్-షిఫ్ట్ కంట్రోల్స్, కాక్‌పిట్ ఫెయిరింగ్ లేకుండా సింగిల్-సీట్ల ఓపెన్ కాక్‌పిట్, ట్రైసైకిల్ ల్యాండింగ్ గేర్ మరియు పషర్ కాన్ఫిగరేషన్‌లో ఒకే ఇంజిన్ ఉన్నాయి. [1] ఈ విమానం బోల్ట్-టుగెథర్ అల్యూమినియం గొట్టాల నుండి తయారవుతుంది, దాని డబుల్ ఉపరితల వింగ్ డాక"&amp;"్రాన్ సెయిల్‌క్లాత్‌లో కప్పబడి ఉంటుంది. దాని 8.8 మీ (28.9 అడుగులు) స్పాన్ ఇఫున్ 13 వింగ్ 13 మీ 2 (140 చదరపు అడుగులు) విస్తీర్ణంలో ఉంది, ఒకే ట్యూబ్-రకం కింగ్‌పోస్ట్ మద్దతు ఇస్తుంది మరియు ""ఫ్రేమ్ వెయిట్-షిఫ్ట్ కంట్రోల్ బార్‌ను ఉపయోగిస్తుంది. పవర్‌ప్లాంట్ స"&amp;"ింగిల్-సిలిండర్, ఎయిర్-కూల్డ్, టూ-స్ట్రోక్, సింగిల్-ఇగ్నిషన్ 36 హెచ్‌పి (27 కిలోవాట్) పోలిని థోర్ 250 ఇంజిన్. [1] ఈ విమానం ఖాళీ బరువు 95 కిలోల (209 పౌండ్లు) మరియు స్థూల బరువు 250 కిలోల (551 పౌండ్లు), ఇది 155 కిలోల (342 ఎల్బి) ఉపయోగకరమైన లోడ్‌ను ఇస్తుంది. "&amp;"పూర్తి ఇంధనంతో 16 లీటర్లు (3.5 ఇంప్ గల్; 4.2 యుఎస్ గాల్) పేలోడ్ పైలట్ మరియు సామాను కోసం 144 కిలోలు (317 ఎల్బి). [1] ఉద్దేశించిన IFUN 13 ప్రామాణికమైనప్పటికీ, అనేక విభిన్న రెక్కలను ప్రాథమిక క్యారేజీకి అమర్చవచ్చు. ఆ రెక్కలు ట్రైక్ క్యారేజీలో మిగిలి ఉన్న రెక్"&amp;"కతో ముడుచుకున్న హ్యాంగర్ నిల్వను సులభతరం చేయడానికి ఐచ్ఛిక దృ strut మైన స్ట్రట్‌లతో ""షార్ట్ ప్యాక్"" గా లభిస్తాయి. IFUN 13 గంటకు 41 నుండి 110 కిమీ (25 నుండి 68 mph) వేగవంతమైన పరిధిని కలిగి ఉంది. [1] [2] పిక్సెల్ XC మోడల్‌లో లభిస్తుంది, ఇందులో విండ్‌షీల్డ్"&amp;", ఇన్స్ట్రుమెంట్ ప్యానెల్, ఎలక్ట్రిక్ స్టార్టర్, హ్యాండ్ థొరెటల్, కాన్వాస్ సైడింగ్ మరియు సామాను నిల్వ కంపార్ట్మెంట్ ఉన్నాయి. న్యూమాటిక్ బాలిస్టిక్ పారాచూట్ ఐచ్ఛికం మరియు ఖాళీ బరువుకు 4 కిలోల (9 ఎల్బి) ను జతచేస్తుంది. [1] [2] టాక్ మరియు తయారీదారు నుండి డేట"&amp;"ా [1] [2] సాధారణ లక్షణాల పనితీరు")</f>
        <v>ఎయిర్ క్రియేషన్ పిక్సెల్ ఒక ఫ్రెంచ్ అల్ట్రాలైట్ ట్రైక్, ఇది ఆబెనాస్ యొక్క గాలి సృష్టి ద్వారా రూపొందించబడింది మరియు ఉత్పత్తి చేయబడింది. విమానం పూర్తి మరియు రెడీ-టు-ఫ్లై లేదా te త్సాహిక నిర్మాణానికి కిట్‌గా సరఫరా చేయబడుతుంది. [1] పిక్సెల్ ఫెడరేషన్ ఏరోనటిక్ ఇంటర్నేషనల్ మైక్రోలైట్ కేటగిరీ, యుఎస్ ఫార్ 103 అల్ట్రాలైట్ వెహికల్స్ రూల్స్ మరియు జర్మన్ 120 కిలోల తరగతికి అనుగుణంగా రూపొందించబడింది. ఈ విమానం ప్రామాణిక ఖాళీ బరువు 95 కిలోలు (209 పౌండ్లు). [1] విమాన రూపకల్పనలో కేబుల్-బ్రేస్డ్ హాంగ్ గ్లైడర్-స్టైల్ హై-వింగ్, వెయిట్-షిఫ్ట్ కంట్రోల్స్, కాక్‌పిట్ ఫెయిరింగ్ లేకుండా సింగిల్-సీట్ల ఓపెన్ కాక్‌పిట్, ట్రైసైకిల్ ల్యాండింగ్ గేర్ మరియు పషర్ కాన్ఫిగరేషన్‌లో ఒకే ఇంజిన్ ఉన్నాయి. [1] ఈ విమానం బోల్ట్-టుగెథర్ అల్యూమినియం గొట్టాల నుండి తయారవుతుంది, దాని డబుల్ ఉపరితల వింగ్ డాక్రాన్ సెయిల్‌క్లాత్‌లో కప్పబడి ఉంటుంది. దాని 8.8 మీ (28.9 అడుగులు) స్పాన్ ఇఫున్ 13 వింగ్ 13 మీ 2 (140 చదరపు అడుగులు) విస్తీర్ణంలో ఉంది, ఒకే ట్యూబ్-రకం కింగ్‌పోస్ట్ మద్దతు ఇస్తుంది మరియు "ఫ్రేమ్ వెయిట్-షిఫ్ట్ కంట్రోల్ బార్‌ను ఉపయోగిస్తుంది. పవర్‌ప్లాంట్ సింగిల్-సిలిండర్, ఎయిర్-కూల్డ్, టూ-స్ట్రోక్, సింగిల్-ఇగ్నిషన్ 36 హెచ్‌పి (27 కిలోవాట్) పోలిని థోర్ 250 ఇంజిన్. [1] ఈ విమానం ఖాళీ బరువు 95 కిలోల (209 పౌండ్లు) మరియు స్థూల బరువు 250 కిలోల (551 పౌండ్లు), ఇది 155 కిలోల (342 ఎల్బి) ఉపయోగకరమైన లోడ్‌ను ఇస్తుంది. పూర్తి ఇంధనంతో 16 లీటర్లు (3.5 ఇంప్ గల్; 4.2 యుఎస్ గాల్) పేలోడ్ పైలట్ మరియు సామాను కోసం 144 కిలోలు (317 ఎల్బి). [1] ఉద్దేశించిన IFUN 13 ప్రామాణికమైనప్పటికీ, అనేక విభిన్న రెక్కలను ప్రాథమిక క్యారేజీకి అమర్చవచ్చు. ఆ రెక్కలు ట్రైక్ క్యారేజీలో మిగిలి ఉన్న రెక్కతో ముడుచుకున్న హ్యాంగర్ నిల్వను సులభతరం చేయడానికి ఐచ్ఛిక దృ strut మైన స్ట్రట్‌లతో "షార్ట్ ప్యాక్" గా లభిస్తాయి. IFUN 13 గంటకు 41 నుండి 110 కిమీ (25 నుండి 68 mph) వేగవంతమైన పరిధిని కలిగి ఉంది. [1] [2] పిక్సెల్ XC మోడల్‌లో లభిస్తుంది, ఇందులో విండ్‌షీల్డ్, ఇన్స్ట్రుమెంట్ ప్యానెల్, ఎలక్ట్రిక్ స్టార్టర్, హ్యాండ్ థొరెటల్, కాన్వాస్ సైడింగ్ మరియు సామాను నిల్వ కంపార్ట్మెంట్ ఉన్నాయి. న్యూమాటిక్ బాలిస్టిక్ పారాచూట్ ఐచ్ఛికం మరియు ఖాళీ బరువుకు 4 కిలోల (9 ఎల్బి) ను జతచేస్తుంది. [1] [2] టాక్ మరియు తయారీదారు నుండి డేటా [1] [2] సాధారణ లక్షణాల పనితీరు</v>
      </c>
      <c r="F31" s="1" t="s">
        <v>184</v>
      </c>
      <c r="G31" s="1" t="str">
        <f>IFERROR(__xludf.DUMMYFUNCTION("GOOGLETRANSLATE(F:F, ""en"", ""te"")"),"అల్ట్రాలైట్ ట్రైక్")</f>
        <v>అల్ట్రాలైట్ ట్రైక్</v>
      </c>
      <c r="H31" s="1" t="s">
        <v>185</v>
      </c>
      <c r="I31" s="1" t="s">
        <v>646</v>
      </c>
      <c r="J31" s="1" t="str">
        <f>IFERROR(__xludf.DUMMYFUNCTION("GOOGLETRANSLATE(I:I, ""en"", ""te"")"),"ఫ్రాన్స్")</f>
        <v>ఫ్రాన్స్</v>
      </c>
      <c r="K31" s="3" t="s">
        <v>647</v>
      </c>
      <c r="L31" s="1" t="s">
        <v>648</v>
      </c>
      <c r="M31" s="1" t="str">
        <f>IFERROR(__xludf.DUMMYFUNCTION("GOOGLETRANSLATE(L:L, ""en"", ""te"")"),"గాలి సృష్టి")</f>
        <v>గాలి సృష్టి</v>
      </c>
      <c r="N31" s="1" t="s">
        <v>649</v>
      </c>
      <c r="O31" s="1" t="s">
        <v>560</v>
      </c>
      <c r="P31" s="1" t="str">
        <f>IFERROR(__xludf.DUMMYFUNCTION("GOOGLETRANSLATE(O:O, ""en"", ""te"")"),"ఉత్పత్తిలో (2018)")</f>
        <v>ఉత్పత్తిలో (2018)</v>
      </c>
      <c r="S31" s="1" t="s">
        <v>133</v>
      </c>
      <c r="V31" s="1" t="s">
        <v>650</v>
      </c>
      <c r="W31" s="1" t="s">
        <v>651</v>
      </c>
      <c r="X31" s="1" t="s">
        <v>652</v>
      </c>
      <c r="Y31" s="1" t="s">
        <v>653</v>
      </c>
      <c r="Z31" s="1" t="s">
        <v>654</v>
      </c>
      <c r="AA31" s="1" t="s">
        <v>655</v>
      </c>
      <c r="AB31" s="1" t="s">
        <v>656</v>
      </c>
      <c r="AC31" s="1" t="s">
        <v>657</v>
      </c>
      <c r="AD31" s="1" t="s">
        <v>568</v>
      </c>
      <c r="AF31" s="1" t="s">
        <v>658</v>
      </c>
      <c r="AG31" s="1" t="s">
        <v>659</v>
      </c>
      <c r="AP31" s="1" t="s">
        <v>517</v>
      </c>
      <c r="AX31" s="1" t="s">
        <v>292</v>
      </c>
    </row>
    <row r="32">
      <c r="A32" s="1" t="s">
        <v>660</v>
      </c>
      <c r="B32" s="1" t="str">
        <f>IFERROR(__xludf.DUMMYFUNCTION("GOOGLETRANSLATE(A:A, ""en"", ""te"")"),"ఇన్నోవేటర్ దోమ గాలి")</f>
        <v>ఇన్నోవేటర్ దోమ గాలి</v>
      </c>
      <c r="C32" s="1" t="s">
        <v>661</v>
      </c>
      <c r="D32" s="1" t="str">
        <f>IFERROR(__xludf.DUMMYFUNCTION("GOOGLETRANSLATE(C:C, ""en"", ""te"")"),"ఇన్నోవేటర్ దోమ ఎయిర్ అనేది కెనడియన్ హెలికాప్టర్, ఇది అల్బెర్టాలోని రాకీవ్యూ యొక్క ఇన్నోవేటర్ టెక్నాలజీస్ చేత ఉత్పత్తి చేయబడింది. ఈ విమానం te త్సాహిక నిర్మాణానికి కిట్‌గా సరఫరా చేయబడుతుంది. [1] దోమల గాలి యునైటెడ్ స్టేట్స్ ఫార్ 103 అల్ట్రాలైట్ వాహనాలకు అనుగ"&amp;"ుణంగా రూపొందించబడింది, వీటిలో వర్గం యొక్క గరిష్ట ఖాళీ బరువు 254 పౌండ్లు (115 కిలోలు). ఈ విమానం ప్రామాణిక ఖాళీ బరువు 254 పౌండ్లు (115 కిలోలు). ఇది సింగిల్ మెయిన్ రోటర్ మరియు టెయిల్ రోటర్, విండ్‌షీల్డ్ లేని సింగిల్-సీట్ల ఓపెన్ కాక్‌పిట్, స్కిడ్ ల్యాండింగ్ గ"&amp;"ేర్ మరియు రెండు సిలిండర్, ఎయిర్-కూల్డ్, టూ-స్ట్రోక్ 64 హెచ్‌పి (48 కిలోవాట్) జాన్జోటెరా MZ 202 ఇంజిన్ కలిగి ఉంది. [1] విమానం ఫ్యూజ్‌లేజ్ బోల్ట్-టుగేథర్ 6061-టి 6 అల్యూమినియం గొట్టాల నుండి తయారు చేయబడింది, కార్బన్ ఫైబర్ తోక బూమ్ మరియు సపోర్ట్ స్ట్రట్‌లతో. "&amp;"దీని రెండు-బ్లేడెడ్ రోటర్ 5.5 మీ (18.0 అడుగులు) మరియు 17 సెం.మీ (6.7 అంగుళాలు) తీగను కలిగి ఉంది. చక్రీయ నియంత్రణ రోటర్ మాస్ట్ మధ్యలో మళ్ళించబడుతుంది మరియు ప్రధాన రోటర్ ట్రాన్స్మిషన్ పాలీ ""వి"" బెల్ట్. ఈ విమానం సాధారణ ఖాళీ బరువు 115 కిలోల (254 ఎల్బి) మరియ"&amp;"ు స్థూల బరువు 240 కిలోలు (529 పౌండ్లు), ఇది 125 కిలోల (276 ఎల్బి) ఉపయోగకరమైన లోడ్‌ను ఇస్తుంది. 19 లీటర్ల పూర్తి ఇంధనంతో (4.2 ఇంప్ గల్; 5.0 యుఎస్ గాల్) పైలట్ మరియు సామాను 111 కిలోల (245 ఎల్బి) కోసం పేలోడ్. [1] సమీక్షకుడు వెర్నర్ పిఫెండ్లర్ ఈ డిజైన్‌ను ""సర"&amp;"ళమైన, కానీ తెలివైన మరియు నమ్మదగినది"" అని వర్ణించాడు. [1] పరివేష్టిత కాక్‌పిట్ దోమ xe కు దోమ గాలి ఆధారం. [1] టాక్ నుండి డేటా [1] సాధారణ లక్షణాల పనితీరు")</f>
        <v>ఇన్నోవేటర్ దోమ ఎయిర్ అనేది కెనడియన్ హెలికాప్టర్, ఇది అల్బెర్టాలోని రాకీవ్యూ యొక్క ఇన్నోవేటర్ టెక్నాలజీస్ చేత ఉత్పత్తి చేయబడింది. ఈ విమానం te త్సాహిక నిర్మాణానికి కిట్‌గా సరఫరా చేయబడుతుంది. [1] దోమల గాలి యునైటెడ్ స్టేట్స్ ఫార్ 103 అల్ట్రాలైట్ వాహనాలకు అనుగుణంగా రూపొందించబడింది, వీటిలో వర్గం యొక్క గరిష్ట ఖాళీ బరువు 254 పౌండ్లు (115 కిలోలు). ఈ విమానం ప్రామాణిక ఖాళీ బరువు 254 పౌండ్లు (115 కిలోలు). ఇది సింగిల్ మెయిన్ రోటర్ మరియు టెయిల్ రోటర్, విండ్‌షీల్డ్ లేని సింగిల్-సీట్ల ఓపెన్ కాక్‌పిట్, స్కిడ్ ల్యాండింగ్ గేర్ మరియు రెండు సిలిండర్, ఎయిర్-కూల్డ్, టూ-స్ట్రోక్ 64 హెచ్‌పి (48 కిలోవాట్) జాన్జోటెరా MZ 202 ఇంజిన్ కలిగి ఉంది. [1] విమానం ఫ్యూజ్‌లేజ్ బోల్ట్-టుగేథర్ 6061-టి 6 అల్యూమినియం గొట్టాల నుండి తయారు చేయబడింది, కార్బన్ ఫైబర్ తోక బూమ్ మరియు సపోర్ట్ స్ట్రట్‌లతో. దీని రెండు-బ్లేడెడ్ రోటర్ 5.5 మీ (18.0 అడుగులు) మరియు 17 సెం.మీ (6.7 అంగుళాలు) తీగను కలిగి ఉంది. చక్రీయ నియంత్రణ రోటర్ మాస్ట్ మధ్యలో మళ్ళించబడుతుంది మరియు ప్రధాన రోటర్ ట్రాన్స్మిషన్ పాలీ "వి" బెల్ట్. ఈ విమానం సాధారణ ఖాళీ బరువు 115 కిలోల (254 ఎల్బి) మరియు స్థూల బరువు 240 కిలోలు (529 పౌండ్లు), ఇది 125 కిలోల (276 ఎల్బి) ఉపయోగకరమైన లోడ్‌ను ఇస్తుంది. 19 లీటర్ల పూర్తి ఇంధనంతో (4.2 ఇంప్ గల్; 5.0 యుఎస్ గాల్) పైలట్ మరియు సామాను 111 కిలోల (245 ఎల్బి) కోసం పేలోడ్. [1] సమీక్షకుడు వెర్నర్ పిఫెండ్లర్ ఈ డిజైన్‌ను "సరళమైన, కానీ తెలివైన మరియు నమ్మదగినది" అని వర్ణించాడు. [1] పరివేష్టిత కాక్‌పిట్ దోమ xe కు దోమ గాలి ఆధారం. [1] టాక్ నుండి డేటా [1] సాధారణ లక్షణాల పనితీరు</v>
      </c>
      <c r="F32" s="1" t="s">
        <v>218</v>
      </c>
      <c r="G32" s="1" t="str">
        <f>IFERROR(__xludf.DUMMYFUNCTION("GOOGLETRANSLATE(F:F, ""en"", ""te"")"),"హెలికాప్టర్")</f>
        <v>హెలికాప్టర్</v>
      </c>
      <c r="H32" s="3" t="s">
        <v>219</v>
      </c>
      <c r="I32" s="1" t="s">
        <v>662</v>
      </c>
      <c r="J32" s="1" t="str">
        <f>IFERROR(__xludf.DUMMYFUNCTION("GOOGLETRANSLATE(I:I, ""en"", ""te"")"),"కెనడా")</f>
        <v>కెనడా</v>
      </c>
      <c r="K32" s="3" t="s">
        <v>663</v>
      </c>
      <c r="L32" s="1" t="s">
        <v>664</v>
      </c>
      <c r="M32" s="1" t="str">
        <f>IFERROR(__xludf.DUMMYFUNCTION("GOOGLETRANSLATE(L:L, ""en"", ""te"")"),"ఇన్నోవేటర్ టెక్నాలజీస్")</f>
        <v>ఇన్నోవేటర్ టెక్నాలజీస్</v>
      </c>
      <c r="N32" s="1" t="s">
        <v>665</v>
      </c>
      <c r="O32" s="1" t="s">
        <v>539</v>
      </c>
      <c r="P32" s="1" t="str">
        <f>IFERROR(__xludf.DUMMYFUNCTION("GOOGLETRANSLATE(O:O, ""en"", ""te"")"),"ఉత్పత్తిలో (2017)")</f>
        <v>ఉత్పత్తిలో (2017)</v>
      </c>
      <c r="R32" s="1" t="s">
        <v>666</v>
      </c>
      <c r="S32" s="1" t="s">
        <v>133</v>
      </c>
      <c r="X32" s="1" t="s">
        <v>667</v>
      </c>
      <c r="Y32" s="1" t="s">
        <v>668</v>
      </c>
      <c r="Z32" s="1" t="s">
        <v>543</v>
      </c>
      <c r="AA32" s="1" t="s">
        <v>669</v>
      </c>
      <c r="AC32" s="1" t="s">
        <v>670</v>
      </c>
      <c r="AF32" s="1" t="s">
        <v>658</v>
      </c>
      <c r="AO32" s="1" t="s">
        <v>578</v>
      </c>
      <c r="AP32" s="1" t="s">
        <v>670</v>
      </c>
      <c r="BN32" s="1" t="s">
        <v>671</v>
      </c>
      <c r="BO32" s="1" t="s">
        <v>672</v>
      </c>
      <c r="BP32" s="1" t="s">
        <v>673</v>
      </c>
    </row>
    <row r="33">
      <c r="A33" s="1" t="s">
        <v>674</v>
      </c>
      <c r="B33" s="1" t="str">
        <f>IFERROR(__xludf.DUMMYFUNCTION("GOOGLETRANSLATE(A:A, ""en"", ""te"")"),"రిపబ్లిక్ SD-3 స్నూపర్")</f>
        <v>రిపబ్లిక్ SD-3 స్నూపర్</v>
      </c>
      <c r="C33" s="1" t="s">
        <v>675</v>
      </c>
      <c r="D33" s="1" t="str">
        <f>IFERROR(__xludf.DUMMYFUNCTION("GOOGLETRANSLATE(C:C, ""en"", ""te"")"),"రిపబ్లిక్ SD-3 స్నూపర్ యునైటెడ్ స్టేట్స్ ఆర్మీ కోసం రిపబ్లిక్ ఏవియేషన్ అభివృద్ధి చేసిన ప్రారంభ నిఘా డ్రోన్. దీనిని 1959 లో ఆర్మీ సిగ్నల్ కార్ప్స్ అంచనా వేసింది, కాని కార్యాచరణ సేవలో ప్రవేశించలేదు. రిపబ్లిక్ ఏవియేషన్ యొక్క గైడెడ్ క్షిపణుల విభాగానికి 1957 ల"&amp;"ో స్వల్ప-శ్రేణి నిఘా డ్రోన్ అభివృద్ధికి ఒప్పందం లభించింది, [1] అవసరాన్ని పూరించడానికి యు.ఎస్. ఆర్మీ నిర్వహించిన పోటీని గెలుచుకుంది. మొత్తం సిస్టమ్ కోసం మొత్తం హోదాను AN/USD-3 ఇచ్చినట్లయితే, మరియు కొన్నిసార్లు స్కై స్పై అని పిలుస్తారు, [2] స్నూపర్ ట్విన్-బ"&amp;"ూమ్ కాన్ఫిగరేషన్, ఒకే ఖండాంతర IO-200 అడ్డంగా ప్రతిపాదించిన పిస్టన్ ఇంజిన్ పషర్‌లో అమర్చబడింది కాన్ఫిగరేషన్. [3] డ్రోన్ 30 నిమిషాల వరకు ఎగురుతుంది, ఇది ఒకే విమానంలో బహుళ నిఘా లక్ష్యాలను ఓవర్‌ఫ్లై చేయడానికి అనుమతిస్తుంది. [1] ప్రయోగం సున్నా-పొడవు ప్రయోగ సెట"&amp;"ప్ నుండి వచ్చింది, రెండు రాకెట్ బూస్టర్లు విమానంలో విమానంలోకి సహాయపడటానికి ఘనమైన ఇంధనాన్ని కాల్చడం; ఒక మిషన్ తరువాత, ఇది గ్రౌండ్ స్టేషన్ నుండి ప్రోగ్రామ్ చేయబడిన కోర్సు లేదా రేడియో కమాండ్ మార్గదర్శకత్వాన్ని అనుసరించి ఆటోపైలట్ నియంత్రణను ఉపయోగించవచ్చు, [3]"&amp;" స్నూపర్ పారాచూట్ ద్వారా దిగేవాడు; ల్యాండింగ్‌ను పరిపుష్టి చేయడానికి ఎయిర్‌ఫ్రేమ్‌లో ఎయిర్‌బ్యాగులు ఏర్పాటు చేయబడ్డాయి. [1] SD-3 యొక్క ముక్కు విభాగం అనేక పేలోడ్‌లలో పరస్పరం మార్చుకునేలా రూపొందించబడింది; ఎంపికలలో టెలివిజన్, ఏరియల్ ఫోటోగ్రఫి, ఇన్ఫ్రారెడ్ ఫో"&amp;"టోగ్రఫి లేదా రాడార్ సిస్టమ్స్ ఉన్నాయి. [4] 1958 చివరలో ప్రెస్‌కు వెల్లడించారు, [5] SD-3 మొదటిసారి జనవరి 1959 లో ప్రయాణించింది; తయారీదారుల ప్రయత్నాల తరువాత, యు.ఎస్. ఆర్మీ యాభై ప్రీ-ప్రొడక్షన్ విమానాన్ని వ్యవస్థ యొక్క పూర్తి మూల్యాంకనం చేయమని ఆదేశించింది. ["&amp;"3] సిగ్నల్ కార్ప్స్ నిర్వహించిన ట్రయల్స్, [6] విజయవంతం అయినప్పటికీ, [1] సైన్యం ట్రయల్స్ చివరిలో SD-3 కార్యక్రమాన్ని రద్దు చేసింది. [7] ఏదేమైనా, SD-3 యొక్క ట్విన్-బూమ్ పషర్ డిజైన్ సాధారణంగా తరువాత సంవత్సరాల్లో మానవరహిత వైమానిక వాహనాలు ఉపయోగించబడుతుంది. [2]"&amp;" పార్స్చ్ 2004 నుండి డేటా [3] పోల్చదగిన పాత్ర, కాన్ఫిగరేషన్ మరియు ERA సంబంధిత జాబితాల సాధారణ లక్షణాల పనితీరు విమానం")</f>
        <v>రిపబ్లిక్ SD-3 స్నూపర్ యునైటెడ్ స్టేట్స్ ఆర్మీ కోసం రిపబ్లిక్ ఏవియేషన్ అభివృద్ధి చేసిన ప్రారంభ నిఘా డ్రోన్. దీనిని 1959 లో ఆర్మీ సిగ్నల్ కార్ప్స్ అంచనా వేసింది, కాని కార్యాచరణ సేవలో ప్రవేశించలేదు. రిపబ్లిక్ ఏవియేషన్ యొక్క గైడెడ్ క్షిపణుల విభాగానికి 1957 లో స్వల్ప-శ్రేణి నిఘా డ్రోన్ అభివృద్ధికి ఒప్పందం లభించింది, [1] అవసరాన్ని పూరించడానికి యు.ఎస్. ఆర్మీ నిర్వహించిన పోటీని గెలుచుకుంది. మొత్తం సిస్టమ్ కోసం మొత్తం హోదాను AN/USD-3 ఇచ్చినట్లయితే, మరియు కొన్నిసార్లు స్కై స్పై అని పిలుస్తారు, [2] స్నూపర్ ట్విన్-బూమ్ కాన్ఫిగరేషన్, ఒకే ఖండాంతర IO-200 అడ్డంగా ప్రతిపాదించిన పిస్టన్ ఇంజిన్ పషర్‌లో అమర్చబడింది కాన్ఫిగరేషన్. [3] డ్రోన్ 30 నిమిషాల వరకు ఎగురుతుంది, ఇది ఒకే విమానంలో బహుళ నిఘా లక్ష్యాలను ఓవర్‌ఫ్లై చేయడానికి అనుమతిస్తుంది. [1] ప్రయోగం సున్నా-పొడవు ప్రయోగ సెటప్ నుండి వచ్చింది, రెండు రాకెట్ బూస్టర్లు విమానంలో విమానంలోకి సహాయపడటానికి ఘనమైన ఇంధనాన్ని కాల్చడం; ఒక మిషన్ తరువాత, ఇది గ్రౌండ్ స్టేషన్ నుండి ప్రోగ్రామ్ చేయబడిన కోర్సు లేదా రేడియో కమాండ్ మార్గదర్శకత్వాన్ని అనుసరించి ఆటోపైలట్ నియంత్రణను ఉపయోగించవచ్చు, [3] స్నూపర్ పారాచూట్ ద్వారా దిగేవాడు; ల్యాండింగ్‌ను పరిపుష్టి చేయడానికి ఎయిర్‌ఫ్రేమ్‌లో ఎయిర్‌బ్యాగులు ఏర్పాటు చేయబడ్డాయి. [1] SD-3 యొక్క ముక్కు విభాగం అనేక పేలోడ్‌లలో పరస్పరం మార్చుకునేలా రూపొందించబడింది; ఎంపికలలో టెలివిజన్, ఏరియల్ ఫోటోగ్రఫి, ఇన్ఫ్రారెడ్ ఫోటోగ్రఫి లేదా రాడార్ సిస్టమ్స్ ఉన్నాయి. [4] 1958 చివరలో ప్రెస్‌కు వెల్లడించారు, [5] SD-3 మొదటిసారి జనవరి 1959 లో ప్రయాణించింది; తయారీదారుల ప్రయత్నాల తరువాత, యు.ఎస్. ఆర్మీ యాభై ప్రీ-ప్రొడక్షన్ విమానాన్ని వ్యవస్థ యొక్క పూర్తి మూల్యాంకనం చేయమని ఆదేశించింది. [3] సిగ్నల్ కార్ప్స్ నిర్వహించిన ట్రయల్స్, [6] విజయవంతం అయినప్పటికీ, [1] సైన్యం ట్రయల్స్ చివరిలో SD-3 కార్యక్రమాన్ని రద్దు చేసింది. [7] ఏదేమైనా, SD-3 యొక్క ట్విన్-బూమ్ పషర్ డిజైన్ సాధారణంగా తరువాత సంవత్సరాల్లో మానవరహిత వైమానిక వాహనాలు ఉపయోగించబడుతుంది. [2] పార్స్చ్ 2004 నుండి డేటా [3] పోల్చదగిన పాత్ర, కాన్ఫిగరేషన్ మరియు ERA సంబంధిత జాబితాల సాధారణ లక్షణాల పనితీరు విమానం</v>
      </c>
      <c r="E33" s="1" t="s">
        <v>676</v>
      </c>
      <c r="F33" s="1" t="s">
        <v>416</v>
      </c>
      <c r="G33" s="1" t="str">
        <f>IFERROR(__xludf.DUMMYFUNCTION("GOOGLETRANSLATE(F:F, ""en"", ""te"")"),"నిఘా డ్రోన్")</f>
        <v>నిఘా డ్రోన్</v>
      </c>
      <c r="I33" s="1" t="s">
        <v>127</v>
      </c>
      <c r="J33" s="1" t="str">
        <f>IFERROR(__xludf.DUMMYFUNCTION("GOOGLETRANSLATE(I:I, ""en"", ""te"")"),"సంయుక్త రాష్ట్రాలు")</f>
        <v>సంయుక్త రాష్ట్రాలు</v>
      </c>
      <c r="L33" s="1" t="s">
        <v>417</v>
      </c>
      <c r="M33" s="1" t="str">
        <f>IFERROR(__xludf.DUMMYFUNCTION("GOOGLETRANSLATE(L:L, ""en"", ""te"")"),"రిపబ్లిక్ ఏవియేషన్")</f>
        <v>రిపబ్లిక్ ఏవియేషన్</v>
      </c>
      <c r="N33" s="1" t="s">
        <v>418</v>
      </c>
      <c r="Q33" s="1">
        <v>50.0</v>
      </c>
      <c r="S33" s="1" t="s">
        <v>407</v>
      </c>
      <c r="U33" s="1" t="s">
        <v>677</v>
      </c>
      <c r="V33" s="1" t="s">
        <v>678</v>
      </c>
      <c r="Y33" s="1" t="s">
        <v>679</v>
      </c>
      <c r="AA33" s="1" t="s">
        <v>680</v>
      </c>
      <c r="AE33" s="1" t="s">
        <v>210</v>
      </c>
      <c r="AJ33" s="2">
        <v>21551.0</v>
      </c>
      <c r="AP33" s="1" t="s">
        <v>681</v>
      </c>
      <c r="AQ33" s="1" t="s">
        <v>682</v>
      </c>
      <c r="AR33" s="1" t="s">
        <v>683</v>
      </c>
      <c r="BH33" s="1" t="s">
        <v>426</v>
      </c>
      <c r="BI33" s="1" t="s">
        <v>427</v>
      </c>
    </row>
    <row r="34">
      <c r="A34" s="1" t="s">
        <v>684</v>
      </c>
      <c r="B34" s="1" t="str">
        <f>IFERROR(__xludf.DUMMYFUNCTION("GOOGLETRANSLATE(A:A, ""en"", ""te"")"),"ట్రిక్సీ లిబర్టీ")</f>
        <v>ట్రిక్సీ లిబర్టీ</v>
      </c>
      <c r="C34" s="1" t="s">
        <v>685</v>
      </c>
      <c r="D34" s="1" t="str">
        <f>IFERROR(__xludf.DUMMYFUNCTION("GOOGLETRANSLATE(C:C, ""en"", ""te"")"),"ట్రిక్సీ లిబర్టీ అనేది ఆస్ట్రియన్ ఆటోజయోరో, ఇది డోర్న్‌బిర్న్ యొక్క ట్రిక్సీ ఏవియేషన్ ప్రొడక్ట్స్ రూపొందించింది మరియు నిర్మించింది. విమానం పూర్తి మరియు రెడీ టు-ఫ్లై సరఫరా చేయబడుతుంది. [1] లిబర్టీ ఎంట్రీ-లెవల్, ఓపెన్ కాక్‌పిట్ గైరోప్లేన్‌గా రూపొందించబడింది"&amp;", అయినప్పటికీ దీనికి ఐచ్ఛిక క్యాబిన్ పందిరి ఆవరణ ఉంది. ఇది సింగిల్ మెయిన్ రోటర్, విండ్‌షీల్డ్‌తో రెండు-సీట్ల టెన్డం ఓపెన్ కాక్‌పిట్, వీల్ ప్యాంటు లేకుండా ట్రైసైకిల్ ల్యాండింగ్ గేర్, ప్లస్ టెయిల్ క్యాస్టర్ మరియు నాలుగు సిలిండర్, లిక్విడ్ మరియు ఎయిర్-కూల్డ్"&amp;", నాలుగు స్ట్రోక్ 100 హెచ్‌పి (75 కిలోవాట్లను కలిగి ఉంది ) రోటాక్స్ 912 లేదా టర్బోచార్జ్డ్ 115 హెచ్‌పి (86 కిలోవాట్ విమానం ఫ్యూజ్‌లేజ్ మిశ్రమాల నుండి తయారవుతుంది. దీని రెండు-బ్లేడెడ్ రోటర్ 8.4 మీ (27.6 అడుగులు) వ్యాసం కలిగి ఉంది. ఈ విమానం 245 కిలోల (540 ఎ"&amp;"ల్బి) యొక్క సాధారణ ఖాళీ బరువు మరియు 560 కిలోల (1,235 ఎల్బి) స్థూల బరువును కలిగి ఉంది, ఇది 315 కిలోల (694 పౌండ్లు) ఉపయోగకరమైన లోడ్ ఇస్తుంది. [1] అనేక ఇతర ఆటోజీరో బిల్డర్ల మాదిరిగా కాకుండా, ట్రిక్సీ ఏవియేషన్ వంపు తల కాకుండా దాని రోటర్ హెడ్ డిజైన్లలో స్వాష్ "&amp;"ప్లేట్‌ను ఉపయోగిస్తుంది. ఇది డిజైన్‌ను ఎగరడానికి మరింత సున్నితంగా చేస్తుంది మరియు ప్రత్యేక రకం శిక్షణ అవసరం. [1] టాక్ మరియు తయారీదారు నుండి డేటా [1] [2] సాధారణ లక్షణాల పనితీరు")</f>
        <v>ట్రిక్సీ లిబర్టీ అనేది ఆస్ట్రియన్ ఆటోజయోరో, ఇది డోర్న్‌బిర్న్ యొక్క ట్రిక్సీ ఏవియేషన్ ప్రొడక్ట్స్ రూపొందించింది మరియు నిర్మించింది. విమానం పూర్తి మరియు రెడీ టు-ఫ్లై సరఫరా చేయబడుతుంది. [1] లిబర్టీ ఎంట్రీ-లెవల్, ఓపెన్ కాక్‌పిట్ గైరోప్లేన్‌గా రూపొందించబడింది, అయినప్పటికీ దీనికి ఐచ్ఛిక క్యాబిన్ పందిరి ఆవరణ ఉంది. ఇది సింగిల్ మెయిన్ రోటర్, విండ్‌షీల్డ్‌తో రెండు-సీట్ల టెన్డం ఓపెన్ కాక్‌పిట్, వీల్ ప్యాంటు లేకుండా ట్రైసైకిల్ ల్యాండింగ్ గేర్, ప్లస్ టెయిల్ క్యాస్టర్ మరియు నాలుగు సిలిండర్, లిక్విడ్ మరియు ఎయిర్-కూల్డ్, నాలుగు స్ట్రోక్ 100 హెచ్‌పి (75 కిలోవాట్లను కలిగి ఉంది ) రోటాక్స్ 912 లేదా టర్బోచార్జ్డ్ 115 హెచ్‌పి (86 కిలోవాట్ విమానం ఫ్యూజ్‌లేజ్ మిశ్రమాల నుండి తయారవుతుంది. దీని రెండు-బ్లేడెడ్ రోటర్ 8.4 మీ (27.6 అడుగులు) వ్యాసం కలిగి ఉంది. ఈ విమానం 245 కిలోల (540 ఎల్బి) యొక్క సాధారణ ఖాళీ బరువు మరియు 560 కిలోల (1,235 ఎల్బి) స్థూల బరువును కలిగి ఉంది, ఇది 315 కిలోల (694 పౌండ్లు) ఉపయోగకరమైన లోడ్ ఇస్తుంది. [1] అనేక ఇతర ఆటోజీరో బిల్డర్ల మాదిరిగా కాకుండా, ట్రిక్సీ ఏవియేషన్ వంపు తల కాకుండా దాని రోటర్ హెడ్ డిజైన్లలో స్వాష్ ప్లేట్‌ను ఉపయోగిస్తుంది. ఇది డిజైన్‌ను ఎగరడానికి మరింత సున్నితంగా చేస్తుంది మరియు ప్రత్యేక రకం శిక్షణ అవసరం. [1] టాక్ మరియు తయారీదారు నుండి డేటా [1] [2] సాధారణ లక్షణాల పనితీరు</v>
      </c>
      <c r="F34" s="1" t="s">
        <v>266</v>
      </c>
      <c r="G34" s="1" t="str">
        <f>IFERROR(__xludf.DUMMYFUNCTION("GOOGLETRANSLATE(F:F, ""en"", ""te"")"),"ఆటోజీరో")</f>
        <v>ఆటోజీరో</v>
      </c>
      <c r="H34" s="3" t="s">
        <v>267</v>
      </c>
      <c r="I34" s="1" t="s">
        <v>686</v>
      </c>
      <c r="J34" s="1" t="str">
        <f>IFERROR(__xludf.DUMMYFUNCTION("GOOGLETRANSLATE(I:I, ""en"", ""te"")"),"ఆస్ట్రియా")</f>
        <v>ఆస్ట్రియా</v>
      </c>
      <c r="K34" s="3" t="s">
        <v>687</v>
      </c>
      <c r="L34" s="1" t="s">
        <v>688</v>
      </c>
      <c r="M34" s="1" t="str">
        <f>IFERROR(__xludf.DUMMYFUNCTION("GOOGLETRANSLATE(L:L, ""en"", ""te"")"),"ట్రిక్సీ ఏవియేషన్ ఉత్పత్తులు")</f>
        <v>ట్రిక్సీ ఏవియేషన్ ఉత్పత్తులు</v>
      </c>
      <c r="N34" s="1" t="s">
        <v>689</v>
      </c>
      <c r="O34" s="1" t="s">
        <v>539</v>
      </c>
      <c r="P34" s="1" t="str">
        <f>IFERROR(__xludf.DUMMYFUNCTION("GOOGLETRANSLATE(O:O, ""en"", ""te"")"),"ఉత్పత్తిలో (2017)")</f>
        <v>ఉత్పత్తిలో (2017)</v>
      </c>
      <c r="S34" s="1" t="s">
        <v>133</v>
      </c>
      <c r="T34" s="1" t="s">
        <v>134</v>
      </c>
      <c r="U34" s="1" t="s">
        <v>690</v>
      </c>
      <c r="AA34" s="1" t="s">
        <v>691</v>
      </c>
      <c r="AB34" s="1" t="s">
        <v>276</v>
      </c>
      <c r="AF34" s="1" t="s">
        <v>658</v>
      </c>
      <c r="AM34" s="1" t="s">
        <v>692</v>
      </c>
      <c r="AO34" s="1" t="s">
        <v>579</v>
      </c>
      <c r="AR34" s="1" t="s">
        <v>693</v>
      </c>
      <c r="AV34" s="1" t="s">
        <v>694</v>
      </c>
      <c r="BN34" s="1" t="s">
        <v>695</v>
      </c>
      <c r="BO34" s="1" t="s">
        <v>696</v>
      </c>
    </row>
    <row r="35">
      <c r="A35" s="1" t="s">
        <v>697</v>
      </c>
      <c r="B35" s="1" t="str">
        <f>IFERROR(__xludf.DUMMYFUNCTION("GOOGLETRANSLATE(A:A, ""en"", ""te"")"),"ఏరోటెక్నిక్స్ స్కైహోపర్ -3000")</f>
        <v>ఏరోటెక్నిక్స్ స్కైహోపర్ -3000</v>
      </c>
      <c r="C35" s="1" t="s">
        <v>698</v>
      </c>
      <c r="D35" s="1" t="str">
        <f>IFERROR(__xludf.DUMMYFUNCTION("GOOGLETRANSLATE(C:C, ""en"", ""te"")"),"ఏరోటెక్నిక్స్ స్కైహోపర్ -3000 అనేది జర్మన్ అల్ట్రాలైట్ ట్రైక్, దీనిని బ్రాండెన్‌బర్గ్ యొక్క ఏరోటెక్నిక్స్ రూపొందించి ఉత్పత్తి చేసింది. ఇప్పుడు ఉత్పత్తికి దూరంగా, అది అందుబాటులో ఉన్నప్పుడు అది పూర్తి మరియు సిద్ధంగా ఉండటానికి సిద్ధంగా ఉంది. [1] ఈ సంస్థ 2010"&amp;" లో స్థాపించబడినట్లు తెలుస్తోంది, 2016 లో వ్యాపారం నుండి బయటపడింది మరియు ఆ సమయానికి ఉత్పత్తి ముగిసింది. [2] స్కైహోపర్ -3000 అనేది నానోట్రైక్, ఇది ఫెడెరేషన్ ఏరోనటిక్ ఇంటర్నేషనల్ మైక్రోలైట్ కేటగిరీ, యుఎస్ ఫార్ 103 అల్ట్రాలైట్ వెహికల్స్ రూల్స్ మరియు జర్మన్ 1"&amp;"20 కిలోల తరగతికి అనుగుణంగా రూపొందించబడింది. విమానం జర్మన్ DULV ధృవీకరించబడింది. [1] ఈ డిజైన్‌లో కేబుల్-బ్రేస్డ్ హాంగ్ గ్లైడర్-స్టైల్ హై-వింగ్, వెయిట్-షిఫ్ట్ కంట్రోల్స్, కాక్‌పిట్ ఫెయిరింగ్ లేకుండా సింగిల్-సీట్ల ఓపెన్-ఫ్రేమ్ కాక్‌పిట్, ట్రైసైకిల్ ల్యాండింగ"&amp;"్ గేర్ మరియు పషర్ కాన్ఫిగరేషన్‌లో ఒకే ఇంజిన్ ఉన్నాయి. [1] ఈ విమానం టైటానియం గొట్టాల నుండి తయారవుతుంది, దాని డబుల్ ఉపరితల వింగ్ డాక్రాన్ సెయిల్‌క్లాత్‌లో కప్పబడి ఉంటుంది. దీని రెక్కకు ఒకే ట్యూబ్-రకం కింగ్‌పోస్ట్ మద్దతు ఇస్తుంది మరియు ""ఎ"" ఫ్రేమ్ వెయిట్-షి"&amp;"ఫ్ట్ కంట్రోల్ బార్‌ను ఉపయోగిస్తుంది. పవర్‌ప్లాంట్ ఒక ఎయిర్-కూల్డ్, సింగిల్-సిలిండర్, టూ-స్ట్రోక్, 27 హెచ్‌పి (20 కిలోవాట్) సిస్కో సి-మాక్స్ ఇంజిన్. ఈ విమానం పవర్‌ప్లాంట్‌తో సహా 26 కిలోల (57 ఎల్బి) ఖాళీ బరువును కలిగి ఉంది, కానీ రెక్కను మినహాయించి. ఇది స్థూ"&amp;"ల బరువు 155 కిలోలు (342 పౌండ్లు). [1] అనేక విభిన్న హాంగ్ గ్లైడర్ రెక్కలను ప్రాథమిక క్యారేజీకి అమర్చవచ్చు. భూమి రవాణా కోసం క్యారేజ్ మరియు వింగ్ ముడుచుకోవచ్చు. [1] స్కైహోపర్ -3000 ను వెళ్ళుట హాంగ్ గ్లైడర్‌లను పైకి లేపడానికి కూడా ఉపయోగించబడింది. [1] టాక్ నుం"&amp;"డి డేటా [1] సాధారణ లక్షణాల పనితీరు")</f>
        <v>ఏరోటెక్నిక్స్ స్కైహోపర్ -3000 అనేది జర్మన్ అల్ట్రాలైట్ ట్రైక్, దీనిని బ్రాండెన్‌బర్గ్ యొక్క ఏరోటెక్నిక్స్ రూపొందించి ఉత్పత్తి చేసింది. ఇప్పుడు ఉత్పత్తికి దూరంగా, అది అందుబాటులో ఉన్నప్పుడు అది పూర్తి మరియు సిద్ధంగా ఉండటానికి సిద్ధంగా ఉంది. [1] ఈ సంస్థ 2010 లో స్థాపించబడినట్లు తెలుస్తోంది, 2016 లో వ్యాపారం నుండి బయటపడింది మరియు ఆ సమయానికి ఉత్పత్తి ముగిసింది. [2] స్కైహోపర్ -3000 అనేది నానోట్రైక్, ఇది ఫెడెరేషన్ ఏరోనటిక్ ఇంటర్నేషనల్ మైక్రోలైట్ కేటగిరీ, యుఎస్ ఫార్ 103 అల్ట్రాలైట్ వెహికల్స్ రూల్స్ మరియు జర్మన్ 120 కిలోల తరగతికి అనుగుణంగా రూపొందించబడింది. విమానం జర్మన్ DULV ధృవీకరించబడింది. [1] ఈ డిజైన్‌లో కేబుల్-బ్రేస్డ్ హాంగ్ గ్లైడర్-స్టైల్ హై-వింగ్, వెయిట్-షిఫ్ట్ కంట్రోల్స్, కాక్‌పిట్ ఫెయిరింగ్ లేకుండా సింగిల్-సీట్ల ఓపెన్-ఫ్రేమ్ కాక్‌పిట్, ట్రైసైకిల్ ల్యాండింగ్ గేర్ మరియు పషర్ కాన్ఫిగరేషన్‌లో ఒకే ఇంజిన్ ఉన్నాయి. [1] ఈ విమానం టైటానియం గొట్టాల నుండి తయారవుతుంది, దాని డబుల్ ఉపరితల వింగ్ డాక్రాన్ సెయిల్‌క్లాత్‌లో కప్పబడి ఉంటుంది. దీని రెక్కకు ఒకే ట్యూబ్-రకం కింగ్‌పోస్ట్ మద్దతు ఇస్తుంది మరియు "ఎ" ఫ్రేమ్ వెయిట్-షిఫ్ట్ కంట్రోల్ బార్‌ను ఉపయోగిస్తుంది. పవర్‌ప్లాంట్ ఒక ఎయిర్-కూల్డ్, సింగిల్-సిలిండర్, టూ-స్ట్రోక్, 27 హెచ్‌పి (20 కిలోవాట్) సిస్కో సి-మాక్స్ ఇంజిన్. ఈ విమానం పవర్‌ప్లాంట్‌తో సహా 26 కిలోల (57 ఎల్బి) ఖాళీ బరువును కలిగి ఉంది, కానీ రెక్కను మినహాయించి. ఇది స్థూల బరువు 155 కిలోలు (342 పౌండ్లు). [1] అనేక విభిన్న హాంగ్ గ్లైడర్ రెక్కలను ప్రాథమిక క్యారేజీకి అమర్చవచ్చు. భూమి రవాణా కోసం క్యారేజ్ మరియు వింగ్ ముడుచుకోవచ్చు. [1] స్కైహోపర్ -3000 ను వెళ్ళుట హాంగ్ గ్లైడర్‌లను పైకి లేపడానికి కూడా ఉపయోగించబడింది. [1] టాక్ నుండి డేటా [1] సాధారణ లక్షణాల పనితీరు</v>
      </c>
      <c r="F35" s="1" t="s">
        <v>184</v>
      </c>
      <c r="G35" s="1" t="str">
        <f>IFERROR(__xludf.DUMMYFUNCTION("GOOGLETRANSLATE(F:F, ""en"", ""te"")"),"అల్ట్రాలైట్ ట్రైక్")</f>
        <v>అల్ట్రాలైట్ ట్రైక్</v>
      </c>
      <c r="H35" s="1" t="s">
        <v>185</v>
      </c>
      <c r="I35" s="1" t="s">
        <v>321</v>
      </c>
      <c r="J35" s="1" t="str">
        <f>IFERROR(__xludf.DUMMYFUNCTION("GOOGLETRANSLATE(I:I, ""en"", ""te"")"),"జర్మనీ")</f>
        <v>జర్మనీ</v>
      </c>
      <c r="K35" s="3" t="s">
        <v>322</v>
      </c>
      <c r="L35" s="1" t="s">
        <v>699</v>
      </c>
      <c r="M35" s="1" t="str">
        <f>IFERROR(__xludf.DUMMYFUNCTION("GOOGLETRANSLATE(L:L, ""en"", ""te"")"),"ఏరోటెక్నిక్స్ EPV GMBH")</f>
        <v>ఏరోటెక్నిక్స్ EPV GMBH</v>
      </c>
      <c r="N35" s="1" t="s">
        <v>700</v>
      </c>
      <c r="O35" s="1" t="s">
        <v>524</v>
      </c>
      <c r="P35" s="1" t="str">
        <f>IFERROR(__xludf.DUMMYFUNCTION("GOOGLETRANSLATE(O:O, ""en"", ""te"")"),"ఉత్పత్తి పూర్తయింది (2016)")</f>
        <v>ఉత్పత్తి పూర్తయింది (2016)</v>
      </c>
      <c r="R35" s="1" t="s">
        <v>132</v>
      </c>
      <c r="S35" s="1" t="s">
        <v>133</v>
      </c>
      <c r="X35" s="1" t="s">
        <v>701</v>
      </c>
      <c r="Y35" s="1" t="s">
        <v>702</v>
      </c>
      <c r="Z35" s="1" t="s">
        <v>703</v>
      </c>
      <c r="AA35" s="1" t="s">
        <v>704</v>
      </c>
      <c r="AB35" s="1" t="s">
        <v>656</v>
      </c>
      <c r="AC35" s="1" t="s">
        <v>515</v>
      </c>
      <c r="AD35" s="1" t="s">
        <v>705</v>
      </c>
      <c r="AF35" s="1" t="s">
        <v>706</v>
      </c>
      <c r="AP35" s="1" t="s">
        <v>622</v>
      </c>
    </row>
    <row r="36">
      <c r="A36" s="1" t="s">
        <v>707</v>
      </c>
      <c r="B36" s="1" t="str">
        <f>IFERROR(__xludf.DUMMYFUNCTION("GOOGLETRANSLATE(A:A, ""en"", ""te"")"),"ఫ్లై ఎయిర్ ట్రైక్ మోస్టర్")</f>
        <v>ఫ్లై ఎయిర్ ట్రైక్ మోస్టర్</v>
      </c>
      <c r="C36" s="1" t="s">
        <v>708</v>
      </c>
      <c r="D36" s="1" t="str">
        <f>IFERROR(__xludf.DUMMYFUNCTION("GOOGLETRANSLATE(C:C, ""en"", ""te"")"),"ఫ్లై ఎయిర్ ట్రైక్ మోస్టర్ అనేది బల్గేరియన్ అల్ట్రాలైట్ ట్రైక్, దీనిని ట్రూడోవెక్ యొక్క ఫ్లై ఎయిర్ లిమిటెడ్ రూపొందించారు మరియు ఉత్పత్తి చేసింది. డిజైన్ పూర్తి మరియు రెడీ టు-ఫ్లై సరఫరా చేయబడుతుంది. [1] ట్రైక్ మోస్టర్ ఫెడెరేషన్ ఏరోనటిక్ ఇంటర్నేషనల్ మైక్రోలైట"&amp;"్ కేటగిరీ, జర్మన్ 120 కిలోల తరగతి మరియు యుఎస్ ఫార్ 103 అల్ట్రాలైట్ వెహికల్స్ నిబంధనలకు అనుగుణంగా రూపొందించబడింది. డిజైన్ ప్రామాణిక ఖాళీ బరువు 32 కిలోలు (71 పౌండ్లు). [1] విమాన రూపకల్పనలో కేబుల్-బ్రేస్డ్ హాంగ్ గ్లైడర్-స్టైల్ హై-వింగ్, వెయిట్-షిఫ్ట్ కంట్రోల"&amp;"్స్, కాక్‌పిట్ ఫెయిరింగ్ లేకుండా సింగిల్-సీట్ల ఓపెన్ కాక్‌పిట్, ట్రైసైకిల్ ల్యాండింగ్ గేర్ మరియు పషర్ కాన్ఫిగరేషన్‌లో ఒకే ఇంజిన్ ఉన్నాయి. [1] ఈ విమానం చదరపు ఉక్కు గొట్టాల నుండి తయారవుతుంది, దాని సింగిల్ లేదా డబుల్ ఉపరితల వింగ్ డాక్రాన్ సెయిల్‌క్లాత్‌లో కప"&amp;"్పబడి ఉంటుంది. రెక్కకు ఒకే ట్యూబ్-రకం కింగ్‌పోస్ట్ మద్దతు ఇస్తుంది మరియు ""ఎ"" ఫ్రేమ్ వెయిట్-షిఫ్ట్ కంట్రోల్ బార్‌ను ఉపయోగిస్తుంది. పవర్‌ప్లాంట్ సింగిల్-సిలిండర్, ఎయిర్-కూల్డ్, టూ-స్ట్రోక్, సింగిల్-ఇగ్నిషన్ 25 హెచ్‌పి (19 కిలోవాట్) విట్టోరాజీ మోస్టర్ 185 "&amp;"ఇంజిన్, ఇతర ఇంజిన్లను కూడా అమర్చవచ్చు. [1] ఈ విమానం వింగ్ లేకుండా 32 కిలోల (71 పౌండ్ల) ఖాళీ బరువు మరియు 200 కిలోల (441 పౌండ్లు) స్థూల బరువు కలిగి ఉంటుంది. ఎయిర్ఫ్రేమ్ మడతపెట్టి, ఆటోమొబైల్ యొక్క ట్రంక్‌లో భూమిని రవాణా చేయడానికి రూపొందించబడింది, రెక్కలు పైక"&amp;"ప్పుపై తీసుకువెళతాయి. [1] చాలా ప్రామాణిక హాంగ్ గ్లైడింగ్ రెక్కలను అంగీకరించడానికి రూపొందించబడినందున అనేక విభిన్న రెక్కలను ప్రాథమిక క్యారేజీకి అమర్చవచ్చు. [1] టాక్ నుండి డేటా [1] సాధారణ లక్షణాల పనితీరు")</f>
        <v>ఫ్లై ఎయిర్ ట్రైక్ మోస్టర్ అనేది బల్గేరియన్ అల్ట్రాలైట్ ట్రైక్, దీనిని ట్రూడోవెక్ యొక్క ఫ్లై ఎయిర్ లిమిటెడ్ రూపొందించారు మరియు ఉత్పత్తి చేసింది. డిజైన్ పూర్తి మరియు రెడీ టు-ఫ్లై సరఫరా చేయబడుతుంది. [1] ట్రైక్ మోస్టర్ ఫెడెరేషన్ ఏరోనటిక్ ఇంటర్నేషనల్ మైక్రోలైట్ కేటగిరీ, జర్మన్ 120 కిలోల తరగతి మరియు యుఎస్ ఫార్ 103 అల్ట్రాలైట్ వెహికల్స్ నిబంధనలకు అనుగుణంగా రూపొందించబడింది. డిజైన్ ప్రామాణిక ఖాళీ బరువు 32 కిలోలు (71 పౌండ్లు). [1] విమాన రూపకల్పనలో కేబుల్-బ్రేస్డ్ హాంగ్ గ్లైడర్-స్టైల్ హై-వింగ్, వెయిట్-షిఫ్ట్ కంట్రోల్స్, కాక్‌పిట్ ఫెయిరింగ్ లేకుండా సింగిల్-సీట్ల ఓపెన్ కాక్‌పిట్, ట్రైసైకిల్ ల్యాండింగ్ గేర్ మరియు పషర్ కాన్ఫిగరేషన్‌లో ఒకే ఇంజిన్ ఉన్నాయి. [1] ఈ విమానం చదరపు ఉక్కు గొట్టాల నుండి తయారవుతుంది, దాని సింగిల్ లేదా డబుల్ ఉపరితల వింగ్ డాక్రాన్ సెయిల్‌క్లాత్‌లో కప్పబడి ఉంటుంది. రెక్కకు ఒకే ట్యూబ్-రకం కింగ్‌పోస్ట్ మద్దతు ఇస్తుంది మరియు "ఎ" ఫ్రేమ్ వెయిట్-షిఫ్ట్ కంట్రోల్ బార్‌ను ఉపయోగిస్తుంది. పవర్‌ప్లాంట్ సింగిల్-సిలిండర్, ఎయిర్-కూల్డ్, టూ-స్ట్రోక్, సింగిల్-ఇగ్నిషన్ 25 హెచ్‌పి (19 కిలోవాట్) విట్టోరాజీ మోస్టర్ 185 ఇంజిన్, ఇతర ఇంజిన్లను కూడా అమర్చవచ్చు. [1] ఈ విమానం వింగ్ లేకుండా 32 కిలోల (71 పౌండ్ల) ఖాళీ బరువు మరియు 200 కిలోల (441 పౌండ్లు) స్థూల బరువు కలిగి ఉంటుంది. ఎయిర్ఫ్రేమ్ మడతపెట్టి, ఆటోమొబైల్ యొక్క ట్రంక్‌లో భూమిని రవాణా చేయడానికి రూపొందించబడింది, రెక్కలు పైకప్పుపై తీసుకువెళతాయి. [1] చాలా ప్రామాణిక హాంగ్ గ్లైడింగ్ రెక్కలను అంగీకరించడానికి రూపొందించబడినందున అనేక విభిన్న రెక్కలను ప్రాథమిక క్యారేజీకి అమర్చవచ్చు. [1] టాక్ నుండి డేటా [1] సాధారణ లక్షణాల పనితీరు</v>
      </c>
      <c r="F36" s="1" t="s">
        <v>184</v>
      </c>
      <c r="G36" s="1" t="str">
        <f>IFERROR(__xludf.DUMMYFUNCTION("GOOGLETRANSLATE(F:F, ""en"", ""te"")"),"అల్ట్రాలైట్ ట్రైక్")</f>
        <v>అల్ట్రాలైట్ ట్రైక్</v>
      </c>
      <c r="H36" s="1" t="s">
        <v>185</v>
      </c>
      <c r="I36" s="1" t="s">
        <v>709</v>
      </c>
      <c r="J36" s="1" t="str">
        <f>IFERROR(__xludf.DUMMYFUNCTION("GOOGLETRANSLATE(I:I, ""en"", ""te"")"),"బల్గేరియా")</f>
        <v>బల్గేరియా</v>
      </c>
      <c r="K36" s="3" t="s">
        <v>710</v>
      </c>
      <c r="L36" s="1" t="s">
        <v>711</v>
      </c>
      <c r="M36" s="1" t="str">
        <f>IFERROR(__xludf.DUMMYFUNCTION("GOOGLETRANSLATE(L:L, ""en"", ""te"")"),"ఫ్లై ఎయిర్ లిమిటెడ్")</f>
        <v>ఫ్లై ఎయిర్ లిమిటెడ్</v>
      </c>
      <c r="N36" s="1" t="s">
        <v>712</v>
      </c>
      <c r="O36" s="1" t="s">
        <v>560</v>
      </c>
      <c r="P36" s="1" t="str">
        <f>IFERROR(__xludf.DUMMYFUNCTION("GOOGLETRANSLATE(O:O, ""en"", ""te"")"),"ఉత్పత్తిలో (2018)")</f>
        <v>ఉత్పత్తిలో (2018)</v>
      </c>
      <c r="S36" s="1" t="s">
        <v>133</v>
      </c>
      <c r="W36" s="1" t="s">
        <v>713</v>
      </c>
      <c r="X36" s="1" t="s">
        <v>714</v>
      </c>
      <c r="Y36" s="1" t="s">
        <v>715</v>
      </c>
      <c r="Z36" s="1" t="s">
        <v>716</v>
      </c>
      <c r="AA36" s="1" t="s">
        <v>717</v>
      </c>
      <c r="AB36" s="1" t="s">
        <v>718</v>
      </c>
      <c r="AG36" s="1" t="s">
        <v>719</v>
      </c>
    </row>
    <row r="37">
      <c r="A37" s="1" t="s">
        <v>720</v>
      </c>
      <c r="B37" s="1" t="str">
        <f>IFERROR(__xludf.DUMMYFUNCTION("GOOGLETRANSLATE(A:A, ""en"", ""te"")"),"బోలాండ్ 1911 టైలెస్ బిప్‌లేన్")</f>
        <v>బోలాండ్ 1911 టైలెస్ బిప్‌లేన్</v>
      </c>
      <c r="C37" s="1" t="s">
        <v>721</v>
      </c>
      <c r="D37" s="1" t="str">
        <f>IFERROR(__xludf.DUMMYFUNCTION("GOOGLETRANSLATE(C:C, ""en"", ""te"")"),"బోలాండ్ 1911 టైలెస్ బిప్‌లేన్ ఒక అమెరికన్ మార్గదర్శక విమానం. 1909 చివరలో, విల్బర్ ఆర్. కింబాల్ డాక్టర్ విలియం గ్రీన్ యొక్క 1909 బిప్‌లేన్‌ను కొనుగోలు చేసి, న్యూజెర్సీలోని రాహ్వేకి తీసుకెళ్లింది, అక్కడ అతను మరియు ఫ్రాంక్ బోలాండ్ తోకను తీసివేసి, ఒక నవల నియం"&amp;"త్రణ వ్యవస్థతో ప్రయోగాలు చేయడం ప్రారంభించారు, చివరికి మొదటి బోలాండ్ బ్రదర్స్ కు దారితీసింది. జిబ్బెడ్ 'టైలెస్ బిప్లేన్. [1] సాంప్రదాయ తోక చుక్కాని మరియు ఐలెరాన్స్/వింగ్ వార్పింగ్ ఒక విమానానికి పార్శ్వ నియంత్రణను అందించడానికి అనవసరం అని ఫ్రాంక్ బోలాండ్ ఒప్"&amp;"పించాడు. అతను 1908 లో వేర్వేరు నియంత్రణ యంత్రాంగాలతో ప్రయోగాలు చేయడం ప్రారంభించాడు. నైపుణ్యం కలిగిన ఇంజనీర్ కంటే ఎక్కువ ఉత్సాహంగా మరియు ధైర్యంగా, బోలాండ్ మరియు కింబాల్ 1910 లో గ్రీన్ బిప్‌లేన్‌తో ప్రయోగాలు చేయడం, క్రాష్ చేయడం మరియు పునర్నిర్మించడం, వారు ప"&amp;"ని చేసి, బోలాండ్ 'జిబ్బెడ్' నియంత్రణ అని పిలిచే వాటిని మెరుగుపరిచారు. [1] [[(చేర్చుట ఫలితంగా వచ్చిన విమానం ఎగరడం చాలా సులభం. ఎడమ లేదా కుడి వైపుకు వెళ్ళడానికి, మీరు వెళ్ళడానికి మరియు పైకి క్రిందికి వెళ్ళాలనుకున్న దిశలో చక్రం తిరగండి మరియు నియంత్రణ చక్రం మీ"&amp;"ద లాగడం ద్వారా పైకి క్రిందికి నియంత్రించబడుతుంది. 1911 లో లాంగ్ ఐలాండ్ [3] లోని మినోలాలో తన ఫ్లైట్ యొక్క వివరణ నుండి: ""బోలాండ్ యొక్క ఎగురుతున్నట్లు గ్రాండ్‌స్టాండ్ ఆట లేదు. అతను యంత్రంలోకి వస్తాడు మరియు అతను భూమిని విడిచిపెట్టినప్పుడు అతను తిరగడం, అతను ఇ"&amp;"ష్టపడితే, అది లేదు ఇతర ఏవియేటర్ చేయాలని అనుకుంటాడు. అతను తనను తాను ఆటోమొబైల్‌లో ines హించుకుంటాడు మరియు తదనుగుణంగా డ్రైవ్ చేస్తాడు. పార్శ్వ సమతుల్యత లేదా అలాంటి ఇతర చిన్న విషయాల గురించి తాను ఎప్పుడూ బాధించడు. ""[1] బోలాండ్ ఆవిష్కరణ మరియు ఎగురుతున్న సాహసంల"&amp;"ో చాలా ఉన్నాడు. ప్రదర్శన అతనికి పెద్దగా ఆందోళన చెందలేదు. అదే వ్యాసం నుండి వచ్చిన ఒక కోట్ అతని విమానం యొక్క పరిస్థితిని వివరిస్తుంది: ""యంత్రాన్ని మెరుగుపరచడానికి, చక్కగా చెక్క పని లేదా చక్కగా సాకెట్లు మరియు టర్న్‌బకిల్స్ చేయడానికి ఎటువంటి ప్రయత్నం చేయలేదు"&amp;". వాతావరణం నుండి వస్త్రం తుప్పుపట్టింది మరియు సుమారుగా ఉంది సంవత్సరం, మెషీన్ కోసం అస్సలు షెడ్ అందించబడని సమయంలో కొంత భాగం -అతను ఒక సోమరి రైతు తన నాగలి లాగా వదిలివేస్తాడు. కొన్ని పక్కటెముకలకు ఒక వక్రత ఉంది, కొన్ని మరొకటి, కొన్నిసార్లు అవి చదునైనవి, వాతావరణ"&amp;" పరిస్థితుల కారణంగా. ఎలివేటర్ నాలుగు సాష్ బరువులు వేలాడుతోంది, గతంలో కొంతకాలం గృహిణికి ఆమె వంటగది కిటికీని పెంచడానికి వింగ్ జిబ్ కంట్రోల్ యొక్క ఆపరేషన్‌ను వివరించడం కుడి వైపున ఇలా వివరించబడింది: ""మిస్టర్ బోలాండ్ ప్రకారం, యంత్రం యొక్క ఆపరేషన్ ఆటోమొబైల్ మా"&amp;"దిరిగానే ఉంటుంది, ఎలివేటర్ మినహా, అంగీకరించబడిన పద్ధతిలో పనిచేస్తుంది. ఎడమ వైపు తిరగండి చక్రం వైపు తిరగబడుతుంది ఎడమ, యంత్రం సులభంగా చుట్టూ తిరుగుతుంది మరియు బ్యాంకింగ్ సరిగ్గా. మలుపు పూర్తయినప్పుడు చక్రం తిరిగి కేంద్రానికి తీసుకురాబడుతుంది మరియు ""దానికి "&amp;"అంతే ఉంది"". JIB లు బ్యాలెన్సింగ్ భాగంతో త్రిభుజాకార ఆకారంలో ఉంటాయి మరియు ఈ స్కెచ్‌లో చూపిన విధంగా A మరియు B పాయింట్ల వద్ద ఇరుసుగా ఉంటాయి, చక్రం నుండి వైర్ సి దిగువ మూలకు వెళుతుంది. చక్రం తిరిగేటప్పుడు, జిబ్ యొక్క దిగువ మూలలో లాగబడుతుంది, తద్వారా ఒక వాలుగ"&amp;"ా ఉన్న ఉపరితలాన్ని ప్రదర్శిస్తుంది, ఆ వైపు ప్రతిఘటనను అందిస్తుంది. ""[1] సాధారణ లక్షణాల పనితీరు")</f>
        <v>బోలాండ్ 1911 టైలెస్ బిప్‌లేన్ ఒక అమెరికన్ మార్గదర్శక విమానం. 1909 చివరలో, విల్బర్ ఆర్. కింబాల్ డాక్టర్ విలియం గ్రీన్ యొక్క 1909 బిప్‌లేన్‌ను కొనుగోలు చేసి, న్యూజెర్సీలోని రాహ్వేకి తీసుకెళ్లింది, అక్కడ అతను మరియు ఫ్రాంక్ బోలాండ్ తోకను తీసివేసి, ఒక నవల నియంత్రణ వ్యవస్థతో ప్రయోగాలు చేయడం ప్రారంభించారు, చివరికి మొదటి బోలాండ్ బ్రదర్స్ కు దారితీసింది. జిబ్బెడ్ 'టైలెస్ బిప్లేన్. [1] సాంప్రదాయ తోక చుక్కాని మరియు ఐలెరాన్స్/వింగ్ వార్పింగ్ ఒక విమానానికి పార్శ్వ నియంత్రణను అందించడానికి అనవసరం అని ఫ్రాంక్ బోలాండ్ ఒప్పించాడు. అతను 1908 లో వేర్వేరు నియంత్రణ యంత్రాంగాలతో ప్రయోగాలు చేయడం ప్రారంభించాడు. నైపుణ్యం కలిగిన ఇంజనీర్ కంటే ఎక్కువ ఉత్సాహంగా మరియు ధైర్యంగా, బోలాండ్ మరియు కింబాల్ 1910 లో గ్రీన్ బిప్‌లేన్‌తో ప్రయోగాలు చేయడం, క్రాష్ చేయడం మరియు పునర్నిర్మించడం, వారు పని చేసి, బోలాండ్ 'జిబ్బెడ్' నియంత్రణ అని పిలిచే వాటిని మెరుగుపరిచారు. [1] [[(చేర్చుట ఫలితంగా వచ్చిన విమానం ఎగరడం చాలా సులభం. ఎడమ లేదా కుడి వైపుకు వెళ్ళడానికి, మీరు వెళ్ళడానికి మరియు పైకి క్రిందికి వెళ్ళాలనుకున్న దిశలో చక్రం తిరగండి మరియు నియంత్రణ చక్రం మీద లాగడం ద్వారా పైకి క్రిందికి నియంత్రించబడుతుంది. 1911 లో లాంగ్ ఐలాండ్ [3] లోని మినోలాలో తన ఫ్లైట్ యొక్క వివరణ నుండి: "బోలాండ్ యొక్క ఎగురుతున్నట్లు గ్రాండ్‌స్టాండ్ ఆట లేదు. అతను యంత్రంలోకి వస్తాడు మరియు అతను భూమిని విడిచిపెట్టినప్పుడు అతను తిరగడం, అతను ఇష్టపడితే, అది లేదు ఇతర ఏవియేటర్ చేయాలని అనుకుంటాడు. అతను తనను తాను ఆటోమొబైల్‌లో ines హించుకుంటాడు మరియు తదనుగుణంగా డ్రైవ్ చేస్తాడు. పార్శ్వ సమతుల్యత లేదా అలాంటి ఇతర చిన్న విషయాల గురించి తాను ఎప్పుడూ బాధించడు. "[1] బోలాండ్ ఆవిష్కరణ మరియు ఎగురుతున్న సాహసంలో చాలా ఉన్నాడు. ప్రదర్శన అతనికి పెద్దగా ఆందోళన చెందలేదు. అదే వ్యాసం నుండి వచ్చిన ఒక కోట్ అతని విమానం యొక్క పరిస్థితిని వివరిస్తుంది: "యంత్రాన్ని మెరుగుపరచడానికి, చక్కగా చెక్క పని లేదా చక్కగా సాకెట్లు మరియు టర్న్‌బకిల్స్ చేయడానికి ఎటువంటి ప్రయత్నం చేయలేదు. వాతావరణం నుండి వస్త్రం తుప్పుపట్టింది మరియు సుమారుగా ఉంది సంవత్సరం, మెషీన్ కోసం అస్సలు షెడ్ అందించబడని సమయంలో కొంత భాగం -అతను ఒక సోమరి రైతు తన నాగలి లాగా వదిలివేస్తాడు. కొన్ని పక్కటెముకలకు ఒక వక్రత ఉంది, కొన్ని మరొకటి, కొన్నిసార్లు అవి చదునైనవి, వాతావరణ పరిస్థితుల కారణంగా. ఎలివేటర్ నాలుగు సాష్ బరువులు వేలాడుతోంది, గతంలో కొంతకాలం గృహిణికి ఆమె వంటగది కిటికీని పెంచడానికి వింగ్ జిబ్ కంట్రోల్ యొక్క ఆపరేషన్‌ను వివరించడం కుడి వైపున ఇలా వివరించబడింది: "మిస్టర్ బోలాండ్ ప్రకారం, యంత్రం యొక్క ఆపరేషన్ ఆటోమొబైల్ మాదిరిగానే ఉంటుంది, ఎలివేటర్ మినహా, అంగీకరించబడిన పద్ధతిలో పనిచేస్తుంది. ఎడమ వైపు తిరగండి చక్రం వైపు తిరగబడుతుంది ఎడమ, యంత్రం సులభంగా చుట్టూ తిరుగుతుంది మరియు బ్యాంకింగ్ సరిగ్గా. మలుపు పూర్తయినప్పుడు చక్రం తిరిగి కేంద్రానికి తీసుకురాబడుతుంది మరియు "దానికి అంతే ఉంది". JIB లు బ్యాలెన్సింగ్ భాగంతో త్రిభుజాకార ఆకారంలో ఉంటాయి మరియు ఈ స్కెచ్‌లో చూపిన విధంగా A మరియు B పాయింట్ల వద్ద ఇరుసుగా ఉంటాయి, చక్రం నుండి వైర్ సి దిగువ మూలకు వెళుతుంది. చక్రం తిరిగేటప్పుడు, జిబ్ యొక్క దిగువ మూలలో లాగబడుతుంది, తద్వారా ఒక వాలుగా ఉన్న ఉపరితలాన్ని ప్రదర్శిస్తుంది, ఆ వైపు ప్రతిఘటనను అందిస్తుంది. "[1] సాధారణ లక్షణాల పనితీరు</v>
      </c>
      <c r="E37" s="1" t="s">
        <v>722</v>
      </c>
      <c r="F37" s="1" t="s">
        <v>723</v>
      </c>
      <c r="G37" s="1" t="str">
        <f>IFERROR(__xludf.DUMMYFUNCTION("GOOGLETRANSLATE(F:F, ""en"", ""te"")"),"పయనీర్ శకం విమానం")</f>
        <v>పయనీర్ శకం విమానం</v>
      </c>
      <c r="H37" s="1" t="s">
        <v>724</v>
      </c>
      <c r="I37" s="1" t="s">
        <v>127</v>
      </c>
      <c r="J37" s="1" t="str">
        <f>IFERROR(__xludf.DUMMYFUNCTION("GOOGLETRANSLATE(I:I, ""en"", ""te"")"),"సంయుక్త రాష్ట్రాలు")</f>
        <v>సంయుక్త రాష్ట్రాలు</v>
      </c>
      <c r="K37" s="1" t="s">
        <v>128</v>
      </c>
      <c r="L37" s="1" t="s">
        <v>725</v>
      </c>
      <c r="M37" s="1" t="str">
        <f>IFERROR(__xludf.DUMMYFUNCTION("GOOGLETRANSLATE(L:L, ""en"", ""te"")"),"బోలాండ్ విమానం మరియు మోటారు సంస్థ")</f>
        <v>బోలాండ్ విమానం మరియు మోటారు సంస్థ</v>
      </c>
      <c r="N37" s="1" t="s">
        <v>726</v>
      </c>
      <c r="Q37" s="1">
        <v>1.0</v>
      </c>
      <c r="S37" s="1">
        <v>1.0</v>
      </c>
      <c r="U37" s="1" t="s">
        <v>727</v>
      </c>
      <c r="V37" s="1" t="s">
        <v>728</v>
      </c>
      <c r="X37" s="1" t="s">
        <v>729</v>
      </c>
      <c r="AA37" s="1" t="s">
        <v>730</v>
      </c>
      <c r="AB37" s="1" t="s">
        <v>440</v>
      </c>
      <c r="AH37" s="1" t="s">
        <v>731</v>
      </c>
      <c r="AI37" s="1" t="s">
        <v>732</v>
      </c>
      <c r="AJ37" s="1">
        <v>1911.0</v>
      </c>
      <c r="AP37" s="1" t="s">
        <v>208</v>
      </c>
      <c r="AT37" s="1" t="s">
        <v>733</v>
      </c>
      <c r="AU37" s="1" t="s">
        <v>734</v>
      </c>
    </row>
    <row r="38">
      <c r="A38" s="1" t="s">
        <v>735</v>
      </c>
      <c r="B38" s="1" t="str">
        <f>IFERROR(__xludf.DUMMYFUNCTION("GOOGLETRANSLATE(A:A, ""en"", ""te"")"),"AJI T-610 సూపర్ పింటో")</f>
        <v>AJI T-610 సూపర్ పింటో</v>
      </c>
      <c r="C38" s="1" t="s">
        <v>736</v>
      </c>
      <c r="D38" s="1" t="str">
        <f>IFERROR(__xludf.DUMMYFUNCTION("GOOGLETRANSLATE(C:C, ""en"", ""te"")"),"AJI T-610 సూపర్ పింటో అనేది అమెరికన్ జెట్ ఇండస్ట్రీస్ (AJI) చేత అభివృద్ధి చేయబడిన ఒక ట్రైనర్ విమానం, ఇది టెమ్కో టిటి పింటో యొక్క సవరించిన సంస్కరణగా. టి -610 సూపర్ పింటో 1968 యునైటెడ్ స్టేట్స్ నేవీ యొక్క టెమ్కో టిటి పింటో టూ-సీట్ల జెట్ ట్రైనర్ యొక్క మార్పి"&amp;"డిగా ప్రారంభమైంది. సాధారణ ఎలక్ట్రిక్ CJ610-6 టర్బోజెట్ ఇంజిన్‌తో ENG1 ప్లాంట్‌ను మార్చడం ద్వారా మరియు ఫ్యూజ్‌లేజ్‌ను 10 అంగుళాలు విస్తరించడం ద్వారా AJI తేలికపాటి దాడి కోసం విమానాన్ని సవరించింది. ఇది సవరించిన వింగ్, వింగ్టిప్ ఇంధన ట్యాంకులు మరియు తుడిచిపెట"&amp;"్టిన నిలువు స్టెబిలైజర్ మరియు రెండు హార్డ్ పాయింట్ల అండర్ వింగ్ కోసం సదుపాయాన్ని కలిగి ఉంది. ప్రోటోటైప్ మొదట జూన్ 28, 1968 న ప్రయాణించింది. విమానం చాలా బాగా ఎగిరింది మరియు తరువాత మూడు రెట్లు శక్తితో మెరుగుపడింది, అసలు డిజైన్‌తో పోలిస్తే 20 పౌండ్ల ఎక్కువ బ"&amp;"రువు మాత్రమే ఉంది. యునైటెడ్ స్టేట్స్ వైమానిక దళం (యుఎస్‌ఎఎఫ్) 1971 లో తన పేవ్ కాయిన్ కార్యక్రమంలో సూపర్ పింటోను అంచనా వేసింది, కాని ఇది యుఎస్‌ఎఎఫ్ లేదా టర్కీతో ఒప్పందం కుదుర్చుకోలేదు. ఫిలిప్పీన్స్ ప్రభుత్వంతో వ్యవహరించండి, తద్వారా అజీ సూపర్ పింటో డిజైన్‌ప"&amp;"ై అన్ని హక్కులను వదులుకుంది. US $ 1.25 మిలియన్ల ఒప్పందంలో, ఫిలిప్పీన్ వైమానిక దళం (పిఎఎఫ్) యొక్క స్వావలంబన అభివృద్ధి విభాగం నవంబర్ 8 న విమానాల తయారీకి వర్క్ డ్రాయింగ్‌లు, పేటెంట్లు, డిజైన్, ఫ్లైట్ టెస్ట్ డేటా మరియు ప్రాసెస్ షీట్లను కొనుగోలు చేసింది, 1976,"&amp;" అలాగే ఒక యు.ఎస్-నిర్మిత నమూనా, ఇది మొదటి ఫిలిప్పీన్ టి -610 (ఇప్పుడు కాల్ లేదా ""హాక్"" అని పిలుస్తారు) మరియు అదనపు ఫ్యూజ్‌లేజ్. ఈ ఒప్పందంలో అంతర్జాతీయంగా మార్కెట్ సైనిక మరియు వాణిజ్య సంస్కరణలకు ప్రత్యేక హక్కులు ఉన్నాయి. రెండవ టి -610 స్థానికంగా ఉత్పత్తి"&amp;" చేయబడింది, మరియు రెండు విమానాలు మనీలాలో విమానంలో సంతృప్తికరంగా పరీక్షించబడ్డాయి, ఫిలిప్పీన్స్లో జాతీయ విమాన పరిశ్రమను నిర్మించటానికి అధిక అంచనాలను సృష్టించింది. వారు 44233 మరియు 44234 సంఖ్యలను కలిగి ఉన్నారు, ఇది యు.ఎస్. నేవీ పింటో సీరియల్స్ 144233 మరియు "&amp;"144234 ను ప్రతిధ్వనించింది. ఈ రెండు విమానాలు ప్రధానంగా ""233"" లో అసలు పింటో యొక్క వన్-పీస్ పందిరిని కలిగి ఉన్నాయి, అయితే ""234"" కి రెండు ముక్కల పందిరి ఉంది. ""44233"" మొదట నేవీ యొక్క 144233 అని తేల్చడం తార్కికం, కానీ దీనికి ఆధారాలు లేవు. నేవీ పింటోలు రె"&amp;"ండూ ఇప్పటికీ అమెరికన్ సివిల్ రిజిస్టర్‌లో ఉన్నాయి మరియు చాలా చురుకుగా ఉన్నాయి. CALAY కార్యక్రమం ఆర్థిక సమస్యలను ఎదుర్కోవడం ప్రారంభించింది, మరియు మార్కోస్ పరిపాలన కూలిపోయిన తరువాత, ఈ ప్రాజెక్ట్ నిలిపివేయబడింది. CALAY ప్రోగ్రామ్ యొక్క పునరుత్థానం వివిధ సందర"&amp;"్భాల్లో పరిగణించబడింది. 1980 ల మధ్యలో, నాలుగు వేర్వేరు సంస్కరణలు సాధ్యమయ్యే ఉత్పత్తిని లక్ష్యంగా చేసుకున్నాయి: నాణెం కార్యకలాపాల కోసం 1,600 కిలోల దుకాణాలను తీసుకువెళ్ళగల సింగిల్-సీట్ల లైట్ స్ట్రైక్ విమానం; టెన్డం-సీట్ ప్రాధమిక జెట్ ట్రైనర్; శిక్షకుడి యొక్"&amp;"క శీఘ్ర మార్పు వెర్షన్, ఇది సమ్మె విమానంగా వేగంగా మార్చబడుతుంది; మరియు ఐదుగురు ప్రయాణీకులను కూర్చునే విస్తృత ఒత్తిడితో కూడిన క్యాబిన్ ఉన్న ఎగ్జిక్యూటివ్ వెర్షన్. ఆ సమయంలో, పిఎఎఫ్ దాని బీచ్‌క్రాఫ్ట్ టి -34 మెంటర్స్, సియాయి-మౌచెట్టి ఎస్ఎఫ్ .260 లు, నార్త్ అ"&amp;"మెరికన్ టి -28 డి ట్రోజన్లు, లాక్‌హీడ్ టి -33 లు మరియు దాని ఉత్తర అమెరికా ఎఫ్ -86 ఎఫ్ కంటే తక్కువ కాదు. సాబర్స్, సుమారు 15 సంవత్సరాల ప్రణాళికాబద్ధమైన కార్యాచరణ జీవితంతో. దేశం యొక్క నార్త్రోప్ ఎఫ్ -5 ఫైటర్ ఫోర్స్‌తో CJ610-6 ఇంజిన్ యొక్క సామాన్యత ముఖ్యంగా క"&amp;"ీలక అంశంగా భావించబడింది. [2] 1988 ఫర్న్‌బరో ఎయిర్‌షోలో, అమెరికన్ కంపెనీ అవ్స్టార్ ఇంక్. సూపర్ పింటోను పునరుద్ధరించడానికి. నాలుగు పార్టీల మధ్య ""సూత్రప్రాయంగా ఒక ఒప్పందం"" నిబంధనల ప్రకారం, అవ్స్టార్ టి -100 సూపర్ ముస్తాంగ్ ప్లైమౌత్ నుండి లైసెన్స్ కింద షెన్"&amp;"యాంగ్ వద్ద నిర్మించవలసి ఉంది, తుది అసెంబ్లీ మరియు ఏవియానిక్స్ సంస్థాపన యు.ఎస్. యు.ఎస్. కంపెనీలు. సాధారణ ఎలక్ట్రిక్ J85 టర్బోజెట్ చేత శక్తినిచ్చే ఒక నమూనా U.S. లో విమాన పరీక్షలో ఉంది, జనరల్ ఎలక్ట్రిక్ J85 ఒక చిన్న సింగిల్-షాఫ్ట్ టర్బోజెట్ ఇంజిన్. సైనిక సంస"&amp;"్కరణలు థ్రస్ట్ డ్రై యొక్క 2,950 ఎల్బిఎఫ్ (13.1 కెఎన్) వరకు ఉత్పత్తి చేస్తాయి; ఆఫ్టర్ బర్నింగ్ వేరియంట్లు 5,000 ఎల్బిఎఫ్ (22 కెఎన్) వరకు చేరుకోవచ్చు. ఇంజిన్, అదనపు పరికరాలు మరియు నిర్దిష్ట మోడల్‌ను బట్టి, 300 నుండి 500 పౌండ్ల (140 నుండి 230 కిలోలు) బరువు ఉ"&amp;"ంటుంది. 1988 లో; ఉత్పత్తి T-100 లు ఈ ఇంజిన్ లేదా విలియమ్స్ FJ44 ద్వారా శక్తిని పొందుతాయని భావించారు. సూపర్ పింటోను అంతర్జాతీయంగా మార్కెట్ చేయడానికి ఫిలిప్పీన్స్ ప్రత్యేక హక్కులను కలిగి ఉన్న టి -100 పథకం ప్రత్యక్ష విరుద్ధంగా వచ్చింది, కాబట్టి గత దశాబ్దంలో "&amp;"మనీలా కొత్త విమానాలను ఉత్పత్తి చేయకపోవడం వల్ల ప్రత్యేక నిబంధన చెల్లదు. చివరికి, సూపర్ ముస్తాంగ్ ప్రాజెక్ట్ నుండి ఏమీ రాలేదు. 2009 నాటికి, ఒక ప్రభుత్వ అధికారి [ఎవరు?] కొనుగోలు చేసిన లైసెన్సింగ్ హక్కులను సద్వినియోగం చేసుకోవటానికి మాత్రమే సూపర్ పింటోను ఉత్పత"&amp;"్తి చేయవచ్చని పేర్కొన్నారు. [2] ఈ రోజు ఉత్పత్తి చేస్తే, CALA’S కొన్ని ప్రధాన భాగాలపై స్థానికంగా ఉత్పత్తి చేయబడిన మిశ్రమ పదార్థాలను కలిగి ఉంటుంది. ప్రైవేటు రంగానికి విజ్ఞప్తి ""మొదటి ఫిలిప్పీన్ జెట్"" యొక్క అభివృద్ధి మరియు తయారీలో ఖర్చు-భాగస్వామ్యం మరియు ల"&amp;"ాభాల భాగస్వామ్య పథకంలో పాల్గొనడానికి జరిగింది. అయినప్పటికీ, ఆ ప్రోగ్రామ్ యొక్క ప్రస్తుత స్థితి తెలియదు. [3] [4] [5] [2] [6] డిసెంబర్ 2016 లో, టిటి -1 పింటో సిరీస్‌లో ఐదు ఇప్పటికీ యు.ఎస్. సివిల్ రోస్టర్ [9] 2015 చివరి నాటికి, ఫిలిప్పీన్ ఎయిర్ ఫోర్స్ మ్యూజి"&amp;"యంలో ఒక టి -610 ప్రోటోటైప్ ఇప్పటికీ భద్రపరచబడింది. [8] . పనితీరు ఆయుధ సంబంధిత అభివృద్ధి సంబంధిత జాబితాలు")</f>
        <v>AJI T-610 సూపర్ పింటో అనేది అమెరికన్ జెట్ ఇండస్ట్రీస్ (AJI) చేత అభివృద్ధి చేయబడిన ఒక ట్రైనర్ విమానం, ఇది టెమ్కో టిటి పింటో యొక్క సవరించిన సంస్కరణగా. టి -610 సూపర్ పింటో 1968 యునైటెడ్ స్టేట్స్ నేవీ యొక్క టెమ్కో టిటి పింటో టూ-సీట్ల జెట్ ట్రైనర్ యొక్క మార్పిడిగా ప్రారంభమైంది. సాధారణ ఎలక్ట్రిక్ CJ610-6 టర్బోజెట్ ఇంజిన్‌తో ENG1 ప్లాంట్‌ను మార్చడం ద్వారా మరియు ఫ్యూజ్‌లేజ్‌ను 10 అంగుళాలు విస్తరించడం ద్వారా AJI తేలికపాటి దాడి కోసం విమానాన్ని సవరించింది. ఇది సవరించిన వింగ్, వింగ్టిప్ ఇంధన ట్యాంకులు మరియు తుడిచిపెట్టిన నిలువు స్టెబిలైజర్ మరియు రెండు హార్డ్ పాయింట్ల అండర్ వింగ్ కోసం సదుపాయాన్ని కలిగి ఉంది. ప్రోటోటైప్ మొదట జూన్ 28, 1968 న ప్రయాణించింది. విమానం చాలా బాగా ఎగిరింది మరియు తరువాత మూడు రెట్లు శక్తితో మెరుగుపడింది, అసలు డిజైన్‌తో పోలిస్తే 20 పౌండ్ల ఎక్కువ బరువు మాత్రమే ఉంది. యునైటెడ్ స్టేట్స్ వైమానిక దళం (యుఎస్‌ఎఎఫ్) 1971 లో తన పేవ్ కాయిన్ కార్యక్రమంలో సూపర్ పింటోను అంచనా వేసింది, కాని ఇది యుఎస్‌ఎఎఫ్ లేదా టర్కీతో ఒప్పందం కుదుర్చుకోలేదు. ఫిలిప్పీన్స్ ప్రభుత్వంతో వ్యవహరించండి, తద్వారా అజీ సూపర్ పింటో డిజైన్‌పై అన్ని హక్కులను వదులుకుంది. US $ 1.25 మిలియన్ల ఒప్పందంలో, ఫిలిప్పీన్ వైమానిక దళం (పిఎఎఫ్) యొక్క స్వావలంబన అభివృద్ధి విభాగం నవంబర్ 8 న విమానాల తయారీకి వర్క్ డ్రాయింగ్‌లు, పేటెంట్లు, డిజైన్, ఫ్లైట్ టెస్ట్ డేటా మరియు ప్రాసెస్ షీట్లను కొనుగోలు చేసింది, 1976, అలాగే ఒక యు.ఎస్-నిర్మిత నమూనా, ఇది మొదటి ఫిలిప్పీన్ టి -610 (ఇప్పుడు కాల్ లేదా "హాక్" అని పిలుస్తారు) మరియు అదనపు ఫ్యూజ్‌లేజ్. ఈ ఒప్పందంలో అంతర్జాతీయంగా మార్కెట్ సైనిక మరియు వాణిజ్య సంస్కరణలకు ప్రత్యేక హక్కులు ఉన్నాయి. రెండవ టి -610 స్థానికంగా ఉత్పత్తి చేయబడింది, మరియు రెండు విమానాలు మనీలాలో విమానంలో సంతృప్తికరంగా పరీక్షించబడ్డాయి, ఫిలిప్పీన్స్లో జాతీయ విమాన పరిశ్రమను నిర్మించటానికి అధిక అంచనాలను సృష్టించింది. వారు 44233 మరియు 44234 సంఖ్యలను కలిగి ఉన్నారు, ఇది యు.ఎస్. నేవీ పింటో సీరియల్స్ 144233 మరియు 144234 ను ప్రతిధ్వనించింది. ఈ రెండు విమానాలు ప్రధానంగా "233" లో అసలు పింటో యొక్క వన్-పీస్ పందిరిని కలిగి ఉన్నాయి, అయితే "234" కి రెండు ముక్కల పందిరి ఉంది. "44233" మొదట నేవీ యొక్క 144233 అని తేల్చడం తార్కికం, కానీ దీనికి ఆధారాలు లేవు. నేవీ పింటోలు రెండూ ఇప్పటికీ అమెరికన్ సివిల్ రిజిస్టర్‌లో ఉన్నాయి మరియు చాలా చురుకుగా ఉన్నాయి. CALAY కార్యక్రమం ఆర్థిక సమస్యలను ఎదుర్కోవడం ప్రారంభించింది, మరియు మార్కోస్ పరిపాలన కూలిపోయిన తరువాత, ఈ ప్రాజెక్ట్ నిలిపివేయబడింది. CALAY ప్రోగ్రామ్ యొక్క పునరుత్థానం వివిధ సందర్భాల్లో పరిగణించబడింది. 1980 ల మధ్యలో, నాలుగు వేర్వేరు సంస్కరణలు సాధ్యమయ్యే ఉత్పత్తిని లక్ష్యంగా చేసుకున్నాయి: నాణెం కార్యకలాపాల కోసం 1,600 కిలోల దుకాణాలను తీసుకువెళ్ళగల సింగిల్-సీట్ల లైట్ స్ట్రైక్ విమానం; టెన్డం-సీట్ ప్రాధమిక జెట్ ట్రైనర్; శిక్షకుడి యొక్క శీఘ్ర మార్పు వెర్షన్, ఇది సమ్మె విమానంగా వేగంగా మార్చబడుతుంది; మరియు ఐదుగురు ప్రయాణీకులను కూర్చునే విస్తృత ఒత్తిడితో కూడిన క్యాబిన్ ఉన్న ఎగ్జిక్యూటివ్ వెర్షన్. ఆ సమయంలో, పిఎఎఫ్ దాని బీచ్‌క్రాఫ్ట్ టి -34 మెంటర్స్, సియాయి-మౌచెట్టి ఎస్ఎఫ్ .260 లు, నార్త్ అమెరికన్ టి -28 డి ట్రోజన్లు, లాక్‌హీడ్ టి -33 లు మరియు దాని ఉత్తర అమెరికా ఎఫ్ -86 ఎఫ్ కంటే తక్కువ కాదు. సాబర్స్, సుమారు 15 సంవత్సరాల ప్రణాళికాబద్ధమైన కార్యాచరణ జీవితంతో. దేశం యొక్క నార్త్రోప్ ఎఫ్ -5 ఫైటర్ ఫోర్స్‌తో CJ610-6 ఇంజిన్ యొక్క సామాన్యత ముఖ్యంగా కీలక అంశంగా భావించబడింది. [2] 1988 ఫర్న్‌బరో ఎయిర్‌షోలో, అమెరికన్ కంపెనీ అవ్స్టార్ ఇంక్. సూపర్ పింటోను పునరుద్ధరించడానికి. నాలుగు పార్టీల మధ్య "సూత్రప్రాయంగా ఒక ఒప్పందం" నిబంధనల ప్రకారం, అవ్స్టార్ టి -100 సూపర్ ముస్తాంగ్ ప్లైమౌత్ నుండి లైసెన్స్ కింద షెన్యాంగ్ వద్ద నిర్మించవలసి ఉంది, తుది అసెంబ్లీ మరియు ఏవియానిక్స్ సంస్థాపన యు.ఎస్. యు.ఎస్. కంపెనీలు. సాధారణ ఎలక్ట్రిక్ J85 టర్బోజెట్ చేత శక్తినిచ్చే ఒక నమూనా U.S. లో విమాన పరీక్షలో ఉంది, జనరల్ ఎలక్ట్రిక్ J85 ఒక చిన్న సింగిల్-షాఫ్ట్ టర్బోజెట్ ఇంజిన్. సైనిక సంస్కరణలు థ్రస్ట్ డ్రై యొక్క 2,950 ఎల్బిఎఫ్ (13.1 కెఎన్) వరకు ఉత్పత్తి చేస్తాయి; ఆఫ్టర్ బర్నింగ్ వేరియంట్లు 5,000 ఎల్బిఎఫ్ (22 కెఎన్) వరకు చేరుకోవచ్చు. ఇంజిన్, అదనపు పరికరాలు మరియు నిర్దిష్ట మోడల్‌ను బట్టి, 300 నుండి 500 పౌండ్ల (140 నుండి 230 కిలోలు) బరువు ఉంటుంది. 1988 లో; ఉత్పత్తి T-100 లు ఈ ఇంజిన్ లేదా విలియమ్స్ FJ44 ద్వారా శక్తిని పొందుతాయని భావించారు. సూపర్ పింటోను అంతర్జాతీయంగా మార్కెట్ చేయడానికి ఫిలిప్పీన్స్ ప్రత్యేక హక్కులను కలిగి ఉన్న టి -100 పథకం ప్రత్యక్ష విరుద్ధంగా వచ్చింది, కాబట్టి గత దశాబ్దంలో మనీలా కొత్త విమానాలను ఉత్పత్తి చేయకపోవడం వల్ల ప్రత్యేక నిబంధన చెల్లదు. చివరికి, సూపర్ ముస్తాంగ్ ప్రాజెక్ట్ నుండి ఏమీ రాలేదు. 2009 నాటికి, ఒక ప్రభుత్వ అధికారి [ఎవరు?] కొనుగోలు చేసిన లైసెన్సింగ్ హక్కులను సద్వినియోగం చేసుకోవటానికి మాత్రమే సూపర్ పింటోను ఉత్పత్తి చేయవచ్చని పేర్కొన్నారు. [2] ఈ రోజు ఉత్పత్తి చేస్తే, CALA’S కొన్ని ప్రధాన భాగాలపై స్థానికంగా ఉత్పత్తి చేయబడిన మిశ్రమ పదార్థాలను కలిగి ఉంటుంది. ప్రైవేటు రంగానికి విజ్ఞప్తి "మొదటి ఫిలిప్పీన్ జెట్" యొక్క అభివృద్ధి మరియు తయారీలో ఖర్చు-భాగస్వామ్యం మరియు లాభాల భాగస్వామ్య పథకంలో పాల్గొనడానికి జరిగింది. అయినప్పటికీ, ఆ ప్రోగ్రామ్ యొక్క ప్రస్తుత స్థితి తెలియదు. [3] [4] [5] [2] [6] డిసెంబర్ 2016 లో, టిటి -1 పింటో సిరీస్‌లో ఐదు ఇప్పటికీ యు.ఎస్. సివిల్ రోస్టర్ [9] 2015 చివరి నాటికి, ఫిలిప్పీన్ ఎయిర్ ఫోర్స్ మ్యూజియంలో ఒక టి -610 ప్రోటోటైప్ ఇప్పటికీ భద్రపరచబడింది. [8] . పనితీరు ఆయుధ సంబంధిత అభివృద్ధి సంబంధిత జాబితాలు</v>
      </c>
      <c r="E38" s="1" t="s">
        <v>737</v>
      </c>
      <c r="F38" s="1" t="s">
        <v>626</v>
      </c>
      <c r="G38" s="1" t="str">
        <f>IFERROR(__xludf.DUMMYFUNCTION("GOOGLETRANSLATE(F:F, ""en"", ""te"")"),"ట్రైనర్ విమానం")</f>
        <v>ట్రైనర్ విమానం</v>
      </c>
      <c r="H38" s="1" t="s">
        <v>627</v>
      </c>
      <c r="I38" s="1" t="s">
        <v>738</v>
      </c>
      <c r="J38" s="1" t="str">
        <f>IFERROR(__xludf.DUMMYFUNCTION("GOOGLETRANSLATE(I:I, ""en"", ""te"")"),"యునైటెడ్ స్టేట్స్ / ఫిలిప్పీన్స్")</f>
        <v>యునైటెడ్ స్టేట్స్ / ఫిలిప్పీన్స్</v>
      </c>
      <c r="L38" s="1" t="s">
        <v>739</v>
      </c>
      <c r="M38" s="1" t="str">
        <f>IFERROR(__xludf.DUMMYFUNCTION("GOOGLETRANSLATE(L:L, ""en"", ""te"")"),"అమెరికన్ జెట్ ఇండస్ట్రీస్ / ఫిలిప్పీన్ వైమానిక దళం")</f>
        <v>అమెరికన్ జెట్ ఇండస్ట్రీస్ / ఫిలిప్పీన్ వైమానిక దళం</v>
      </c>
      <c r="N38" s="1" t="s">
        <v>740</v>
      </c>
      <c r="O38" s="1" t="s">
        <v>474</v>
      </c>
      <c r="P38" s="1" t="str">
        <f>IFERROR(__xludf.DUMMYFUNCTION("GOOGLETRANSLATE(O:O, ""en"", ""te"")"),"రద్దు")</f>
        <v>రద్దు</v>
      </c>
      <c r="Q38" s="1" t="s">
        <v>741</v>
      </c>
      <c r="R38" s="1" t="s">
        <v>132</v>
      </c>
      <c r="S38" s="1" t="s">
        <v>742</v>
      </c>
      <c r="U38" s="1" t="s">
        <v>743</v>
      </c>
      <c r="V38" s="1" t="s">
        <v>744</v>
      </c>
      <c r="W38" s="1" t="s">
        <v>745</v>
      </c>
      <c r="X38" s="1" t="s">
        <v>746</v>
      </c>
      <c r="Z38" s="1" t="s">
        <v>747</v>
      </c>
      <c r="AA38" s="1" t="s">
        <v>748</v>
      </c>
      <c r="AD38" s="1" t="s">
        <v>749</v>
      </c>
      <c r="AE38" s="1" t="s">
        <v>750</v>
      </c>
      <c r="AF38" s="1" t="s">
        <v>751</v>
      </c>
      <c r="AJ38" s="5">
        <v>25017.0</v>
      </c>
      <c r="AM38" s="1" t="s">
        <v>752</v>
      </c>
      <c r="AN38" s="1" t="s">
        <v>753</v>
      </c>
      <c r="AP38" s="1" t="s">
        <v>754</v>
      </c>
      <c r="AQ38" s="1" t="s">
        <v>755</v>
      </c>
      <c r="AR38" s="1" t="s">
        <v>756</v>
      </c>
      <c r="AT38" s="1" t="s">
        <v>757</v>
      </c>
      <c r="AU38" s="1" t="s">
        <v>758</v>
      </c>
      <c r="AW38" s="1" t="s">
        <v>759</v>
      </c>
      <c r="BH38" s="1" t="s">
        <v>479</v>
      </c>
      <c r="BI38" s="1" t="s">
        <v>480</v>
      </c>
      <c r="BU38" s="1" t="s">
        <v>760</v>
      </c>
      <c r="BV38" s="1" t="s">
        <v>761</v>
      </c>
      <c r="BW38" s="1" t="s">
        <v>762</v>
      </c>
    </row>
    <row r="39">
      <c r="A39" s="1" t="s">
        <v>763</v>
      </c>
      <c r="B39" s="1" t="str">
        <f>IFERROR(__xludf.DUMMYFUNCTION("GOOGLETRANSLATE(A:A, ""en"", ""te"")"),"కీస్టోన్ XOK")</f>
        <v>కీస్టోన్ XOK</v>
      </c>
      <c r="C39" s="1" t="s">
        <v>764</v>
      </c>
      <c r="D39" s="1" t="str">
        <f>IFERROR(__xludf.DUMMYFUNCTION("GOOGLETRANSLATE(C:C, ""en"", ""te"")"),"కీస్టోన్ XOK 1930 ల ప్రారంభంలో యునైటెడ్ స్టేట్స్ నేవీ కోసం అభివృద్ధి చేసిన ఒక అమెరికన్ బిప్‌లేన్ అబ్జర్వేషన్ ఫ్లోట్‌ప్లేన్. 1929 లో, ఒమాహా క్లాస్ లైట్ క్రూయిజర్‌లలో సేవ కోసం ఉద్దేశించిన ఒక పరిశీలన ఫ్లోట్‌ప్లేన్ కోసం నావికాదళం అవసరాలను జారీ చేసింది, చక్రాల"&amp;"ు లేదా ఫ్లోట్‌లకు సులభంగా మార్చవచ్చు మరియు క్రూయిజర్-రకం కాటాపుల్ట్ నుండి పనిచేయడానికి తగినంత తేలికగా ఉంటుంది. [1] కీస్టోన్-లోనింగ్ (అప్పటి కర్టిస్-రైట్ యొక్క అనుబంధ సంస్థ), బెర్లినర్-జాయిస్ మరియు వోట్ నుండి ప్రోటోటైప్‌లను ఆదేశించారు మరియు వరుసగా XOK-1, X"&amp;"OJ-1 మరియు XO4U-1 గా నియమించబడ్డాయి. కీస్టోన్ డిజైన్ మిశ్రమ లోహ మరియు ఫాబ్రిక్ నిర్మాణం యొక్క సాంప్రదాయిక బైప్‌లేన్, పైలట్ మరియు పరిశీలకుడు ఓపెన్ కాక్‌పిట్స్‌లో కలిసి కూర్చున్నాయి. ఇది జనవరి 5, 1931 న మొదటి విమానంలో చేసింది. [1] ఏప్రిల్! బెర్లినర్-జాయిస్ "&amp;"మరియు వోట్ ప్రోటోటైప్‌లు ట్రయల్స్‌కు దాదాపు సిద్ధంగా ఉన్నందున, బ్యూరో ఆఫ్ ఏరోనాటిక్స్ XOK-1 యొక్క మరింత అభివృద్ధిని నిలిపివేయడానికి ఎన్నుకుంది. చివరికి, బెర్లినర్-జాయిస్ ప్రవేశం ఉత్పత్తికి ఎంపిక చేయబడింది. [1] సాధారణ లక్షణాల నుండి డేటా పోల్చదగిన పాత్ర, కా"&amp;"న్ఫిగరేషన్ మరియు ERA సంబంధిత జాబితాల పనితీరు ఆయుధ విమానం")</f>
        <v>కీస్టోన్ XOK 1930 ల ప్రారంభంలో యునైటెడ్ స్టేట్స్ నేవీ కోసం అభివృద్ధి చేసిన ఒక అమెరికన్ బిప్‌లేన్ అబ్జర్వేషన్ ఫ్లోట్‌ప్లేన్. 1929 లో, ఒమాహా క్లాస్ లైట్ క్రూయిజర్‌లలో సేవ కోసం ఉద్దేశించిన ఒక పరిశీలన ఫ్లోట్‌ప్లేన్ కోసం నావికాదళం అవసరాలను జారీ చేసింది, చక్రాలు లేదా ఫ్లోట్‌లకు సులభంగా మార్చవచ్చు మరియు క్రూయిజర్-రకం కాటాపుల్ట్ నుండి పనిచేయడానికి తగినంత తేలికగా ఉంటుంది. [1] కీస్టోన్-లోనింగ్ (అప్పటి కర్టిస్-రైట్ యొక్క అనుబంధ సంస్థ), బెర్లినర్-జాయిస్ మరియు వోట్ నుండి ప్రోటోటైప్‌లను ఆదేశించారు మరియు వరుసగా XOK-1, XOJ-1 మరియు XO4U-1 గా నియమించబడ్డాయి. కీస్టోన్ డిజైన్ మిశ్రమ లోహ మరియు ఫాబ్రిక్ నిర్మాణం యొక్క సాంప్రదాయిక బైప్‌లేన్, పైలట్ మరియు పరిశీలకుడు ఓపెన్ కాక్‌పిట్స్‌లో కలిసి కూర్చున్నాయి. ఇది జనవరి 5, 1931 న మొదటి విమానంలో చేసింది. [1] ఏప్రిల్! బెర్లినర్-జాయిస్ మరియు వోట్ ప్రోటోటైప్‌లు ట్రయల్స్‌కు దాదాపు సిద్ధంగా ఉన్నందున, బ్యూరో ఆఫ్ ఏరోనాటిక్స్ XOK-1 యొక్క మరింత అభివృద్ధిని నిలిపివేయడానికి ఎన్నుకుంది. చివరికి, బెర్లినర్-జాయిస్ ప్రవేశం ఉత్పత్తికి ఎంపిక చేయబడింది. [1] సాధారణ లక్షణాల నుండి డేటా పోల్చదగిన పాత్ర, కాన్ఫిగరేషన్ మరియు ERA సంబంధిత జాబితాల పనితీరు ఆయుధ విమానం</v>
      </c>
      <c r="F39" s="1" t="s">
        <v>765</v>
      </c>
      <c r="G39" s="1" t="str">
        <f>IFERROR(__xludf.DUMMYFUNCTION("GOOGLETRANSLATE(F:F, ""en"", ""te"")"),"పరిశీలన ఫ్లోట్ ప్లేన్")</f>
        <v>పరిశీలన ఫ్లోట్ ప్లేన్</v>
      </c>
      <c r="L39" s="1" t="s">
        <v>766</v>
      </c>
      <c r="M39" s="1" t="str">
        <f>IFERROR(__xludf.DUMMYFUNCTION("GOOGLETRANSLATE(L:L, ""en"", ""te"")"),"కీస్టోన్ విమానం")</f>
        <v>కీస్టోన్ విమానం</v>
      </c>
      <c r="N39" s="1" t="s">
        <v>767</v>
      </c>
      <c r="Q39" s="1">
        <v>1.0</v>
      </c>
      <c r="S39" s="1" t="s">
        <v>768</v>
      </c>
      <c r="U39" s="1" t="s">
        <v>769</v>
      </c>
      <c r="V39" s="1" t="s">
        <v>770</v>
      </c>
      <c r="W39" s="1" t="s">
        <v>771</v>
      </c>
      <c r="X39" s="1" t="s">
        <v>772</v>
      </c>
      <c r="Y39" s="1" t="s">
        <v>773</v>
      </c>
      <c r="AA39" s="1" t="s">
        <v>774</v>
      </c>
      <c r="AE39" s="1" t="s">
        <v>775</v>
      </c>
      <c r="AJ39" s="2">
        <v>11324.0</v>
      </c>
      <c r="AP39" s="1" t="s">
        <v>776</v>
      </c>
      <c r="AR39" s="1" t="s">
        <v>777</v>
      </c>
      <c r="AZ39" s="1" t="s">
        <v>778</v>
      </c>
      <c r="BH39" s="1" t="s">
        <v>412</v>
      </c>
      <c r="BI39" s="1" t="s">
        <v>413</v>
      </c>
      <c r="BX39" s="1" t="s">
        <v>779</v>
      </c>
      <c r="BY39" s="3" t="s">
        <v>780</v>
      </c>
      <c r="BZ39" s="1" t="s">
        <v>781</v>
      </c>
    </row>
    <row r="40">
      <c r="A40" s="1" t="s">
        <v>782</v>
      </c>
      <c r="B40" s="1" t="str">
        <f>IFERROR(__xludf.DUMMYFUNCTION("GOOGLETRANSLATE(A:A, ""en"", ""te"")"),"చైస్ 4 బి")</f>
        <v>చైస్ 4 బి</v>
      </c>
      <c r="C40" s="1" t="s">
        <v>783</v>
      </c>
      <c r="D40" s="1" t="str">
        <f>IFERROR(__xludf.DUMMYFUNCTION("GOOGLETRANSLATE(C:C, ""en"", ""te"")"),"చైస్ 4 బి అనేది 1930 లలో ఫ్రాన్స్‌లో రూపొందించిన మరియు నిర్మించిన విమాన ఇంజిన్, ఇది విలోమ ఎయిర్-కూల్డ్ 14º V-4 గా అసాధారణమైనది. 1930 ల ప్రారంభంలో సొసైటీ అనామక ఓమ్నియం మెటలర్జిక్ ఎట్ ఇండస్ట్రియల్ / ఇటాబ్లిసిమెంట్స్ చైస్ ఎట్ సిని సాధారణంగా మోటర్స్ చైస్ అని "&amp;"పిలుస్తారు, దీనిని 130–155 హెచ్‌పి (97–116 కిలోవాట్) అభివృద్ధి చేస్తున్న కాంపాక్ట్ తేలికపాటి నాలుగు సిలిండర్ విమాన ఇంజిన్‌ను రూపొందించారు మరియు ఉత్పత్తి చేశారు. మొత్తం కొలతలు మరియు క్రాంక్ షాఫ్ట్ చైస్ యొక్క పొడవును తగ్గించడానికి 14º యొక్క చాలా చిన్న VEE క"&amp;"ోణంతో విలోమ V-4 ను రూపొందించారు. అస్థిరమైన బ్యాంకులతో 4 బి ఇరుకైనది మరియు చిన్నది. [1] లైట్ అల్లాయ్ (R.R.50) క్రాంక్కేస్ ఇంజిన్ యొక్క ప్రధాన భాగాలకు మద్దతు ఇచ్చింది. హీట్ ట్రీట్డ్ స్టీల్ సిలిండర్లను క్రాంక్కేస్ మరియు లైట్ అల్లాయ్ (R.R.50) సిలిండర్ హెడ్స్ "&amp;"బారెల్స్ పైకి చిత్రీకరించారు. క్రాంక్కేస్‌కు ఇరువైపులా నడుస్తున్న కామ్‌షాఫ్ట్‌లు నడుపుతున్న మాగ్నెటోస్‌తో వెనుక భాగంలో ఉపకరణాలు అమర్చబడ్డాయి, ఇది కవాటాలను పుష్రోడ్‌లు మరియు రాకర్ చేతుల ద్వారా ట్రిపుల్ ఏకాగ్రత రిటర్న్ స్ప్రింగ్స్‌తో కూడా నిర్వహించింది. [1]"&amp;" లే మోటూర్ చైస్ 4-బి 4 సిలిండ్రెస్ విలోమాల నుండి డేటా [1]")</f>
        <v>చైస్ 4 బి అనేది 1930 లలో ఫ్రాన్స్‌లో రూపొందించిన మరియు నిర్మించిన విమాన ఇంజిన్, ఇది విలోమ ఎయిర్-కూల్డ్ 14º V-4 గా అసాధారణమైనది. 1930 ల ప్రారంభంలో సొసైటీ అనామక ఓమ్నియం మెటలర్జిక్ ఎట్ ఇండస్ట్రియల్ / ఇటాబ్లిసిమెంట్స్ చైస్ ఎట్ సిని సాధారణంగా మోటర్స్ చైస్ అని పిలుస్తారు, దీనిని 130–155 హెచ్‌పి (97–116 కిలోవాట్) అభివృద్ధి చేస్తున్న కాంపాక్ట్ తేలికపాటి నాలుగు సిలిండర్ విమాన ఇంజిన్‌ను రూపొందించారు మరియు ఉత్పత్తి చేశారు. మొత్తం కొలతలు మరియు క్రాంక్ షాఫ్ట్ చైస్ యొక్క పొడవును తగ్గించడానికి 14º యొక్క చాలా చిన్న VEE కోణంతో విలోమ V-4 ను రూపొందించారు. అస్థిరమైన బ్యాంకులతో 4 బి ఇరుకైనది మరియు చిన్నది. [1] లైట్ అల్లాయ్ (R.R.50) క్రాంక్కేస్ ఇంజిన్ యొక్క ప్రధాన భాగాలకు మద్దతు ఇచ్చింది. హీట్ ట్రీట్డ్ స్టీల్ సిలిండర్లను క్రాంక్కేస్ మరియు లైట్ అల్లాయ్ (R.R.50) సిలిండర్ హెడ్స్ బారెల్స్ పైకి చిత్రీకరించారు. క్రాంక్కేస్‌కు ఇరువైపులా నడుస్తున్న కామ్‌షాఫ్ట్‌లు నడుపుతున్న మాగ్నెటోస్‌తో వెనుక భాగంలో ఉపకరణాలు అమర్చబడ్డాయి, ఇది కవాటాలను పుష్రోడ్‌లు మరియు రాకర్ చేతుల ద్వారా ట్రిపుల్ ఏకాగ్రత రిటర్న్ స్ప్రింగ్స్‌తో కూడా నిర్వహించింది. [1] లే మోటూర్ చైస్ 4-బి 4 సిలిండ్రెస్ విలోమాల నుండి డేటా [1]</v>
      </c>
      <c r="I40" s="1" t="s">
        <v>646</v>
      </c>
      <c r="J40" s="1" t="str">
        <f>IFERROR(__xludf.DUMMYFUNCTION("GOOGLETRANSLATE(I:I, ""en"", ""te"")"),"ఫ్రాన్స్")</f>
        <v>ఫ్రాన్స్</v>
      </c>
      <c r="K40" s="3" t="s">
        <v>647</v>
      </c>
      <c r="L40" s="1" t="s">
        <v>784</v>
      </c>
      <c r="M40" s="1" t="str">
        <f>IFERROR(__xludf.DUMMYFUNCTION("GOOGLETRANSLATE(L:L, ""en"", ""te"")"),"సొసైటీ అనామక ఓమ్నియం మెటలర్జిక్ ఎట్ ఇండస్ట్రీల్")</f>
        <v>సొసైటీ అనామక ఓమ్నియం మెటలర్జిక్ ఎట్ ఇండస్ట్రీల్</v>
      </c>
      <c r="N40" s="1" t="s">
        <v>785</v>
      </c>
      <c r="R40" s="1" t="s">
        <v>132</v>
      </c>
      <c r="U40" s="1" t="s">
        <v>786</v>
      </c>
      <c r="AV40" s="1" t="s">
        <v>787</v>
      </c>
      <c r="BX40" s="1" t="s">
        <v>788</v>
      </c>
      <c r="CA40" s="1" t="s">
        <v>789</v>
      </c>
      <c r="CB40" s="1" t="s">
        <v>790</v>
      </c>
      <c r="CC40" s="1" t="s">
        <v>791</v>
      </c>
      <c r="CD40" s="1" t="s">
        <v>792</v>
      </c>
      <c r="CE40" s="1" t="s">
        <v>793</v>
      </c>
      <c r="CF40" s="1" t="s">
        <v>794</v>
      </c>
    </row>
    <row r="41">
      <c r="A41" s="1" t="s">
        <v>795</v>
      </c>
      <c r="B41" s="1" t="str">
        <f>IFERROR(__xludf.DUMMYFUNCTION("GOOGLETRANSLATE(A:A, ""en"", ""te"")"),"గాబ్రియేల్ పే 6")</f>
        <v>గాబ్రియేల్ పే 6</v>
      </c>
      <c r="C41" s="1" t="s">
        <v>796</v>
      </c>
      <c r="D41" s="1" t="str">
        <f>IFERROR(__xludf.DUMMYFUNCTION("GOOGLETRANSLATE(C:C, ""en"", ""te"")"),"గాబ్రియేల్ పి 6 ఒక పోలిష్ శిక్షణా విమానం మరియు పి 7 ఎ టూరర్. వాటి మధ్య వ్యత్యాసం వింగ్ కాన్ఫిగరేషన్, వారి పాత్ర కోసం వారి వేగ పరిధిని ఆప్టిమైజ్ చేయడానికి ఎంచుకున్నారు, కాబట్టి పి 6 ఒక బిప్‌లేన్ మరియు పి 7 ఎ పారాసోల్ వింగ్ విమానం. వారి మొట్టమొదటి శక్తితో క"&amp;"ూడిన డిజైన్, సింగిల్ సీట్ పి 5 తరువాత, గాబ్రియేల్ బ్రదర్స్ ఇద్దరు సీట్ శిక్షకులు మరియు టూరర్స్ యొక్క విభిన్న అవసరాలను పరిగణించారు. రెండూ బాగా నిర్వహించాల్సిన అవసరం ఉంది, ఆదర్శంగా ఇలాంటి లక్షణాలతో ఆదర్శంగా ఉంటుంది, కాని శిక్షకుడికి తక్కువ ల్యాండింగ్ వేగం మ"&amp;"రియు టూరర్ అధిక క్రూయిజ్ వేగం అవసరం. ఆర్థిక పరిష్కారాలు ఇంజన్లు, ఫ్యూజ్‌లేజ్‌లు, ల్యాండింగ్ గేర్లు మరియు రెక్కలను పంచుకుంటాయని వారు నిర్ణయించుకున్నారు, కాని శిక్షకుడు కాంటిలివర్ లోయర్ వింగ్ మరియు టూరర్‌తో ఒక బైప్‌లేన్‌గా ఉండాలి, దిగువ వింగ్ లేకుండా, పారాస"&amp;"ోల్ వింగ్ మోనోప్లేన్. అదే ఎయిర్‌ఫ్రేమ్ బిప్‌లేన్ (పి 6) మరియు పారాసోల్ (పి 7) కాన్ఫిగరేషన్లలో ఎగురవేయబడింది. గాబ్రియేల్ పి 5 మాదిరిగా, కొత్త విమానం ఫోకర్ డి.విఐఐ చేత బలంగా ప్రభావితమైంది. [1] పి 6 అన్ని కలప విమానాలు. దాని రెండు రెక్కలు ప్రణాళికలో దెబ్బతిన్"&amp;"నాయి మరియు ప్లైవుడ్ కవరింగ్‌తో రెండు స్పార్‌ల చుట్టూ నిర్మించబడ్డాయి. ఎగువ రెక్కను ఎగువ ఫ్యూజ్‌లేజ్ నుండి విలోమ వి-స్ట్రట్‌ల క్యాబనే ద్వారా ఫ్యూజ్‌లేజ్ మీద అమర్చారు మరియు ప్రతి వైపు బంధించి, స్పార్స్ నుండి దిగువ లాంగన్ వరకు సమాంతర జత స్ట్రట్‌లతో. దిగువ రె"&amp;"క్క దిగువ లాంగన్స్‌తో జతచేయబడింది. [1] శిక్షకుడు 48–52 కిలోవాట్ల (65–70 హెచ్‌పి) నాలుగు సిలిండర్, వాటర్-కూల్డ్ ఇన్లైన్ మెర్సిడెస్ ఇంజిన్. [1] [2] దాని దీర్ఘచతురస్రాకార విభాగం ఫ్యూజ్‌లేజ్ యొక్క ఫార్వర్డ్ భాగం అల్యూమినియం షీట్ మరియు మిగిలినవి ప్లైవుడ్‌తో కప"&amp;"్పబడి ఉన్నాయి. వెనుక సీటులో మాత్రమే విమాన పరికరాలతో ఉన్నప్పటికీ, ద్వంద్వ నియంత్రణతో కూడిన రెండు కాక్‌పిట్‌లు ఉన్నాయి. దాని సామ్రాజ్యం బాహ్యంగా కలుపుతారు, ప్లై-కప్పబడిన ఫిన్ మరియు టెయిల్‌ప్లేన్ ఫాబ్రిక్ కవర్ కంట్రోల్ ఉపరితలాలను కలిగి ఉంది. [1] దాని స్థిర ల"&amp;"్యాండింగ్ గేర్, 1.6 మీ (5 అడుగుల 3 అంగుళాలు) ట్రాక్‌తో, టెయిల్‌స్కిడ్ రకానికి చెందినది, దిగువ లాంగన్స్ నుండి వి-స్ట్రట్‌లపై రబ్బరు రింగ్ షాక్ అబ్జార్బర్స్ ద్వారా ఒకే ఇరుసుపై మెయిన్‌వీల్స్ ఉన్నాయి. [1] మొదటి పోలిష్ రూపకల్పన చేసిన రెండు సీట్ ట్రైనర్ గాబ్రియ"&amp;"ేల్ పి 6, మే 1924 చివరలో మొదటిసారిగా ఎగురవేయబడింది, దీనిని జాన్ గాబ్రియేల్ బైడ్గోజ్జ్జ్ వద్ద పైలట్ చేశారు. దీనిని తరువాత బైడ్గోస్జ్ పైలట్ పాఠశాల నుండి పైలట్లు పరీక్షించారు, అది బాగా నిర్వహించబడిందని నివేదించారు. [1] తరువాత 1924 లో దిగువ రెక్క తొలగించబడింద"&amp;"ి, ఇంటర్‌ప్లేన్ స్ట్రట్స్ లేనప్పుడు సూటిగా మార్పు, మరియు విమానం గాబ్రియేల్ పి 7 గా విజయవంతంగా ఎగిరింది. పి 6 యొక్క వింగ్ ఏరియాలో 63% మాత్రమే ఉంది, కానీ కొంచెం తేలికైన పి 7 రెండూ గరిష్టంగా ఉన్నాయి మరియు పి 6 కన్నా 20 కిమీ/గం (12 ఎమ్‌పిహెచ్; 11 కెఎన్) వేగంగ"&amp;"ా ఉన్న ల్యాండింగ్ వేగం పోలిష్ ఏరోనాటికల్ అధికారులు పి 6 మరియు పి 7 పై పి 6 మరియు పి 7 లపై ఎక్కువ ఆసక్తి చూపలేదు. , పావెల్ గాబ్రియేల్ కొత్త హై వింగ్, తక్కువ శక్తి అల్ట్రాలైట్ను రూపొందించినప్పటికీ, పి 7 గాబ్రియల్స్ యొక్క చివరి విమానం ఎగురుతుంది. [1] సింక్ ("&amp;"1971) [1] నుండి డేటా గుర్తించబడిన చోట తప్ప")</f>
        <v>గాబ్రియేల్ పి 6 ఒక పోలిష్ శిక్షణా విమానం మరియు పి 7 ఎ టూరర్. వాటి మధ్య వ్యత్యాసం వింగ్ కాన్ఫిగరేషన్, వారి పాత్ర కోసం వారి వేగ పరిధిని ఆప్టిమైజ్ చేయడానికి ఎంచుకున్నారు, కాబట్టి పి 6 ఒక బిప్‌లేన్ మరియు పి 7 ఎ పారాసోల్ వింగ్ విమానం. వారి మొట్టమొదటి శక్తితో కూడిన డిజైన్, సింగిల్ సీట్ పి 5 తరువాత, గాబ్రియేల్ బ్రదర్స్ ఇద్దరు సీట్ శిక్షకులు మరియు టూరర్స్ యొక్క విభిన్న అవసరాలను పరిగణించారు. రెండూ బాగా నిర్వహించాల్సిన అవసరం ఉంది, ఆదర్శంగా ఇలాంటి లక్షణాలతో ఆదర్శంగా ఉంటుంది, కాని శిక్షకుడికి తక్కువ ల్యాండింగ్ వేగం మరియు టూరర్ అధిక క్రూయిజ్ వేగం అవసరం. ఆర్థిక పరిష్కారాలు ఇంజన్లు, ఫ్యూజ్‌లేజ్‌లు, ల్యాండింగ్ గేర్లు మరియు రెక్కలను పంచుకుంటాయని వారు నిర్ణయించుకున్నారు, కాని శిక్షకుడు కాంటిలివర్ లోయర్ వింగ్ మరియు టూరర్‌తో ఒక బైప్‌లేన్‌గా ఉండాలి, దిగువ వింగ్ లేకుండా, పారాసోల్ వింగ్ మోనోప్లేన్. అదే ఎయిర్‌ఫ్రేమ్ బిప్‌లేన్ (పి 6) మరియు పారాసోల్ (పి 7) కాన్ఫిగరేషన్లలో ఎగురవేయబడింది. గాబ్రియేల్ పి 5 మాదిరిగా, కొత్త విమానం ఫోకర్ డి.విఐఐ చేత బలంగా ప్రభావితమైంది. [1] పి 6 అన్ని కలప విమానాలు. దాని రెండు రెక్కలు ప్రణాళికలో దెబ్బతిన్నాయి మరియు ప్లైవుడ్ కవరింగ్‌తో రెండు స్పార్‌ల చుట్టూ నిర్మించబడ్డాయి. ఎగువ రెక్కను ఎగువ ఫ్యూజ్‌లేజ్ నుండి విలోమ వి-స్ట్రట్‌ల క్యాబనే ద్వారా ఫ్యూజ్‌లేజ్ మీద అమర్చారు మరియు ప్రతి వైపు బంధించి, స్పార్స్ నుండి దిగువ లాంగన్ వరకు సమాంతర జత స్ట్రట్‌లతో. దిగువ రెక్క దిగువ లాంగన్స్‌తో జతచేయబడింది. [1] శిక్షకుడు 48–52 కిలోవాట్ల (65–70 హెచ్‌పి) నాలుగు సిలిండర్, వాటర్-కూల్డ్ ఇన్లైన్ మెర్సిడెస్ ఇంజిన్. [1] [2] దాని దీర్ఘచతురస్రాకార విభాగం ఫ్యూజ్‌లేజ్ యొక్క ఫార్వర్డ్ భాగం అల్యూమినియం షీట్ మరియు మిగిలినవి ప్లైవుడ్‌తో కప్పబడి ఉన్నాయి. వెనుక సీటులో మాత్రమే విమాన పరికరాలతో ఉన్నప్పటికీ, ద్వంద్వ నియంత్రణతో కూడిన రెండు కాక్‌పిట్‌లు ఉన్నాయి. దాని సామ్రాజ్యం బాహ్యంగా కలుపుతారు, ప్లై-కప్పబడిన ఫిన్ మరియు టెయిల్‌ప్లేన్ ఫాబ్రిక్ కవర్ కంట్రోల్ ఉపరితలాలను కలిగి ఉంది. [1] దాని స్థిర ల్యాండింగ్ గేర్, 1.6 మీ (5 అడుగుల 3 అంగుళాలు) ట్రాక్‌తో, టెయిల్‌స్కిడ్ రకానికి చెందినది, దిగువ లాంగన్స్ నుండి వి-స్ట్రట్‌లపై రబ్బరు రింగ్ షాక్ అబ్జార్బర్స్ ద్వారా ఒకే ఇరుసుపై మెయిన్‌వీల్స్ ఉన్నాయి. [1] మొదటి పోలిష్ రూపకల్పన చేసిన రెండు సీట్ ట్రైనర్ గాబ్రియేల్ పి 6, మే 1924 చివరలో మొదటిసారిగా ఎగురవేయబడింది, దీనిని జాన్ గాబ్రియేల్ బైడ్గోజ్జ్జ్ వద్ద పైలట్ చేశారు. దీనిని తరువాత బైడ్గోస్జ్ పైలట్ పాఠశాల నుండి పైలట్లు పరీక్షించారు, అది బాగా నిర్వహించబడిందని నివేదించారు. [1] తరువాత 1924 లో దిగువ రెక్క తొలగించబడింది, ఇంటర్‌ప్లేన్ స్ట్రట్స్ లేనప్పుడు సూటిగా మార్పు, మరియు విమానం గాబ్రియేల్ పి 7 గా విజయవంతంగా ఎగిరింది. పి 6 యొక్క వింగ్ ఏరియాలో 63% మాత్రమే ఉంది, కానీ కొంచెం తేలికైన పి 7 రెండూ గరిష్టంగా ఉన్నాయి మరియు పి 6 కన్నా 20 కిమీ/గం (12 ఎమ్‌పిహెచ్; 11 కెఎన్) వేగంగా ఉన్న ల్యాండింగ్ వేగం పోలిష్ ఏరోనాటికల్ అధికారులు పి 6 మరియు పి 7 పై పి 6 మరియు పి 7 లపై ఎక్కువ ఆసక్తి చూపలేదు. , పావెల్ గాబ్రియేల్ కొత్త హై వింగ్, తక్కువ శక్తి అల్ట్రాలైట్ను రూపొందించినప్పటికీ, పి 7 గాబ్రియల్స్ యొక్క చివరి విమానం ఎగురుతుంది. [1] సింక్ (1971) [1] నుండి డేటా గుర్తించబడిన చోట తప్ప</v>
      </c>
      <c r="F41" s="1" t="s">
        <v>797</v>
      </c>
      <c r="G41" s="1" t="str">
        <f>IFERROR(__xludf.DUMMYFUNCTION("GOOGLETRANSLATE(F:F, ""en"", ""te"")"),"శిక్షణా విమానం")</f>
        <v>శిక్షణా విమానం</v>
      </c>
      <c r="H41" s="1" t="s">
        <v>798</v>
      </c>
      <c r="I41" s="1" t="s">
        <v>431</v>
      </c>
      <c r="J41" s="1" t="str">
        <f>IFERROR(__xludf.DUMMYFUNCTION("GOOGLETRANSLATE(I:I, ""en"", ""te"")"),"పోలాండ్")</f>
        <v>పోలాండ్</v>
      </c>
      <c r="K41" s="3" t="s">
        <v>432</v>
      </c>
      <c r="L41" s="1" t="s">
        <v>799</v>
      </c>
      <c r="M41" s="1" t="str">
        <f>IFERROR(__xludf.DUMMYFUNCTION("GOOGLETRANSLATE(L:L, ""en"", ""te"")"),"పావెల్ మరియు జాన్ గాబ్రియేల్")</f>
        <v>పావెల్ మరియు జాన్ గాబ్రియేల్</v>
      </c>
      <c r="Q41" s="1">
        <v>1.0</v>
      </c>
      <c r="R41" s="1" t="s">
        <v>132</v>
      </c>
      <c r="S41" s="1" t="s">
        <v>800</v>
      </c>
      <c r="U41" s="1" t="s">
        <v>801</v>
      </c>
      <c r="V41" s="1" t="s">
        <v>802</v>
      </c>
      <c r="W41" s="1" t="s">
        <v>803</v>
      </c>
      <c r="X41" s="1" t="s">
        <v>804</v>
      </c>
      <c r="Y41" s="1" t="s">
        <v>805</v>
      </c>
      <c r="Z41" s="1" t="s">
        <v>806</v>
      </c>
      <c r="AA41" s="1" t="s">
        <v>807</v>
      </c>
      <c r="AB41" s="1" t="s">
        <v>808</v>
      </c>
      <c r="AC41" s="1" t="s">
        <v>809</v>
      </c>
      <c r="AD41" s="1" t="s">
        <v>810</v>
      </c>
      <c r="AE41" s="1" t="s">
        <v>811</v>
      </c>
      <c r="AF41" s="1" t="s">
        <v>812</v>
      </c>
      <c r="AH41" s="1" t="s">
        <v>813</v>
      </c>
      <c r="AJ41" s="1" t="s">
        <v>814</v>
      </c>
      <c r="AM41" s="1" t="s">
        <v>815</v>
      </c>
      <c r="AP41" s="1" t="s">
        <v>260</v>
      </c>
      <c r="AR41" s="1" t="s">
        <v>816</v>
      </c>
      <c r="BS41" s="1" t="s">
        <v>817</v>
      </c>
    </row>
    <row r="42">
      <c r="A42" s="1" t="s">
        <v>818</v>
      </c>
      <c r="B42" s="1" t="str">
        <f>IFERROR(__xludf.DUMMYFUNCTION("GOOGLETRANSLATE(A:A, ""en"", ""te"")"),"SAMOLOT SP.I")</f>
        <v>SAMOLOT SP.I</v>
      </c>
      <c r="C42" s="1" t="s">
        <v>819</v>
      </c>
      <c r="D42" s="1" t="str">
        <f>IFERROR(__xludf.DUMMYFUNCTION("GOOGLETRANSLATE(C:C, ""en"", ""te"")"),"1920 ల మధ్యలో పోలాండ్‌లో రూపొందించిన తక్కువ శక్తితో కూడిన సమోలోట్ SP.I, ప్రతిపాదిత సింగిల్ సీట్ ఫైటర్ యొక్క లక్షణాలను అన్వేషించడానికి ఉద్దేశించబడింది. ఈ ప్రాజెక్టుకు ప్రభుత్వ మద్దతు రాలేదు మరియు ఒక sp.1 మాత్రమే నిర్మించబడింది. సమోలోట్ SP.1 యొక్క డిజైనర్ స"&amp;"మోలోట్ యొక్క సాంకేతిక డైరెక్టర్ పియోటర్ తులాజ్జ్. ఒక ప్రైవేట్ వెంచర్, ఇది మరింత శక్తివంతమైన ఫైటర్ విమానాల కోసం పరిశోధనా అభివృద్ధి వాహనంగా మరియు అదనంగా, అధిక పనితీరు గల విమానాలను పోలిష్ పదార్థాలతో నిర్మించవచ్చని ప్రభుత్వానికి నిరూపించడానికి ఉద్దేశించబడింది"&amp;". [1] సమోలోట్ sp.1 ఒక బ్రేస్డ్ పారాసోల్ వింగ్ మోనోప్లేన్. దాని రెండు-భాగాల వింగ్, దీర్ఘచతురస్రాకార ప్రణాళికలో మొద్దుబారిన చిట్కాలు కాకుండా, మధ్యస్తంగా మందంగా ఉంది. ప్రతి సగం-వింగ్ ఒక జత చెక్క స్పార్స్ చుట్టూ నిర్మించబడింది మరియు ప్లైవుడ్‌తో కప్పబడి ఉంది, "&amp;"తరువాత కేంద్రంగా చేరారు మరియు కాబేన్ స్ట్రట్‌లపై ఫ్యూజ్‌లేజ్ పైన మద్దతు ఇచ్చారు. ప్రాధమిక వింగ్ బ్రేసింగ్ ప్రతి వైపు సమాంతర జత స్టీల్ స్ట్రట్‌ల ద్వారా అందించబడింది, చెక్క క్రమబద్ధీకరించిన క్లాడింగ్‌లో, దిగువ ఫ్యూజ్‌లేజ్ నుండి వింగ్ స్పార్స్ వరకు. [1] ఇది "&amp;"60–89 kW (80–120 హెచ్‌పి) విద్యుత్ పరిధిలో రేడియల్ ఇంజిన్‌లను అంగీకరించడానికి రూపొందించబడింది మరియు 1926 మధ్యలో SP.I పూర్తయినప్పుడు అందుబాటులో ఉన్న ఏకైక ఇంజిన్ వృద్ధ ఆరు సిలిండర్ అంజాని 6A-4 67 కిలోవాట్ (90 హెచ్‌పి) ఇచ్చారు. ఇది సర్క్యులర్ క్రాస్-సెక్షన్ "&amp;"మెటల్ కౌలింగ్ కింద దాని సిలిండర్ తలలు శీతలీకరణ కోసం పొడుచుకు వచ్చింది. కౌలింగ్ మిగిలిన ఫ్యూజ్‌లేజ్‌లో సజావుగా మిళితం అయ్యింది, ఇది 2 మిమీ (0.08 అంగుళాలు) మందపాటి ప్లై-స్కిన్డ్ సెమీ-మోనోకోక్, వెనుక వైపుకు టేపింగ్ చేస్తుంది. పైలట్ యొక్క ఓపెన్ కాక్‌పిట్ రెక్"&amp;"క యొక్క వెనుకంజలో ఉన్న అంచు వెనుక ఉంది, అక్కడ అతని వీక్షణ క్షేత్రాన్ని మెరుగుపరచడానికి ఒక చిన్న కటౌట్ ఉంది. SP.1 యొక్క టెయిల్‌ప్లేన్ మరియు FIN ఫ్యూజ్‌లేజ్ యొక్క సమగ్ర భాగాలు మరియు నియంత్రణ ఉపరితలాల మాదిరిగానే కప్పబడి ఉంటాయి; ఎలివేటర్లు విభజించబడ్డాయి. [1]"&amp;" SP.I లో 1.50 మీ (4 అడుగుల 11 అంగుళాలు) ట్రాక్‌తో సాంప్రదాయిక, స్థిర అండర్ క్యారేజీని కలిగి ఉంది. మెయిన్‌వీల్స్ రబ్బరు-కార్డ్ షాక్ అబ్జార్బర్‌లతో ఒకే ఇరుసుపై ఉన్నాయి, వింగ్ స్ట్రట్స్ బేస్ వద్ద ఫ్యూజ్‌లేజ్ నుండి స్టీల్ వి స్ట్రట్‌లపై అమర్చారు. ఈ స్ట్రట్స్,"&amp;" రెక్క బ్రేసింగ్ వంటివి, కలపను క్రమబద్ధీకరించాయి. [1] పోజ్నాన్-లావైకాలో సమోలోట్ యొక్క చీఫ్ టెస్ట్-పైలట్ ఎడ్మండ్ హోలోడిన్స్కి చేత ఎగిరిన మొదటి ఫ్లైట్ జూలై 1926 లో జరిగింది. మరింత ఫ్లైట్-టెస్టింగ్ శక్తి లేకపోవడాన్ని చూపించింది, కానీ కొన్ని నిర్వహణ సమస్యలు మ"&amp;"రియు అస్థిరతలు కూడా చూపించాయి. రెండోది త్వరలో ఫ్యూజ్‌లేజ్ పొడవు మరియు కొన్ని చుక్కాని మార్పుల ద్వారా సరిదిద్దబడింది మరియు ఈ విమానం 89 kW (120 HP) సాల్మ్సన్ 9AC, తొమ్మిది-సిలిండర్ ఆధునిక రేడియల్ తో తిరిగి ఇంజిన్ చేయబడింది. తత్ఫలితంగా, SP.I బాగా నిర్వహించిం"&amp;"ది మరియు దాని లెక్కించిన పనితీరును మెరుగుపరిచింది. [1] మంచి పనితీరు ఉన్నప్పటికీ, సమోలోట్ ప్రభుత్వ నిధులు పొందడంలో విఫలమైంది మరియు sp.i అభివృద్ధిని వదిలివేసింది. ఇది ఒక వారసత్వాన్ని వదిలివేసింది, దీనిలో దాని రూపకల్పనలో పనిచేసిన కొంతమంది ఇంజనీర్లు తరువాత వి"&amp;"జయవంతమైన పిడబ్ల్యుఎస్ -10, మరొక బ్రేస్డ్ పారాసోల్ వింగ్ విమానం యొక్క డిజైన్ బృందంలో చేరారు. [1] సింక్ (1971) నుండి డేటా [1] సాధారణ లక్షణాల పనితీరు")</f>
        <v>1920 ల మధ్యలో పోలాండ్‌లో రూపొందించిన తక్కువ శక్తితో కూడిన సమోలోట్ SP.I, ప్రతిపాదిత సింగిల్ సీట్ ఫైటర్ యొక్క లక్షణాలను అన్వేషించడానికి ఉద్దేశించబడింది. ఈ ప్రాజెక్టుకు ప్రభుత్వ మద్దతు రాలేదు మరియు ఒక sp.1 మాత్రమే నిర్మించబడింది. సమోలోట్ SP.1 యొక్క డిజైనర్ సమోలోట్ యొక్క సాంకేతిక డైరెక్టర్ పియోటర్ తులాజ్జ్. ఒక ప్రైవేట్ వెంచర్, ఇది మరింత శక్తివంతమైన ఫైటర్ విమానాల కోసం పరిశోధనా అభివృద్ధి వాహనంగా మరియు అదనంగా, అధిక పనితీరు గల విమానాలను పోలిష్ పదార్థాలతో నిర్మించవచ్చని ప్రభుత్వానికి నిరూపించడానికి ఉద్దేశించబడింది. [1] సమోలోట్ sp.1 ఒక బ్రేస్డ్ పారాసోల్ వింగ్ మోనోప్లేన్. దాని రెండు-భాగాల వింగ్, దీర్ఘచతురస్రాకార ప్రణాళికలో మొద్దుబారిన చిట్కాలు కాకుండా, మధ్యస్తంగా మందంగా ఉంది. ప్రతి సగం-వింగ్ ఒక జత చెక్క స్పార్స్ చుట్టూ నిర్మించబడింది మరియు ప్లైవుడ్‌తో కప్పబడి ఉంది, తరువాత కేంద్రంగా చేరారు మరియు కాబేన్ స్ట్రట్‌లపై ఫ్యూజ్‌లేజ్ పైన మద్దతు ఇచ్చారు. ప్రాధమిక వింగ్ బ్రేసింగ్ ప్రతి వైపు సమాంతర జత స్టీల్ స్ట్రట్‌ల ద్వారా అందించబడింది, చెక్క క్రమబద్ధీకరించిన క్లాడింగ్‌లో, దిగువ ఫ్యూజ్‌లేజ్ నుండి వింగ్ స్పార్స్ వరకు. [1] ఇది 60–89 kW (80–120 హెచ్‌పి) విద్యుత్ పరిధిలో రేడియల్ ఇంజిన్‌లను అంగీకరించడానికి రూపొందించబడింది మరియు 1926 మధ్యలో SP.I పూర్తయినప్పుడు అందుబాటులో ఉన్న ఏకైక ఇంజిన్ వృద్ధ ఆరు సిలిండర్ అంజాని 6A-4 67 కిలోవాట్ (90 హెచ్‌పి) ఇచ్చారు. ఇది సర్క్యులర్ క్రాస్-సెక్షన్ మెటల్ కౌలింగ్ కింద దాని సిలిండర్ తలలు శీతలీకరణ కోసం పొడుచుకు వచ్చింది. కౌలింగ్ మిగిలిన ఫ్యూజ్‌లేజ్‌లో సజావుగా మిళితం అయ్యింది, ఇది 2 మిమీ (0.08 అంగుళాలు) మందపాటి ప్లై-స్కిన్డ్ సెమీ-మోనోకోక్, వెనుక వైపుకు టేపింగ్ చేస్తుంది. పైలట్ యొక్క ఓపెన్ కాక్‌పిట్ రెక్క యొక్క వెనుకంజలో ఉన్న అంచు వెనుక ఉంది, అక్కడ అతని వీక్షణ క్షేత్రాన్ని మెరుగుపరచడానికి ఒక చిన్న కటౌట్ ఉంది. SP.1 యొక్క టెయిల్‌ప్లేన్ మరియు FIN ఫ్యూజ్‌లేజ్ యొక్క సమగ్ర భాగాలు మరియు నియంత్రణ ఉపరితలాల మాదిరిగానే కప్పబడి ఉంటాయి; ఎలివేటర్లు విభజించబడ్డాయి. [1] SP.I లో 1.50 మీ (4 అడుగుల 11 అంగుళాలు) ట్రాక్‌తో సాంప్రదాయిక, స్థిర అండర్ క్యారేజీని కలిగి ఉంది. మెయిన్‌వీల్స్ రబ్బరు-కార్డ్ షాక్ అబ్జార్బర్‌లతో ఒకే ఇరుసుపై ఉన్నాయి, వింగ్ స్ట్రట్స్ బేస్ వద్ద ఫ్యూజ్‌లేజ్ నుండి స్టీల్ వి స్ట్రట్‌లపై అమర్చారు. ఈ స్ట్రట్స్, రెక్క బ్రేసింగ్ వంటివి, కలపను క్రమబద్ధీకరించాయి. [1] పోజ్నాన్-లావైకాలో సమోలోట్ యొక్క చీఫ్ టెస్ట్-పైలట్ ఎడ్మండ్ హోలోడిన్స్కి చేత ఎగిరిన మొదటి ఫ్లైట్ జూలై 1926 లో జరిగింది. మరింత ఫ్లైట్-టెస్టింగ్ శక్తి లేకపోవడాన్ని చూపించింది, కానీ కొన్ని నిర్వహణ సమస్యలు మరియు అస్థిరతలు కూడా చూపించాయి. రెండోది త్వరలో ఫ్యూజ్‌లేజ్ పొడవు మరియు కొన్ని చుక్కాని మార్పుల ద్వారా సరిదిద్దబడింది మరియు ఈ విమానం 89 kW (120 HP) సాల్మ్సన్ 9AC, తొమ్మిది-సిలిండర్ ఆధునిక రేడియల్ తో తిరిగి ఇంజిన్ చేయబడింది. తత్ఫలితంగా, SP.I బాగా నిర్వహించింది మరియు దాని లెక్కించిన పనితీరును మెరుగుపరిచింది. [1] మంచి పనితీరు ఉన్నప్పటికీ, సమోలోట్ ప్రభుత్వ నిధులు పొందడంలో విఫలమైంది మరియు sp.i అభివృద్ధిని వదిలివేసింది. ఇది ఒక వారసత్వాన్ని వదిలివేసింది, దీనిలో దాని రూపకల్పనలో పనిచేసిన కొంతమంది ఇంజనీర్లు తరువాత విజయవంతమైన పిడబ్ల్యుఎస్ -10, మరొక బ్రేస్డ్ పారాసోల్ వింగ్ విమానం యొక్క డిజైన్ బృందంలో చేరారు. [1] సింక్ (1971) నుండి డేటా [1] సాధారణ లక్షణాల పనితీరు</v>
      </c>
      <c r="E42" s="1" t="s">
        <v>820</v>
      </c>
      <c r="F42" s="1" t="s">
        <v>821</v>
      </c>
      <c r="G42" s="1" t="str">
        <f>IFERROR(__xludf.DUMMYFUNCTION("GOOGLETRANSLATE(F:F, ""en"", ""te"")"),"ఒకే సీటు పరిశోధన విమానం")</f>
        <v>ఒకే సీటు పరిశోధన విమానం</v>
      </c>
      <c r="I42" s="1" t="s">
        <v>431</v>
      </c>
      <c r="J42" s="1" t="str">
        <f>IFERROR(__xludf.DUMMYFUNCTION("GOOGLETRANSLATE(I:I, ""en"", ""te"")"),"పోలాండ్")</f>
        <v>పోలాండ్</v>
      </c>
      <c r="K42" s="3" t="s">
        <v>432</v>
      </c>
      <c r="L42" s="1" t="s">
        <v>822</v>
      </c>
      <c r="M42" s="1" t="str">
        <f>IFERROR(__xludf.DUMMYFUNCTION("GOOGLETRANSLATE(L:L, ""en"", ""te"")"),"సమోలోట్")</f>
        <v>సమోలోట్</v>
      </c>
      <c r="N42" s="3" t="s">
        <v>823</v>
      </c>
      <c r="S42" s="1" t="s">
        <v>433</v>
      </c>
      <c r="U42" s="1" t="s">
        <v>824</v>
      </c>
      <c r="V42" s="1" t="s">
        <v>825</v>
      </c>
      <c r="W42" s="1" t="s">
        <v>826</v>
      </c>
      <c r="X42" s="1" t="s">
        <v>827</v>
      </c>
      <c r="Y42" s="1" t="s">
        <v>828</v>
      </c>
      <c r="Z42" s="1" t="s">
        <v>829</v>
      </c>
      <c r="AA42" s="1" t="s">
        <v>830</v>
      </c>
      <c r="AB42" s="1" t="s">
        <v>440</v>
      </c>
      <c r="AH42" s="1" t="s">
        <v>831</v>
      </c>
      <c r="AJ42" s="2">
        <v>9679.0</v>
      </c>
      <c r="AM42" s="1" t="s">
        <v>832</v>
      </c>
      <c r="AP42" s="1" t="s">
        <v>235</v>
      </c>
      <c r="BD42" s="1" t="s">
        <v>833</v>
      </c>
      <c r="BS42" s="1" t="s">
        <v>817</v>
      </c>
    </row>
    <row r="43">
      <c r="A43" s="1" t="s">
        <v>834</v>
      </c>
      <c r="B43" s="1" t="str">
        <f>IFERROR(__xludf.DUMMYFUNCTION("GOOGLETRANSLATE(A:A, ""en"", ""te"")"),"రాబిన్ DR500")</f>
        <v>రాబిన్ DR500</v>
      </c>
      <c r="C43" s="1" t="s">
        <v>835</v>
      </c>
      <c r="D43" s="1" t="str">
        <f>IFERROR(__xludf.DUMMYFUNCTION("GOOGLETRANSLATE(C:C, ""en"", ""te"")"),"రాబిన్ DR500 ప్రిసిడెంట్ ఒక చెక్క తక్కువ వింగ్ మోనోప్లేన్, ఇది రాబిన్ విమానం చేత తయారు చేయబడినది మరియు అగ్రశ్రేణి DR400 గా విక్రయించబడింది. [1] ఇది ట్రైసైకిల్ అండర్ క్యారేజ్, 4+1 సీటింగ్ కాన్ఫిగరేషన్, మరింత శక్తివంతమైన 200 సివి ఇంధన-ఇంజెక్ట్ లైమింగ్ ఇంజిన"&amp;"్ చేత శక్తినిస్తుంది మరియు ప్రామాణిక డాక్టర్ 400 కన్నా పెద్దది మరియు మెరుగైనది. [2] రాబిన్ DR500 కాన్సెప్ట్ మొట్టమొదట 1980 లలో డాక్టర్ 400 ఎన్జిఎల్ లేదా నోవెల్లే గెరేషన్ పెద్దదిగా ఉద్భవించింది, కాని 1990 ల చివరి వరకు రాబిన్ విమానం యొక్క కొత్త యజమానులు ఈ ఆ"&amp;"లోచన పునరుత్థానం కాలేదు. ఇది 1974 యొక్క HR.100/250TR ప్రెసిడెంట్ నుండి దాని పేరును తీసుకుంది. [3] డాక్టర్ 500 గా తెలిసిన మరియు విక్రయించబడినది, ఇది వాస్తవానికి డాక్టర్ 400 టైప్ సర్టిఫికేట్ యొక్క పొడిగింపు, కాబట్టి కొన్నిసార్లు అధికారిక పత్రాలలో DR400/500 "&amp;"గా సూచించబడుతుంది. ఇది 180 హెచ్‌పి ఫిక్స్‌డ్ అండర్ క్యారేజ్ మరియు 250 హెచ్‌పి ముడుచుకునే అండర్ క్యారేజ్ విమానం మధ్య సముచితాన్ని నింపడానికి ఉద్దేశించబడింది, [2] 1500 కిలోమీటర్ల పరిధిలో 260 కిమీ/గం (143 కెటి) క్రూయిజ్ వేగంతో. [4] ప్రోటోటైప్ యొక్క తొలి విమాన"&amp;" ప్రయాణం 29 మే 1997 న డేనియల్ ముల్లెర్‌తో టెస్ట్ పైలట్‌గా ఉంది. 18 1999 మరియు 9 లో 2000 లో ఉత్పత్తి చేయబడ్డాయి. [4] అసలు డాక్టర్ 400 తో పోలిస్తే, డాక్టర్ 500 లో పెద్ద ఇంజిన్ కౌలింగ్ మరియు R3000 లేదా X4 లో పెద్ద బబుల్ లాంటి పందిరిని కలిగి ఉంది, క్యాబిన్ 40"&amp;" సెం.మీ. హెడ్‌రూమ్. [2] జోడెల్ D140 వలె, దీనికి ఐదు సీట్‌బెల్ట్‌లు ఉన్నాయి. డాక్టర్ 500 లో కొత్త ఇన్స్ట్రుమెంట్ ప్యానెల్ ఉంది, బూడిద మరియు లేత గోధుమరంగులో పూర్తయింది మరియు తోలు సీట్లు ప్రామాణికంగా ఉన్నాయి; ఎలక్ట్రిక్ ట్రిమ్ మరియు ఎలక్ట్రికల్-ఆపరేటెడ్ ఫ్లా"&amp;"ప్స్ కూడా ప్రామాణికమైనవి. రెక్క డాక్టర్ 400 కంటే కొంచెం మందంగా ఉంటుంది మరియు ఇది కొత్త, మరింత క్రమబద్ధీకరించిన వీల్ ఫెయిరింగ్‌ల నుండి ప్రయోజనం పొందుతుంది. డాక్టర్ 500 ఇంధన-ఇంజెక్ట్ చేసిన 200 హెచ్‌పి లైమింగ్ రెండు-బ్లేడ్ హార్ట్జెల్ వేరియబుల్-పిచ్ ప్రొపెల్ల"&amp;"ర్‌ను నడుపుతుంది. బాహ్యంగా ప్రాప్యత చేయగల సామాను కంపార్ట్మెంట్ తలుపు తెరిచి ఉంచడానికి గ్యాస్ స్ట్రట్ ఉంది. మొత్తం ఇంధన సామర్థ్యం 275 లీటర్లు: రెండు 40 ఎల్ వింగ్ ట్యాంకులు, నేల కింద 105 ఎల్ మరియు సామాను కంపార్ట్మెంట్ కింద ఐచ్ఛిక 90 ఎల్ ట్యాంక్. [2] సామూహిక"&amp;" నుండి డేటా p. 195 జనరల్ లక్షణాల పనితీరు")</f>
        <v>రాబిన్ DR500 ప్రిసిడెంట్ ఒక చెక్క తక్కువ వింగ్ మోనోప్లేన్, ఇది రాబిన్ విమానం చేత తయారు చేయబడినది మరియు అగ్రశ్రేణి DR400 గా విక్రయించబడింది. [1] ఇది ట్రైసైకిల్ అండర్ క్యారేజ్, 4+1 సీటింగ్ కాన్ఫిగరేషన్, మరింత శక్తివంతమైన 200 సివి ఇంధన-ఇంజెక్ట్ లైమింగ్ ఇంజిన్ చేత శక్తినిస్తుంది మరియు ప్రామాణిక డాక్టర్ 400 కన్నా పెద్దది మరియు మెరుగైనది. [2] రాబిన్ DR500 కాన్సెప్ట్ మొట్టమొదట 1980 లలో డాక్టర్ 400 ఎన్జిఎల్ లేదా నోవెల్లే గెరేషన్ పెద్దదిగా ఉద్భవించింది, కాని 1990 ల చివరి వరకు రాబిన్ విమానం యొక్క కొత్త యజమానులు ఈ ఆలోచన పునరుత్థానం కాలేదు. ఇది 1974 యొక్క HR.100/250TR ప్రెసిడెంట్ నుండి దాని పేరును తీసుకుంది. [3] డాక్టర్ 500 గా తెలిసిన మరియు విక్రయించబడినది, ఇది వాస్తవానికి డాక్టర్ 400 టైప్ సర్టిఫికేట్ యొక్క పొడిగింపు, కాబట్టి కొన్నిసార్లు అధికారిక పత్రాలలో DR400/500 గా సూచించబడుతుంది. ఇది 180 హెచ్‌పి ఫిక్స్‌డ్ అండర్ క్యారేజ్ మరియు 250 హెచ్‌పి ముడుచుకునే అండర్ క్యారేజ్ విమానం మధ్య సముచితాన్ని నింపడానికి ఉద్దేశించబడింది, [2] 1500 కిలోమీటర్ల పరిధిలో 260 కిమీ/గం (143 కెటి) క్రూయిజ్ వేగంతో. [4] ప్రోటోటైప్ యొక్క తొలి విమాన ప్రయాణం 29 మే 1997 న డేనియల్ ముల్లెర్‌తో టెస్ట్ పైలట్‌గా ఉంది. 18 1999 మరియు 9 లో 2000 లో ఉత్పత్తి చేయబడ్డాయి. [4] అసలు డాక్టర్ 400 తో పోలిస్తే, డాక్టర్ 500 లో పెద్ద ఇంజిన్ కౌలింగ్ మరియు R3000 లేదా X4 లో పెద్ద బబుల్ లాంటి పందిరిని కలిగి ఉంది, క్యాబిన్ 40 సెం.మీ. హెడ్‌రూమ్. [2] జోడెల్ D140 వలె, దీనికి ఐదు సీట్‌బెల్ట్‌లు ఉన్నాయి. డాక్టర్ 500 లో కొత్త ఇన్స్ట్రుమెంట్ ప్యానెల్ ఉంది, బూడిద మరియు లేత గోధుమరంగులో పూర్తయింది మరియు తోలు సీట్లు ప్రామాణికంగా ఉన్నాయి; ఎలక్ట్రిక్ ట్రిమ్ మరియు ఎలక్ట్రికల్-ఆపరేటెడ్ ఫ్లాప్స్ కూడా ప్రామాణికమైనవి. రెక్క డాక్టర్ 400 కంటే కొంచెం మందంగా ఉంటుంది మరియు ఇది కొత్త, మరింత క్రమబద్ధీకరించిన వీల్ ఫెయిరింగ్‌ల నుండి ప్రయోజనం పొందుతుంది. డాక్టర్ 500 ఇంధన-ఇంజెక్ట్ చేసిన 200 హెచ్‌పి లైమింగ్ రెండు-బ్లేడ్ హార్ట్జెల్ వేరియబుల్-పిచ్ ప్రొపెల్లర్‌ను నడుపుతుంది. బాహ్యంగా ప్రాప్యత చేయగల సామాను కంపార్ట్మెంట్ తలుపు తెరిచి ఉంచడానికి గ్యాస్ స్ట్రట్ ఉంది. మొత్తం ఇంధన సామర్థ్యం 275 లీటర్లు: రెండు 40 ఎల్ వింగ్ ట్యాంకులు, నేల కింద 105 ఎల్ మరియు సామాను కంపార్ట్మెంట్ కింద ఐచ్ఛిక 90 ఎల్ ట్యాంక్. [2] సామూహిక నుండి డేటా p. 195 జనరల్ లక్షణాల పనితీరు</v>
      </c>
      <c r="E43" s="1" t="s">
        <v>836</v>
      </c>
      <c r="F43" s="1" t="s">
        <v>837</v>
      </c>
      <c r="G43" s="1" t="str">
        <f>IFERROR(__xludf.DUMMYFUNCTION("GOOGLETRANSLATE(F:F, ""en"", ""te"")"),"నాలుగు-సీట్ల తేలికపాటి విమానం")</f>
        <v>నాలుగు-సీట్ల తేలికపాటి విమానం</v>
      </c>
      <c r="L43" s="1" t="s">
        <v>838</v>
      </c>
      <c r="M43" s="1" t="str">
        <f>IFERROR(__xludf.DUMMYFUNCTION("GOOGLETRANSLATE(L:L, ""en"", ""te"")"),"ఏవియన్లు పియరీ రాబిన్")</f>
        <v>ఏవియన్లు పియరీ రాబిన్</v>
      </c>
      <c r="N43" s="1" t="s">
        <v>839</v>
      </c>
      <c r="Q43" s="1">
        <v>27.0</v>
      </c>
      <c r="R43" s="1" t="s">
        <v>132</v>
      </c>
      <c r="S43" s="1">
        <v>1.0</v>
      </c>
      <c r="T43" s="1">
        <v>5.0</v>
      </c>
      <c r="U43" s="1" t="s">
        <v>840</v>
      </c>
      <c r="V43" s="1" t="s">
        <v>841</v>
      </c>
      <c r="W43" s="1" t="s">
        <v>842</v>
      </c>
      <c r="AA43" s="1" t="s">
        <v>843</v>
      </c>
      <c r="AC43" s="1" t="s">
        <v>844</v>
      </c>
      <c r="AE43" s="1" t="s">
        <v>845</v>
      </c>
      <c r="AF43" s="1" t="s">
        <v>846</v>
      </c>
      <c r="AJ43" s="1">
        <v>1997.0</v>
      </c>
      <c r="AK43" s="1">
        <v>1999.0</v>
      </c>
      <c r="AM43" s="1" t="s">
        <v>847</v>
      </c>
      <c r="AT43" s="1" t="s">
        <v>848</v>
      </c>
      <c r="AU43" s="1" t="s">
        <v>849</v>
      </c>
      <c r="CG43" s="3" t="s">
        <v>850</v>
      </c>
      <c r="CH43" s="3" t="s">
        <v>851</v>
      </c>
    </row>
    <row r="44">
      <c r="A44" s="1" t="s">
        <v>852</v>
      </c>
      <c r="B44" s="1" t="str">
        <f>IFERROR(__xludf.DUMMYFUNCTION("GOOGLETRANSLATE(A:A, ""en"", ""te"")"),"గ్రీన్ 1910 బిప్‌లేన్")</f>
        <v>గ్రీన్ 1910 బిప్‌లేన్</v>
      </c>
      <c r="C44" s="1" t="s">
        <v>853</v>
      </c>
      <c r="D44" s="1" t="str">
        <f>IFERROR(__xludf.DUMMYFUNCTION("GOOGLETRANSLATE(C:C, ""en"", ""te"")"),"1910 ప్రారంభంలో, డాక్టర్ విలియం గ్రీన్ వారసుడిని ఏరోనాటిక్ సొసైటీ సౌకర్యం వద్ద లాంగ్ ఐలాండ్‌లోని మినోలాలోని తన సొంత 1909 బిప్‌లేన్‌కు రూపొందించారు, నిర్మించారు మరియు విక్రయించారు. ఈ విమానం ఫార్మాన్ శైలిలో చాలా సాంప్రదాయిక బిప్‌లేన్. ఏప్రిల్ 1910 మధ్య నాటి"&amp;"కి, గ్రీన్ న్యూయార్క్ నగరాన్ని విడిచిపెట్టి, రోచెస్టర్, NY కి వెళ్లి తన సొంత డిజైన్ యొక్క విమానాలను రూపొందించడానికి ఒక సంస్థను ప్రారంభించారు. గ్రీన్ తన 1910 బిప్లేన్లలో మొదటిదాన్ని శాన్ ఫ్రాన్సిస్కో, CA కి చెందిన రాయ్ W. క్రాస్బీ కోసం నిర్మించాడు. ఈ విమాన"&amp;"ం మొదట కర్టిస్ మోటారును కలిగి ఉంది, కాని తరువాతి మోడళ్లలో, అతను బదులుగా ఎల్బ్రిడ్జ్ 2-స్ట్రోక్ ఫెదర్‌వెయిట్ మోటారును ఉపయోగించాడు. [1] రైట్ బ్రదర్స్ పేటెంట్‌ను నివారించే విధంగా పార్శ్వ నియంత్రణను అందించడానికి ఈ విమానం రూపొందించబడింది. ఇది సింగిల్ ఫార్వర్డ్"&amp;" ఎలివేటర్ మరియు వెనుక భాగంలో కదిలే చుక్కానితో క్షితిజ సమాంతర స్టెబిలైజర్ కలిగి ఉంది. క్షితిజ సమాంతర స్టెబిలైజర్ యొక్క వెనుకంజలో ఉన్న అంచుకు జతచేయబడిన ఫ్లాప్‌తో కలిసి పనిచేయడానికి ఎలివేటర్ వైర్ చేయబడింది. ఐలెరాన్లు వెనుక వింగ్ స్ట్రట్‌లకు జతచేయబడ్డాయి మరియ"&amp;"ు కర్టిస్ స్టైల్ భుజం నియంత్రణ ద్వారా పనిచేశాయి. తరువాత మోడళ్లలో 30 అడుగులు (9.14 మీ) మరియు 37 అడుగులు (11.28 మీ) రెక్కలు ఉన్నాయి [2] సాధారణ లక్షణాల పనితీరు")</f>
        <v>1910 ప్రారంభంలో, డాక్టర్ విలియం గ్రీన్ వారసుడిని ఏరోనాటిక్ సొసైటీ సౌకర్యం వద్ద లాంగ్ ఐలాండ్‌లోని మినోలాలోని తన సొంత 1909 బిప్‌లేన్‌కు రూపొందించారు, నిర్మించారు మరియు విక్రయించారు. ఈ విమానం ఫార్మాన్ శైలిలో చాలా సాంప్రదాయిక బిప్‌లేన్. ఏప్రిల్ 1910 మధ్య నాటికి, గ్రీన్ న్యూయార్క్ నగరాన్ని విడిచిపెట్టి, రోచెస్టర్, NY కి వెళ్లి తన సొంత డిజైన్ యొక్క విమానాలను రూపొందించడానికి ఒక సంస్థను ప్రారంభించారు. గ్రీన్ తన 1910 బిప్లేన్లలో మొదటిదాన్ని శాన్ ఫ్రాన్సిస్కో, CA కి చెందిన రాయ్ W. క్రాస్బీ కోసం నిర్మించాడు. ఈ విమానం మొదట కర్టిస్ మోటారును కలిగి ఉంది, కాని తరువాతి మోడళ్లలో, అతను బదులుగా ఎల్బ్రిడ్జ్ 2-స్ట్రోక్ ఫెదర్‌వెయిట్ మోటారును ఉపయోగించాడు. [1] రైట్ బ్రదర్స్ పేటెంట్‌ను నివారించే విధంగా పార్శ్వ నియంత్రణను అందించడానికి ఈ విమానం రూపొందించబడింది. ఇది సింగిల్ ఫార్వర్డ్ ఎలివేటర్ మరియు వెనుక భాగంలో కదిలే చుక్కానితో క్షితిజ సమాంతర స్టెబిలైజర్ కలిగి ఉంది. క్షితిజ సమాంతర స్టెబిలైజర్ యొక్క వెనుకంజలో ఉన్న అంచుకు జతచేయబడిన ఫ్లాప్‌తో కలిసి పనిచేయడానికి ఎలివేటర్ వైర్ చేయబడింది. ఐలెరాన్లు వెనుక వింగ్ స్ట్రట్‌లకు జతచేయబడ్డాయి మరియు కర్టిస్ స్టైల్ భుజం నియంత్రణ ద్వారా పనిచేశాయి. తరువాత మోడళ్లలో 30 అడుగులు (9.14 మీ) మరియు 37 అడుగులు (11.28 మీ) రెక్కలు ఉన్నాయి [2] సాధారణ లక్షణాల పనితీరు</v>
      </c>
      <c r="E44" s="1" t="s">
        <v>854</v>
      </c>
      <c r="F44" s="1" t="s">
        <v>723</v>
      </c>
      <c r="G44" s="1" t="str">
        <f>IFERROR(__xludf.DUMMYFUNCTION("GOOGLETRANSLATE(F:F, ""en"", ""te"")"),"పయనీర్ శకం విమానం")</f>
        <v>పయనీర్ శకం విమానం</v>
      </c>
      <c r="H44" s="1" t="s">
        <v>724</v>
      </c>
      <c r="I44" s="1" t="s">
        <v>127</v>
      </c>
      <c r="J44" s="1" t="str">
        <f>IFERROR(__xludf.DUMMYFUNCTION("GOOGLETRANSLATE(I:I, ""en"", ""te"")"),"సంయుక్త రాష్ట్రాలు")</f>
        <v>సంయుక్త రాష్ట్రాలు</v>
      </c>
      <c r="K44" s="1" t="s">
        <v>128</v>
      </c>
      <c r="Q44" s="1">
        <v>4.0</v>
      </c>
      <c r="S44" s="1">
        <v>1.0</v>
      </c>
      <c r="U44" s="1" t="s">
        <v>855</v>
      </c>
      <c r="V44" s="1" t="s">
        <v>855</v>
      </c>
      <c r="AA44" s="1" t="s">
        <v>856</v>
      </c>
      <c r="AH44" s="1" t="s">
        <v>857</v>
      </c>
      <c r="AI44" s="1" t="s">
        <v>858</v>
      </c>
      <c r="AT44" s="1" t="s">
        <v>733</v>
      </c>
      <c r="AU44" s="1" t="s">
        <v>734</v>
      </c>
    </row>
    <row r="45">
      <c r="A45" s="1" t="s">
        <v>859</v>
      </c>
      <c r="B45" s="1" t="str">
        <f>IFERROR(__xludf.DUMMYFUNCTION("GOOGLETRANSLATE(A:A, ""en"", ""te"")"),"ఎలక్ట్రిక్పోర్ట్స్ ఎస్-ట్రైక్")</f>
        <v>ఎలక్ట్రిక్పోర్ట్స్ ఎస్-ట్రైక్</v>
      </c>
      <c r="C45" s="1" t="s">
        <v>860</v>
      </c>
      <c r="D45" s="1" t="str">
        <f>IFERROR(__xludf.DUMMYFUNCTION("GOOGLETRANSLATE(C:C, ""en"", ""te"")"),"ఎలక్ట్రిక్పోర్ట్స్ ఎస్-ట్రైక్ అనేది జర్మన్ ఎలక్ట్రిక్-పవర్డ్ అల్ట్రాలైట్ ట్రైక్, ఇది ఓస్ట్రాచ్ యొక్క ఎలక్ట్రిక్పోర్ట్స్ Gmbh చేత ఉత్పత్తి అవుతుంది. విమానం పూర్తి మరియు రెడీ టు-ఫ్లై సరఫరా చేయబడుతుంది. [1] ఈ డిజైన్ వోల్ఫ్‌గ్యాంగ్ జాంకీ, కార్బన్ ఫైబర్ మిశ్రమ"&amp;"ాలలో నైపుణ్యం కలిగిన టోని రోత్, ఎలక్ట్రిక్-శక్తితో కూడిన పట్టీలను నిర్మిస్తుంది మరియు ఎలక్ట్రిక్ పారామోటర్లను నిర్మించే మెయిన్రాడ్ రీష్. [1] దాని సింగిల్ సీట్ మోడల్‌లో, ES-TRIKE Féatarion aéronautique ఇంటర్నేషనల్ మైక్రోలైట్ కేటగిరీ, జర్మన్ 120 కిలోల తరగతి"&amp;" మరియు యుఎస్ ఫార్ 103 అల్ట్రాలైట్ వెహికల్స్ రూల్స్‌కు అనుగుణంగా రూపొందించబడింది. [1] విమాన రూపకల్పనలో కేబుల్-బ్రేస్డ్ హాంగ్ గ్లైడర్-స్టైల్ హై-వింగ్, వెయిట్-షిఫ్ట్ కంట్రోల్స్, కాక్‌పిట్ ఫెయిరింగ్, ట్రైసైకిల్ ల్యాండింగ్ గేర్‌తో సింగిల్-సీట్ల ఓపెన్ కాక్‌పిట్"&amp;" మరియు పషర్ కాన్ఫిగరేషన్‌లో సింగిల్ పిస్టన్ ఇంజిన్ లేదా ఎలక్ట్రిక్ మోటారు ఉన్నాయి. [1] ఎయిర్‌ఫ్రేమ్ కార్బన్ ఫైబర్ మరియు టైటానియం నుండి తయారవుతుంది, దాని సింగిల్ లేదా డబుల్ ఉపరితల వింగ్ డాక్రాన్ సెయిల్‌క్లాత్‌లో కప్పబడి ఉంటుంది. రెక్కకు ఒకే ట్యూబ్-రకం కింగ"&amp;"్‌పోస్ట్ మద్దతు ఇస్తుంది మరియు ""ఎ"" ఫ్రేమ్ వెయిట్-షిఫ్ట్ కంట్రోల్ బార్‌ను ఉపయోగిస్తుంది. పోలిని థోర్ 100 లేదా 200 పిస్టన్ ఇంజిన్ లేదా ఫ్లైటెక్ హెచ్‌పిడి 10 ఎలక్ట్రిక్ మోటారు 13.5 కిలోవాట్ (18 హెచ్‌పి) అందించే పవర్‌ప్లాంట్లు. స్వయంచాలకంగా మడత కార్బన్ ఫైబర"&amp;"్ ప్రొపెల్లర్ 70 సెం.మీ (28 అంగుళాలు) షాఫ్ట్ మీద అమర్చబడి, తక్కువ-విక్షేపణ గాలిలో పనిచేయడానికి వీలు కల్పిస్తుంది. [1] ఎయిర్‌ఫ్రేమ్‌లో 6 కిలోల (13 ఎల్బి) ప్రాథమిక బరువు ఉంది, దీనికి కార్బన్ ఫైబర్ కంప్లీట్ ఫ్యూజ్‌లేజ్ ఫెయిరింగ్ జోడించవచ్చు, ఇది 1.5 కిలోల (3"&amp;" ఎల్బి) బరువు ఉంటుంది. మోటారు మరియు బ్యాటరీతో బరువు 25 నుండి 28 కిలోలు (55 నుండి 62 పౌండ్లు). [1] సింగిల్ మరియు డబుల్ ఉపరితల రెక్కలతో సహా ప్రాథమిక క్యారేజీకి అనేక విభిన్న రెక్కలను అమర్చవచ్చు. విమానం యొక్క పనితీరు ఎంచుకున్న రెక్కపై బాగా ఆధారపడి ఉంటుంది. [1"&amp;"] టాక్ నుండి డేటా [1] సాధారణ లక్షణాలు")</f>
        <v>ఎలక్ట్రిక్పోర్ట్స్ ఎస్-ట్రైక్ అనేది జర్మన్ ఎలక్ట్రిక్-పవర్డ్ అల్ట్రాలైట్ ట్రైక్, ఇది ఓస్ట్రాచ్ యొక్క ఎలక్ట్రిక్పోర్ట్స్ Gmbh చేత ఉత్పత్తి అవుతుంది. విమానం పూర్తి మరియు రెడీ టు-ఫ్లై సరఫరా చేయబడుతుంది. [1] ఈ డిజైన్ వోల్ఫ్‌గ్యాంగ్ జాంకీ, కార్బన్ ఫైబర్ మిశ్రమాలలో నైపుణ్యం కలిగిన టోని రోత్, ఎలక్ట్రిక్-శక్తితో కూడిన పట్టీలను నిర్మిస్తుంది మరియు ఎలక్ట్రిక్ పారామోటర్లను నిర్మించే మెయిన్రాడ్ రీష్. [1] దాని సింగిల్ సీట్ మోడల్‌లో, ES-TRIKE Féatarion aéronautique ఇంటర్నేషనల్ మైక్రోలైట్ కేటగిరీ, జర్మన్ 120 కిలోల తరగతి మరియు యుఎస్ ఫార్ 103 అల్ట్రాలైట్ వెహికల్స్ రూల్స్‌కు అనుగుణంగా రూపొందించబడింది. [1] విమాన రూపకల్పనలో కేబుల్-బ్రేస్డ్ హాంగ్ గ్లైడర్-స్టైల్ హై-వింగ్, వెయిట్-షిఫ్ట్ కంట్రోల్స్, కాక్‌పిట్ ఫెయిరింగ్, ట్రైసైకిల్ ల్యాండింగ్ గేర్‌తో సింగిల్-సీట్ల ఓపెన్ కాక్‌పిట్ మరియు పషర్ కాన్ఫిగరేషన్‌లో సింగిల్ పిస్టన్ ఇంజిన్ లేదా ఎలక్ట్రిక్ మోటారు ఉన్నాయి. [1] ఎయిర్‌ఫ్రేమ్ కార్బన్ ఫైబర్ మరియు టైటానియం నుండి తయారవుతుంది, దాని సింగిల్ లేదా డబుల్ ఉపరితల వింగ్ డాక్రాన్ సెయిల్‌క్లాత్‌లో కప్పబడి ఉంటుంది. రెక్కకు ఒకే ట్యూబ్-రకం కింగ్‌పోస్ట్ మద్దతు ఇస్తుంది మరియు "ఎ" ఫ్రేమ్ వెయిట్-షిఫ్ట్ కంట్రోల్ బార్‌ను ఉపయోగిస్తుంది. పోలిని థోర్ 100 లేదా 200 పిస్టన్ ఇంజిన్ లేదా ఫ్లైటెక్ హెచ్‌పిడి 10 ఎలక్ట్రిక్ మోటారు 13.5 కిలోవాట్ (18 హెచ్‌పి) అందించే పవర్‌ప్లాంట్లు. స్వయంచాలకంగా మడత కార్బన్ ఫైబర్ ప్రొపెల్లర్ 70 సెం.మీ (28 అంగుళాలు) షాఫ్ట్ మీద అమర్చబడి, తక్కువ-విక్షేపణ గాలిలో పనిచేయడానికి వీలు కల్పిస్తుంది. [1] ఎయిర్‌ఫ్రేమ్‌లో 6 కిలోల (13 ఎల్బి) ప్రాథమిక బరువు ఉంది, దీనికి కార్బన్ ఫైబర్ కంప్లీట్ ఫ్యూజ్‌లేజ్ ఫెయిరింగ్ జోడించవచ్చు, ఇది 1.5 కిలోల (3 ఎల్బి) బరువు ఉంటుంది. మోటారు మరియు బ్యాటరీతో బరువు 25 నుండి 28 కిలోలు (55 నుండి 62 పౌండ్లు). [1] సింగిల్ మరియు డబుల్ ఉపరితల రెక్కలతో సహా ప్రాథమిక క్యారేజీకి అనేక విభిన్న రెక్కలను అమర్చవచ్చు. విమానం యొక్క పనితీరు ఎంచుకున్న రెక్కపై బాగా ఆధారపడి ఉంటుంది. [1] టాక్ నుండి డేటా [1] సాధారణ లక్షణాలు</v>
      </c>
      <c r="F45" s="1" t="s">
        <v>184</v>
      </c>
      <c r="G45" s="1" t="str">
        <f>IFERROR(__xludf.DUMMYFUNCTION("GOOGLETRANSLATE(F:F, ""en"", ""te"")"),"అల్ట్రాలైట్ ట్రైక్")</f>
        <v>అల్ట్రాలైట్ ట్రైక్</v>
      </c>
      <c r="H45" s="1" t="s">
        <v>185</v>
      </c>
      <c r="I45" s="1" t="s">
        <v>321</v>
      </c>
      <c r="J45" s="1" t="str">
        <f>IFERROR(__xludf.DUMMYFUNCTION("GOOGLETRANSLATE(I:I, ""en"", ""te"")"),"జర్మనీ")</f>
        <v>జర్మనీ</v>
      </c>
      <c r="K45" s="3" t="s">
        <v>322</v>
      </c>
      <c r="L45" s="1" t="s">
        <v>861</v>
      </c>
      <c r="M45" s="1" t="str">
        <f>IFERROR(__xludf.DUMMYFUNCTION("GOOGLETRANSLATE(L:L, ""en"", ""te"")"),"ఎలక్ట్రిక్పోర్ట్స్ GMBH")</f>
        <v>ఎలక్ట్రిక్పోర్ట్స్ GMBH</v>
      </c>
      <c r="N45" s="1" t="s">
        <v>862</v>
      </c>
      <c r="O45" s="1" t="s">
        <v>560</v>
      </c>
      <c r="P45" s="1" t="str">
        <f>IFERROR(__xludf.DUMMYFUNCTION("GOOGLETRANSLATE(O:O, ""en"", ""te"")"),"ఉత్పత్తిలో (2018)")</f>
        <v>ఉత్పత్తిలో (2018)</v>
      </c>
      <c r="R45" s="1" t="s">
        <v>132</v>
      </c>
      <c r="S45" s="1" t="s">
        <v>133</v>
      </c>
      <c r="AA45" s="1" t="s">
        <v>863</v>
      </c>
      <c r="AB45" s="1" t="s">
        <v>864</v>
      </c>
    </row>
    <row r="46">
      <c r="A46" s="1" t="s">
        <v>865</v>
      </c>
      <c r="B46" s="1" t="str">
        <f>IFERROR(__xludf.DUMMYFUNCTION("GOOGLETRANSLATE(A:A, ""en"", ""te"")"),"ఎరోస్ చీమ")</f>
        <v>ఎరోస్ చీమ</v>
      </c>
      <c r="C46" s="1" t="s">
        <v>866</v>
      </c>
      <c r="D46" s="1" t="str">
        <f>IFERROR(__xludf.DUMMYFUNCTION("GOOGLETRANSLATE(C:C, ""en"", ""te"")"),"ఎరోస్ యాంట్ (ఎరోస్ నానోలైట్ ట్రైక్) అనేది ఉక్రేనియన్ అల్ట్రాలైట్ ట్రైక్, ఇది కైవ్ యొక్క EROS చేత రూపొందించబడింది మరియు ఉత్పత్తి చేయబడింది. విమానం పూర్తి మరియు రెడీ టు-ఫ్లై సరఫరా చేయబడుతుంది. [1] వర్గం యొక్క గరిష్ట స్థూల బరువు 450 కిలోల (992 పౌండ్లు) తో సహ"&amp;"ా, ఫెడెరేషన్ ఏరోనటిక్ ఇంటర్నేషనల్ మైక్రోలైట్ వర్గానికి అనుగుణంగా ఈ విమానం 2010 ల మధ్యలో రూపొందించబడింది. ఈ విమానం గరిష్టంగా స్థూల బరువు 185 కిలోల (408 పౌండ్లు). ఈ డిజైన్ యుఎస్ ఫార్ 103 అల్ట్రాలైట్ వెహికల్స్ నియమాలను కలుస్తుంది, ఇందులో వర్గం యొక్క గరిష్ట ఖ"&amp;"ాళీ బరువు 254 ఎల్బి (115 కిలోలు) మరియు జర్మన్ 120 కిలోల తరగతిలో కూడా ధృవీకరించబడింది. [1] చీమ ఒక నానోట్రైక్, తేలిక, సరళత మరియు తక్కువ ఖర్చుతో ప్రాధాన్యతనిస్తుంది. ఇది కేబుల్-బ్రేస్డ్ హాంగ్ గ్లైడర్-స్టైల్ హై-వింగ్, వెయిట్-షిఫ్ట్ కంట్రోల్స్, కాక్‌పిట్ ఫెయిర"&amp;"ింగ్ లేకుండా సింగిల్-సీట్ల ఓపెన్ కాక్‌పిట్, వీల్ ప్యాంటు లేకుండా ట్రైసైకిల్ ల్యాండింగ్ గేర్ మరియు పషర్ కాన్ఫిగరేషన్‌లో ఒకే ఇంజిన్ ఉన్నాయి. [1] చీమను మోసే బ్యాగ్‌తో సరఫరా చేస్తారు, దీనిలో ఎయిర్‌ఫ్రేమ్‌ను మడతపెట్టిన తరువాత, ఆటోమొబైల్ ద్వారా భూమి రవాణా కోసం "&amp;"విమానం ఫ్యూజ్‌లేజ్ ఫ్రేమ్‌ను నిల్వ చేయవచ్చు. ఒక ప్రత్యేక బ్యాగ్ హాంగ్ గ్లైడర్ వింగ్ కలిగి ఉంది. ఈ విమానం 6 నిమిషాల్లో భూమి రవాణా కోసం అరిచబడుతుంది మరియు 30 నిమిషాల్లో ఎగరడానికి ఏర్పాటు చేయవచ్చు. [1] ఈ విమానం బోల్ట్-టుగెథర్ అల్యూమినియం గొట్టాల నుండి తయారవు"&amp;"తుంది, దాని సింగిల్ ఉపరితలం లేదా ఐచ్ఛికంగా డబుల్ ఉపరితల వింగ్ డాక్రాన్ సెయిల్‌క్లాత్‌లో కప్పబడి ఉంటుంది. రెక్కకు ఒకే ట్యూబ్-రకం కింగ్‌పోస్ట్ మద్దతు ఇస్తుంది మరియు ""ఎ"" ఫ్రేమ్ వెయిట్-షిఫ్ట్ కంట్రోల్ బార్‌ను ఉపయోగిస్తుంది. పవర్‌ప్లాంట్ సింగిల్-సిలిండర్, ఎయ"&amp;"ిర్-కూల్డ్, టూ-స్ట్రోక్, సింగిల్-ఇగ్నిషన్ 25 హెచ్‌పి (19 కిలోవాట్) కోర్స్-ఎయిర్ ఎం 25Y ఇంజిన్, సాధారణంగా శక్తితో కూడిన పారాగ్లైడర్‌లకు ఉపయోగిస్తారు. కోర్స్-ఎయిర్ M25Y ఇంజిన్ క్లచ్ కలిగి ఉంది, ఇది ప్రొపెల్లర్‌ను నిష్క్రియ ఇంజిన్ వేగంతో ఆపడానికి అనుమతిస్తుం"&amp;"ది. బెయిలీ ఇంజిన్ ఐచ్ఛికం. [1] [2] కోర్స్-ఎయిర్ ఇంజిన్ మరియు ఒకే ఉపరితల రెక్కతో, చీమలో ఖాళీ బరువు 76 కిలోలు (168 పౌండ్లు) మరియు స్థూల బరువు 185 కిలోల (408 ఎల్బి), ఇది 109 కిలోల (240 ఎల్బి) ఉపయోగకరమైన లోడ్‌ను ఇస్తుంది. 19 లీటర్ల పూర్తి ఇంధనంతో (4.2 ఇంప్ గల"&amp;"్; 5.0 యుఎస్ గాల్) పేలోడ్ 95 కిలోలు (209 ఎల్బి). [1] ప్రాథమిక క్యారేజీకి అనేక విభిన్న రెక్కలను అమర్చవచ్చు, వీటిలో ప్రాథమిక ఎరోస్ డిస్కస్ టి, నానోట్రిక్‌ల కోసం డిస్కస్ హాంగ్ గ్లైడర్ వింగ్ యొక్క వెర్షన్, రెండు పరిమాణాలలో వస్తుంది, డిస్కస్ 14 టి మరియు 15 టి."&amp;" ఫాక్స్ టి వింగ్ నెమ్మదిగా మరియు యుక్తి చేసే రెక్క, దీనిని కూడా అమర్చవచ్చు. నానోట్రిక్‌ల కోసం స్వీకరించబడిన టాప్‌లెస్ హాంగ్ గ్లైడర్ వింగ్ అయిన పోరాట టి వింగ్‌తో అధిక పనితీరును పొందవచ్చు. [1] [3] టాక్ నుండి డేటా [1] సాధారణ లక్షణాల పనితీరు")</f>
        <v>ఎరోస్ యాంట్ (ఎరోస్ నానోలైట్ ట్రైక్) అనేది ఉక్రేనియన్ అల్ట్రాలైట్ ట్రైక్, ఇది కైవ్ యొక్క EROS చేత రూపొందించబడింది మరియు ఉత్పత్తి చేయబడింది. విమానం పూర్తి మరియు రెడీ టు-ఫ్లై సరఫరా చేయబడుతుంది. [1] వర్గం యొక్క గరిష్ట స్థూల బరువు 450 కిలోల (992 పౌండ్లు) తో సహా, ఫెడెరేషన్ ఏరోనటిక్ ఇంటర్నేషనల్ మైక్రోలైట్ వర్గానికి అనుగుణంగా ఈ విమానం 2010 ల మధ్యలో రూపొందించబడింది. ఈ విమానం గరిష్టంగా స్థూల బరువు 185 కిలోల (408 పౌండ్లు). ఈ డిజైన్ యుఎస్ ఫార్ 103 అల్ట్రాలైట్ వెహికల్స్ నియమాలను కలుస్తుంది, ఇందులో వర్గం యొక్క గరిష్ట ఖాళీ బరువు 254 ఎల్బి (115 కిలోలు) మరియు జర్మన్ 120 కిలోల తరగతిలో కూడా ధృవీకరించబడింది. [1] చీమ ఒక నానోట్రైక్, తేలిక, సరళత మరియు తక్కువ ఖర్చుతో ప్రాధాన్యతనిస్తుంది. ఇది కేబుల్-బ్రేస్డ్ హాంగ్ గ్లైడర్-స్టైల్ హై-వింగ్, వెయిట్-షిఫ్ట్ కంట్రోల్స్, కాక్‌పిట్ ఫెయిరింగ్ లేకుండా సింగిల్-సీట్ల ఓపెన్ కాక్‌పిట్, వీల్ ప్యాంటు లేకుండా ట్రైసైకిల్ ల్యాండింగ్ గేర్ మరియు పషర్ కాన్ఫిగరేషన్‌లో ఒకే ఇంజిన్ ఉన్నాయి. [1] చీమను మోసే బ్యాగ్‌తో సరఫరా చేస్తారు, దీనిలో ఎయిర్‌ఫ్రేమ్‌ను మడతపెట్టిన తరువాత, ఆటోమొబైల్ ద్వారా భూమి రవాణా కోసం విమానం ఫ్యూజ్‌లేజ్ ఫ్రేమ్‌ను నిల్వ చేయవచ్చు. ఒక ప్రత్యేక బ్యాగ్ హాంగ్ గ్లైడర్ వింగ్ కలిగి ఉంది. ఈ విమానం 6 నిమిషాల్లో భూమి రవాణా కోసం అరిచబడుతుంది మరియు 30 నిమిషాల్లో ఎగరడానికి ఏర్పాటు చేయవచ్చు. [1] ఈ విమానం బోల్ట్-టుగెథర్ అల్యూమినియం గొట్టాల నుండి తయారవుతుంది, దాని సింగిల్ ఉపరితలం లేదా ఐచ్ఛికంగా డబుల్ ఉపరితల వింగ్ డాక్రాన్ సెయిల్‌క్లాత్‌లో కప్పబడి ఉంటుంది. రెక్కకు ఒకే ట్యూబ్-రకం కింగ్‌పోస్ట్ మద్దతు ఇస్తుంది మరియు "ఎ" ఫ్రేమ్ వెయిట్-షిఫ్ట్ కంట్రోల్ బార్‌ను ఉపయోగిస్తుంది. పవర్‌ప్లాంట్ సింగిల్-సిలిండర్, ఎయిర్-కూల్డ్, టూ-స్ట్రోక్, సింగిల్-ఇగ్నిషన్ 25 హెచ్‌పి (19 కిలోవాట్) కోర్స్-ఎయిర్ ఎం 25Y ఇంజిన్, సాధారణంగా శక్తితో కూడిన పారాగ్లైడర్‌లకు ఉపయోగిస్తారు. కోర్స్-ఎయిర్ M25Y ఇంజిన్ క్లచ్ కలిగి ఉంది, ఇది ప్రొపెల్లర్‌ను నిష్క్రియ ఇంజిన్ వేగంతో ఆపడానికి అనుమతిస్తుంది. బెయిలీ ఇంజిన్ ఐచ్ఛికం. [1] [2] కోర్స్-ఎయిర్ ఇంజిన్ మరియు ఒకే ఉపరితల రెక్కతో, చీమలో ఖాళీ బరువు 76 కిలోలు (168 పౌండ్లు) మరియు స్థూల బరువు 185 కిలోల (408 ఎల్బి), ఇది 109 కిలోల (240 ఎల్బి) ఉపయోగకరమైన లోడ్‌ను ఇస్తుంది. 19 లీటర్ల పూర్తి ఇంధనంతో (4.2 ఇంప్ గల్; 5.0 యుఎస్ గాల్) పేలోడ్ 95 కిలోలు (209 ఎల్బి). [1] ప్రాథమిక క్యారేజీకి అనేక విభిన్న రెక్కలను అమర్చవచ్చు, వీటిలో ప్రాథమిక ఎరోస్ డిస్కస్ టి, నానోట్రిక్‌ల కోసం డిస్కస్ హాంగ్ గ్లైడర్ వింగ్ యొక్క వెర్షన్, రెండు పరిమాణాలలో వస్తుంది, డిస్కస్ 14 టి మరియు 15 టి. ఫాక్స్ టి వింగ్ నెమ్మదిగా మరియు యుక్తి చేసే రెక్క, దీనిని కూడా అమర్చవచ్చు. నానోట్రిక్‌ల కోసం స్వీకరించబడిన టాప్‌లెస్ హాంగ్ గ్లైడర్ వింగ్ అయిన పోరాట టి వింగ్‌తో అధిక పనితీరును పొందవచ్చు. [1] [3] టాక్ నుండి డేటా [1] సాధారణ లక్షణాల పనితీరు</v>
      </c>
      <c r="E46" s="1" t="s">
        <v>867</v>
      </c>
      <c r="F46" s="1" t="s">
        <v>184</v>
      </c>
      <c r="G46" s="1" t="str">
        <f>IFERROR(__xludf.DUMMYFUNCTION("GOOGLETRANSLATE(F:F, ""en"", ""te"")"),"అల్ట్రాలైట్ ట్రైక్")</f>
        <v>అల్ట్రాలైట్ ట్రైక్</v>
      </c>
      <c r="H46" s="1" t="s">
        <v>185</v>
      </c>
      <c r="I46" s="1" t="s">
        <v>556</v>
      </c>
      <c r="J46" s="1" t="str">
        <f>IFERROR(__xludf.DUMMYFUNCTION("GOOGLETRANSLATE(I:I, ""en"", ""te"")"),"ఉక్రెయిన్")</f>
        <v>ఉక్రెయిన్</v>
      </c>
      <c r="K46" s="3" t="s">
        <v>557</v>
      </c>
      <c r="L46" s="1" t="s">
        <v>868</v>
      </c>
      <c r="M46" s="1" t="str">
        <f>IFERROR(__xludf.DUMMYFUNCTION("GOOGLETRANSLATE(L:L, ""en"", ""te"")"),"ఎరోస్")</f>
        <v>ఎరోస్</v>
      </c>
      <c r="N46" s="3" t="s">
        <v>869</v>
      </c>
      <c r="O46" s="1" t="s">
        <v>560</v>
      </c>
      <c r="P46" s="1" t="str">
        <f>IFERROR(__xludf.DUMMYFUNCTION("GOOGLETRANSLATE(O:O, ""en"", ""te"")"),"ఉత్పత్తిలో (2018)")</f>
        <v>ఉత్పత్తిలో (2018)</v>
      </c>
      <c r="R46" s="1" t="s">
        <v>870</v>
      </c>
      <c r="S46" s="1" t="s">
        <v>133</v>
      </c>
      <c r="W46" s="1" t="s">
        <v>871</v>
      </c>
      <c r="X46" s="1" t="s">
        <v>872</v>
      </c>
      <c r="Y46" s="1" t="s">
        <v>873</v>
      </c>
      <c r="Z46" s="1" t="s">
        <v>543</v>
      </c>
      <c r="AA46" s="1" t="s">
        <v>874</v>
      </c>
      <c r="AB46" s="1" t="s">
        <v>656</v>
      </c>
      <c r="AC46" s="1" t="s">
        <v>168</v>
      </c>
      <c r="AD46" s="1" t="s">
        <v>705</v>
      </c>
      <c r="AF46" s="1" t="s">
        <v>875</v>
      </c>
      <c r="AG46" s="1" t="s">
        <v>876</v>
      </c>
      <c r="AP46" s="1" t="s">
        <v>657</v>
      </c>
      <c r="BP46" s="1" t="s">
        <v>877</v>
      </c>
    </row>
    <row r="47">
      <c r="A47" s="1" t="s">
        <v>878</v>
      </c>
      <c r="B47" s="1" t="str">
        <f>IFERROR(__xludf.DUMMYFUNCTION("GOOGLETRANSLATE(A:A, ""en"", ""te"")"),"హంగారో కాప్టర్")</f>
        <v>హంగారో కాప్టర్</v>
      </c>
      <c r="C47" s="1" t="s">
        <v>879</v>
      </c>
      <c r="D47" s="1" t="str">
        <f>IFERROR(__xludf.DUMMYFUNCTION("GOOGLETRANSLATE(C:C, ""en"", ""te"")"),"హంగారో కాప్టర్ అనేది హంగేరియన్ స్టీల్రిడర్స్ కంపెనీ యొక్క అనుబంధ సంస్థ వెర్పెలెట్కు చెందిన హంగారో కాప్టర్ లిమిటెడ్ నిర్మించిన హంగేరియన్ హెలికాప్టర్. డిజైన్ కోసం లీడ్ ఇంజనీర్ జోల్టాన్ జుహాజ్. [1] ఈ విమానం te త్సాహిక నిర్మాణానికి కిట్‌గా సరఫరా చేయబడుతుంది. "&amp;"[2] ఈ విమానం యూరోపియన్ మైక్రోలైట్ విమాన నియమాలకు అనుగుణంగా రూపొందించబడింది. ఇది సింగిల్ మెయిన్ రోటర్ మరియు టెయిల్ రోటర్, ఫెయిరింగ్‌తో సింగిల్-సీట్ల పరివేష్టిత కాక్‌పిట్ లేదా విండ్‌షీల్డ్ లేని ఓపెన్ కాక్‌పిట్, స్కిడ్ ల్యాండింగ్ గేర్ మరియు నాలుగు సిలిండర్, "&amp;"నాలుగు స్ట్రోక్ 135 హెచ్‌పి (101 కిలోవాట్) సుబారు ఇజె 22 లేదా 160 హెచ్‌పి ఉన్నాయి (119 kW) సుబారు EJ25 ఆటోమోటివ్ మార్పిడి ఇంజిన్. ఆరు-సిలిండర్ 125 హెచ్‌పి (93 కిలోవాట్) డి-మోటార్ ఎల్‌ఎఫ్ 39 పవర్‌ప్లాంట్ కూడా ఉపయోగించబడింది. [2] విమానం ఫ్యూజ్‌లేజ్ వెల్డెడ్"&amp;" స్టీల్ గొట్టాల నుండి తయారవుతుంది. దీని రెండు-బ్లేడెడ్ రోటర్ 7.0 మీ (23.0 అడుగులు) వ్యాసం కలిగి ఉంది. ఈ విమానం ఒక సాధారణ ఖాళీ బరువు 300 కిలోల (661 పౌండ్లు) మరియు స్థూల బరువు 430 కిలోలు (948 ఎల్బి), ఇది 130 కిలోల (287 ఎల్బి) ఉపయోగకరమైన లోడ్ ఇస్తుంది. [2] స"&amp;"రఫరా చేసిన కిట్ నుండి నిర్మాణ సమయం 300 గంటలుగా అంచనా వేయబడింది. [2] టాక్ నుండి డేటా [2] సాధారణ లక్షణాల పనితీరు")</f>
        <v>హంగారో కాప్టర్ అనేది హంగేరియన్ స్టీల్రిడర్స్ కంపెనీ యొక్క అనుబంధ సంస్థ వెర్పెలెట్కు చెందిన హంగారో కాప్టర్ లిమిటెడ్ నిర్మించిన హంగేరియన్ హెలికాప్టర్. డిజైన్ కోసం లీడ్ ఇంజనీర్ జోల్టాన్ జుహాజ్. [1] ఈ విమానం te త్సాహిక నిర్మాణానికి కిట్‌గా సరఫరా చేయబడుతుంది. [2] ఈ విమానం యూరోపియన్ మైక్రోలైట్ విమాన నియమాలకు అనుగుణంగా రూపొందించబడింది. ఇది సింగిల్ మెయిన్ రోటర్ మరియు టెయిల్ రోటర్, ఫెయిరింగ్‌తో సింగిల్-సీట్ల పరివేష్టిత కాక్‌పిట్ లేదా విండ్‌షీల్డ్ లేని ఓపెన్ కాక్‌పిట్, స్కిడ్ ల్యాండింగ్ గేర్ మరియు నాలుగు సిలిండర్, నాలుగు స్ట్రోక్ 135 హెచ్‌పి (101 కిలోవాట్) సుబారు ఇజె 22 లేదా 160 హెచ్‌పి ఉన్నాయి (119 kW) సుబారు EJ25 ఆటోమోటివ్ మార్పిడి ఇంజిన్. ఆరు-సిలిండర్ 125 హెచ్‌పి (93 కిలోవాట్) డి-మోటార్ ఎల్‌ఎఫ్ 39 పవర్‌ప్లాంట్ కూడా ఉపయోగించబడింది. [2] విమానం ఫ్యూజ్‌లేజ్ వెల్డెడ్ స్టీల్ గొట్టాల నుండి తయారవుతుంది. దీని రెండు-బ్లేడెడ్ రోటర్ 7.0 మీ (23.0 అడుగులు) వ్యాసం కలిగి ఉంది. ఈ విమానం ఒక సాధారణ ఖాళీ బరువు 300 కిలోల (661 పౌండ్లు) మరియు స్థూల బరువు 430 కిలోలు (948 ఎల్బి), ఇది 130 కిలోల (287 ఎల్బి) ఉపయోగకరమైన లోడ్ ఇస్తుంది. [2] సరఫరా చేసిన కిట్ నుండి నిర్మాణ సమయం 300 గంటలుగా అంచనా వేయబడింది. [2] టాక్ నుండి డేటా [2] సాధారణ లక్షణాల పనితీరు</v>
      </c>
      <c r="E47" s="1" t="s">
        <v>880</v>
      </c>
      <c r="F47" s="1" t="s">
        <v>218</v>
      </c>
      <c r="G47" s="1" t="str">
        <f>IFERROR(__xludf.DUMMYFUNCTION("GOOGLETRANSLATE(F:F, ""en"", ""te"")"),"హెలికాప్టర్")</f>
        <v>హెలికాప్టర్</v>
      </c>
      <c r="H47" s="3" t="s">
        <v>219</v>
      </c>
      <c r="I47" s="1" t="s">
        <v>881</v>
      </c>
      <c r="J47" s="1" t="str">
        <f>IFERROR(__xludf.DUMMYFUNCTION("GOOGLETRANSLATE(I:I, ""en"", ""te"")"),"హంగరీ")</f>
        <v>హంగరీ</v>
      </c>
      <c r="K47" s="3" t="s">
        <v>882</v>
      </c>
      <c r="L47" s="1" t="s">
        <v>883</v>
      </c>
      <c r="M47" s="1" t="str">
        <f>IFERROR(__xludf.DUMMYFUNCTION("GOOGLETRANSLATE(L:L, ""en"", ""te"")"),"హంగారో కాప్టర్ లిమిటెడ్")</f>
        <v>హంగారో కాప్టర్ లిమిటెడ్</v>
      </c>
      <c r="N47" s="1" t="s">
        <v>884</v>
      </c>
      <c r="O47" s="1" t="s">
        <v>885</v>
      </c>
      <c r="P47" s="1" t="str">
        <f>IFERROR(__xludf.DUMMYFUNCTION("GOOGLETRANSLATE(O:O, ""en"", ""te"")"),"ఉత్పత్తిలో (2015)")</f>
        <v>ఉత్పత్తిలో (2015)</v>
      </c>
      <c r="S47" s="1" t="s">
        <v>133</v>
      </c>
      <c r="X47" s="1" t="s">
        <v>617</v>
      </c>
      <c r="Y47" s="1" t="s">
        <v>886</v>
      </c>
      <c r="AA47" s="1" t="s">
        <v>887</v>
      </c>
      <c r="AC47" s="1" t="s">
        <v>548</v>
      </c>
      <c r="AF47" s="1" t="s">
        <v>888</v>
      </c>
      <c r="AO47" s="1" t="s">
        <v>889</v>
      </c>
      <c r="BN47" s="1" t="s">
        <v>890</v>
      </c>
      <c r="BO47" s="1" t="s">
        <v>891</v>
      </c>
    </row>
    <row r="48">
      <c r="A48" s="1" t="s">
        <v>892</v>
      </c>
      <c r="B48" s="1" t="str">
        <f>IFERROR(__xludf.DUMMYFUNCTION("GOOGLETRANSLATE(A:A, ""en"", ""te"")"),"మెడ్వెక్కి మరియు నోవాకోవ్స్కీ M.N.3")</f>
        <v>మెడ్వెక్కి మరియు నోవాకోవ్స్కీ M.N.3</v>
      </c>
      <c r="C48" s="1" t="s">
        <v>893</v>
      </c>
      <c r="D48" s="1" t="str">
        <f>IFERROR(__xludf.DUMMYFUNCTION("GOOGLETRANSLATE(C:C, ""en"", ""te"")"),"మెడ్‌వెక్కీ మరియు నోవాకోవ్స్కీ M.N.3 లేదా కేవలం M.N.3 1928 లో తక్కువ శక్తితో కూడిన, నాలుగు సీటులు, పోలిష్ విమానాలు. ఏకైక ఉదాహరణ మరింత శక్తివంతమైన రెండు-సీట్లగా సవరించబడింది, ఇది రెండవ ప్రపంచ యుద్ధం వరకు ఏరోక్లబ్‌లకు సేవలు అందించింది. అక్టోబర్ 1927 లో పోలా"&amp;"ండ్‌లో జరిగిన మొట్టమొదటి జాతీయ లైట్‌ప్లేన్ పోటీలో బలవంతపు ల్యాండింగ్‌లో మెడ్వెకి హెచ్‌ఎల్ 2 తీవ్రంగా దెబ్బతిన్న తరువాత, జోజెఫ్ మెడ్వెకి తరువాతి సంవత్సరం పోటీకి దీనిని పునర్నిర్మించకూడదని, కానీ కొత్త డిజైన్‌ను సమర్పించాలని ఎంచుకున్నాడు. జిగ్మంట్ నోవాకోవ్స్"&amp;"కీతో అతని సహకారం సింగిల్ ఇంజిన్, నాలుగు సీటులు, బ్రేస్డ్ పారాసోల్ వింగ్ M.N.3 ను ఉత్పత్తి చేసింది. వారు L.O.P.P నుండి నిధులు పొందారు మరియు మెడ్‌వెక్కీ యజమాని సమోలోట్ నుండి సహాయం పొందారు. [1] M.N.3 యొక్క వింగ్ చెక్క స్పార్స్ జతల చుట్టూ రెండు భాగాలుగా నిర్మ"&amp;"ించబడింది మరియు ప్లైవుడ్ కప్పబడి ఉంది. పైలట్ యొక్క వీక్షణ క్షేత్రాన్ని మెరుగుపరచడానికి గుండ్రని చిట్కాలు మరియు వెనుకంజలో ఉన్న అంచులో ఒక చిన్న సెంట్రల్ కటౌట్ ఉన్నప్పటికీ ఇది తప్పనిసరిగా ప్రణాళికలో దీర్ఘచతురస్రాకారంగా ఉంది. సగం రెక్కలు ఫ్యూజ్‌లేజ్‌పై చేరాయి"&amp;", తక్కువ క్యాబనేపై మద్దతు ఇచ్చాయి, కాని సమాంతర ఉక్కు గొట్టాలు, చెక్క స్ట్రీమ్‌లైన్డ్ ఫెయిరింగ్‌లలో కప్పబడి, దిగువ ఫ్యూజ్‌లేజ్ మరియు స్పార్‌ల మధ్య తేలికైన N- స్ట్రట్‌లతో గట్టిపడతాయి, ప్రాధమిక బ్రేసింగ్‌ను అందించాయి. [1] నాలుగు సీట్ల M.N.3 45 kW (60 హెచ్‌పి"&amp;") ఇంజిన్ ద్వారా శక్తినిచ్చేలా రూపొందించబడింది, అయితే ప్రారంభంలో అందుబాటులో ఉన్నదంతా రుణం మరియు పునర్వినియోగపరచబడిన అంజని 6 ఆరు సిలిండర్ రేడియల్ 34 kW (45 HP) ను ఉత్పత్తి చేసింది. ఇది అమర్చబడింది, ముక్కులో చెప్పబడింది. ఫ్యూజ్‌లేజ్ గుండ్రని ఎగువ డెక్కింగ్ క"&amp;"ాకుండా దీర్ఘచతురస్రాకార విభాగాన్ని కలిగి ఉంది మరియు రెండు టెన్డం కాక్‌పిట్‌లను కలిగి ఉంది, ప్రతి ఒక్కటి వెడల్పుగా రెండు పక్కపక్కనే కూర్చునేంత వెడల్పు. ఫార్వర్డ్ సీట్లు రెక్క కింద ఉన్నాయి మరియు మరొకటి, పైలట్ కూర్చుని, వెనుకంజలో ఉన్న అంచు క్రింద ఉంది. మెడ్వ"&amp;"ెకి హెచ్‌ఎల్ 2 లో ఉన్నట్లుగా, ఫార్వర్డ్ సీట్లు కార్-రకం తలుపు ద్వారా ప్రత్యేక తాళంతో నమోదు చేయబడ్డాయి, ఇవి ఎగువ లాంగన్ యొక్క సమగ్రతను కొనసాగించాయి; కాక్‌పిట్, రెక్క యొక్క అడ్డంకి లేకుండా, దాని వైపున ప్రవేశించవచ్చు. [1] M.N.3 యొక్క సామ్రాజ్యం సాంప్రదాయికమై"&amp;"నది, త్రిభుజాకార ఫిన్ తప్పనిసరిగా దీర్ఘచతురస్రాకార చుక్కానితో అమర్చబడి ఉంటుంది. దాని టెయిల్‌ప్లేన్ ఫ్యూజ్‌లేజ్ పైభాగంలో అమర్చబడింది మరియు కఠినంగా కలుపుతారు, అయినప్పటికీ దాని సంభవం కోణం భూమి-సర్దుబాటు. చుక్కాని కదలికను అనుమతించడానికి ఎలివేటర్లను విభజించారు"&amp;". స్థిర ల్యాండింగ్ గేర్ కూడా సాంప్రదాయకంగా ఉంది, వింగ్ స్ట్రట్ జాయింట్ల క్రింద దిగువ ఫ్యూజ్‌లేజ్ లాంగన్స్ నుండి V- స్ట్రట్‌లపై ఒకే ఇరుసుపై మెయిన్‌వీల్స్ మద్దతు ఇస్తున్నాయి. V- స్ట్రట్స్ యొక్క శిఖరాలలో రబ్బరు త్రాడులు షాక్ అబ్జార్బర్స్ గా పనిచేశాయి. [1] మొ"&amp;"దటి ఫ్లైట్ సెప్టెంబర్ 1928 చివరలో జరిగింది. శక్తి లేనప్పటికీ అది ముగ్గురు ప్రయాణీకులను తీసుకెళ్లగలిగింది మరియు బాగా నిర్వహించగలిగింది. ప్రయాణీకులు లేకుండా ఇది సాధారణ ఏరోబాటిక్స్ చేయగలదు. అక్టోబర్ చివరలో జరిగే రెండవ జాతీయ లైట్ ప్లేన్ పోటీకి విమానంలో ఇది ఇం"&amp;"జిన్ సమస్యలను ఎదుర్కొంది మరియు అత్యవసర ల్యాండింగ్ చేయవలసి వచ్చింది. [1] ల్యాండింగ్‌లో ఇది తీవ్రంగా దెబ్బతినకపోయినా, దాని డిజైనర్లు M.N.3 ను రెండు సీటర్‌గా మార్చాలని నిర్ణయించుకున్నారు, M.N.4 ను నియమించారు. పాక్షికంగా వారు వారి తుది ఉమ్మడి రూపకల్పనలో బిజీగ"&amp;"ా ఉన్నందున, మెడ్వెక్కి మరియు నోవాకోవ్స్కీ M.N.5, మరియు కొంతవరకు సమోలోట్ మూసివేయడం వల్ల, మార్పిడి 1932 వరకు పూర్తి కాలేదు. ప్రధాన మెరుగుదల అంజని ఇంజిన్‌ను 45 kW (ద్వారా భర్తీ చేయడం ( 60 హెచ్‌పి) సిరస్ III నిటారుగా నాలుగు సిలిండర్, ఎయిర్-కూల్డ్ ఇన్లైన్. అదన"&amp;"ంగా, ఫ్రంట్ కాక్‌పిట్ మరియు వింగ్ స్ట్రట్ ఫెయిరింగ్‌లు తొలగించబడ్డాయి. ఈ మార్పులు ఖాళీ బరువును 34%పెంచాయి. దీని గరిష్ట వేగం గంటకు 148 కిమీ (92 mph; 80 kn), ఇది 4 నిమిషాల 20 సెకన్లలో 1,000 మీ (3,300 అడుగులు) కు ఎక్కవచ్చు మరియు 3,900 మీ (12,800 అడుగులు) సేవ"&amp;"ా పైకప్పును కలిగి ఉంటుంది. [1] దాని సర్టిఫికేట్ ఆఫ్ ఎయిర్ విలువైనది పొందిన తరువాత, ఏకైక N.M.4 ను P.W.S. ఫ్లయింగ్ క్లబ్ సుమారు ఒక సంవత్సరం, తరువాత Gdańsk క్లబ్‌కు వెళ్లి, అది 30 ల చివరలో ఎగిరింది, అనేక సమావేశాలు మరియు ప్రాంతీయ మరియు జాతీయ పోటీలలో పాల్గొంది"&amp;". 1933 లో ఇది ఐదవ నేషనల్ లైట్ ప్లేన్ పోటీలో పోటీ పడింది. స్టీఫన్ క్రిన్స్కి చేత ఎగిరింది, ఇది ఇరవై ఆరు నుండి పదకొండవ స్థానంలో ఉంది. [1] సింక్ (1971) నుండి డేటా [1] సాధారణ లక్షణాల పనితీరు")</f>
        <v>మెడ్‌వెక్కీ మరియు నోవాకోవ్స్కీ M.N.3 లేదా కేవలం M.N.3 1928 లో తక్కువ శక్తితో కూడిన, నాలుగు సీటులు, పోలిష్ విమానాలు. ఏకైక ఉదాహరణ మరింత శక్తివంతమైన రెండు-సీట్లగా సవరించబడింది, ఇది రెండవ ప్రపంచ యుద్ధం వరకు ఏరోక్లబ్‌లకు సేవలు అందించింది. అక్టోబర్ 1927 లో పోలాండ్‌లో జరిగిన మొట్టమొదటి జాతీయ లైట్‌ప్లేన్ పోటీలో బలవంతపు ల్యాండింగ్‌లో మెడ్వెకి హెచ్‌ఎల్ 2 తీవ్రంగా దెబ్బతిన్న తరువాత, జోజెఫ్ మెడ్వెకి తరువాతి సంవత్సరం పోటీకి దీనిని పునర్నిర్మించకూడదని, కానీ కొత్త డిజైన్‌ను సమర్పించాలని ఎంచుకున్నాడు. జిగ్మంట్ నోవాకోవ్స్కీతో అతని సహకారం సింగిల్ ఇంజిన్, నాలుగు సీటులు, బ్రేస్డ్ పారాసోల్ వింగ్ M.N.3 ను ఉత్పత్తి చేసింది. వారు L.O.P.P నుండి నిధులు పొందారు మరియు మెడ్‌వెక్కీ యజమాని సమోలోట్ నుండి సహాయం పొందారు. [1] M.N.3 యొక్క వింగ్ చెక్క స్పార్స్ జతల చుట్టూ రెండు భాగాలుగా నిర్మించబడింది మరియు ప్లైవుడ్ కప్పబడి ఉంది. పైలట్ యొక్క వీక్షణ క్షేత్రాన్ని మెరుగుపరచడానికి గుండ్రని చిట్కాలు మరియు వెనుకంజలో ఉన్న అంచులో ఒక చిన్న సెంట్రల్ కటౌట్ ఉన్నప్పటికీ ఇది తప్పనిసరిగా ప్రణాళికలో దీర్ఘచతురస్రాకారంగా ఉంది. సగం రెక్కలు ఫ్యూజ్‌లేజ్‌పై చేరాయి, తక్కువ క్యాబనేపై మద్దతు ఇచ్చాయి, కాని సమాంతర ఉక్కు గొట్టాలు, చెక్క స్ట్రీమ్‌లైన్డ్ ఫెయిరింగ్‌లలో కప్పబడి, దిగువ ఫ్యూజ్‌లేజ్ మరియు స్పార్‌ల మధ్య తేలికైన N- స్ట్రట్‌లతో గట్టిపడతాయి, ప్రాధమిక బ్రేసింగ్‌ను అందించాయి. [1] నాలుగు సీట్ల M.N.3 45 kW (60 హెచ్‌పి) ఇంజిన్ ద్వారా శక్తినిచ్చేలా రూపొందించబడింది, అయితే ప్రారంభంలో అందుబాటులో ఉన్నదంతా రుణం మరియు పునర్వినియోగపరచబడిన అంజని 6 ఆరు సిలిండర్ రేడియల్ 34 kW (45 HP) ను ఉత్పత్తి చేసింది. ఇది అమర్చబడింది, ముక్కులో చెప్పబడింది. ఫ్యూజ్‌లేజ్ గుండ్రని ఎగువ డెక్కింగ్ కాకుండా దీర్ఘచతురస్రాకార విభాగాన్ని కలిగి ఉంది మరియు రెండు టెన్డం కాక్‌పిట్‌లను కలిగి ఉంది, ప్రతి ఒక్కటి వెడల్పుగా రెండు పక్కపక్కనే కూర్చునేంత వెడల్పు. ఫార్వర్డ్ సీట్లు రెక్క కింద ఉన్నాయి మరియు మరొకటి, పైలట్ కూర్చుని, వెనుకంజలో ఉన్న అంచు క్రింద ఉంది. మెడ్వెకి హెచ్‌ఎల్ 2 లో ఉన్నట్లుగా, ఫార్వర్డ్ సీట్లు కార్-రకం తలుపు ద్వారా ప్రత్యేక తాళంతో నమోదు చేయబడ్డాయి, ఇవి ఎగువ లాంగన్ యొక్క సమగ్రతను కొనసాగించాయి; కాక్‌పిట్, రెక్క యొక్క అడ్డంకి లేకుండా, దాని వైపున ప్రవేశించవచ్చు. [1] M.N.3 యొక్క సామ్రాజ్యం సాంప్రదాయికమైనది, త్రిభుజాకార ఫిన్ తప్పనిసరిగా దీర్ఘచతురస్రాకార చుక్కానితో అమర్చబడి ఉంటుంది. దాని టెయిల్‌ప్లేన్ ఫ్యూజ్‌లేజ్ పైభాగంలో అమర్చబడింది మరియు కఠినంగా కలుపుతారు, అయినప్పటికీ దాని సంభవం కోణం భూమి-సర్దుబాటు. చుక్కాని కదలికను అనుమతించడానికి ఎలివేటర్లను విభజించారు. స్థిర ల్యాండింగ్ గేర్ కూడా సాంప్రదాయకంగా ఉంది, వింగ్ స్ట్రట్ జాయింట్ల క్రింద దిగువ ఫ్యూజ్‌లేజ్ లాంగన్స్ నుండి V- స్ట్రట్‌లపై ఒకే ఇరుసుపై మెయిన్‌వీల్స్ మద్దతు ఇస్తున్నాయి. V- స్ట్రట్స్ యొక్క శిఖరాలలో రబ్బరు త్రాడులు షాక్ అబ్జార్బర్స్ గా పనిచేశాయి. [1] మొదటి ఫ్లైట్ సెప్టెంబర్ 1928 చివరలో జరిగింది. శక్తి లేనప్పటికీ అది ముగ్గురు ప్రయాణీకులను తీసుకెళ్లగలిగింది మరియు బాగా నిర్వహించగలిగింది. ప్రయాణీకులు లేకుండా ఇది సాధారణ ఏరోబాటిక్స్ చేయగలదు. అక్టోబర్ చివరలో జరిగే రెండవ జాతీయ లైట్ ప్లేన్ పోటీకి విమానంలో ఇది ఇంజిన్ సమస్యలను ఎదుర్కొంది మరియు అత్యవసర ల్యాండింగ్ చేయవలసి వచ్చింది. [1] ల్యాండింగ్‌లో ఇది తీవ్రంగా దెబ్బతినకపోయినా, దాని డిజైనర్లు M.N.3 ను రెండు సీటర్‌గా మార్చాలని నిర్ణయించుకున్నారు, M.N.4 ను నియమించారు. పాక్షికంగా వారు వారి తుది ఉమ్మడి రూపకల్పనలో బిజీగా ఉన్నందున, మెడ్వెక్కి మరియు నోవాకోవ్స్కీ M.N.5, మరియు కొంతవరకు సమోలోట్ మూసివేయడం వల్ల, మార్పిడి 1932 వరకు పూర్తి కాలేదు. ప్రధాన మెరుగుదల అంజని ఇంజిన్‌ను 45 kW (ద్వారా భర్తీ చేయడం ( 60 హెచ్‌పి) సిరస్ III నిటారుగా నాలుగు సిలిండర్, ఎయిర్-కూల్డ్ ఇన్లైన్. అదనంగా, ఫ్రంట్ కాక్‌పిట్ మరియు వింగ్ స్ట్రట్ ఫెయిరింగ్‌లు తొలగించబడ్డాయి. ఈ మార్పులు ఖాళీ బరువును 34%పెంచాయి. దీని గరిష్ట వేగం గంటకు 148 కిమీ (92 mph; 80 kn), ఇది 4 నిమిషాల 20 సెకన్లలో 1,000 మీ (3,300 అడుగులు) కు ఎక్కవచ్చు మరియు 3,900 మీ (12,800 అడుగులు) సేవా పైకప్పును కలిగి ఉంటుంది. [1] దాని సర్టిఫికేట్ ఆఫ్ ఎయిర్ విలువైనది పొందిన తరువాత, ఏకైక N.M.4 ను P.W.S. ఫ్లయింగ్ క్లబ్ సుమారు ఒక సంవత్సరం, తరువాత Gdańsk క్లబ్‌కు వెళ్లి, అది 30 ల చివరలో ఎగిరింది, అనేక సమావేశాలు మరియు ప్రాంతీయ మరియు జాతీయ పోటీలలో పాల్గొంది. 1933 లో ఇది ఐదవ నేషనల్ లైట్ ప్లేన్ పోటీలో పోటీ పడింది. స్టీఫన్ క్రిన్స్కి చేత ఎగిరింది, ఇది ఇరవై ఆరు నుండి పదకొండవ స్థానంలో ఉంది. [1] సింక్ (1971) నుండి డేటా [1] సాధారణ లక్షణాల పనితీరు</v>
      </c>
      <c r="F48" s="1" t="s">
        <v>894</v>
      </c>
      <c r="G48" s="1" t="str">
        <f>IFERROR(__xludf.DUMMYFUNCTION("GOOGLETRANSLATE(F:F, ""en"", ""te"")"),"నాలుగు సీట్ల టూరింగ్ విమానాలు")</f>
        <v>నాలుగు సీట్ల టూరింగ్ విమానాలు</v>
      </c>
      <c r="I48" s="1" t="s">
        <v>431</v>
      </c>
      <c r="J48" s="1" t="str">
        <f>IFERROR(__xludf.DUMMYFUNCTION("GOOGLETRANSLATE(I:I, ""en"", ""te"")"),"పోలాండ్")</f>
        <v>పోలాండ్</v>
      </c>
      <c r="K48" s="3" t="s">
        <v>432</v>
      </c>
      <c r="Q48" s="1">
        <v>1.0</v>
      </c>
      <c r="R48" s="1" t="s">
        <v>132</v>
      </c>
      <c r="S48" s="1" t="s">
        <v>433</v>
      </c>
      <c r="T48" s="1" t="s">
        <v>895</v>
      </c>
      <c r="U48" s="1" t="s">
        <v>896</v>
      </c>
      <c r="V48" s="1" t="s">
        <v>897</v>
      </c>
      <c r="W48" s="1" t="s">
        <v>898</v>
      </c>
      <c r="X48" s="1" t="s">
        <v>525</v>
      </c>
      <c r="Y48" s="1" t="s">
        <v>899</v>
      </c>
      <c r="AA48" s="1" t="s">
        <v>900</v>
      </c>
      <c r="AB48" s="1" t="s">
        <v>440</v>
      </c>
      <c r="AC48" s="1" t="s">
        <v>277</v>
      </c>
      <c r="AE48" s="1" t="s">
        <v>901</v>
      </c>
      <c r="AH48" s="1" t="s">
        <v>902</v>
      </c>
      <c r="AJ48" s="1" t="s">
        <v>903</v>
      </c>
      <c r="AM48" s="1" t="s">
        <v>904</v>
      </c>
      <c r="BD48" s="1" t="s">
        <v>905</v>
      </c>
      <c r="BS48" s="1" t="s">
        <v>906</v>
      </c>
    </row>
    <row r="49">
      <c r="A49" s="1" t="s">
        <v>907</v>
      </c>
      <c r="B49" s="1" t="str">
        <f>IFERROR(__xludf.DUMMYFUNCTION("GOOGLETRANSLATE(A:A, ""en"", ""te"")"),"సిలేసియా ఎస్ -3")</f>
        <v>సిలేసియా ఎస్ -3</v>
      </c>
      <c r="C49" s="1" t="s">
        <v>908</v>
      </c>
      <c r="D49" s="1" t="str">
        <f>IFERROR(__xludf.DUMMYFUNCTION("GOOGLETRANSLATE(C:C, ""en"", ""te"")"),"సిలేసియా ఎస్ -3 పోలిష్ సోపోరా బ్రదర్స్ నుండి ఎగరడానికి మొదటి డిజైన్. ఇది తక్కువ శక్తి, సింగిల్ సీటు, హై వింగ్ లైట్ విమానం. ఒకటి మాత్రమే నిర్మించబడింది మరియు దాని ఎగిరే సమయం పరిమితం చేయబడింది. ముగ్గురు సోదరులు, ఎడ్వర్డ్, పాల్ మరియు వోజ్సిచ్ సోపోరా 1923 లో "&amp;"చోర్జో వద్ద ఒక విమాన నిర్మాణ వర్క్‌షాప్‌ను ఏర్పాటు చేశారు, దీనిని పియర్‌జ్‌జా ​​అస్కా ఫాబ్రికా సమోలోటవ్ (మొదటి సిలేసియన్ ఎయిర్‌క్రాఫ్ట్ ఫ్యాక్టరీ) అని పిలిచారు. వారి మొదటి ఉత్పత్తి తేలికపాటి, తక్కువ శక్తితో కూడిన, హై వింగ్ మోనోప్లేన్, సిలేసియా ఎస్ -3. [1]"&amp;" దాని కలప-ఫ్రేమ్డ్, సన్నని సెక్షన్ వింగ్ రెండు భాగాలలో ఎగువ ఫ్యూజ్‌లేజ్ లాన్స్‌తో కలిసి ఉంది మరియు ఫాబ్రిక్ కప్పబడి ఉంది. ఇది పూర్తిగా ఎత్తైన, సెంట్రల్ కాబేన్ నుండి ఫ్యూజ్‌లేజ్ పైన మరియు దాని దిగువ నుండి ఒక చిన్న కాబేన్ నుండి వైర్-బ్రెస్ చేయబడింది. [1] సి"&amp;" -3 22 కిలోవాట్ల (30 హెచ్‌పి) హాక్ హెచ్‌ఎఫ్‌ఎం -2 తో శక్తినిచ్చింది, ఫ్లాట్-ట్విన్ దాని సిలిండర్‌లతో అమర్చబడి, శీతలీకరణ కోసం ఫ్యూజ్‌లేజ్ వెలుపల ప్రొజెక్ట్ చేస్తుంది. ఇంజిన్ వెనుక ఫ్యూజ్‌లేజ్ ఫ్లాట్-సైడెడ్, స్టీల్-ట్యూబ్ ఫ్రేమ్ యొక్క దీర్ఘచతురస్రాకార విభాగ"&amp;"ం మరియు ఫాబ్రిక్ కవరింగ్. సింగిల్, ఓపెన్ కాక్‌పిట్ ఎగువ కాబనే వెనుక ఉంది. దాని సామ్రాజ్యం కలప-ఫ్రేమ్డ్ మరియు ఫాబ్రిక్ కప్పబడి ఉంది; ఫ్యూజ్‌లేజ్ పైన ఉన్న టెయిల్‌ప్లేన్, ఒక గుండ్రని ఫిన్ పైభాగానికి వైర్ ఉంది. చుక్కాని కూడా ప్రొఫైల్‌లో గుండ్రంగా ఉంది. [1] దీ"&amp;"ని స్థిర ల్యాండింగ్ గేర్ టెయిల్స్కిడ్ రకానికి చెందినది. మెయిన్‌వీల్స్ ఒకే ఇరుసుపై ఉన్నాయి, ఇవి రెండు విలోమ గొట్టాలపై అమర్చబడి ఉన్నాయి, దిగువ ఫ్యూజ్‌లేజ్ లాంగన్స్ నుండి రెండు V- స్ట్రట్‌ల శిఖరాలలో చేరింది. [1] ఎస్ -3 అక్టోబర్ 1923 నాటికి పూర్తయింది మరియు న"&amp;"వంబర్ ఆరంభంలో ఇది లిగోటా సమీపంలోని పాన్యూవ్నికి వద్ద ఉన్న ఆర్మీ ఫీల్డ్ నుండి క్లోసెక్ చేత పైలట్ చేసిన మొదటి విమానంలో చేసింది. అనేక మార్పులు అనుసరించబడ్డాయి, ప్రత్యేకించి మొదటి విమానంలో అనుభవించిన కొన్ని రేఖాంశ స్థిరత్వ సమస్యలను పరిష్కరించాయి. నవంబర్ 16 న "&amp;"క్లోసెక్ తన అధికారిక విమాన ప్రయత్నాలను ఆర్మీ పరిశీలకుల ముందు ప్రారంభించింది. ఇది మూడు విమానాలను చేసింది, ఒక్కొక్కటి 10–15 నిమిషాలు, గంటకు 100 కిమీ (62 mph; 54 kn) వేగంతో, 70–100 మీ (230–330 అడుగులు) మరియు 120–150 మీ ల్యాండింగ్ పరుగులతో బయలుదేరింది (390–49"&amp;"0 అడుగులు). ఎస్ -3 1924 లో చిన్న విమానాలను కొనసాగించింది, కాని ల్యాండింగ్ ప్రమాదం తరువాత సోపోరాస్ వారి తదుపరి డిజైన్‌కు శక్తినిచ్చేందుకు దాని హాక్ ఇంజిన్‌ను తొలగించాలని నిర్ణయించుకుంది, సిలేసియా ఎస్ -4 మరియు ఎస్ -3 వదిలివేయబడింది. [1] జనరల్ నుండి డేటా: సి"&amp;"న్క్ (1971). [1] పనితీరు: [2] సాధారణ లక్షణాల పనితీరు")</f>
        <v>సిలేసియా ఎస్ -3 పోలిష్ సోపోరా బ్రదర్స్ నుండి ఎగరడానికి మొదటి డిజైన్. ఇది తక్కువ శక్తి, సింగిల్ సీటు, హై వింగ్ లైట్ విమానం. ఒకటి మాత్రమే నిర్మించబడింది మరియు దాని ఎగిరే సమయం పరిమితం చేయబడింది. ముగ్గురు సోదరులు, ఎడ్వర్డ్, పాల్ మరియు వోజ్సిచ్ సోపోరా 1923 లో చోర్జో వద్ద ఒక విమాన నిర్మాణ వర్క్‌షాప్‌ను ఏర్పాటు చేశారు, దీనిని పియర్‌జ్‌జా ​​అస్కా ఫాబ్రికా సమోలోటవ్ (మొదటి సిలేసియన్ ఎయిర్‌క్రాఫ్ట్ ఫ్యాక్టరీ) అని పిలిచారు. వారి మొదటి ఉత్పత్తి తేలికపాటి, తక్కువ శక్తితో కూడిన, హై వింగ్ మోనోప్లేన్, సిలేసియా ఎస్ -3. [1] దాని కలప-ఫ్రేమ్డ్, సన్నని సెక్షన్ వింగ్ రెండు భాగాలలో ఎగువ ఫ్యూజ్‌లేజ్ లాన్స్‌తో కలిసి ఉంది మరియు ఫాబ్రిక్ కప్పబడి ఉంది. ఇది పూర్తిగా ఎత్తైన, సెంట్రల్ కాబేన్ నుండి ఫ్యూజ్‌లేజ్ పైన మరియు దాని దిగువ నుండి ఒక చిన్న కాబేన్ నుండి వైర్-బ్రెస్ చేయబడింది. [1] సి -3 22 కిలోవాట్ల (30 హెచ్‌పి) హాక్ హెచ్‌ఎఫ్‌ఎం -2 తో శక్తినిచ్చింది, ఫ్లాట్-ట్విన్ దాని సిలిండర్‌లతో అమర్చబడి, శీతలీకరణ కోసం ఫ్యూజ్‌లేజ్ వెలుపల ప్రొజెక్ట్ చేస్తుంది. ఇంజిన్ వెనుక ఫ్యూజ్‌లేజ్ ఫ్లాట్-సైడెడ్, స్టీల్-ట్యూబ్ ఫ్రేమ్ యొక్క దీర్ఘచతురస్రాకార విభాగం మరియు ఫాబ్రిక్ కవరింగ్. సింగిల్, ఓపెన్ కాక్‌పిట్ ఎగువ కాబనే వెనుక ఉంది. దాని సామ్రాజ్యం కలప-ఫ్రేమ్డ్ మరియు ఫాబ్రిక్ కప్పబడి ఉంది; ఫ్యూజ్‌లేజ్ పైన ఉన్న టెయిల్‌ప్లేన్, ఒక గుండ్రని ఫిన్ పైభాగానికి వైర్ ఉంది. చుక్కాని కూడా ప్రొఫైల్‌లో గుండ్రంగా ఉంది. [1] దీని స్థిర ల్యాండింగ్ గేర్ టెయిల్స్కిడ్ రకానికి చెందినది. మెయిన్‌వీల్స్ ఒకే ఇరుసుపై ఉన్నాయి, ఇవి రెండు విలోమ గొట్టాలపై అమర్చబడి ఉన్నాయి, దిగువ ఫ్యూజ్‌లేజ్ లాంగన్స్ నుండి రెండు V- స్ట్రట్‌ల శిఖరాలలో చేరింది. [1] ఎస్ -3 అక్టోబర్ 1923 నాటికి పూర్తయింది మరియు నవంబర్ ఆరంభంలో ఇది లిగోటా సమీపంలోని పాన్యూవ్నికి వద్ద ఉన్న ఆర్మీ ఫీల్డ్ నుండి క్లోసెక్ చేత పైలట్ చేసిన మొదటి విమానంలో చేసింది. అనేక మార్పులు అనుసరించబడ్డాయి, ప్రత్యేకించి మొదటి విమానంలో అనుభవించిన కొన్ని రేఖాంశ స్థిరత్వ సమస్యలను పరిష్కరించాయి. నవంబర్ 16 న క్లోసెక్ తన అధికారిక విమాన ప్రయత్నాలను ఆర్మీ పరిశీలకుల ముందు ప్రారంభించింది. ఇది మూడు విమానాలను చేసింది, ఒక్కొక్కటి 10–15 నిమిషాలు, గంటకు 100 కిమీ (62 mph; 54 kn) వేగంతో, 70–100 మీ (230–330 అడుగులు) మరియు 120–150 మీ ల్యాండింగ్ పరుగులతో బయలుదేరింది (390–490 అడుగులు). ఎస్ -3 1924 లో చిన్న విమానాలను కొనసాగించింది, కాని ల్యాండింగ్ ప్రమాదం తరువాత సోపోరాస్ వారి తదుపరి డిజైన్‌కు శక్తినిచ్చేందుకు దాని హాక్ ఇంజిన్‌ను తొలగించాలని నిర్ణయించుకుంది, సిలేసియా ఎస్ -4 మరియు ఎస్ -3 వదిలివేయబడింది. [1] జనరల్ నుండి డేటా: సిన్క్ (1971). [1] పనితీరు: [2] సాధారణ లక్షణాల పనితీరు</v>
      </c>
      <c r="E49" s="1" t="s">
        <v>909</v>
      </c>
      <c r="F49" s="1" t="s">
        <v>910</v>
      </c>
      <c r="G49" s="1" t="str">
        <f>IFERROR(__xludf.DUMMYFUNCTION("GOOGLETRANSLATE(F:F, ""en"", ""te"")"),"సింగిల్ సీట్ లైట్ విమానం")</f>
        <v>సింగిల్ సీట్ లైట్ విమానం</v>
      </c>
      <c r="I49" s="1" t="s">
        <v>431</v>
      </c>
      <c r="J49" s="1" t="str">
        <f>IFERROR(__xludf.DUMMYFUNCTION("GOOGLETRANSLATE(I:I, ""en"", ""te"")"),"పోలాండ్")</f>
        <v>పోలాండ్</v>
      </c>
      <c r="K49" s="3" t="s">
        <v>432</v>
      </c>
      <c r="L49" s="1" t="s">
        <v>911</v>
      </c>
      <c r="M49" s="1" t="str">
        <f>IFERROR(__xludf.DUMMYFUNCTION("GOOGLETRANSLATE(L:L, ""en"", ""te"")"),"పియర్వ్స్జా śląska ఫాబ్రికా సమోలోటవ్")</f>
        <v>పియర్వ్స్జా śląska ఫాబ్రికా సమోలోటవ్</v>
      </c>
      <c r="Q49" s="1">
        <v>1.0</v>
      </c>
      <c r="S49" s="1" t="s">
        <v>433</v>
      </c>
      <c r="U49" s="1" t="s">
        <v>912</v>
      </c>
      <c r="V49" s="1" t="s">
        <v>802</v>
      </c>
      <c r="W49" s="1" t="s">
        <v>436</v>
      </c>
      <c r="X49" s="1" t="s">
        <v>913</v>
      </c>
      <c r="Y49" s="1" t="s">
        <v>886</v>
      </c>
      <c r="AA49" s="1" t="s">
        <v>914</v>
      </c>
      <c r="AB49" s="1" t="s">
        <v>440</v>
      </c>
      <c r="AC49" s="1" t="s">
        <v>915</v>
      </c>
      <c r="AD49" s="1" t="s">
        <v>916</v>
      </c>
      <c r="AE49" s="1" t="s">
        <v>917</v>
      </c>
      <c r="AH49" s="1" t="s">
        <v>918</v>
      </c>
      <c r="AJ49" s="1" t="s">
        <v>919</v>
      </c>
      <c r="AM49" s="1" t="s">
        <v>920</v>
      </c>
      <c r="AP49" s="1" t="s">
        <v>921</v>
      </c>
    </row>
    <row r="50">
      <c r="A50" s="1" t="s">
        <v>922</v>
      </c>
      <c r="B50" s="1" t="str">
        <f>IFERROR(__xludf.DUMMYFUNCTION("GOOGLETRANSLATE(A:A, ""en"", ""te"")"),"బోలాండ్ 1911 సాంప్రదాయ బైప్లేన్")</f>
        <v>బోలాండ్ 1911 సాంప్రదాయ బైప్లేన్</v>
      </c>
      <c r="C50" s="1" t="s">
        <v>923</v>
      </c>
      <c r="D50" s="1" t="str">
        <f>IFERROR(__xludf.DUMMYFUNCTION("GOOGLETRANSLATE(C:C, ""en"", ""te"")"),"బోలాండ్ 1911 సాంప్రదాయిక బిప్‌లేన్ ఒక అమెరికన్ మార్గదర్శక విమానం. 1911-1912 శీతాకాలంలో, ఫ్రాంక్ బోలాండ్ సాంప్రదాయ పషర్ బైప్‌లాన్‌ను నిర్మించాడు. మునుపటి 3 సంవత్సరాలుగా అతను నిర్మిస్తున్న టైలెస్ విమానాలతో పోల్చడానికి బోలాండ్ ఈ విమానాన్ని నిర్మించాడు. [1] ఫ"&amp;"్రాంక్ బోలాండ్ అతను సాంప్రదాయిక బైప్‌లేన్ యొక్క డైనమిక్స్‌ను పూర్తిగా అర్థం చేసుకున్నాడని నిర్ధారించుకోవాలనుకున్నాడు, కాబట్టి 1911-12 శీతాకాలంలో, అతను లాంగ్ ఐలాండ్‌లోని మినోలాలో తన సొంత డిజైన్ యొక్క విమానాన్ని నిర్మించాడు. ఈ సాంప్రదాయిక పషర్ బిప్‌లేన్ ఒకద"&amp;"ానితో ఒకటి అనుసంధానించబడిన మరియు వెనుక ఎలివేటర్‌ను కలిగి ఉంది. కదిలే చుక్కాని వెనుక భాగంలో అమర్చబడి ఉంటుంది. వింగ్ వార్పింగ్ ఉపయోగించి రోల్ కంట్రోల్ సాధించబడింది. బోలాండ్ ఈ విమానాన్ని తన అసాధారణమైన టైలెస్ 'జిబ్బెడ్' బిప్‌లేన్ యొక్క పనితీరుకు విరుద్ధంగా ఉప"&amp;"యోగించాడు. బోలాండ్ శీతాకాలమంతా మినోలా యొక్క మంచు పొలాలలో ఈ విమానం ఎగిరింది. ఈ విమానం ఒక ఇరుసు మరియు ఒక జత చక్రాల కోసం రూపొందించబడింది, కానీ అవి ఎప్పుడూ అమర్చబడలేదు. మంచుతో నిండిన పరిస్థితులలో, కేవలం స్కిడ్లను ఉపయోగించి బయలుదేరడం మరియు ల్యాండింగ్ చేయడం మంచ"&amp;"ిది. [1] బోలాండ్ నిర్మించిన ఏకైక సాంప్రదాయిక బైప్‌లాన్ ఇది. శీతాకాలంలో ఈ విమానం ఎగురుతున్న తరువాత, అతను వసంతకాలంలో విమానాన్ని విడదీసి, తన టైలెస్ విమానాల అభివృద్ధికి తిరిగి వచ్చాడు. [1] ఏరోనాటిక్స్ మ్యాగజైన్ నుండి ఫిబ్రవరి 1912 సంచిక నుండి వింగ్ వార్పింగ్ "&amp;"సిస్టమ్ యొక్క ఆపరేషన్ కుడి వైపున వివరించబడింది: ""స్టీరింగ్ లివర్‌ను ing పుతూ రెక్కలను వార్ప్ చేయవచ్చు. ఒక వైపు వార్పేడ్ చేయబడినప్పుడు, మరొక వైపు గాలి కింద వంగడానికి ఉచితం పీడనం. వార్పింగ్ వైర్లు సాధారణంగా గట్టిగా ఉంటాయి మరియు ఈ పక్కటెముకలను వాటి సాధారణ వ"&amp;"క్రరేఖకు వంగి ఉంటాయి. వక్రరేఖ 21/3 అంగుళాల లోతులో, 16 అంగుళాల వెనుక ఉంది. ముందు మరియు వెనుక కిరణాలు భూమి నుండి సరిగ్గా ఒకే ఎత్తులో ఉంటాయి, పక్కటెముకలు వెళ్తాయి వెనుక పుంజం కింద. ""[1] సాధారణ లక్షణాల పనితీరు")</f>
        <v>బోలాండ్ 1911 సాంప్రదాయిక బిప్‌లేన్ ఒక అమెరికన్ మార్గదర్శక విమానం. 1911-1912 శీతాకాలంలో, ఫ్రాంక్ బోలాండ్ సాంప్రదాయ పషర్ బైప్‌లాన్‌ను నిర్మించాడు. మునుపటి 3 సంవత్సరాలుగా అతను నిర్మిస్తున్న టైలెస్ విమానాలతో పోల్చడానికి బోలాండ్ ఈ విమానాన్ని నిర్మించాడు. [1] ఫ్రాంక్ బోలాండ్ అతను సాంప్రదాయిక బైప్‌లేన్ యొక్క డైనమిక్స్‌ను పూర్తిగా అర్థం చేసుకున్నాడని నిర్ధారించుకోవాలనుకున్నాడు, కాబట్టి 1911-12 శీతాకాలంలో, అతను లాంగ్ ఐలాండ్‌లోని మినోలాలో తన సొంత డిజైన్ యొక్క విమానాన్ని నిర్మించాడు. ఈ సాంప్రదాయిక పషర్ బిప్‌లేన్ ఒకదానితో ఒకటి అనుసంధానించబడిన మరియు వెనుక ఎలివేటర్‌ను కలిగి ఉంది. కదిలే చుక్కాని వెనుక భాగంలో అమర్చబడి ఉంటుంది. వింగ్ వార్పింగ్ ఉపయోగించి రోల్ కంట్రోల్ సాధించబడింది. బోలాండ్ ఈ విమానాన్ని తన అసాధారణమైన టైలెస్ 'జిబ్బెడ్' బిప్‌లేన్ యొక్క పనితీరుకు విరుద్ధంగా ఉపయోగించాడు. బోలాండ్ శీతాకాలమంతా మినోలా యొక్క మంచు పొలాలలో ఈ విమానం ఎగిరింది. ఈ విమానం ఒక ఇరుసు మరియు ఒక జత చక్రాల కోసం రూపొందించబడింది, కానీ అవి ఎప్పుడూ అమర్చబడలేదు. మంచుతో నిండిన పరిస్థితులలో, కేవలం స్కిడ్లను ఉపయోగించి బయలుదేరడం మరియు ల్యాండింగ్ చేయడం మంచిది. [1] బోలాండ్ నిర్మించిన ఏకైక సాంప్రదాయిక బైప్‌లాన్ ఇది. శీతాకాలంలో ఈ విమానం ఎగురుతున్న తరువాత, అతను వసంతకాలంలో విమానాన్ని విడదీసి, తన టైలెస్ విమానాల అభివృద్ధికి తిరిగి వచ్చాడు. [1] ఏరోనాటిక్స్ మ్యాగజైన్ నుండి ఫిబ్రవరి 1912 సంచిక నుండి వింగ్ వార్పింగ్ సిస్టమ్ యొక్క ఆపరేషన్ కుడి వైపున వివరించబడింది: "స్టీరింగ్ లివర్‌ను ing పుతూ రెక్కలను వార్ప్ చేయవచ్చు. ఒక వైపు వార్పేడ్ చేయబడినప్పుడు, మరొక వైపు గాలి కింద వంగడానికి ఉచితం పీడనం. వార్పింగ్ వైర్లు సాధారణంగా గట్టిగా ఉంటాయి మరియు ఈ పక్కటెముకలను వాటి సాధారణ వక్రరేఖకు వంగి ఉంటాయి. వక్రరేఖ 21/3 అంగుళాల లోతులో, 16 అంగుళాల వెనుక ఉంది. ముందు మరియు వెనుక కిరణాలు భూమి నుండి సరిగ్గా ఒకే ఎత్తులో ఉంటాయి, పక్కటెముకలు వెళ్తాయి వెనుక పుంజం కింద. "[1] సాధారణ లక్షణాల పనితీరు</v>
      </c>
      <c r="E50" s="1" t="s">
        <v>924</v>
      </c>
      <c r="F50" s="1" t="s">
        <v>723</v>
      </c>
      <c r="G50" s="1" t="str">
        <f>IFERROR(__xludf.DUMMYFUNCTION("GOOGLETRANSLATE(F:F, ""en"", ""te"")"),"పయనీర్ శకం విమానం")</f>
        <v>పయనీర్ శకం విమానం</v>
      </c>
      <c r="H50" s="1" t="s">
        <v>724</v>
      </c>
      <c r="I50" s="1" t="s">
        <v>127</v>
      </c>
      <c r="J50" s="1" t="str">
        <f>IFERROR(__xludf.DUMMYFUNCTION("GOOGLETRANSLATE(I:I, ""en"", ""te"")"),"సంయుక్త రాష్ట్రాలు")</f>
        <v>సంయుక్త రాష్ట్రాలు</v>
      </c>
      <c r="K50" s="1" t="s">
        <v>128</v>
      </c>
      <c r="L50" s="1" t="s">
        <v>725</v>
      </c>
      <c r="M50" s="1" t="str">
        <f>IFERROR(__xludf.DUMMYFUNCTION("GOOGLETRANSLATE(L:L, ""en"", ""te"")"),"బోలాండ్ విమానం మరియు మోటారు సంస్థ")</f>
        <v>బోలాండ్ విమానం మరియు మోటారు సంస్థ</v>
      </c>
      <c r="N50" s="1" t="s">
        <v>726</v>
      </c>
      <c r="Q50" s="1">
        <v>1.0</v>
      </c>
      <c r="S50" s="1">
        <v>1.0</v>
      </c>
      <c r="V50" s="1" t="s">
        <v>925</v>
      </c>
      <c r="Y50" s="1" t="s">
        <v>926</v>
      </c>
      <c r="Z50" s="1" t="s">
        <v>927</v>
      </c>
      <c r="AA50" s="1" t="s">
        <v>730</v>
      </c>
      <c r="AB50" s="1" t="s">
        <v>440</v>
      </c>
      <c r="AH50" s="1" t="s">
        <v>731</v>
      </c>
      <c r="AI50" s="1" t="s">
        <v>732</v>
      </c>
      <c r="AJ50" s="1">
        <v>1911.0</v>
      </c>
      <c r="AP50" s="1" t="s">
        <v>928</v>
      </c>
      <c r="AT50" s="1" t="s">
        <v>720</v>
      </c>
      <c r="AU50" s="1" t="s">
        <v>929</v>
      </c>
    </row>
    <row r="51">
      <c r="A51" s="1" t="s">
        <v>930</v>
      </c>
      <c r="B51" s="1" t="str">
        <f>IFERROR(__xludf.DUMMYFUNCTION("GOOGLETRANSLATE(A:A, ""en"", ""te"")"),"ఏరోస్టార్ AG-6")</f>
        <v>ఏరోస్టార్ AG-6</v>
      </c>
      <c r="C51" s="1" t="s">
        <v>931</v>
      </c>
      <c r="D51" s="1" t="str">
        <f>IFERROR(__xludf.DUMMYFUNCTION("GOOGLETRANSLATE(C:C, ""en"", ""te"")"),"ఏరోస్టార్ AG-6 (IAR AG-6 అని కూడా పిలుస్తారు) 1980 ల చివరలో ఒక ప్రోటోటైప్ రొమేనియన్ వ్యవసాయ విమానం, ఇది బాకౌ యొక్క IAV కోసం అభివృద్ధి చేయబడింది. ఈ సంస్థను తరువాత ఏరోస్టార్ అని పిలుస్తారు. AG-6 సింగిల్-ఇంజిన్ బిప్‌లేన్, వీటిలో ఒకే ఉదాహరణ నిర్మించబడింది, ఉత"&amp;"్పత్తి అనుసరించబడలేదు. 1986 లో, ఇంజనీర్ కాన్స్టాంటిన్ రోస్కా నేతృత్వంలోని ఒక బృందం రొమేనియన్ ఏవియేషన్ ఇన్స్టిట్యూట్లో సింగిల్-ఇంజిన్ వ్యవసాయ విమానాల రూపకల్పనపై పని ప్రారంభించింది, AG-6. [1] AG-6 అనేది సింగిల్-ఇంజిన్ ట్రాక్టర్ బైప్‌లేన్, ఇది స్థిర టెయిల్‌వ"&amp;"ీల్ అండర్ క్యారేజీతో, [2] మరియు అమెరికన్ గ్రుమ్మన్ ఎగ్-క్యాట్‌కు సమానమైన లేఅవుట్ కలిగి ఉంది. [1] విమానం యొక్క ఫ్యూజ్‌లేజ్ వెల్డెడ్ స్టీల్ ట్యూబ్ నిర్మాణంతో ఉంది, ఫార్వర్డ్ ఫ్యూజ్‌లేజ్ మరియు రెక్కలు డ్యూరాలిమిన్ మరియు వెనుక ఫ్యూజ్‌లేజ్ ఫాబ్రిక్ కప్పబడి ఉన్"&amp;"నాయి. పైలట్ రెక్కల యొక్క పరివేష్టిత కాక్‌పిట్ వెనుక కూర్చున్నాడు, ద్రవ లేదా శక్తితో కూడిన వ్యవసాయ రసాయనాల కోసం గ్లాస్‌ఫైబర్ హాప్పర్‌తో కాక్‌పిట్ ముందుకు అమర్చారు. ఈ విమానం సోవియట్ వేదెనియేవ్ M14P రేడియల్ ఇంజిన్ చేత శక్తిని పొందింది, ఇది 190 కిలోవాట్ల (260"&amp;" హెచ్‌పి) వద్ద రేట్ చేయబడింది, ఇది రెండు బ్లేడెడ్ వేరియబుల్-పిచ్ ప్రొపెల్లర్‌ను నడిపించింది. [2] IAV (ఇంట్రెప్రిండెరియా డి ఏవియోన్) (ఇప్పుడు ఏరోస్టార్) యొక్క బాకౌ ఫ్యాక్టరీలో ఒక నమూనాను నిర్మించారు, ఇది 12 జనవరి 1989 న మొదటి విమానంలో ఉంది. [3] 1991 లో, రొ"&amp;"మేనియన్ విమాన పరిశ్రమ ప్రైవేటీకరించబడింది, కాని ఆర్థిక కొరత ఫలితంగా AG-6 తో సహా అనేక ప్రాజెక్టులు వదలివేయబడ్డాయి. [4] ఒకే నమూనా మాత్రమే నిర్మించబడింది. [5] జేన్ యొక్క అన్ని ప్రపంచ విమానాల నుండి డేటా 1992-93 [2] సాధారణ లక్షణాల పనితీరు")</f>
        <v>ఏరోస్టార్ AG-6 (IAR AG-6 అని కూడా పిలుస్తారు) 1980 ల చివరలో ఒక ప్రోటోటైప్ రొమేనియన్ వ్యవసాయ విమానం, ఇది బాకౌ యొక్క IAV కోసం అభివృద్ధి చేయబడింది. ఈ సంస్థను తరువాత ఏరోస్టార్ అని పిలుస్తారు. AG-6 సింగిల్-ఇంజిన్ బిప్‌లేన్, వీటిలో ఒకే ఉదాహరణ నిర్మించబడింది, ఉత్పత్తి అనుసరించబడలేదు. 1986 లో, ఇంజనీర్ కాన్స్టాంటిన్ రోస్కా నేతృత్వంలోని ఒక బృందం రొమేనియన్ ఏవియేషన్ ఇన్స్టిట్యూట్లో సింగిల్-ఇంజిన్ వ్యవసాయ విమానాల రూపకల్పనపై పని ప్రారంభించింది, AG-6. [1] AG-6 అనేది సింగిల్-ఇంజిన్ ట్రాక్టర్ బైప్‌లేన్, ఇది స్థిర టెయిల్‌వీల్ అండర్ క్యారేజీతో, [2] మరియు అమెరికన్ గ్రుమ్మన్ ఎగ్-క్యాట్‌కు సమానమైన లేఅవుట్ కలిగి ఉంది. [1] విమానం యొక్క ఫ్యూజ్‌లేజ్ వెల్డెడ్ స్టీల్ ట్యూబ్ నిర్మాణంతో ఉంది, ఫార్వర్డ్ ఫ్యూజ్‌లేజ్ మరియు రెక్కలు డ్యూరాలిమిన్ మరియు వెనుక ఫ్యూజ్‌లేజ్ ఫాబ్రిక్ కప్పబడి ఉన్నాయి. పైలట్ రెక్కల యొక్క పరివేష్టిత కాక్‌పిట్ వెనుక కూర్చున్నాడు, ద్రవ లేదా శక్తితో కూడిన వ్యవసాయ రసాయనాల కోసం గ్లాస్‌ఫైబర్ హాప్పర్‌తో కాక్‌పిట్ ముందుకు అమర్చారు. ఈ విమానం సోవియట్ వేదెనియేవ్ M14P రేడియల్ ఇంజిన్ చేత శక్తిని పొందింది, ఇది 190 కిలోవాట్ల (260 హెచ్‌పి) వద్ద రేట్ చేయబడింది, ఇది రెండు బ్లేడెడ్ వేరియబుల్-పిచ్ ప్రొపెల్లర్‌ను నడిపించింది. [2] IAV (ఇంట్రెప్రిండెరియా డి ఏవియోన్) (ఇప్పుడు ఏరోస్టార్) యొక్క బాకౌ ఫ్యాక్టరీలో ఒక నమూనాను నిర్మించారు, ఇది 12 జనవరి 1989 న మొదటి విమానంలో ఉంది. [3] 1991 లో, రొమేనియన్ విమాన పరిశ్రమ ప్రైవేటీకరించబడింది, కాని ఆర్థిక కొరత ఫలితంగా AG-6 తో సహా అనేక ప్రాజెక్టులు వదలివేయబడ్డాయి. [4] ఒకే నమూనా మాత్రమే నిర్మించబడింది. [5] జేన్ యొక్క అన్ని ప్రపంచ విమానాల నుండి డేటా 1992-93 [2] సాధారణ లక్షణాల పనితీరు</v>
      </c>
      <c r="F51" s="1" t="s">
        <v>932</v>
      </c>
      <c r="G51" s="1" t="str">
        <f>IFERROR(__xludf.DUMMYFUNCTION("GOOGLETRANSLATE(F:F, ""en"", ""te"")"),"వ్యవసాయ విమానం")</f>
        <v>వ్యవసాయ విమానం</v>
      </c>
      <c r="I51" s="1" t="s">
        <v>933</v>
      </c>
      <c r="J51" s="1" t="str">
        <f>IFERROR(__xludf.DUMMYFUNCTION("GOOGLETRANSLATE(I:I, ""en"", ""te"")"),"రొమేనియా")</f>
        <v>రొమేనియా</v>
      </c>
      <c r="K51" s="3" t="s">
        <v>934</v>
      </c>
      <c r="L51" s="1" t="s">
        <v>935</v>
      </c>
      <c r="M51" s="1" t="str">
        <f>IFERROR(__xludf.DUMMYFUNCTION("GOOGLETRANSLATE(L:L, ""en"", ""te"")"),"ఏరోస్టార్")</f>
        <v>ఏరోస్టార్</v>
      </c>
      <c r="N51" s="3" t="s">
        <v>936</v>
      </c>
      <c r="O51" s="1" t="s">
        <v>937</v>
      </c>
      <c r="P51" s="1" t="str">
        <f>IFERROR(__xludf.DUMMYFUNCTION("GOOGLETRANSLATE(O:O, ""en"", ""te"")"),"ప్రోటోటైప్ మాత్రమే")</f>
        <v>ప్రోటోటైప్ మాత్రమే</v>
      </c>
      <c r="Q51" s="1">
        <v>1.0</v>
      </c>
      <c r="S51" s="1">
        <v>1.0</v>
      </c>
      <c r="T51" s="1" t="s">
        <v>938</v>
      </c>
      <c r="U51" s="1" t="s">
        <v>939</v>
      </c>
      <c r="W51" s="1" t="s">
        <v>940</v>
      </c>
      <c r="X51" s="1" t="s">
        <v>941</v>
      </c>
      <c r="Z51" s="1" t="s">
        <v>942</v>
      </c>
      <c r="AA51" s="1" t="s">
        <v>943</v>
      </c>
      <c r="AC51" s="1" t="s">
        <v>944</v>
      </c>
      <c r="AD51" s="1" t="s">
        <v>945</v>
      </c>
      <c r="AE51" s="1" t="s">
        <v>946</v>
      </c>
      <c r="AF51" s="1" t="s">
        <v>875</v>
      </c>
      <c r="AJ51" s="5">
        <v>32520.0</v>
      </c>
      <c r="AM51" s="1" t="s">
        <v>947</v>
      </c>
      <c r="AN51" s="1" t="s">
        <v>948</v>
      </c>
      <c r="AP51" s="1" t="s">
        <v>235</v>
      </c>
      <c r="AR51" s="1" t="s">
        <v>949</v>
      </c>
      <c r="BT51" s="1" t="s">
        <v>950</v>
      </c>
      <c r="CI51" s="1" t="s">
        <v>951</v>
      </c>
    </row>
    <row r="52">
      <c r="A52" s="1" t="s">
        <v>952</v>
      </c>
      <c r="B52" s="1" t="str">
        <f>IFERROR(__xludf.DUMMYFUNCTION("GOOGLETRANSLATE(A:A, ""en"", ""te"")"),"అవియోలాండా ఎట్ -21")</f>
        <v>అవియోలాండా ఎట్ -21</v>
      </c>
      <c r="C52" s="1" t="s">
        <v>953</v>
      </c>
      <c r="D52" s="1" t="str">
        <f>IFERROR(__xludf.DUMMYFUNCTION("GOOGLETRANSLATE(C:C, ""en"", ""te"")"),"అవియోలాండా AT-21 అనేది నెదర్లాండ్స్‌లో అవియోలాండా అభివృద్ధి చేసిన టార్గెట్ డ్రోన్. పల్సెజెట్ ఇంజిన్‌తో నడిచే, ఇది నెదర్లాండ్స్ యొక్క మొట్టమొదటి డ్రోన్ విజయవంతంగా అభివృద్ధి చేయబడినది మరియు 1950 ల చివరలో మరియు 1960 ల ప్రారంభంలో పరిమిత ఉపయోగాన్ని చూసింది. 19"&amp;"55 లో అభివృద్ధి చేయబడింది, [1] AT-21 సాంప్రదాయ విమాన రూపకల్పన, [2] అధిక-మౌంటెడ్, స్థిరమైన-తీగ మోనోప్లేన్ వింగ్ మరియు జంట తోక సామ్రాజ్యం. విమానం యొక్క ఫ్యూజ్‌లేజ్ కింద ఒక ఫెయిరింగ్‌లో అమర్చబడిన స్నెక్మా AS-11 ఎక్రివిస్ పల్సెజెట్ ద్వారా శక్తిని అందించారు; ఎ"&amp;"యిర్ఫ్రేమ్ నిర్మాణం ముక్కు మరియు తోకలో ప్లాస్టిక్‌ను విస్తృతంగా ఉపయోగించుకుంది, సెంటర్-సెక్షన్ లోహ నిర్మాణంతో ఉంది, మరియు రెక్కలు మరియు తోకను లోహంతో నిండిన ప్లాస్టిక్‌తో మెటల్ స్టెబిలైజర్లు మరియు రడ్డర్‌లతో తయారు చేశారు. [1] ప్రయోగం సున్నా-పొడవు ప్రయోగ రా"&amp;"ంప్ నుండి జాటో-రకం బూస్టర్ రాకెట్స్ ద్వారా; రన్వే నుండి సాంప్రదాయిక టేకాఫ్ కోసం ట్రాలీ కూడా అందుబాటులో ఉంది. విమాన కాక్‌పిట్ లాగా ఏర్పాటు చేయబడిన రిమోట్ గైడెన్స్ స్టేషన్ నుండి రేడియో ఆదేశాల ద్వారా నియంత్రణ ఉంది; రేడియో పరిచయం పోయినట్లయితే, పారాచూట్ రికవరీ"&amp;" సిస్టమ్ స్వయంచాలకంగా అమలు చేస్తుంది. పారాచూట్లను మిషన్ చివరిలో మానవీయంగా విడుదల చేయవచ్చు; రికవరీని సరళీకృతం చేయడానికి మరియు ప్రక్రియ సమయంలో నష్టపరిహారాన్ని తగ్గించడానికి ల్యాండింగ్ పై రెక్కలు మరియు తోక పేలుడు బోల్ట్‌ల ద్వారా వేరు చేయబడతాయి. [1] ఓర్పు ఒక "&amp;"గంట వరకు ఉంది, మరియు వైమానిక నిఘా విధుల కోసం కెమెరాల పేలోడ్‌ను అమర్చడం సాధ్యమైంది. [3] AT-21 యొక్క మొదటి ఫ్లైట్ 1955 చివరలో జరిగింది. [1] విజయవంతంగా అభివృద్ధి చేసిన మొదటి డచ్ డ్రోన్, [3] ఇది రాయల్ డచ్ నేవీతో సేవలోకి ప్రవేశించింది. [4] AT-21 యొక్క ఉత్పత్తి"&amp;" 1958 వరకు కొనసాగింది. [5] ఆర్డ్వే మరియు వేక్ఫోర్డ్ నుండి డేటా, [3] జేన్ యొక్క అన్ని ప్రపంచ విమానాలు 1958-59 [6] పోల్చదగిన పాత్ర, కాన్ఫిగరేషన్ మరియు ERA సంబంధిత జాబితాల సాధారణ లక్షణాల పనితీరు విమానం")</f>
        <v>అవియోలాండా AT-21 అనేది నెదర్లాండ్స్‌లో అవియోలాండా అభివృద్ధి చేసిన టార్గెట్ డ్రోన్. పల్సెజెట్ ఇంజిన్‌తో నడిచే, ఇది నెదర్లాండ్స్ యొక్క మొట్టమొదటి డ్రోన్ విజయవంతంగా అభివృద్ధి చేయబడినది మరియు 1950 ల చివరలో మరియు 1960 ల ప్రారంభంలో పరిమిత ఉపయోగాన్ని చూసింది. 1955 లో అభివృద్ధి చేయబడింది, [1] AT-21 సాంప్రదాయ విమాన రూపకల్పన, [2] అధిక-మౌంటెడ్, స్థిరమైన-తీగ మోనోప్లేన్ వింగ్ మరియు జంట తోక సామ్రాజ్యం. విమానం యొక్క ఫ్యూజ్‌లేజ్ కింద ఒక ఫెయిరింగ్‌లో అమర్చబడిన స్నెక్మా AS-11 ఎక్రివిస్ పల్సెజెట్ ద్వారా శక్తిని అందించారు; ఎయిర్ఫ్రేమ్ నిర్మాణం ముక్కు మరియు తోకలో ప్లాస్టిక్‌ను విస్తృతంగా ఉపయోగించుకుంది, సెంటర్-సెక్షన్ లోహ నిర్మాణంతో ఉంది, మరియు రెక్కలు మరియు తోకను లోహంతో నిండిన ప్లాస్టిక్‌తో మెటల్ స్టెబిలైజర్లు మరియు రడ్డర్‌లతో తయారు చేశారు. [1] ప్రయోగం సున్నా-పొడవు ప్రయోగ రాంప్ నుండి జాటో-రకం బూస్టర్ రాకెట్స్ ద్వారా; రన్వే నుండి సాంప్రదాయిక టేకాఫ్ కోసం ట్రాలీ కూడా అందుబాటులో ఉంది. విమాన కాక్‌పిట్ లాగా ఏర్పాటు చేయబడిన రిమోట్ గైడెన్స్ స్టేషన్ నుండి రేడియో ఆదేశాల ద్వారా నియంత్రణ ఉంది; రేడియో పరిచయం పోయినట్లయితే, పారాచూట్ రికవరీ సిస్టమ్ స్వయంచాలకంగా అమలు చేస్తుంది. పారాచూట్లను మిషన్ చివరిలో మానవీయంగా విడుదల చేయవచ్చు; రికవరీని సరళీకృతం చేయడానికి మరియు ప్రక్రియ సమయంలో నష్టపరిహారాన్ని తగ్గించడానికి ల్యాండింగ్ పై రెక్కలు మరియు తోక పేలుడు బోల్ట్‌ల ద్వారా వేరు చేయబడతాయి. [1] ఓర్పు ఒక గంట వరకు ఉంది, మరియు వైమానిక నిఘా విధుల కోసం కెమెరాల పేలోడ్‌ను అమర్చడం సాధ్యమైంది. [3] AT-21 యొక్క మొదటి ఫ్లైట్ 1955 చివరలో జరిగింది. [1] విజయవంతంగా అభివృద్ధి చేసిన మొదటి డచ్ డ్రోన్, [3] ఇది రాయల్ డచ్ నేవీతో సేవలోకి ప్రవేశించింది. [4] AT-21 యొక్క ఉత్పత్తి 1958 వరకు కొనసాగింది. [5] ఆర్డ్వే మరియు వేక్ఫోర్డ్ నుండి డేటా, [3] జేన్ యొక్క అన్ని ప్రపంచ విమానాలు 1958-59 [6] పోల్చదగిన పాత్ర, కాన్ఫిగరేషన్ మరియు ERA సంబంధిత జాబితాల సాధారణ లక్షణాల పనితీరు విమానం</v>
      </c>
      <c r="F52" s="1" t="s">
        <v>954</v>
      </c>
      <c r="G52" s="1" t="str">
        <f>IFERROR(__xludf.DUMMYFUNCTION("GOOGLETRANSLATE(F:F, ""en"", ""te"")"),"టార్గెట్ డ్రోన్")</f>
        <v>టార్గెట్ డ్రోన్</v>
      </c>
      <c r="I52" s="1" t="s">
        <v>955</v>
      </c>
      <c r="J52" s="1" t="str">
        <f>IFERROR(__xludf.DUMMYFUNCTION("GOOGLETRANSLATE(I:I, ""en"", ""te"")"),"నెదర్లాండ్స్")</f>
        <v>నెదర్లాండ్స్</v>
      </c>
      <c r="L52" s="1" t="s">
        <v>956</v>
      </c>
      <c r="M52" s="1" t="str">
        <f>IFERROR(__xludf.DUMMYFUNCTION("GOOGLETRANSLATE(L:L, ""en"", ""te"")"),"అవియోలాండా")</f>
        <v>అవియోలాండా</v>
      </c>
      <c r="N52" s="3" t="s">
        <v>957</v>
      </c>
      <c r="U52" s="1" t="s">
        <v>578</v>
      </c>
      <c r="V52" s="1" t="s">
        <v>958</v>
      </c>
      <c r="W52" s="1" t="s">
        <v>959</v>
      </c>
      <c r="X52" s="1" t="s">
        <v>702</v>
      </c>
      <c r="Y52" s="1" t="s">
        <v>617</v>
      </c>
      <c r="Z52" s="1" t="s">
        <v>960</v>
      </c>
      <c r="AA52" s="1" t="s">
        <v>961</v>
      </c>
      <c r="AC52" s="1" t="s">
        <v>962</v>
      </c>
      <c r="AF52" s="1" t="s">
        <v>963</v>
      </c>
      <c r="AJ52" s="1">
        <v>1955.0</v>
      </c>
      <c r="AM52" s="1" t="s">
        <v>964</v>
      </c>
      <c r="AP52" s="1" t="s">
        <v>965</v>
      </c>
      <c r="AQ52" s="1" t="s">
        <v>966</v>
      </c>
      <c r="BH52" s="1" t="s">
        <v>967</v>
      </c>
      <c r="BI52" s="1" t="s">
        <v>968</v>
      </c>
    </row>
    <row r="53">
      <c r="A53" s="1" t="s">
        <v>969</v>
      </c>
      <c r="B53" s="1" t="str">
        <f>IFERROR(__xludf.DUMMYFUNCTION("GOOGLETRANSLATE(A:A, ""en"", ""te"")"),"బ్లోమ్ &amp; వోస్ AE 607")</f>
        <v>బ్లోమ్ &amp; వోస్ AE 607</v>
      </c>
      <c r="C53" s="1" t="s">
        <v>970</v>
      </c>
      <c r="D53" s="1" t="str">
        <f>IFERROR(__xludf.DUMMYFUNCTION("GOOGLETRANSLATE(C:C, ""en"", ""te"")"),"బ్లోమ్ &amp; వోస్ AE 607 అనేది 1945 లో బ్లోమ్ &amp; వోస్ చేత రూపొందించిన జెట్-శక్తితో కూడిన ఫ్లయింగ్ వింగ్ డిజైన్. దీని గురించి చాలా తక్కువ తెలుసు మరియు దాని ఉనికి 2017 లో మాత్రమే ధృవీకరించబడింది. థిమ్ అని పిలువబడే డిజైనర్ B &amp; V వద్ద ప్రామాణిక డ్రాయింగ్ నంబరింగ్ "&amp;"సిస్టమ్‌లో డ్రాయింగ్ నంబర్ AE 607 పై పని ప్రారంభించాడు. జెట్ ఫైటర్ కోసం అతని రూపకల్పన B &amp; V ఇంతకు ముందు చేసిన దేనికైనా భిన్నంగా ఉంది. ఎగిరే రెక్క, ఇది 45 ° డెల్టా ప్లాన్‌ఫార్మ్‌కు అంచనా వేయబడింది. [1] [2] డ్రాయింగ్ ప్రచురించబడిన 2017 వరకు దాని ఉనికి యొక్క"&amp;" నివేదికలు ధృవీకరించబడలేదు. డిజైన్ కోసం ప్రాజెక్ట్ సంఖ్య నమోదు చేయబడలేదు మరియు దాని ఉద్దేశించిన స్థితి తెలియదు. [3] ఆల్-వింగ్ డిజైన్, సెంటర్ విభాగం V- ఆకారపు తక్కువ ప్రొఫైల్‌ను కలిగి ఉంది మరియు ముందు మరియు వెనుక రెండింటినీ తీవ్రంగా దెబ్బతీస్తుంది, అయితే బ"&amp;"యటి విభాగాలు సుమారు 45 at వద్ద తీవ్రంగా కొట్టుకుపోతాయి మరియు దెబ్బతిన్నాయి, ప్రముఖ అంచు కంటే ఎక్కువ స్వీప్‌ను ఇస్తుంది 45 ° మరియు వెనుకంజలో ఉన్న అంచు పై నుండి M- ఆకారపు రూపురేఖలు. రెక్క చిట్కాలు తిరస్కరించబడతాయి, వాటికి కొంచెం అన్హెడ్రల్ ఇస్తుంది. ఒక జెట్"&amp;" ఇంజిన్ వాహిక మధ్యలో నడుస్తుంది, హీంకెల్-హర్త్ హెస్ 011 ఇంజిన్ వెనుక వైపున వ్యవస్థాపించబడింది. ఒక చిన్న తోక ఫిన్ జెట్ ఎగ్జాస్ట్ వాహిక పైన ఉంచబడుతుంది, అయితే పైలట్ యొక్క కాక్‌పిట్ ఇంజిన్ ముందు సెట్ చేయబడింది, కానీ ఇప్పటికీ బాగా వెనుకబడి ఉంది, మరియు పైలట్ గ"&amp;"దిని తీసుకోవడం వాహికతో పాటు ఇవ్వడానికి ఒక వైపుకు ఆఫ్‌సెట్ చేయబడుతుంది. ఇది టియర్‌డ్రాప్ పందిరితో కప్పబడి ఉంటుంది. రెండు చిన్న, తక్కువ కారక నిష్పత్తి మరియు అన్‌పెర్డ్ కానార్డ్ ఫోర్‌ప్లేన్లు ముక్కు తీసుకోవడం యొక్క ఇరువైపుల నుండి ముందుకు వస్తాయి. అండర్ క్యార"&amp;"ేజీలో ప్రధాన చక్రాలు బయటికి ఉపసంహరించుకుంటాయి మరియు ఇంజిన్ ఎగ్జాస్ట్ వాహికకు ఇరువైపులా జంట టెయిల్‌వీల్స్ ఉపసంహరించుకుంటాయి. భూమిపై, ఇది గుర్తించదగిన ముక్కు-అప్ వైఖరితో ఉంటుంది. [3] అంచనా పనితీరు తెలియదు. [4] మాస్టర్స్, 1982 నుండి డేటా [4] సాధారణ లక్షణాలు "&amp;"ఆయుధాలు ఈ విమానం-సంబంధిత వ్యాసం ఒక స్టబ్. వికీపీడియా విస్తరించడం ద్వారా మీరు సహాయపడవచ్చు.")</f>
        <v>బ్లోమ్ &amp; వోస్ AE 607 అనేది 1945 లో బ్లోమ్ &amp; వోస్ చేత రూపొందించిన జెట్-శక్తితో కూడిన ఫ్లయింగ్ వింగ్ డిజైన్. దీని గురించి చాలా తక్కువ తెలుసు మరియు దాని ఉనికి 2017 లో మాత్రమే ధృవీకరించబడింది. థిమ్ అని పిలువబడే డిజైనర్ B &amp; V వద్ద ప్రామాణిక డ్రాయింగ్ నంబరింగ్ సిస్టమ్‌లో డ్రాయింగ్ నంబర్ AE 607 పై పని ప్రారంభించాడు. జెట్ ఫైటర్ కోసం అతని రూపకల్పన B &amp; V ఇంతకు ముందు చేసిన దేనికైనా భిన్నంగా ఉంది. ఎగిరే రెక్క, ఇది 45 ° డెల్టా ప్లాన్‌ఫార్మ్‌కు అంచనా వేయబడింది. [1] [2] డ్రాయింగ్ ప్రచురించబడిన 2017 వరకు దాని ఉనికి యొక్క నివేదికలు ధృవీకరించబడలేదు. డిజైన్ కోసం ప్రాజెక్ట్ సంఖ్య నమోదు చేయబడలేదు మరియు దాని ఉద్దేశించిన స్థితి తెలియదు. [3] ఆల్-వింగ్ డిజైన్, సెంటర్ విభాగం V- ఆకారపు తక్కువ ప్రొఫైల్‌ను కలిగి ఉంది మరియు ముందు మరియు వెనుక రెండింటినీ తీవ్రంగా దెబ్బతీస్తుంది, అయితే బయటి విభాగాలు సుమారు 45 at వద్ద తీవ్రంగా కొట్టుకుపోతాయి మరియు దెబ్బతిన్నాయి, ప్రముఖ అంచు కంటే ఎక్కువ స్వీప్‌ను ఇస్తుంది 45 ° మరియు వెనుకంజలో ఉన్న అంచు పై నుండి M- ఆకారపు రూపురేఖలు. రెక్క చిట్కాలు తిరస్కరించబడతాయి, వాటికి కొంచెం అన్హెడ్రల్ ఇస్తుంది. ఒక జెట్ ఇంజిన్ వాహిక మధ్యలో నడుస్తుంది, హీంకెల్-హర్త్ హెస్ 011 ఇంజిన్ వెనుక వైపున వ్యవస్థాపించబడింది. ఒక చిన్న తోక ఫిన్ జెట్ ఎగ్జాస్ట్ వాహిక పైన ఉంచబడుతుంది, అయితే పైలట్ యొక్క కాక్‌పిట్ ఇంజిన్ ముందు సెట్ చేయబడింది, కానీ ఇప్పటికీ బాగా వెనుకబడి ఉంది, మరియు పైలట్ గదిని తీసుకోవడం వాహికతో పాటు ఇవ్వడానికి ఒక వైపుకు ఆఫ్‌సెట్ చేయబడుతుంది. ఇది టియర్‌డ్రాప్ పందిరితో కప్పబడి ఉంటుంది. రెండు చిన్న, తక్కువ కారక నిష్పత్తి మరియు అన్‌పెర్డ్ కానార్డ్ ఫోర్‌ప్లేన్లు ముక్కు తీసుకోవడం యొక్క ఇరువైపుల నుండి ముందుకు వస్తాయి. అండర్ క్యారేజీలో ప్రధాన చక్రాలు బయటికి ఉపసంహరించుకుంటాయి మరియు ఇంజిన్ ఎగ్జాస్ట్ వాహికకు ఇరువైపులా జంట టెయిల్‌వీల్స్ ఉపసంహరించుకుంటాయి. భూమిపై, ఇది గుర్తించదగిన ముక్కు-అప్ వైఖరితో ఉంటుంది. [3] అంచనా పనితీరు తెలియదు. [4] మాస్టర్స్, 1982 నుండి డేటా [4] సాధారణ లక్షణాలు ఆయుధాలు ఈ విమానం-సంబంధిత వ్యాసం ఒక స్టబ్. వికీపీడియా విస్తరించడం ద్వారా మీరు సహాయపడవచ్చు.</v>
      </c>
      <c r="F53" s="1" t="s">
        <v>356</v>
      </c>
      <c r="G53" s="1" t="str">
        <f>IFERROR(__xludf.DUMMYFUNCTION("GOOGLETRANSLATE(F:F, ""en"", ""te"")"),"యుద్ధ")</f>
        <v>యుద్ధ</v>
      </c>
      <c r="L53" s="1" t="s">
        <v>971</v>
      </c>
      <c r="M53" s="1" t="str">
        <f>IFERROR(__xludf.DUMMYFUNCTION("GOOGLETRANSLATE(L:L, ""en"", ""te"")"),"బ్లోమ్ &amp; వోస్")</f>
        <v>బ్లోమ్ &amp; వోస్</v>
      </c>
      <c r="N53" s="1" t="s">
        <v>972</v>
      </c>
      <c r="O53" s="1" t="s">
        <v>973</v>
      </c>
      <c r="P53" s="1" t="str">
        <f>IFERROR(__xludf.DUMMYFUNCTION("GOOGLETRANSLATE(O:O, ""en"", ""te"")"),"డిజైన్ ప్రాజెక్ట్")</f>
        <v>డిజైన్ ప్రాజెక్ట్</v>
      </c>
      <c r="S53" s="1">
        <v>1.0</v>
      </c>
      <c r="U53" s="1" t="s">
        <v>974</v>
      </c>
      <c r="V53" s="1" t="s">
        <v>975</v>
      </c>
      <c r="AA53" s="1" t="s">
        <v>976</v>
      </c>
      <c r="AH53" s="1" t="s">
        <v>977</v>
      </c>
      <c r="AZ53" s="1" t="s">
        <v>978</v>
      </c>
    </row>
    <row r="54">
      <c r="A54" s="1" t="s">
        <v>979</v>
      </c>
      <c r="B54" s="1" t="str">
        <f>IFERROR(__xludf.DUMMYFUNCTION("GOOGLETRANSLATE(A:A, ""en"", ""te"")"),"రేడియోప్లేన్ OQ-6")</f>
        <v>రేడియోప్లేన్ OQ-6</v>
      </c>
      <c r="C54" s="1" t="s">
        <v>980</v>
      </c>
      <c r="D54" s="1" t="str">
        <f>IFERROR(__xludf.DUMMYFUNCTION("GOOGLETRANSLATE(C:C, ""en"", ""te"")"),"రేడియోప్లేన్ OQ-6 అనేది RP-14 హోదాలో రేడియోప్లేన్ కంపెనీ అభివృద్ధి చేసిన టార్గెట్ డ్రోన్ మరియు సేవా ఉపయోగం కోసం యునైటెడ్ స్టేట్స్ ఆర్మీ ఎయిర్ ఫోర్సెస్ చేత అంచనా వేయబడింది. తక్కువ సంఖ్యలో సేకరించబడింది, కాని రెండవ ప్రపంచ యుద్ధం ముగిసే సమయానికి ప్రధాన ఉత్పత"&amp;"్తి ఒప్పందాలు రద్దు చేయబడ్డాయి. రేడియోప్లేన్ RP-14 సాంప్రదాయిక రూపకల్పన యొక్క చిన్న విమానం, స్ట్రట్-బ్రెస్డ్ మోనోప్లేన్ వింగ్ మరియు సాంప్రదాయ సామ్రాజ్యం; శక్తి ఒక చిన్న O-45 నాలుగు-సిలిండర్ల నుండి అడ్డంగా ఆకట్టుకున్న పిస్టన్ ఇంజిన్ నుండి వచ్చింది. మెరుగైన"&amp;" సంస్కరణ, RP-15, O-45 ను మెక్‌కలోచ్ O-90 తో భర్తీ చేసింది. మెరుగైన క్రమబద్ధీకరణతో సంస్థ యొక్క మునుపటి OQ-3 పై ఎయిర్‌ఫ్రేమ్ మెరుగుపరచబడింది. [1] RP-14 మొదటి నవంబర్ 1944 లో ఎగిరింది; యు.ఎస్. ఆర్మీ ఎయిర్ ఫోర్సెస్ (యుఎస్‌ఎఎఎఫ్) చేత నియమించబడిన OQ-6, మూల్యాంకన"&amp;"ం మెరుగైన RP-15, నియమించబడిన OQ-6A మరియు పరిమాణంలో విమానం ఉత్పత్తికి ఆర్డర్లు ఉంచబడ్డాయి. రెండవ ప్రపంచ యుద్ధం ముగిసినందున ఈ ఆదేశాలు రద్దు చేయబడ్డాయి; ఏదేమైనా, కొన్ని OQ-6 లు, పున es రూపకల్పన చేయబడిన XOQ-6A, ఇప్పటికీ 1948 లో యునైటెడ్ స్టేట్స్ వైమానిక దళం ("&amp;"USAF) తో సేవలో ఉన్నాయి. [1] పార్స్ 2003 నుండి డేటా [1] సాధారణ లక్షణాలు పనితీరు సంబంధిత జాబితాలు")</f>
        <v>రేడియోప్లేన్ OQ-6 అనేది RP-14 హోదాలో రేడియోప్లేన్ కంపెనీ అభివృద్ధి చేసిన టార్గెట్ డ్రోన్ మరియు సేవా ఉపయోగం కోసం యునైటెడ్ స్టేట్స్ ఆర్మీ ఎయిర్ ఫోర్సెస్ చేత అంచనా వేయబడింది. తక్కువ సంఖ్యలో సేకరించబడింది, కాని రెండవ ప్రపంచ యుద్ధం ముగిసే సమయానికి ప్రధాన ఉత్పత్తి ఒప్పందాలు రద్దు చేయబడ్డాయి. రేడియోప్లేన్ RP-14 సాంప్రదాయిక రూపకల్పన యొక్క చిన్న విమానం, స్ట్రట్-బ్రెస్డ్ మోనోప్లేన్ వింగ్ మరియు సాంప్రదాయ సామ్రాజ్యం; శక్తి ఒక చిన్న O-45 నాలుగు-సిలిండర్ల నుండి అడ్డంగా ఆకట్టుకున్న పిస్టన్ ఇంజిన్ నుండి వచ్చింది. మెరుగైన సంస్కరణ, RP-15, O-45 ను మెక్‌కలోచ్ O-90 తో భర్తీ చేసింది. మెరుగైన క్రమబద్ధీకరణతో సంస్థ యొక్క మునుపటి OQ-3 పై ఎయిర్‌ఫ్రేమ్ మెరుగుపరచబడింది. [1] RP-14 మొదటి నవంబర్ 1944 లో ఎగిరింది; యు.ఎస్. ఆర్మీ ఎయిర్ ఫోర్సెస్ (యుఎస్‌ఎఎఎఫ్) చేత నియమించబడిన OQ-6, మూల్యాంకనం మెరుగైన RP-15, నియమించబడిన OQ-6A మరియు పరిమాణంలో విమానం ఉత్పత్తికి ఆర్డర్లు ఉంచబడ్డాయి. రెండవ ప్రపంచ యుద్ధం ముగిసినందున ఈ ఆదేశాలు రద్దు చేయబడ్డాయి; ఏదేమైనా, కొన్ని OQ-6 లు, పున es రూపకల్పన చేయబడిన XOQ-6A, ఇప్పటికీ 1948 లో యునైటెడ్ స్టేట్స్ వైమానిక దళం (USAF) తో సేవలో ఉన్నాయి. [1] పార్స్ 2003 నుండి డేటా [1] సాధారణ లక్షణాలు పనితీరు సంబంధిత జాబితాలు</v>
      </c>
      <c r="F54" s="1" t="s">
        <v>954</v>
      </c>
      <c r="G54" s="1" t="str">
        <f>IFERROR(__xludf.DUMMYFUNCTION("GOOGLETRANSLATE(F:F, ""en"", ""te"")"),"టార్గెట్ డ్రోన్")</f>
        <v>టార్గెట్ డ్రోన్</v>
      </c>
      <c r="H54" s="1" t="s">
        <v>981</v>
      </c>
      <c r="I54" s="1" t="s">
        <v>127</v>
      </c>
      <c r="J54" s="1" t="str">
        <f>IFERROR(__xludf.DUMMYFUNCTION("GOOGLETRANSLATE(I:I, ""en"", ""te"")"),"సంయుక్త రాష్ట్రాలు")</f>
        <v>సంయుక్త రాష్ట్రాలు</v>
      </c>
      <c r="L54" s="1" t="s">
        <v>982</v>
      </c>
      <c r="M54" s="1" t="str">
        <f>IFERROR(__xludf.DUMMYFUNCTION("GOOGLETRANSLATE(L:L, ""en"", ""te"")"),"రేడియోప్లేన్ కంపెనీ")</f>
        <v>రేడియోప్లేన్ కంపెనీ</v>
      </c>
      <c r="N54" s="1" t="s">
        <v>983</v>
      </c>
      <c r="S54" s="1" t="s">
        <v>407</v>
      </c>
      <c r="U54" s="1" t="s">
        <v>984</v>
      </c>
      <c r="V54" s="1" t="s">
        <v>985</v>
      </c>
      <c r="Y54" s="1" t="s">
        <v>986</v>
      </c>
      <c r="AA54" s="1" t="s">
        <v>987</v>
      </c>
      <c r="AJ54" s="2">
        <v>16377.0</v>
      </c>
      <c r="AP54" s="1" t="s">
        <v>988</v>
      </c>
      <c r="BH54" s="1" t="s">
        <v>989</v>
      </c>
      <c r="BI54" s="1" t="s">
        <v>990</v>
      </c>
    </row>
    <row r="55">
      <c r="A55" s="1" t="s">
        <v>991</v>
      </c>
      <c r="B55" s="1" t="str">
        <f>IFERROR(__xludf.DUMMYFUNCTION("GOOGLETRANSLATE(A:A, ""en"", ""te"")"),"క్వాండర్ మైక్రోప్ఫీల్")</f>
        <v>క్వాండర్ మైక్రోప్ఫీల్</v>
      </c>
      <c r="C55" s="1" t="s">
        <v>992</v>
      </c>
      <c r="D55" s="1" t="str">
        <f>IFERROR(__xludf.DUMMYFUNCTION("GOOGLETRANSLATE(C:C, ""en"", ""te"")"),"క్వాండర్ మైక్రోప్ఫీల్ (ఇంగ్లీష్: స్మాల్ బాణం) అనేది జర్మన్ అల్ట్రాలైట్ ట్రైక్, దీనిని పీటర్‌షాగెన్‌కు చెందిన ఉల్ ఫ్లగ్జీగ్బావు క్వాండర్ రూపొందించారు మరియు నిర్మించారు. విమానం పూర్తి మరియు ఎగరడానికి సిద్ధంగా ఉంది. [1] మైక్రోప్ఫీల్ ఫెడెరేషన్ ఏరోనటిక్ ఇంటర్న"&amp;"ేషనల్ మైక్రోలైట్ కేటగిరీ మరియు యుఎస్ ఫార్ 103 అల్ట్రాలైట్ వెహికల్స్ నిబంధనలకు అనుగుణంగా రూపొందించబడింది. ఇది కేబుల్-బ్రేస్డ్ హాంగ్ గ్లైడర్-స్టైల్ హై వింగ్, వెయిట్-షిఫ్ట్ కంట్రోల్స్, కాక్‌పిట్ ఫెయిరింగ్ లేకుండా సింగిల్-సీట్ల ఓపెన్ కాక్‌పిట్, ట్రైసైకిల్ ల్య"&amp;"ాండింగ్ గేర్ మరియు పషర్ కాన్ఫిగరేషన్‌లో ఒకే ఇంజిన్ కలిగి ఉంది. [1] ఈ విమానం బోల్ట్-టుగెథర్ అల్యూమినియం గొట్టాల నుండి తయారవుతుంది, దాని డబుల్ ఉపరితల స్కోన్లెబర్ వేగం 14 మీ 2 (150 చదరపు అడుగులు) రెక్కలు డాక్రాన్ సెయిల్‌క్లాత్‌లో కప్పబడి ఉంటాయి. 10.8 మీ (35."&amp;"4 అడుగులు) స్పాన్ వింగ్‌కు ఒకే ట్యూబ్-రకం కింగ్‌పోస్ట్ మద్దతు ఇస్తుంది మరియు ""ఫ్రేమ్ వెయిట్-షిఫ్ట్ కంట్రోల్ బార్‌ను ఉపయోగిస్తుంది. రెక్కకు రెండు-ట్యూబ్ల నిర్మాణం మద్దతు ఇస్తుంది. పవర్‌ప్లాంట్ ఒక ట్విన్-సిలిండర్, ఎయిర్-కూల్డ్, టూ-స్ట్రోక్, సింగిల్-ఇగ్నిషన"&amp;"్ 40 హెచ్‌పి (30 కిలోవాట్) రోటాక్స్ 447 ఇంజిన్. [1] ఈ విమానం ఖాళీ బరువు 80 కిలోల (176 పౌండ్లు) మరియు స్థూల బరువు 300 కిలోలు (661 పౌండ్లు), ఇది 220 కిలోల (485 ఎల్బి) ఉపయోగకరమైన లోడ్‌ను ఇస్తుంది. 25 లీటర్ల పూర్తి ఇంధనంతో (5.5 ఇంప్ గల్; 6.6 యుఎస్ గాల్) పేలోడ"&amp;"్ 206 కిలోలు (454 ఎల్బి). [1] బేయర్ల్ నుండి డేటా [1] సాధారణ లక్షణాల పనితీరు")</f>
        <v>క్వాండర్ మైక్రోప్ఫీల్ (ఇంగ్లీష్: స్మాల్ బాణం) అనేది జర్మన్ అల్ట్రాలైట్ ట్రైక్, దీనిని పీటర్‌షాగెన్‌కు చెందిన ఉల్ ఫ్లగ్జీగ్బావు క్వాండర్ రూపొందించారు మరియు నిర్మించారు. విమానం పూర్తి మరియు ఎగరడానికి సిద్ధంగా ఉంది. [1] మైక్రోప్ఫీల్ ఫెడెరేషన్ ఏరోనటిక్ ఇంటర్నేషనల్ మైక్రోలైట్ కేటగిరీ మరియు యుఎస్ ఫార్ 103 అల్ట్రాలైట్ వెహికల్స్ నిబంధనలకు అనుగుణంగా రూపొందించబడింది. ఇది కేబుల్-బ్రేస్డ్ హాంగ్ గ్లైడర్-స్టైల్ హై వింగ్, వెయిట్-షిఫ్ట్ కంట్రోల్స్, కాక్‌పిట్ ఫెయిరింగ్ లేకుండా సింగిల్-సీట్ల ఓపెన్ కాక్‌పిట్, ట్రైసైకిల్ ల్యాండింగ్ గేర్ మరియు పషర్ కాన్ఫిగరేషన్‌లో ఒకే ఇంజిన్ కలిగి ఉంది. [1] ఈ విమానం బోల్ట్-టుగెథర్ అల్యూమినియం గొట్టాల నుండి తయారవుతుంది, దాని డబుల్ ఉపరితల స్కోన్లెబర్ వేగం 14 మీ 2 (150 చదరపు అడుగులు) రెక్కలు డాక్రాన్ సెయిల్‌క్లాత్‌లో కప్పబడి ఉంటాయి. 10.8 మీ (35.4 అడుగులు) స్పాన్ వింగ్‌కు ఒకే ట్యూబ్-రకం కింగ్‌పోస్ట్ మద్దతు ఇస్తుంది మరియు "ఫ్రేమ్ వెయిట్-షిఫ్ట్ కంట్రోల్ బార్‌ను ఉపయోగిస్తుంది. రెక్కకు రెండు-ట్యూబ్ల నిర్మాణం మద్దతు ఇస్తుంది. పవర్‌ప్లాంట్ ఒక ట్విన్-సిలిండర్, ఎయిర్-కూల్డ్, టూ-స్ట్రోక్, సింగిల్-ఇగ్నిషన్ 40 హెచ్‌పి (30 కిలోవాట్) రోటాక్స్ 447 ఇంజిన్. [1] ఈ విమానం ఖాళీ బరువు 80 కిలోల (176 పౌండ్లు) మరియు స్థూల బరువు 300 కిలోలు (661 పౌండ్లు), ఇది 220 కిలోల (485 ఎల్బి) ఉపయోగకరమైన లోడ్‌ను ఇస్తుంది. 25 లీటర్ల పూర్తి ఇంధనంతో (5.5 ఇంప్ గల్; 6.6 యుఎస్ గాల్) పేలోడ్ 206 కిలోలు (454 ఎల్బి). [1] బేయర్ల్ నుండి డేటా [1] సాధారణ లక్షణాల పనితీరు</v>
      </c>
      <c r="F55" s="1" t="s">
        <v>184</v>
      </c>
      <c r="G55" s="1" t="str">
        <f>IFERROR(__xludf.DUMMYFUNCTION("GOOGLETRANSLATE(F:F, ""en"", ""te"")"),"అల్ట్రాలైట్ ట్రైక్")</f>
        <v>అల్ట్రాలైట్ ట్రైక్</v>
      </c>
      <c r="H55" s="1" t="s">
        <v>185</v>
      </c>
      <c r="I55" s="1" t="s">
        <v>321</v>
      </c>
      <c r="J55" s="1" t="str">
        <f>IFERROR(__xludf.DUMMYFUNCTION("GOOGLETRANSLATE(I:I, ""en"", ""te"")"),"జర్మనీ")</f>
        <v>జర్మనీ</v>
      </c>
      <c r="K55" s="3" t="s">
        <v>322</v>
      </c>
      <c r="L55" s="1" t="s">
        <v>993</v>
      </c>
      <c r="M55" s="1" t="str">
        <f>IFERROR(__xludf.DUMMYFUNCTION("GOOGLETRANSLATE(L:L, ""en"", ""te"")"),"క్వాండర్")</f>
        <v>క్వాండర్</v>
      </c>
      <c r="N55" s="3" t="s">
        <v>994</v>
      </c>
      <c r="O55" s="1" t="s">
        <v>995</v>
      </c>
      <c r="P55" s="1" t="str">
        <f>IFERROR(__xludf.DUMMYFUNCTION("GOOGLETRANSLATE(O:O, ""en"", ""te"")"),"ఉత్పత్తిలో (2014)")</f>
        <v>ఉత్పత్తిలో (2014)</v>
      </c>
      <c r="S55" s="1" t="s">
        <v>133</v>
      </c>
      <c r="V55" s="1" t="s">
        <v>996</v>
      </c>
      <c r="W55" s="1" t="s">
        <v>563</v>
      </c>
      <c r="X55" s="1" t="s">
        <v>997</v>
      </c>
      <c r="Y55" s="1" t="s">
        <v>617</v>
      </c>
      <c r="Z55" s="1" t="s">
        <v>998</v>
      </c>
      <c r="AA55" s="1" t="s">
        <v>999</v>
      </c>
      <c r="AB55" s="1" t="s">
        <v>1000</v>
      </c>
      <c r="AC55" s="1" t="s">
        <v>515</v>
      </c>
      <c r="AD55" s="1" t="s">
        <v>1001</v>
      </c>
      <c r="AF55" s="1" t="s">
        <v>706</v>
      </c>
      <c r="AG55" s="1" t="s">
        <v>1002</v>
      </c>
      <c r="AP55" s="1" t="s">
        <v>622</v>
      </c>
    </row>
    <row r="56">
      <c r="A56" s="1" t="s">
        <v>1003</v>
      </c>
      <c r="B56" s="1" t="str">
        <f>IFERROR(__xludf.DUMMYFUNCTION("GOOGLETRANSLATE(A:A, ""en"", ""te"")"),"ఏరో ఎలి సర్విజి యో-యో 222")</f>
        <v>ఏరో ఎలి సర్విజి యో-యో 222</v>
      </c>
      <c r="C56" s="1" t="s">
        <v>1004</v>
      </c>
      <c r="D56" s="1" t="str">
        <f>IFERROR(__xludf.DUMMYFUNCTION("GOOGLETRANSLATE(C:C, ""en"", ""te"")"),"ఏరో ఎలి సర్విజి యో-యో 222 (కొన్నిసార్లు యోయో వ్రాసినది) అనేది ఇటాలియన్ హెలికాప్టర్, ఇది ఎల్ అక్విలాకు చెందిన ఏరో ఎలి సర్విజి రూపొందించి ఉత్పత్తి చేయబడింది. విమానం పూర్తి మరియు రెడీ టు-ఫ్లై సరఫరా చేయబడుతుంది. [1] యో-యో 222 మొదట్లో 495 కిలోల (1,091 పౌండ్లు)"&amp;" అధిక స్థూల బరువు కోసం రూపొందించబడింది, కాని తరువాత సంస్కరణలు యూరోపియన్ క్లాస్ 6 మైక్రోలైట్ హెలికాప్టర్ నిబంధనల ప్రకారం అర్హత సాధించడానికి 450 కిలోల (992 పౌండ్లు) స్థూల బరువును అనుమతించడానికి తేలికగా ఉన్నాయి. ఈ విమానం ఒకే మెయిన్ రోటర్ మరియు టెయిల్ రోటర్, "&amp;"రెండు-సీట్ల సైడ్-బై-సైడ్ కాన్ఫిగరేషన్ పరివేష్టిత కాక్‌పిట్, స్కిడ్ ల్యాండింగ్ గేర్ మరియు అమెరికన్ మేడ్ ఫోర్-సిలిండర్, ఎయిర్-కూల్డ్, ఫోర్ స్ట్రోక్ 172 హెచ్‌పి (128 కిలోవాట్) లైమింగ్ O-320 ఇంజిన్. [1] రాబిన్సన్ R22 ను చాలా పోలి ఉంటుంది, సమీక్షకుడు వెర్నర్ ప"&amp;"ిఫెండ్లర్, దీనిని ""ప్రపంచంలోని అత్యధికంగా అమ్ముడైన రెండు-సీట్ల హెలికాప్టర్ R22 ని దగ్గరగా చూసే ఫలితం"" అని వివరిస్తుంది. రీన్ఫోర్స్డ్ పాలిమర్ మరియు ఫైబర్గ్లాస్. దీని రెండు-బ్లేడెడ్ రోటర్ 7.66 మీ (25.1 అడుగులు) వ్యాసం కలిగి ఉంది. విమానం యొక్క ప్రారంభ సంస్"&amp;"కరణలో 322 కిలోల (710 పౌండ్లు) మరియు స్థూల బరువు 495 కిలోల (1,091 ఎల్బి) ఖాళీ బరువు ఉంటుంది, ఇది 173 కిలోల (381 పౌండ్లు) ఉపయోగకరమైన లోడ్ ఇస్తుంది. 68 లీటర్ల పూర్తి ఇంధనంతో (15 ఇంప్ గల్; 18 యుఎస్ గాల్) పైలట్, ప్రయాణీకుడు మరియు సామాను 124 కిలోలు (273 ఎల్బి)."&amp;" [1] తయారీదారు [2] మరియు టాక్ [1] సాధారణ లక్షణాల పనితీరు నుండి డేటా")</f>
        <v>ఏరో ఎలి సర్విజి యో-యో 222 (కొన్నిసార్లు యోయో వ్రాసినది) అనేది ఇటాలియన్ హెలికాప్టర్, ఇది ఎల్ అక్విలాకు చెందిన ఏరో ఎలి సర్విజి రూపొందించి ఉత్పత్తి చేయబడింది. విమానం పూర్తి మరియు రెడీ టు-ఫ్లై సరఫరా చేయబడుతుంది. [1] యో-యో 222 మొదట్లో 495 కిలోల (1,091 పౌండ్లు) అధిక స్థూల బరువు కోసం రూపొందించబడింది, కాని తరువాత సంస్కరణలు యూరోపియన్ క్లాస్ 6 మైక్రోలైట్ హెలికాప్టర్ నిబంధనల ప్రకారం అర్హత సాధించడానికి 450 కిలోల (992 పౌండ్లు) స్థూల బరువును అనుమతించడానికి తేలికగా ఉన్నాయి. ఈ విమానం ఒకే మెయిన్ రోటర్ మరియు టెయిల్ రోటర్, రెండు-సీట్ల సైడ్-బై-సైడ్ కాన్ఫిగరేషన్ పరివేష్టిత కాక్‌పిట్, స్కిడ్ ల్యాండింగ్ గేర్ మరియు అమెరికన్ మేడ్ ఫోర్-సిలిండర్, ఎయిర్-కూల్డ్, ఫోర్ స్ట్రోక్ 172 హెచ్‌పి (128 కిలోవాట్) లైమింగ్ O-320 ఇంజిన్. [1] రాబిన్సన్ R22 ను చాలా పోలి ఉంటుంది, సమీక్షకుడు వెర్నర్ పిఫెండ్లర్, దీనిని "ప్రపంచంలోని అత్యధికంగా అమ్ముడైన రెండు-సీట్ల హెలికాప్టర్ R22 ని దగ్గరగా చూసే ఫలితం" అని వివరిస్తుంది. రీన్ఫోర్స్డ్ పాలిమర్ మరియు ఫైబర్గ్లాస్. దీని రెండు-బ్లేడెడ్ రోటర్ 7.66 మీ (25.1 అడుగులు) వ్యాసం కలిగి ఉంది. విమానం యొక్క ప్రారంభ సంస్కరణలో 322 కిలోల (710 పౌండ్లు) మరియు స్థూల బరువు 495 కిలోల (1,091 ఎల్బి) ఖాళీ బరువు ఉంటుంది, ఇది 173 కిలోల (381 పౌండ్లు) ఉపయోగకరమైన లోడ్ ఇస్తుంది. 68 లీటర్ల పూర్తి ఇంధనంతో (15 ఇంప్ గల్; 18 యుఎస్ గాల్) పైలట్, ప్రయాణీకుడు మరియు సామాను 124 కిలోలు (273 ఎల్బి). [1] తయారీదారు [2] మరియు టాక్ [1] సాధారణ లక్షణాల పనితీరు నుండి డేటా</v>
      </c>
      <c r="F56" s="1" t="s">
        <v>218</v>
      </c>
      <c r="G56" s="1" t="str">
        <f>IFERROR(__xludf.DUMMYFUNCTION("GOOGLETRANSLATE(F:F, ""en"", ""te"")"),"హెలికాప్టర్")</f>
        <v>హెలికాప్టర్</v>
      </c>
      <c r="H56" s="3" t="s">
        <v>219</v>
      </c>
      <c r="I56" s="1" t="s">
        <v>220</v>
      </c>
      <c r="J56" s="1" t="str">
        <f>IFERROR(__xludf.DUMMYFUNCTION("GOOGLETRANSLATE(I:I, ""en"", ""te"")"),"ఇటలీ")</f>
        <v>ఇటలీ</v>
      </c>
      <c r="K56" s="3" t="s">
        <v>221</v>
      </c>
      <c r="L56" s="1" t="s">
        <v>1005</v>
      </c>
      <c r="M56" s="1" t="str">
        <f>IFERROR(__xludf.DUMMYFUNCTION("GOOGLETRANSLATE(L:L, ""en"", ""te"")"),"ఏరో ఎలి సర్వ్జియోని ఏరోనాటిచ్")</f>
        <v>ఏరో ఎలి సర్వ్జియోని ఏరోనాటిచ్</v>
      </c>
      <c r="N56" s="1" t="s">
        <v>1006</v>
      </c>
      <c r="O56" s="1" t="s">
        <v>885</v>
      </c>
      <c r="P56" s="1" t="str">
        <f>IFERROR(__xludf.DUMMYFUNCTION("GOOGLETRANSLATE(O:O, ""en"", ""te"")"),"ఉత్పత్తిలో (2015)")</f>
        <v>ఉత్పత్తిలో (2015)</v>
      </c>
      <c r="S56" s="1" t="s">
        <v>133</v>
      </c>
      <c r="T56" s="1" t="s">
        <v>134</v>
      </c>
      <c r="X56" s="1" t="s">
        <v>1007</v>
      </c>
      <c r="Y56" s="1" t="s">
        <v>1008</v>
      </c>
      <c r="Z56" s="1" t="s">
        <v>1009</v>
      </c>
      <c r="AA56" s="1" t="s">
        <v>1010</v>
      </c>
      <c r="AC56" s="1" t="s">
        <v>1011</v>
      </c>
      <c r="AE56" s="1" t="s">
        <v>1012</v>
      </c>
      <c r="AO56" s="1" t="s">
        <v>1013</v>
      </c>
      <c r="AP56" s="1" t="s">
        <v>1014</v>
      </c>
      <c r="BN56" s="1" t="s">
        <v>1015</v>
      </c>
      <c r="BO56" s="1" t="s">
        <v>1016</v>
      </c>
    </row>
    <row r="57">
      <c r="A57" s="1" t="s">
        <v>1017</v>
      </c>
      <c r="B57" s="1" t="str">
        <f>IFERROR(__xludf.DUMMYFUNCTION("GOOGLETRANSLATE(A:A, ""en"", ""te"")"),"అవిమెక్ డ్రాగన్‌ఫ్లై డిఎఫ్ -1")</f>
        <v>అవిమెక్ డ్రాగన్‌ఫ్లై డిఎఫ్ -1</v>
      </c>
      <c r="C57" s="1" t="s">
        <v>1018</v>
      </c>
      <c r="D57" s="1" t="str">
        <f>IFERROR(__xludf.DUMMYFUNCTION("GOOGLETRANSLATE(C:C, ""en"", ""te"")"),"అవిమెక్ డ్రాగన్‌ఫ్లై డిఎఫ్ -1 అనేది అరిజోనాలోని టక్సన్‌కు చెందిన అవిమెక్ ఇంటర్నేషనల్ ఎయిర్‌క్రాఫ్ట్, ఇంక్. నిర్మించిన అమెరికన్ హెలికాప్టర్. వాస్తవానికి స్విట్జర్లాండ్‌లో అభివృద్ధి చేయబడింది, ఈ విమానం పూర్తి మరియు సిద్ధంగా ఉండటానికి సిద్ధంగా ఉంది. [1] వర్గ"&amp;"ం యొక్క గరిష్ట ఖాళీ బరువు 254 పౌండ్లు (115 కిలోలు) తో సహా యుఎస్ ఫార్ 103 అల్ట్రాలైట్ వెహికల్స్ ఎయిర్క్రాఫ్ట్ రూల్స్ తో పాటించేలా DF-1 రూపొందించబడింది. ఈ విమానం ప్రామాణిక ఖాళీ బరువు 234 పౌండ్లు (106 కిలోలు). ఇది సింగిల్ మెయిన్ రోటర్ మరియు టెయిల్ రోటర్, సిం"&amp;"గిల్-సీట్, విండ్‌షీల్డ్ లేకుండా ఓపెన్ కాక్‌పిట్, గ్రౌండ్ హ్యాండ్లింగ్ వీల్స్‌తో స్కిడ్ ల్యాండింగ్ గేర్‌ను కలిగి ఉంది. [1] రోటర్ హైడ్రోజన్ పెరాక్సైడ్ ద్వారా ఆజ్యం పోసిన చిట్కా జెట్‌ల ద్వారా నడపబడుతుంది, ఇది నీటి ఆవిరి మరియు ఆక్సిజన్‌ను ఎగ్జాస్ట్ ఉత్పత్తులు"&amp;"గా మాత్రమే విడుదల చేస్తుంది. TIL రోటర్ డైరెక్షనల్ కంట్రోల్ కోసం మాత్రమే అమర్చబడి ఉంటుంది, ఎందుకంటే ఇది టార్క్ను ఎదుర్కోవటానికి అవసరం లేదు, ఎందుకంటే చిట్కా జెట్ వ్యవస్థకు టార్క్ పరిహారం అవసరం లేదు. [1] విమానం ఫ్యూజ్‌లేజ్ ఉక్కు మరియు అల్యూమినియం గొట్టాల నుం"&amp;"డి తయారు చేయబడింది. దీని రెండు-బ్లేడెడ్ రోటర్ 19.7 అడుగుల (6.0 మీ) వ్యాసం కలిగి ఉంది. ఈ విమానం 234 lb (106 kg) యొక్క సాధారణ ఖాళీ బరువు మరియు 794 lb (360 kg) స్థూల బరువును కలిగి ఉంది, ఇది 560 lb (254 kg) యొక్క ఉపయోగకరమైన లోడ్‌ను ఇస్తుంది. [1] టాక్ నుండి డే"&amp;"టా [1] సాధారణ లక్షణాల పనితీరు")</f>
        <v>అవిమెక్ డ్రాగన్‌ఫ్లై డిఎఫ్ -1 అనేది అరిజోనాలోని టక్సన్‌కు చెందిన అవిమెక్ ఇంటర్నేషనల్ ఎయిర్‌క్రాఫ్ట్, ఇంక్. నిర్మించిన అమెరికన్ హెలికాప్టర్. వాస్తవానికి స్విట్జర్లాండ్‌లో అభివృద్ధి చేయబడింది, ఈ విమానం పూర్తి మరియు సిద్ధంగా ఉండటానికి సిద్ధంగా ఉంది. [1] వర్గం యొక్క గరిష్ట ఖాళీ బరువు 254 పౌండ్లు (115 కిలోలు) తో సహా యుఎస్ ఫార్ 103 అల్ట్రాలైట్ వెహికల్స్ ఎయిర్క్రాఫ్ట్ రూల్స్ తో పాటించేలా DF-1 రూపొందించబడింది. ఈ విమానం ప్రామాణిక ఖాళీ బరువు 234 పౌండ్లు (106 కిలోలు). ఇది సింగిల్ మెయిన్ రోటర్ మరియు టెయిల్ రోటర్, సింగిల్-సీట్, విండ్‌షీల్డ్ లేకుండా ఓపెన్ కాక్‌పిట్, గ్రౌండ్ హ్యాండ్లింగ్ వీల్స్‌తో స్కిడ్ ల్యాండింగ్ గేర్‌ను కలిగి ఉంది. [1] రోటర్ హైడ్రోజన్ పెరాక్సైడ్ ద్వారా ఆజ్యం పోసిన చిట్కా జెట్‌ల ద్వారా నడపబడుతుంది, ఇది నీటి ఆవిరి మరియు ఆక్సిజన్‌ను ఎగ్జాస్ట్ ఉత్పత్తులుగా మాత్రమే విడుదల చేస్తుంది. TIL రోటర్ డైరెక్షనల్ కంట్రోల్ కోసం మాత్రమే అమర్చబడి ఉంటుంది, ఎందుకంటే ఇది టార్క్ను ఎదుర్కోవటానికి అవసరం లేదు, ఎందుకంటే చిట్కా జెట్ వ్యవస్థకు టార్క్ పరిహారం అవసరం లేదు. [1] విమానం ఫ్యూజ్‌లేజ్ ఉక్కు మరియు అల్యూమినియం గొట్టాల నుండి తయారు చేయబడింది. దీని రెండు-బ్లేడెడ్ రోటర్ 19.7 అడుగుల (6.0 మీ) వ్యాసం కలిగి ఉంది. ఈ విమానం 234 lb (106 kg) యొక్క సాధారణ ఖాళీ బరువు మరియు 794 lb (360 kg) స్థూల బరువును కలిగి ఉంది, ఇది 560 lb (254 kg) యొక్క ఉపయోగకరమైన లోడ్‌ను ఇస్తుంది. [1] టాక్ నుండి డేటా [1] సాధారణ లక్షణాల పనితీరు</v>
      </c>
      <c r="F57" s="1" t="s">
        <v>218</v>
      </c>
      <c r="G57" s="1" t="str">
        <f>IFERROR(__xludf.DUMMYFUNCTION("GOOGLETRANSLATE(F:F, ""en"", ""te"")"),"హెలికాప్టర్")</f>
        <v>హెలికాప్టర్</v>
      </c>
      <c r="H57" s="3" t="s">
        <v>219</v>
      </c>
      <c r="I57" s="1" t="s">
        <v>127</v>
      </c>
      <c r="J57" s="1" t="str">
        <f>IFERROR(__xludf.DUMMYFUNCTION("GOOGLETRANSLATE(I:I, ""en"", ""te"")"),"సంయుక్త రాష్ట్రాలు")</f>
        <v>సంయుక్త రాష్ట్రాలు</v>
      </c>
      <c r="K57" s="1" t="s">
        <v>128</v>
      </c>
      <c r="L57" s="1" t="s">
        <v>1019</v>
      </c>
      <c r="M57" s="1" t="str">
        <f>IFERROR(__xludf.DUMMYFUNCTION("GOOGLETRANSLATE(L:L, ""en"", ""te"")"),"అవిమెక్ ఇంటర్నేషనల్ ఎయిర్క్రాఫ్ట్, ఇంక్.")</f>
        <v>అవిమెక్ ఇంటర్నేషనల్ ఎయిర్క్రాఫ్ట్, ఇంక్.</v>
      </c>
      <c r="N57" s="1" t="s">
        <v>1020</v>
      </c>
      <c r="O57" s="1" t="s">
        <v>885</v>
      </c>
      <c r="P57" s="1" t="str">
        <f>IFERROR(__xludf.DUMMYFUNCTION("GOOGLETRANSLATE(O:O, ""en"", ""te"")"),"ఉత్పత్తిలో (2015)")</f>
        <v>ఉత్పత్తిలో (2015)</v>
      </c>
      <c r="S57" s="1" t="s">
        <v>133</v>
      </c>
      <c r="X57" s="1" t="s">
        <v>1021</v>
      </c>
      <c r="Y57" s="1" t="s">
        <v>1022</v>
      </c>
      <c r="Z57" s="1" t="s">
        <v>1023</v>
      </c>
      <c r="AA57" s="1" t="s">
        <v>1024</v>
      </c>
      <c r="AC57" s="1" t="s">
        <v>1025</v>
      </c>
      <c r="AF57" s="1" t="s">
        <v>1026</v>
      </c>
      <c r="AO57" s="1" t="s">
        <v>1027</v>
      </c>
      <c r="AP57" s="1" t="s">
        <v>1028</v>
      </c>
      <c r="BN57" s="1" t="s">
        <v>1029</v>
      </c>
      <c r="BO57" s="1" t="s">
        <v>1030</v>
      </c>
    </row>
    <row r="58">
      <c r="A58" s="1" t="s">
        <v>1031</v>
      </c>
      <c r="B58" s="1" t="str">
        <f>IFERROR(__xludf.DUMMYFUNCTION("GOOGLETRANSLATE(A:A, ""en"", ""te"")"),"కోన్నర్ కె 1")</f>
        <v>కోన్నర్ కె 1</v>
      </c>
      <c r="C58" s="1" t="s">
        <v>1032</v>
      </c>
      <c r="D58" s="1" t="str">
        <f>IFERROR(__xludf.DUMMYFUNCTION("GOOGLETRANSLATE(C:C, ""en"", ""te"")"),"కొన్నర్ K1 అనేది ఇటాలియన్ హెలికాప్టర్, ఇది ఫ్రియులిలోని అమారోకు చెందిన కొన్నర్ SRL చేత రూపొందించబడింది మరియు నిర్మించింది. విమానం పూర్తి మరియు రెడీ టు-ఫ్లై సరఫరా చేయబడుతుంది. [1] K1 యూరోపియన్ క్లాస్ 6 మైక్రోలైట్ హెలికాప్టర్ నిబంధనలకు అనుగుణంగా రూపొందించబడ"&amp;"ింది. ఇది సింగిల్ మెయిన్ రోటర్ మరియు టెయిల్ రోటర్, విండ్‌షీల్డ్, స్కిడ్ ల్యాండింగ్ గేర్ మరియు 250 హెచ్‌పి (186 కిలోవాట్ విమానం ఫ్యూజ్‌లేజ్ కార్బన్ ఫైబర్ నుండి తయారు చేయబడింది. దీని మూడు-బ్లేడెడ్ రోటర్ 6.80 మీ (22.3 అడుగులు) వ్యాసం కలిగి ఉంది. ఈ విమానం 290"&amp;" కిలోల (639 పౌండ్లు) మరియు స్థూల బరువు 450 కిలోల (992 ఎల్బి) ఖాళీ బరువును కలిగి ఉంది, ఇది 160 కిలోల (353 పౌండ్లు) ఉపయోగకరమైన లోడ్ ఇస్తుంది. 140 లీటర్ల పూర్తి ఇంధనంతో (31 ఇంప్ గల్; 37 యుఎస్ గాల్) పైలట్ కోసం పేలోడ్, ప్రయాణీకులు మరియు సామాను 31 కిలోలు (68 ఎల"&amp;"్బి). [1] కోన్నర్ TK-250 టర్బోషాఫ్ట్ ఇంజిన్ పూర్తి FADEC నియంత్రణను కలిగి ఉంది, ఇది మూడు స్థానాలను మాత్రమే ఉపయోగిస్తుంది: స్టాప్, ఐడిల్ మరియు ఫ్లైట్. పవర్‌ప్లాంట్ బరువు 50 కిలోలు (110 ఎల్బి) మాత్రమే మరియు జెపి -1, జెపి -4, డీజిల్ ఇంధనం లేదా బయోడీజిల్‌ను బ"&amp;"ర్న్ చేస్తుంది. [1] విమానంలో ప్రధాన ఇంజిన్ నష్టం జరిగితే ఆటోరోటేషన్‌కు సహాయపడటానికి డిజైన్ ఎలక్ట్రికల్ పవర్ సిస్టమ్‌ను కలిగి ఉంది. [1] టాక్ మరియు తయారీదారు నుండి డేటా [1] [2] సాధారణ లక్షణాల పనితీరు")</f>
        <v>కొన్నర్ K1 అనేది ఇటాలియన్ హెలికాప్టర్, ఇది ఫ్రియులిలోని అమారోకు చెందిన కొన్నర్ SRL చేత రూపొందించబడింది మరియు నిర్మించింది. విమానం పూర్తి మరియు రెడీ టు-ఫ్లై సరఫరా చేయబడుతుంది. [1] K1 యూరోపియన్ క్లాస్ 6 మైక్రోలైట్ హెలికాప్టర్ నిబంధనలకు అనుగుణంగా రూపొందించబడింది. ఇది సింగిల్ మెయిన్ రోటర్ మరియు టెయిల్ రోటర్, విండ్‌షీల్డ్, స్కిడ్ ల్యాండింగ్ గేర్ మరియు 250 హెచ్‌పి (186 కిలోవాట్ విమానం ఫ్యూజ్‌లేజ్ కార్బన్ ఫైబర్ నుండి తయారు చేయబడింది. దీని మూడు-బ్లేడెడ్ రోటర్ 6.80 మీ (22.3 అడుగులు) వ్యాసం కలిగి ఉంది. ఈ విమానం 290 కిలోల (639 పౌండ్లు) మరియు స్థూల బరువు 450 కిలోల (992 ఎల్బి) ఖాళీ బరువును కలిగి ఉంది, ఇది 160 కిలోల (353 పౌండ్లు) ఉపయోగకరమైన లోడ్ ఇస్తుంది. 140 లీటర్ల పూర్తి ఇంధనంతో (31 ఇంప్ గల్; 37 యుఎస్ గాల్) పైలట్ కోసం పేలోడ్, ప్రయాణీకులు మరియు సామాను 31 కిలోలు (68 ఎల్బి). [1] కోన్నర్ TK-250 టర్బోషాఫ్ట్ ఇంజిన్ పూర్తి FADEC నియంత్రణను కలిగి ఉంది, ఇది మూడు స్థానాలను మాత్రమే ఉపయోగిస్తుంది: స్టాప్, ఐడిల్ మరియు ఫ్లైట్. పవర్‌ప్లాంట్ బరువు 50 కిలోలు (110 ఎల్బి) మాత్రమే మరియు జెపి -1, జెపి -4, డీజిల్ ఇంధనం లేదా బయోడీజిల్‌ను బర్న్ చేస్తుంది. [1] విమానంలో ప్రధాన ఇంజిన్ నష్టం జరిగితే ఆటోరోటేషన్‌కు సహాయపడటానికి డిజైన్ ఎలక్ట్రికల్ పవర్ సిస్టమ్‌ను కలిగి ఉంది. [1] టాక్ మరియు తయారీదారు నుండి డేటా [1] [2] సాధారణ లక్షణాల పనితీరు</v>
      </c>
      <c r="E58" s="1" t="s">
        <v>1033</v>
      </c>
      <c r="F58" s="1" t="s">
        <v>218</v>
      </c>
      <c r="G58" s="1" t="str">
        <f>IFERROR(__xludf.DUMMYFUNCTION("GOOGLETRANSLATE(F:F, ""en"", ""te"")"),"హెలికాప్టర్")</f>
        <v>హెలికాప్టర్</v>
      </c>
      <c r="H58" s="3" t="s">
        <v>219</v>
      </c>
      <c r="I58" s="1" t="s">
        <v>220</v>
      </c>
      <c r="J58" s="1" t="str">
        <f>IFERROR(__xludf.DUMMYFUNCTION("GOOGLETRANSLATE(I:I, ""en"", ""te"")"),"ఇటలీ")</f>
        <v>ఇటలీ</v>
      </c>
      <c r="K58" s="3" t="s">
        <v>221</v>
      </c>
      <c r="L58" s="1" t="s">
        <v>1034</v>
      </c>
      <c r="M58" s="1" t="str">
        <f>IFERROR(__xludf.DUMMYFUNCTION("GOOGLETRANSLATE(L:L, ""en"", ""te"")"),"కోన్నర్ srl")</f>
        <v>కోన్నర్ srl</v>
      </c>
      <c r="N58" s="1" t="s">
        <v>1035</v>
      </c>
      <c r="O58" s="1" t="s">
        <v>560</v>
      </c>
      <c r="P58" s="1" t="str">
        <f>IFERROR(__xludf.DUMMYFUNCTION("GOOGLETRANSLATE(O:O, ""en"", ""te"")"),"ఉత్పత్తిలో (2018)")</f>
        <v>ఉత్పత్తిలో (2018)</v>
      </c>
      <c r="S58" s="1" t="s">
        <v>133</v>
      </c>
      <c r="T58" s="1" t="s">
        <v>134</v>
      </c>
      <c r="X58" s="1" t="s">
        <v>226</v>
      </c>
      <c r="Y58" s="1" t="s">
        <v>252</v>
      </c>
      <c r="Z58" s="1" t="s">
        <v>1036</v>
      </c>
      <c r="AA58" s="1" t="s">
        <v>1037</v>
      </c>
      <c r="AC58" s="1" t="s">
        <v>1038</v>
      </c>
      <c r="AE58" s="1" t="s">
        <v>1039</v>
      </c>
      <c r="AF58" s="1" t="s">
        <v>1040</v>
      </c>
      <c r="AO58" s="1" t="s">
        <v>1041</v>
      </c>
      <c r="AP58" s="1" t="s">
        <v>1042</v>
      </c>
      <c r="AR58" s="1" t="s">
        <v>1043</v>
      </c>
      <c r="BN58" s="1" t="s">
        <v>1044</v>
      </c>
      <c r="BO58" s="1" t="s">
        <v>1045</v>
      </c>
    </row>
    <row r="59">
      <c r="A59" s="1" t="s">
        <v>1046</v>
      </c>
      <c r="B59" s="1" t="str">
        <f>IFERROR(__xludf.DUMMYFUNCTION("GOOGLETRANSLATE(A:A, ""en"", ""te"")"),"LAE అల్ట్రాస్పోర్ట్ 496 టి")</f>
        <v>LAE అల్ట్రాస్పోర్ట్ 496 టి</v>
      </c>
      <c r="C59" s="1" t="s">
        <v>1047</v>
      </c>
      <c r="D59" s="1" t="str">
        <f>IFERROR(__xludf.DUMMYFUNCTION("GOOGLETRANSLATE(C:C, ""en"", ""te"")"),"LAE అల్ట్రాస్పోర్ట్ 496 టి సైప్రియట్ హెలికాప్టర్, దీనిని లార్నాకాకు చెందిన LAE హెలికాప్టర్లు సైప్రస్ నిర్మించారు. ఇప్పుడు ఉత్పత్తిలో లేదు, ఇది అందుబాటులో ఉన్నప్పుడు విమానం పూర్తి మరియు సిద్ధంగా ఉండటానికి సిద్ధంగా ఉంది. [1] ఈ విమానం 2015 లో ఉత్పత్తిలో ఉన్న"&amp;"ట్లు తెలిసింది, కాని 2017 చివరి నాటికి ఉత్పత్తి కొత్త LAE పిరాన్హాకు అనుకూలంగా ముగిసింది. [1] అల్ట్రాస్పోర్ట్ 496 టి అమెరికన్ స్పోర్ట్స్ కాప్టర్ అల్ట్రాస్పోర్ట్ 496 నుండి తీసుకోబడింది, రెండు-స్ట్రోక్ పవర్‌ప్లాంట్‌ను టర్బోషాఫ్ట్ ఇంజిన్‌తో భర్తీ చేస్తుంది. "&amp;"[1] 496 టి యూరోపియన్ క్లాస్ 6 మైక్రోలైట్ హెలికాప్టర్ నిబంధనలకు అనుగుణంగా రూపొందించబడింది. ఇది సింగిల్ మెయిన్ రోటర్ మరియు టెయిల్ రోటర్, విండ్‌షీల్డ్, స్కిడ్ ల్యాండింగ్ గేర్ మరియు 160 హెచ్‌పి (119 కిలోవాట్ విమానం ఫ్యూజ్‌లేజ్ మిశ్రమాల నుండి తయారవుతుంది. ఇది "&amp;"రెండు బ్లేడెడ్ మెయిన్ మరియు రింగ్-మౌంటెడ్ టెయిల్రోటర్ కలిగి ఉంది. ఈ విమానం 260 కిలోల (573 ఎల్బి) యొక్క సాధారణ ఖాళీ బరువు మరియు 450 కిలోల (992 పౌండ్లు) స్థూల బరువును కలిగి ఉంది, ఇది 190 కిలోల (419 పౌండ్లు) ఉపయోగకరమైన భారాన్ని ఇస్తుంది. [1] సమీక్షకుడు వెర్న"&amp;"ర్ పిఫెండ్లర్, దీనికి ""బరువు నిష్పత్తికి అసాధారణమైన శక్తి"" ఉందని గుర్తించారు. [1] టాక్ నుండి డేటా [1] సాధారణ లక్షణాలు")</f>
        <v>LAE అల్ట్రాస్పోర్ట్ 496 టి సైప్రియట్ హెలికాప్టర్, దీనిని లార్నాకాకు చెందిన LAE హెలికాప్టర్లు సైప్రస్ నిర్మించారు. ఇప్పుడు ఉత్పత్తిలో లేదు, ఇది అందుబాటులో ఉన్నప్పుడు విమానం పూర్తి మరియు సిద్ధంగా ఉండటానికి సిద్ధంగా ఉంది. [1] ఈ విమానం 2015 లో ఉత్పత్తిలో ఉన్నట్లు తెలిసింది, కాని 2017 చివరి నాటికి ఉత్పత్తి కొత్త LAE పిరాన్హాకు అనుకూలంగా ముగిసింది. [1] అల్ట్రాస్పోర్ట్ 496 టి అమెరికన్ స్పోర్ట్స్ కాప్టర్ అల్ట్రాస్పోర్ట్ 496 నుండి తీసుకోబడింది, రెండు-స్ట్రోక్ పవర్‌ప్లాంట్‌ను టర్బోషాఫ్ట్ ఇంజిన్‌తో భర్తీ చేస్తుంది. [1] 496 టి యూరోపియన్ క్లాస్ 6 మైక్రోలైట్ హెలికాప్టర్ నిబంధనలకు అనుగుణంగా రూపొందించబడింది. ఇది సింగిల్ మెయిన్ రోటర్ మరియు టెయిల్ రోటర్, విండ్‌షీల్డ్, స్కిడ్ ల్యాండింగ్ గేర్ మరియు 160 హెచ్‌పి (119 కిలోవాట్ విమానం ఫ్యూజ్‌లేజ్ మిశ్రమాల నుండి తయారవుతుంది. ఇది రెండు బ్లేడెడ్ మెయిన్ మరియు రింగ్-మౌంటెడ్ టెయిల్రోటర్ కలిగి ఉంది. ఈ విమానం 260 కిలోల (573 ఎల్బి) యొక్క సాధారణ ఖాళీ బరువు మరియు 450 కిలోల (992 పౌండ్లు) స్థూల బరువును కలిగి ఉంది, ఇది 190 కిలోల (419 పౌండ్లు) ఉపయోగకరమైన భారాన్ని ఇస్తుంది. [1] సమీక్షకుడు వెర్నర్ పిఫెండ్లర్, దీనికి "బరువు నిష్పత్తికి అసాధారణమైన శక్తి" ఉందని గుర్తించారు. [1] టాక్ నుండి డేటా [1] సాధారణ లక్షణాలు</v>
      </c>
      <c r="F59" s="1" t="s">
        <v>218</v>
      </c>
      <c r="G59" s="1" t="str">
        <f>IFERROR(__xludf.DUMMYFUNCTION("GOOGLETRANSLATE(F:F, ""en"", ""te"")"),"హెలికాప్టర్")</f>
        <v>హెలికాప్టర్</v>
      </c>
      <c r="H59" s="3" t="s">
        <v>219</v>
      </c>
      <c r="I59" s="1" t="s">
        <v>1048</v>
      </c>
      <c r="J59" s="1" t="str">
        <f>IFERROR(__xludf.DUMMYFUNCTION("GOOGLETRANSLATE(I:I, ""en"", ""te"")"),"సైప్రస్")</f>
        <v>సైప్రస్</v>
      </c>
      <c r="K59" s="3" t="s">
        <v>1049</v>
      </c>
      <c r="L59" s="1" t="s">
        <v>1050</v>
      </c>
      <c r="M59" s="1" t="str">
        <f>IFERROR(__xludf.DUMMYFUNCTION("GOOGLETRANSLATE(L:L, ""en"", ""te"")"),"LAE హెలికాప్టర్స్ సైప్రస్")</f>
        <v>LAE హెలికాప్టర్స్ సైప్రస్</v>
      </c>
      <c r="N59" s="1" t="s">
        <v>1051</v>
      </c>
      <c r="O59" s="1" t="s">
        <v>155</v>
      </c>
      <c r="P59" s="1" t="str">
        <f>IFERROR(__xludf.DUMMYFUNCTION("GOOGLETRANSLATE(O:O, ""en"", ""te"")"),"ఉత్పత్తి పూర్తయింది")</f>
        <v>ఉత్పత్తి పూర్తయింది</v>
      </c>
      <c r="S59" s="1" t="s">
        <v>133</v>
      </c>
      <c r="T59" s="1" t="s">
        <v>134</v>
      </c>
      <c r="X59" s="1" t="s">
        <v>1052</v>
      </c>
      <c r="Y59" s="1" t="s">
        <v>252</v>
      </c>
      <c r="AA59" s="1" t="s">
        <v>1053</v>
      </c>
      <c r="AT59" s="1" t="s">
        <v>1054</v>
      </c>
      <c r="AU59" s="1" t="s">
        <v>1055</v>
      </c>
    </row>
    <row r="60">
      <c r="A60" s="1" t="s">
        <v>1056</v>
      </c>
      <c r="B60" s="1" t="str">
        <f>IFERROR(__xludf.DUMMYFUNCTION("GOOGLETRANSLATE(A:A, ""en"", ""te"")"),"SKT స్కైరైడర్ 06")</f>
        <v>SKT స్కైరైడర్ 06</v>
      </c>
      <c r="C60" s="1" t="s">
        <v>1057</v>
      </c>
      <c r="D60" s="1" t="str">
        <f>IFERROR(__xludf.DUMMYFUNCTION("GOOGLETRANSLATE(C:C, ""en"", ""te"")"),"SKT స్కైరైడర్ 06 అనేది స్విస్ హెలికాప్టర్, ఇది అంబ్రాకు చెందిన SKT స్విస్ కోప్టర్ టెక్నాలజీ SA చేత రూపొందించబడింది మరియు ఉత్పత్తి చేయబడింది. ఇది మొట్టమొదట 2013 లో ఎగురవేయబడింది మరియు జనవరి 2014 లో సిరీస్ ఉత్పత్తిలో ప్రవేశించింది. ఈ విమానం పూర్తి మరియు రెడ"&amp;"ీ-టు-ఫ్లై సరఫరా చేయబడింది. [1] స్కైరైడర్ అభివృద్ధి డిసెంబర్ 2011 లో ప్రారంభమైంది. జూన్ 2013 లో ఈ విమానం ఉత్పత్తి చేయడానికి కంపెనీ ఏర్పడింది మరియు మొదటి ఉత్పత్తి ఉదాహరణలు జనవరి 2014 లో పూర్తయ్యాయి. [1] [2] [3] ఈ డిజైన్‌లో సింగిల్ మెయిన్ రోటర్ మరియు టెయిల్ "&amp;"రోటర్, విండ్‌షీల్డ్, స్కిడ్ ల్యాండింగ్ గేర్ మరియు నాలుగు సిలిండర్, లిక్విడ్-కూల్డ్, నాలుగు స్ట్రోక్ 155 హెచ్‌పి (116 కిలోవాట్) తో రెండు-సీట్ల సైడ్-బై-సైడ్ కాన్ఫిగరేషన్ పరివేష్టిత కాక్‌పిట్ ఉన్నాయి. ఇటాలియన్ MW ఫ్లై B22 ఏరోపవర్ పిస్టన్ ఇంజిన్. [1] [2] [3] "&amp;"విమానం ఫ్యూజ్‌లేజ్ స్టీల్ గొట్టాల నుండి తయారు చేయబడింది, కార్బన్ ఫైబర్ మిశ్రమ కాక్‌పిట్ మరియు టెయిల్బూమ్‌తో ఉంటుంది. విమానం యొక్క మిశ్రమ మూడు-బ్లేడెడ్ మెయిన్ రోటర్ 7.0 మీ (23.0 అడుగులు) వ్యాసం కలిగి ఉంటుంది. మిశ్రమ తోక రోటర్ రెండు బ్లేడ్లు మరియు 1.4 మీ (4"&amp;".6 అడుగులు) వ్యాసం కలిగి ఉంటుంది. క్యాబిన్ వెడల్పు 130 సెం.మీ (51.2 అంగుళాలు). ఈ విమానం స్థూల బరువు 600 కిలోలు (1,323 పౌండ్లు). 110 లీటర్ల పూర్తి ఇంధనంతో (24 ఇంప్ గల్; 29 యుఎస్ గాల్) పైలట్ కోసం పేలోడ్, ప్రయాణీకులు మరియు సామాను 230 కిలోలు (507 ఎల్బి). [1] "&amp;"[4] సమీక్షకుడు వెర్నర్ పిఫెండ్లర్, దీనిని ""సొగసైన డిజైన్"" గా అభివర్ణిస్తాడు. [1] జనవరి 2018 నాటికి కెనడాలో ట్రాన్స్పోర్ట్ కెనడాతో ఒక ఉదాహరణ రిజిస్టర్ చేయబడింది, స్పెషల్ సర్టిఫికేట్ ఆఫ్ ఎయిర్ వర్త్నెస్ లిమిటెడ్ వర్గం. [5] టాక్ మరియు తయారీదారు నుండి డేటా "&amp;"[1] [4] సాధారణ లక్షణాల పనితీరు")</f>
        <v>SKT స్కైరైడర్ 06 అనేది స్విస్ హెలికాప్టర్, ఇది అంబ్రాకు చెందిన SKT స్విస్ కోప్టర్ టెక్నాలజీ SA చేత రూపొందించబడింది మరియు ఉత్పత్తి చేయబడింది. ఇది మొట్టమొదట 2013 లో ఎగురవేయబడింది మరియు జనవరి 2014 లో సిరీస్ ఉత్పత్తిలో ప్రవేశించింది. ఈ విమానం పూర్తి మరియు రెడీ-టు-ఫ్లై సరఫరా చేయబడింది. [1] స్కైరైడర్ అభివృద్ధి డిసెంబర్ 2011 లో ప్రారంభమైంది. జూన్ 2013 లో ఈ విమానం ఉత్పత్తి చేయడానికి కంపెనీ ఏర్పడింది మరియు మొదటి ఉత్పత్తి ఉదాహరణలు జనవరి 2014 లో పూర్తయ్యాయి. [1] [2] [3] ఈ డిజైన్‌లో సింగిల్ మెయిన్ రోటర్ మరియు టెయిల్ రోటర్, విండ్‌షీల్డ్, స్కిడ్ ల్యాండింగ్ గేర్ మరియు నాలుగు సిలిండర్, లిక్విడ్-కూల్డ్, నాలుగు స్ట్రోక్ 155 హెచ్‌పి (116 కిలోవాట్) తో రెండు-సీట్ల సైడ్-బై-సైడ్ కాన్ఫిగరేషన్ పరివేష్టిత కాక్‌పిట్ ఉన్నాయి. ఇటాలియన్ MW ఫ్లై B22 ఏరోపవర్ పిస్టన్ ఇంజిన్. [1] [2] [3] విమానం ఫ్యూజ్‌లేజ్ స్టీల్ గొట్టాల నుండి తయారు చేయబడింది, కార్బన్ ఫైబర్ మిశ్రమ కాక్‌పిట్ మరియు టెయిల్బూమ్‌తో ఉంటుంది. విమానం యొక్క మిశ్రమ మూడు-బ్లేడెడ్ మెయిన్ రోటర్ 7.0 మీ (23.0 అడుగులు) వ్యాసం కలిగి ఉంటుంది. మిశ్రమ తోక రోటర్ రెండు బ్లేడ్లు మరియు 1.4 మీ (4.6 అడుగులు) వ్యాసం కలిగి ఉంటుంది. క్యాబిన్ వెడల్పు 130 సెం.మీ (51.2 అంగుళాలు). ఈ విమానం స్థూల బరువు 600 కిలోలు (1,323 పౌండ్లు). 110 లీటర్ల పూర్తి ఇంధనంతో (24 ఇంప్ గల్; 29 యుఎస్ గాల్) పైలట్ కోసం పేలోడ్, ప్రయాణీకులు మరియు సామాను 230 కిలోలు (507 ఎల్బి). [1] [4] సమీక్షకుడు వెర్నర్ పిఫెండ్లర్, దీనిని "సొగసైన డిజైన్" గా అభివర్ణిస్తాడు. [1] జనవరి 2018 నాటికి కెనడాలో ట్రాన్స్పోర్ట్ కెనడాతో ఒక ఉదాహరణ రిజిస్టర్ చేయబడింది, స్పెషల్ సర్టిఫికేట్ ఆఫ్ ఎయిర్ వర్త్నెస్ లిమిటెడ్ వర్గం. [5] టాక్ మరియు తయారీదారు నుండి డేటా [1] [4] సాధారణ లక్షణాల పనితీరు</v>
      </c>
      <c r="F60" s="1" t="s">
        <v>218</v>
      </c>
      <c r="G60" s="1" t="str">
        <f>IFERROR(__xludf.DUMMYFUNCTION("GOOGLETRANSLATE(F:F, ""en"", ""te"")"),"హెలికాప్టర్")</f>
        <v>హెలికాప్టర్</v>
      </c>
      <c r="H60" s="3" t="s">
        <v>219</v>
      </c>
      <c r="I60" s="1" t="s">
        <v>1058</v>
      </c>
      <c r="J60" s="1" t="str">
        <f>IFERROR(__xludf.DUMMYFUNCTION("GOOGLETRANSLATE(I:I, ""en"", ""te"")"),"స్విట్జర్లాండ్")</f>
        <v>స్విట్జర్లాండ్</v>
      </c>
      <c r="K60" s="3" t="s">
        <v>1059</v>
      </c>
      <c r="L60" s="1" t="s">
        <v>1060</v>
      </c>
      <c r="M60" s="1" t="str">
        <f>IFERROR(__xludf.DUMMYFUNCTION("GOOGLETRANSLATE(L:L, ""en"", ""te"")"),"SKT స్విస్ కోప్టర్ టెక్నాలజీ SA")</f>
        <v>SKT స్విస్ కోప్టర్ టెక్నాలజీ SA</v>
      </c>
      <c r="N60" s="1" t="s">
        <v>1061</v>
      </c>
      <c r="O60" s="1" t="s">
        <v>560</v>
      </c>
      <c r="P60" s="1" t="str">
        <f>IFERROR(__xludf.DUMMYFUNCTION("GOOGLETRANSLATE(O:O, ""en"", ""te"")"),"ఉత్పత్తిలో (2018)")</f>
        <v>ఉత్పత్తిలో (2018)</v>
      </c>
      <c r="S60" s="1" t="s">
        <v>133</v>
      </c>
      <c r="T60" s="1" t="s">
        <v>134</v>
      </c>
      <c r="U60" s="1" t="s">
        <v>1062</v>
      </c>
      <c r="Y60" s="1" t="s">
        <v>1063</v>
      </c>
      <c r="Z60" s="1" t="s">
        <v>1064</v>
      </c>
      <c r="AA60" s="1" t="s">
        <v>1065</v>
      </c>
      <c r="AC60" s="1" t="s">
        <v>1066</v>
      </c>
      <c r="AF60" s="1" t="s">
        <v>1067</v>
      </c>
      <c r="AJ60" s="1">
        <v>2013.0</v>
      </c>
      <c r="AL60" s="1" t="s">
        <v>1068</v>
      </c>
      <c r="AM60" s="1" t="s">
        <v>1069</v>
      </c>
      <c r="AO60" s="1" t="s">
        <v>889</v>
      </c>
      <c r="AP60" s="1" t="s">
        <v>1070</v>
      </c>
      <c r="AQ60" s="1" t="s">
        <v>1071</v>
      </c>
      <c r="AR60" s="1" t="s">
        <v>1072</v>
      </c>
      <c r="AW60" s="1" t="s">
        <v>1073</v>
      </c>
      <c r="BN60" s="1" t="s">
        <v>890</v>
      </c>
      <c r="BO60" s="1" t="s">
        <v>1074</v>
      </c>
    </row>
    <row r="61">
      <c r="A61" s="1" t="s">
        <v>1075</v>
      </c>
      <c r="B61" s="1" t="str">
        <f>IFERROR(__xludf.DUMMYFUNCTION("GOOGLETRANSLATE(A:A, ""en"", ""te"")"),"విజేత B150")</f>
        <v>విజేత B150</v>
      </c>
      <c r="C61" s="1" t="s">
        <v>1076</v>
      </c>
      <c r="D61" s="1" t="str">
        <f>IFERROR(__xludf.DUMMYFUNCTION("GOOGLETRANSLATE(C:C, ""en"", ""te"")"),"విజేత B150 బెల్జియన్ హెలికాప్టర్, దీనిని డైనెంట్ యొక్క విజేత SBS రూపొందించారు మరియు నిర్మించారు. ఇప్పుడు ఉత్పత్తికి దూరంగా, ఇది అందుబాటులో ఉన్నప్పుడు విమానం పూర్తి మరియు రెడీ-టు-ఫ్లై-ఎయిర్‌క్రాఫ్ట్ లేదా te త్సాహిక నిర్మాణానికి కిట్‌గా సరఫరా చేయబడింది. [1]"&amp;" B150 ఫ్రెంచ్ CNSK నిబంధనలకు అనుగుణంగా రూపొందించబడింది. ఇది సింగిల్ మెయిన్ రోటర్ మరియు టెయిల్ రోటర్, బబుల్ విండ్‌షీల్డ్, స్కిడ్ ల్యాండింగ్ గేర్ మరియు 160 హెచ్‌పి (119 కిలోవాట్ విమానం ఫ్యూజ్‌లేజ్ అల్యూమినియం మరియు మిశ్రమాల నుండి తయారవుతుంది. దీని రెండు-బ్ల"&amp;"ేడెడ్ రోటర్ 7.67 మీ (25.2 అడుగులు) మరియు 19 సెం.మీ (7.5 అంగుళాలు) తీగను కలిగి ఉంది. ఈ విమానం ఒక సాధారణ ఖాళీ బరువు 400 కిలోల (882 పౌండ్లు) మరియు స్థూల బరువు 700 కిలోల (1,543 పౌండ్లు), 300 కిలోల (661 పౌండ్లు) ఉపయోగకరమైన లోడ్‌ను ఇస్తుంది. 165 లీటర్ల పూర్తి ఇ"&amp;"ంధనంతో (36 ఇంప్ గల్; 44 యుఎస్ గాల్) పైలట్, ప్రయాణీకుడు మరియు సామాను 157 కిలోలు (346 ఎల్బి) కోసం పేలోడ్. [1] సమీక్షకుడు వెర్నర్ పిఫెండ్లర్, డిజైన్‌ను ""సులభమైన మరియు సరదాగా ఎగురుతూ"" అందిస్తున్నట్లు వివరిస్తాడు. [1] సౌర T62 పవర్‌ప్లాంట్‌లో లోపాల కారణంగా B1"&amp;"50 ఉత్పత్తి నిలిపివేయబడింది. ""సౌర T62 టర్బైన్‌ను వదిలివేయాలని నిర్ణయించారు; ఈ సెకండ్ హ్యాండ్ విద్యుత్ వనరు వాడుకలో లేనిదిగా, సరైన స్థితిలో కనుగొనడం కష్టం మరియు పరిమిత పనితీరుతో"" అని కంపెనీ తెలిపింది. బదులుగా కంపెనీ 200 హెచ్‌పి (149 కిలోవాట్ల) పిస్టన్ ఇం"&amp;"జిన్‌ను బి 200 గా అంగీకరించడానికి ఎయిర్‌ఫ్రేమ్‌ను పున es రూపకల్పన చేసింది మరియు 250 హెచ్‌పి (186 కిలోవాట్ టాక్ నుండి డేటా [1] సాధారణ లక్షణాల పనితీరు")</f>
        <v>విజేత B150 బెల్జియన్ హెలికాప్టర్, దీనిని డైనెంట్ యొక్క విజేత SBS రూపొందించారు మరియు నిర్మించారు. ఇప్పుడు ఉత్పత్తికి దూరంగా, ఇది అందుబాటులో ఉన్నప్పుడు విమానం పూర్తి మరియు రెడీ-టు-ఫ్లై-ఎయిర్‌క్రాఫ్ట్ లేదా te త్సాహిక నిర్మాణానికి కిట్‌గా సరఫరా చేయబడింది. [1] B150 ఫ్రెంచ్ CNSK నిబంధనలకు అనుగుణంగా రూపొందించబడింది. ఇది సింగిల్ మెయిన్ రోటర్ మరియు టెయిల్ రోటర్, బబుల్ విండ్‌షీల్డ్, స్కిడ్ ల్యాండింగ్ గేర్ మరియు 160 హెచ్‌పి (119 కిలోవాట్ విమానం ఫ్యూజ్‌లేజ్ అల్యూమినియం మరియు మిశ్రమాల నుండి తయారవుతుంది. దీని రెండు-బ్లేడెడ్ రోటర్ 7.67 మీ (25.2 అడుగులు) మరియు 19 సెం.మీ (7.5 అంగుళాలు) తీగను కలిగి ఉంది. ఈ విమానం ఒక సాధారణ ఖాళీ బరువు 400 కిలోల (882 పౌండ్లు) మరియు స్థూల బరువు 700 కిలోల (1,543 పౌండ్లు), 300 కిలోల (661 పౌండ్లు) ఉపయోగకరమైన లోడ్‌ను ఇస్తుంది. 165 లీటర్ల పూర్తి ఇంధనంతో (36 ఇంప్ గల్; 44 యుఎస్ గాల్) పైలట్, ప్రయాణీకుడు మరియు సామాను 157 కిలోలు (346 ఎల్బి) కోసం పేలోడ్. [1] సమీక్షకుడు వెర్నర్ పిఫెండ్లర్, డిజైన్‌ను "సులభమైన మరియు సరదాగా ఎగురుతూ" అందిస్తున్నట్లు వివరిస్తాడు. [1] సౌర T62 పవర్‌ప్లాంట్‌లో లోపాల కారణంగా B150 ఉత్పత్తి నిలిపివేయబడింది. "సౌర T62 టర్బైన్‌ను వదిలివేయాలని నిర్ణయించారు; ఈ సెకండ్ హ్యాండ్ విద్యుత్ వనరు వాడుకలో లేనిదిగా, సరైన స్థితిలో కనుగొనడం కష్టం మరియు పరిమిత పనితీరుతో" అని కంపెనీ తెలిపింది. బదులుగా కంపెనీ 200 హెచ్‌పి (149 కిలోవాట్ల) పిస్టన్ ఇంజిన్‌ను బి 200 గా అంగీకరించడానికి ఎయిర్‌ఫ్రేమ్‌ను పున es రూపకల్పన చేసింది మరియు 250 హెచ్‌పి (186 కిలోవాట్ టాక్ నుండి డేటా [1] సాధారణ లక్షణాల పనితీరు</v>
      </c>
      <c r="F61" s="1" t="s">
        <v>218</v>
      </c>
      <c r="G61" s="1" t="str">
        <f>IFERROR(__xludf.DUMMYFUNCTION("GOOGLETRANSLATE(F:F, ""en"", ""te"")"),"హెలికాప్టర్")</f>
        <v>హెలికాప్టర్</v>
      </c>
      <c r="H61" s="3" t="s">
        <v>219</v>
      </c>
      <c r="I61" s="1" t="s">
        <v>1077</v>
      </c>
      <c r="J61" s="1" t="str">
        <f>IFERROR(__xludf.DUMMYFUNCTION("GOOGLETRANSLATE(I:I, ""en"", ""te"")"),"బెల్జియం")</f>
        <v>బెల్జియం</v>
      </c>
      <c r="K61" s="3" t="s">
        <v>1078</v>
      </c>
      <c r="L61" s="1" t="s">
        <v>1079</v>
      </c>
      <c r="M61" s="1" t="str">
        <f>IFERROR(__xludf.DUMMYFUNCTION("GOOGLETRANSLATE(L:L, ""en"", ""te"")"),"విజేత ఎస్సీలు")</f>
        <v>విజేత ఎస్సీలు</v>
      </c>
      <c r="N61" s="1" t="s">
        <v>1080</v>
      </c>
      <c r="O61" s="1" t="s">
        <v>1081</v>
      </c>
      <c r="P61" s="1" t="str">
        <f>IFERROR(__xludf.DUMMYFUNCTION("GOOGLETRANSLATE(O:O, ""en"", ""te"")"),"ఉత్పత్తి పూర్తయింది (2017)")</f>
        <v>ఉత్పత్తి పూర్తయింది (2017)</v>
      </c>
      <c r="S61" s="1" t="s">
        <v>133</v>
      </c>
      <c r="T61" s="1" t="s">
        <v>134</v>
      </c>
      <c r="X61" s="1" t="s">
        <v>1082</v>
      </c>
      <c r="Y61" s="1" t="s">
        <v>635</v>
      </c>
      <c r="Z61" s="1" t="s">
        <v>1083</v>
      </c>
      <c r="AA61" s="1" t="s">
        <v>1084</v>
      </c>
      <c r="AC61" s="1" t="s">
        <v>444</v>
      </c>
      <c r="AF61" s="1" t="s">
        <v>258</v>
      </c>
      <c r="AO61" s="1" t="s">
        <v>1085</v>
      </c>
      <c r="AP61" s="1" t="s">
        <v>1086</v>
      </c>
      <c r="BN61" s="1" t="s">
        <v>1015</v>
      </c>
      <c r="BO61" s="1" t="s">
        <v>1087</v>
      </c>
    </row>
    <row r="62">
      <c r="A62" s="1" t="s">
        <v>1088</v>
      </c>
      <c r="B62" s="1" t="str">
        <f>IFERROR(__xludf.DUMMYFUNCTION("GOOGLETRANSLATE(A:A, ""en"", ""te"")"),"ఎలక్ట్రావియా మోనోట్రేస్-ఇ")</f>
        <v>ఎలక్ట్రావియా మోనోట్రేస్-ఇ</v>
      </c>
      <c r="C62" s="1" t="s">
        <v>1089</v>
      </c>
      <c r="D62" s="1" t="str">
        <f>IFERROR(__xludf.DUMMYFUNCTION("GOOGLETRANSLATE(C:C, ""en"", ""te"")"),"ఎలక్ట్రావియా మోనోట్రేస్-ఇ అనేది ఫ్రెంచ్ ఎలక్ట్రిక్ అల్ట్రాలైట్ ట్రైక్, ఇది వౌమీల్హ్ యొక్క ఎలక్ట్రావియా చేత ఉత్పత్తి చేయబడింది మరియు AEF మోనోట్రేస్ ఆధారంగా. ఇప్పుడు ఉత్పత్తికి దూరంగా, అది అందుబాటులో ఉన్నప్పుడు అది పూర్తి మరియు సిద్ధంగా ఉండటానికి సిద్ధంగా ఉ"&amp;"ంది. [1] మోనోట్రేస్-ఇ పెరుగుతున్న మోటారు గ్లైడర్‌గా రూపొందించబడింది, ఫెడెరేషన్ ఏరోనటిక్ ఇంటర్నేషనల్ మైక్రోలైట్ కేటగిరీ మరియు యుఎస్ ఫార్ 103 అల్ట్రాలైట్ వెహికల్స్ రూల్స్. [1] విమాన రూపకల్పనలో కేబుల్-బ్రేస్డ్ హాంగ్ గ్లైడర్-స్టైల్ హై-వింగ్, వెయిట్-షిఫ్ట్ కంట"&amp;"్రోల్స్, కాక్‌పిట్ ఫెయిరింగ్, ట్రైసైకిల్ ల్యాండింగ్ గేర్ మరియు పషర్ కాన్ఫిగరేషన్‌లో సింగిల్ ఎలక్ట్రిక్ మోటారుతో సింగిల్-సీట్ల ఓపెన్ కాక్‌పిట్ ఉన్నాయి. [1] ఈ విమానం బోల్ట్-టుగెదర్ అల్యూమినియం గొట్టాలు మరియు మిశ్రమ పదార్థాల నుండి తయారవుతుంది, దాని డబుల్ ఉపర"&amp;"ితల వింగ్ డాక్రాన్ సెయిల్‌క్లాత్‌లో కప్పబడి ఉంటుంది. దాని 10 మీ (32.8 అడుగుల) స్పాన్ వింగ్‌కు ఒకే ట్యూబ్-రకం కింగ్‌పోస్ట్ మద్దతు ఇస్తుంది మరియు ""ఎ"" ఫ్రేమ్ వెయిట్-షిఫ్ట్ కంట్రోల్ బార్‌ను ఉపయోగిస్తుంది. పవర్‌ప్లాంట్ 26 హెచ్‌పి (19 కిలోవాట్ ఈ విమానం ఖాళీ బ"&amp;"రువు 85 కిలోల (187 పౌండ్లు) మరియు 193 కిలోల (425 పౌండ్లు) స్థూల బరువు, 108 కిలోల (238 పౌండ్లు) పేలోడ్‌ను ఇస్తుంది. [1] టాక్ నుండి డేటా [1] సాధారణ లక్షణాల పనితీరు")</f>
        <v>ఎలక్ట్రావియా మోనోట్రేస్-ఇ అనేది ఫ్రెంచ్ ఎలక్ట్రిక్ అల్ట్రాలైట్ ట్రైక్, ఇది వౌమీల్హ్ యొక్క ఎలక్ట్రావియా చేత ఉత్పత్తి చేయబడింది మరియు AEF మోనోట్రేస్ ఆధారంగా. ఇప్పుడు ఉత్పత్తికి దూరంగా, అది అందుబాటులో ఉన్నప్పుడు అది పూర్తి మరియు సిద్ధంగా ఉండటానికి సిద్ధంగా ఉంది. [1] మోనోట్రేస్-ఇ పెరుగుతున్న మోటారు గ్లైడర్‌గా రూపొందించబడింది, ఫెడెరేషన్ ఏరోనటిక్ ఇంటర్నేషనల్ మైక్రోలైట్ కేటగిరీ మరియు యుఎస్ ఫార్ 103 అల్ట్రాలైట్ వెహికల్స్ రూల్స్. [1] విమాన రూపకల్పనలో కేబుల్-బ్రేస్డ్ హాంగ్ గ్లైడర్-స్టైల్ హై-వింగ్, వెయిట్-షిఫ్ట్ కంట్రోల్స్, కాక్‌పిట్ ఫెయిరింగ్, ట్రైసైకిల్ ల్యాండింగ్ గేర్ మరియు పషర్ కాన్ఫిగరేషన్‌లో సింగిల్ ఎలక్ట్రిక్ మోటారుతో సింగిల్-సీట్ల ఓపెన్ కాక్‌పిట్ ఉన్నాయి. [1] ఈ విమానం బోల్ట్-టుగెదర్ అల్యూమినియం గొట్టాలు మరియు మిశ్రమ పదార్థాల నుండి తయారవుతుంది, దాని డబుల్ ఉపరితల వింగ్ డాక్రాన్ సెయిల్‌క్లాత్‌లో కప్పబడి ఉంటుంది. దాని 10 మీ (32.8 అడుగుల) స్పాన్ వింగ్‌కు ఒకే ట్యూబ్-రకం కింగ్‌పోస్ట్ మద్దతు ఇస్తుంది మరియు "ఎ" ఫ్రేమ్ వెయిట్-షిఫ్ట్ కంట్రోల్ బార్‌ను ఉపయోగిస్తుంది. పవర్‌ప్లాంట్ 26 హెచ్‌పి (19 కిలోవాట్ ఈ విమానం ఖాళీ బరువు 85 కిలోల (187 పౌండ్లు) మరియు 193 కిలోల (425 పౌండ్లు) స్థూల బరువు, 108 కిలోల (238 పౌండ్లు) పేలోడ్‌ను ఇస్తుంది. [1] టాక్ నుండి డేటా [1] సాధారణ లక్షణాల పనితీరు</v>
      </c>
      <c r="F62" s="1" t="s">
        <v>1090</v>
      </c>
      <c r="G62" s="1" t="str">
        <f>IFERROR(__xludf.DUMMYFUNCTION("GOOGLETRANSLATE(F:F, ""en"", ""te"")"),"ఎలక్ట్రిక్ అల్ట్రాలైట్ ట్రైక్")</f>
        <v>ఎలక్ట్రిక్ అల్ట్రాలైట్ ట్రైక్</v>
      </c>
      <c r="H62" s="1" t="s">
        <v>1091</v>
      </c>
      <c r="I62" s="1" t="s">
        <v>646</v>
      </c>
      <c r="J62" s="1" t="str">
        <f>IFERROR(__xludf.DUMMYFUNCTION("GOOGLETRANSLATE(I:I, ""en"", ""te"")"),"ఫ్రాన్స్")</f>
        <v>ఫ్రాన్స్</v>
      </c>
      <c r="K62" s="3" t="s">
        <v>647</v>
      </c>
      <c r="L62" s="1" t="s">
        <v>1092</v>
      </c>
      <c r="M62" s="1" t="str">
        <f>IFERROR(__xludf.DUMMYFUNCTION("GOOGLETRANSLATE(L:L, ""en"", ""te"")"),"ఎలక్ట్రావియా")</f>
        <v>ఎలక్ట్రావియా</v>
      </c>
      <c r="N62" s="3" t="s">
        <v>1093</v>
      </c>
      <c r="O62" s="1" t="s">
        <v>155</v>
      </c>
      <c r="P62" s="1" t="str">
        <f>IFERROR(__xludf.DUMMYFUNCTION("GOOGLETRANSLATE(O:O, ""en"", ""te"")"),"ఉత్పత్తి పూర్తయింది")</f>
        <v>ఉత్పత్తి పూర్తయింది</v>
      </c>
      <c r="S62" s="1" t="s">
        <v>133</v>
      </c>
      <c r="V62" s="1" t="s">
        <v>562</v>
      </c>
      <c r="W62" s="1" t="s">
        <v>1094</v>
      </c>
      <c r="X62" s="1" t="s">
        <v>512</v>
      </c>
      <c r="Y62" s="1" t="s">
        <v>1095</v>
      </c>
      <c r="AA62" s="1" t="s">
        <v>1096</v>
      </c>
      <c r="AB62" s="1" t="s">
        <v>1097</v>
      </c>
      <c r="AC62" s="1" t="s">
        <v>391</v>
      </c>
      <c r="AD62" s="1" t="s">
        <v>193</v>
      </c>
      <c r="AG62" s="1" t="s">
        <v>1098</v>
      </c>
      <c r="AP62" s="1" t="s">
        <v>1099</v>
      </c>
      <c r="AT62" s="1" t="s">
        <v>1100</v>
      </c>
      <c r="AU62" s="1" t="s">
        <v>1101</v>
      </c>
    </row>
    <row r="63">
      <c r="A63" s="1" t="s">
        <v>1102</v>
      </c>
      <c r="B63" s="1" t="str">
        <f>IFERROR(__xludf.DUMMYFUNCTION("GOOGLETRANSLATE(A:A, ""en"", ""te"")"),"ఫెయిర్‌చైల్డ్ SD-5 ఓస్ప్రే")</f>
        <v>ఫెయిర్‌చైల్డ్ SD-5 ఓస్ప్రే</v>
      </c>
      <c r="C63" s="1" t="s">
        <v>1103</v>
      </c>
      <c r="D63" s="1" t="str">
        <f>IFERROR(__xludf.DUMMYFUNCTION("GOOGLETRANSLATE(C:C, ""en"", ""te"")"),"ఫెయిర్‌చైల్డ్ SD-5 ఓస్‌ప్రే అనేది యునైటెడ్ స్టేట్స్ ఆర్మీ కోసం ఫెయిర్‌చైల్డ్ విమానాలు అభివృద్ధి చేసిన ప్రారంభ హై-స్పీడ్ నిఘా డ్రోన్. వ్యూహాత్మక బాలిస్టిక్ క్షిపణులను లక్ష్యంగా చేసుకోవడానికి యు.ఎస్. ఆర్మీ సిగ్నల్ కార్ప్స్ ఉపయోగం కోసం ఉద్దేశించినది, మొదటి న"&amp;"మూనా పూర్తయ్యే ముందు ఇది రద్దు చేయబడింది మరియు కార్యాచరణ సేవను చూడలేదు. 1960 లో, యు.ఎస్. ఆర్మీ సైన్యం యొక్క వ్యూహాత్మక బాలిస్టిక్ క్షిపణి శక్తికి లక్ష్య సమాచారాన్ని అందించడానికి హై-స్పీడ్, సుదూర నిఘా డ్రోన్ అభివృద్ధికి ఒక అవసరాన్ని జారీ చేసింది; పోటీ డిజై"&amp;"న్ల కోసం ఒప్పందాలు రిపబ్లిక్ ఏవియేషన్‌కు ఇవ్వబడ్డాయి, ఇది SD-4 స్వాలో హోదాను మరియు ఫెయిర్‌చైల్డ్ విమానాలను ఇచ్చిన సరికొత్త డిజైన్‌ను ప్రతిపాదించింది, ఇది ఎద్దు గూస్ డికోయ్ క్షిపణి యొక్క వైవిధ్యాన్ని SD-5 ఓస్ప్రేగా అభివృద్ధి చేసింది. [1] దాని మొత్తం వ్యవస్"&amp;"థ కోసం పూర్తి హోదా AN/USD-5 ను బట్టి, [2] SD-5 టైలెస్ డెల్టా కాన్ఫిగరేషన్, [3] ప్రాట్ &amp; విట్నీ J60 టర్బోజెట్ అందించిన శక్తితో (సివిలియన్ JT12 ఇంజిన్ యొక్క మిలిటరీ వెర్షన్) ; మిషన్ తరువాత రికవరీ పారాచూట్ చేత, ఎయిర్‌బ్యాగులు ల్యాండింగ్‌ను తీర్చడానికి ఉపయోగి"&amp;"స్తారు; ఇన్ఫ్రారెడ్ స్కానర్లు, సైడ్ లుకింగ్ ఎయిర్బోర్న్ రాడార్ (SLAR) మరియు ఆప్టికల్ మ్యాపింగ్ వంటి సెన్సార్లు ఉపయోగం కోసం అందుబాటులో ఉన్నాయి మరియు మిషన్ తరువాత తిరిగి పొందవచ్చు లేదా టెలిమెట్రీ ద్వారా మిషన్ సమయంలో ప్రసారం చేయవచ్చు. [2] మిషన్ సమయంలో మార్గద"&amp;"ర్శకత్వం జడత్వ నావిగేషన్ సిస్టమ్ మరియు ఆటోపైలట్ ద్వారా అందించబడింది. [1] SD-5 యొక్క మొదటి ఫ్లైట్ మే 1960 లో జరిగింది; [2] పరీక్షా కార్యక్రమం కోసం పదిహేను ప్రోటోటైప్‌లు నిర్మించబడ్డాయి, ఫెయిర్‌చైల్డ్ ఉత్పత్తి విమానాల కోసం 50,000 350,000- $ 400,000 USD డ్రో"&amp;"న్‌కు ఖర్చును కోట్ చేసింది. [5] 1964 యొక్క కార్యాచరణ తేదీ was హించబడింది; ఏదేమైనా, కార్యక్రమం ఖర్చు కారణంగా, సేవలోకి ప్రవేశించే ముందు నవంబర్ 1962 లో SD-5 రద్దు చేయబడింది. [2] పార్స్ 2004 నుండి డేటా [2] సాధారణ లక్షణాలు పనితీరు సంబంధిత అభివృద్ధి అభివృద్ధి వ"&amp;"ిమానం పోల్చదగిన పాత్ర, కాన్ఫిగరేషన్ మరియు ERA సంబంధిత జాబితాలు అనులేఖనాల గ్రంథ పట్టిక")</f>
        <v>ఫెయిర్‌చైల్డ్ SD-5 ఓస్‌ప్రే అనేది యునైటెడ్ స్టేట్స్ ఆర్మీ కోసం ఫెయిర్‌చైల్డ్ విమానాలు అభివృద్ధి చేసిన ప్రారంభ హై-స్పీడ్ నిఘా డ్రోన్. వ్యూహాత్మక బాలిస్టిక్ క్షిపణులను లక్ష్యంగా చేసుకోవడానికి యు.ఎస్. ఆర్మీ సిగ్నల్ కార్ప్స్ ఉపయోగం కోసం ఉద్దేశించినది, మొదటి నమూనా పూర్తయ్యే ముందు ఇది రద్దు చేయబడింది మరియు కార్యాచరణ సేవను చూడలేదు. 1960 లో, యు.ఎస్. ఆర్మీ సైన్యం యొక్క వ్యూహాత్మక బాలిస్టిక్ క్షిపణి శక్తికి లక్ష్య సమాచారాన్ని అందించడానికి హై-స్పీడ్, సుదూర నిఘా డ్రోన్ అభివృద్ధికి ఒక అవసరాన్ని జారీ చేసింది; పోటీ డిజైన్ల కోసం ఒప్పందాలు రిపబ్లిక్ ఏవియేషన్‌కు ఇవ్వబడ్డాయి, ఇది SD-4 స్వాలో హోదాను మరియు ఫెయిర్‌చైల్డ్ విమానాలను ఇచ్చిన సరికొత్త డిజైన్‌ను ప్రతిపాదించింది, ఇది ఎద్దు గూస్ డికోయ్ క్షిపణి యొక్క వైవిధ్యాన్ని SD-5 ఓస్ప్రేగా అభివృద్ధి చేసింది. [1] దాని మొత్తం వ్యవస్థ కోసం పూర్తి హోదా AN/USD-5 ను బట్టి, [2] SD-5 టైలెస్ డెల్టా కాన్ఫిగరేషన్, [3] ప్రాట్ &amp; విట్నీ J60 టర్బోజెట్ అందించిన శక్తితో (సివిలియన్ JT12 ఇంజిన్ యొక్క మిలిటరీ వెర్షన్) ; మిషన్ తరువాత రికవరీ పారాచూట్ చేత, ఎయిర్‌బ్యాగులు ల్యాండింగ్‌ను తీర్చడానికి ఉపయోగిస్తారు; ఇన్ఫ్రారెడ్ స్కానర్లు, సైడ్ లుకింగ్ ఎయిర్బోర్న్ రాడార్ (SLAR) మరియు ఆప్టికల్ మ్యాపింగ్ వంటి సెన్సార్లు ఉపయోగం కోసం అందుబాటులో ఉన్నాయి మరియు మిషన్ తరువాత తిరిగి పొందవచ్చు లేదా టెలిమెట్రీ ద్వారా మిషన్ సమయంలో ప్రసారం చేయవచ్చు. [2] మిషన్ సమయంలో మార్గదర్శకత్వం జడత్వ నావిగేషన్ సిస్టమ్ మరియు ఆటోపైలట్ ద్వారా అందించబడింది. [1] SD-5 యొక్క మొదటి ఫ్లైట్ మే 1960 లో జరిగింది; [2] పరీక్షా కార్యక్రమం కోసం పదిహేను ప్రోటోటైప్‌లు నిర్మించబడ్డాయి, ఫెయిర్‌చైల్డ్ ఉత్పత్తి విమానాల కోసం 50,000 350,000- $ 400,000 USD డ్రోన్‌కు ఖర్చును కోట్ చేసింది. [5] 1964 యొక్క కార్యాచరణ తేదీ was హించబడింది; ఏదేమైనా, కార్యక్రమం ఖర్చు కారణంగా, సేవలోకి ప్రవేశించే ముందు నవంబర్ 1962 లో SD-5 రద్దు చేయబడింది. [2] పార్స్ 2004 నుండి డేటా [2] సాధారణ లక్షణాలు పనితీరు సంబంధిత అభివృద్ధి అభివృద్ధి విమానం పోల్చదగిన పాత్ర, కాన్ఫిగరేషన్ మరియు ERA సంబంధిత జాబితాలు అనులేఖనాల గ్రంథ పట్టిక</v>
      </c>
      <c r="E63" s="1" t="s">
        <v>1104</v>
      </c>
      <c r="F63" s="1" t="s">
        <v>416</v>
      </c>
      <c r="G63" s="1" t="str">
        <f>IFERROR(__xludf.DUMMYFUNCTION("GOOGLETRANSLATE(F:F, ""en"", ""te"")"),"నిఘా డ్రోన్")</f>
        <v>నిఘా డ్రోన్</v>
      </c>
      <c r="I63" s="1" t="s">
        <v>127</v>
      </c>
      <c r="J63" s="1" t="str">
        <f>IFERROR(__xludf.DUMMYFUNCTION("GOOGLETRANSLATE(I:I, ""en"", ""te"")"),"సంయుక్త రాష్ట్రాలు")</f>
        <v>సంయుక్త రాష్ట్రాలు</v>
      </c>
      <c r="L63" s="1" t="s">
        <v>1105</v>
      </c>
      <c r="M63" s="1" t="str">
        <f>IFERROR(__xludf.DUMMYFUNCTION("GOOGLETRANSLATE(L:L, ""en"", ""te"")"),"ఫెయిర్‌చైల్డ్ విమానం")</f>
        <v>ఫెయిర్‌చైల్డ్ విమానం</v>
      </c>
      <c r="N63" s="1" t="s">
        <v>1106</v>
      </c>
      <c r="Q63" s="1">
        <v>15.0</v>
      </c>
      <c r="S63" s="1" t="s">
        <v>407</v>
      </c>
      <c r="U63" s="1" t="s">
        <v>1107</v>
      </c>
      <c r="V63" s="1" t="s">
        <v>1108</v>
      </c>
      <c r="Y63" s="1" t="s">
        <v>1109</v>
      </c>
      <c r="AA63" s="1" t="s">
        <v>1110</v>
      </c>
      <c r="AE63" s="1" t="s">
        <v>1111</v>
      </c>
      <c r="AM63" s="1" t="s">
        <v>409</v>
      </c>
      <c r="AP63" s="1" t="s">
        <v>1112</v>
      </c>
      <c r="AR63" s="1" t="s">
        <v>1113</v>
      </c>
      <c r="AT63" s="1" t="s">
        <v>1114</v>
      </c>
      <c r="AU63" s="1" t="s">
        <v>1115</v>
      </c>
      <c r="BH63" s="1" t="s">
        <v>426</v>
      </c>
      <c r="BI63" s="1" t="s">
        <v>427</v>
      </c>
    </row>
    <row r="64">
      <c r="A64" s="1" t="s">
        <v>1116</v>
      </c>
      <c r="B64" s="1" t="str">
        <f>IFERROR(__xludf.DUMMYFUNCTION("GOOGLETRANSLATE(A:A, ""en"", ""te"")"),"లాక్హీడ్ అక్వారే")</f>
        <v>లాక్హీడ్ అక్వారే</v>
      </c>
      <c r="C64" s="1" t="s">
        <v>1117</v>
      </c>
      <c r="D64" s="1" t="str">
        <f>IFERROR(__xludf.DUMMYFUNCTION("GOOGLETRANSLATE(C:C, ""en"", ""te"")"),"లాక్‌హీడ్ అక్వారే (లాటిన్: ""సమం చేయడానికి"") యునైటెడ్ స్టేట్స్ వైమానిక దళం కోసం లాక్‌హీడ్ క్షిపణులు మరియు అంతరిక్ష సంస్థ అభివృద్ధి చేసిన మానవరహిత వైమానిక వాహనం. ఇది F-4 ఫాంటమ్ II ఫైటర్-బాంబర్ నుండి ప్రారంభించటానికి ఉద్దేశించబడింది మరియు లాంచింగ్ విమానాల "&amp;"ఉపయోగం కోసం రిమోట్ సెన్సార్ అర్రే మరియు లేజర్ డిజైనర్‌ను తీసుకువెళుతుంది. ఈ వ్యవస్థ 1970 ల మధ్యలో అంచనా వేయబడింది, కాని కార్యాచరణ సేవలో ప్రవేశించలేదు. డిఫెన్స్ అడ్వాన్స్‌డ్ రీసెర్చ్ ప్రాజెక్ట్స్ ఏజెన్సీ (DARPA) నుండి లాక్‌హీడ్ క్షిపణులు మరియు అంతరిక్ష సంస"&amp;"్థకు కాంట్రాక్టు ఇవ్వడంతో 1973 లో అక్వారే యొక్క అభివృద్ధి ప్రారంభమైంది వాహనం) యునైటెడ్ స్టేట్స్ ఎయిర్ ఫోర్స్ (యుఎస్ఎఎఫ్) ఉపయోగం కోసం సమ్మె విమానాల కోసం లక్ష్యాలను కనుగొనటానికి మరియు నియమించడానికి. [1] ఫలిత విమానం, విండెకర్ ఇండస్ట్రీస్ ద్వారా ఉప కాంట్రాక్ట"&amp;"్ కింద ఉత్పత్తి అవుతుంది, [1] మడత 7 అడుగుల 6 (2.29 మీ) రెక్కలు మరియు మెక్‌కలోచ్ MC-101 ఇంజిన్ చేత శక్తినిచ్చే పషర్ డక్టెడ్ ఫ్యాన్ కలిగి ఉంది మరియు ఇది A నుండి ప్రారంభించటానికి ఉద్దేశించబడింది SUU-42 ఫ్లేర్ డిస్పెన్సర్, [2] ఇది మెక్‌డోనెల్ డగ్లస్ ఎఫ్ -4 ఫా"&amp;"ంటమ్ II ఫైటర్-బాంబర్ నుండి సుమారు 24,000 అడుగుల (7,300 మీ) వద్ద విడుదల అవుతుంది మరియు పారాచూట్ కింద దిగుతుంది. ప్రధాన పారాచూట్‌ను అమలు చేసిన తరువాత, అక్వారే విడుదల చేయబడుతుంది, దాని ఇంజిన్‌ను ప్రారంభించి, గ్రౌండ్ స్టేషన్ నుండి రేడియో కమాండ్ మార్గదర్శకత్వం"&amp;"లో ఎగురుతుంది, [3] ఇమేజరీ మరియు టెలిమెట్రీతో డేటాలింక్ ద్వారా ప్రసారం అవుతుంది, [1] లాంచింగ్ ఎయిర్‌క్రాఫ్ట్ రిలేగా పనిచేస్తుంది CTU-2 డేటాలింక్ పాడ్ ఉపయోగించి. [4] అక్వివేలో వైమానిక నిఘా కోసం కెమెరాలు అమర్చబడి ఉన్నాయి మరియు యుఎవి కనుగొన్న లక్ష్యాలపై దాడి "&amp;"చేయడానికి లాంచింగ్ ఎఫ్ -4 లేదా ఇతర విమానాలను అనుమతించడానికి లేజర్ డిజైనర్‌తో కూడా అమర్చారు. [2] అక్వేర్ మొదట 1975 మధ్యలో ఎగిరింది; [2] 15 మరియు 20 ప్రోటోటైప్ విమానాల మధ్య ఉత్పత్తి చేయబడింది. మార్చి 1976 లో సిస్టమ్ యొక్క విమాన ప్రయత్నాల ముగిసిన తరువాత, [1]"&amp;" ఉత్పత్తి చేపట్టబడలేదు. [2] ఎల్‌ఎంఎస్‌సి మరియు విండెక్కర్ సంయుక్తంగా ఉత్పత్తి చేయబడిన అక్వారే, సేవియర్ (పరిశీలన, తెలివితేటలు మరియు నిఘా కోసం చిన్న వైమానిక వాహనం) యొక్క అభివృద్ధి, కొత్త స్థిర వింగ్ మరియు ల్యాండింగ్ గేర్ కాన్ఫిగరేషన్‌కు అనుగుణంగా సరికొత్త అ"&amp;"క్వారే యొక్క ఫ్యూజ్‌లేజ్ మరియు ఇంజిన్‌ను ఉపయోగించింది; మానవరహిత వైమానిక వాహనాల కోసం ఆటోపైలట్ డిజైన్ మరియు లాంచ్-అండ్-రికవరీ పద్ధతులను పరిశోధించడానికి ఇది ఉపయోగించబడింది. [5] పార్స్చ్ 2004 నుండి డేటా [2] సాధారణ లక్షణాలు పనితీరు యొక్క పనితీరు విమానం పోల్చదగ"&amp;"ిన పాత్ర, కాన్ఫిగరేషన్ మరియు ERA సంబంధిత జాబితా అనులేఖనాల గ్రంథ పట్టిక")</f>
        <v>లాక్‌హీడ్ అక్వారే (లాటిన్: "సమం చేయడానికి") యునైటెడ్ స్టేట్స్ వైమానిక దళం కోసం లాక్‌హీడ్ క్షిపణులు మరియు అంతరిక్ష సంస్థ అభివృద్ధి చేసిన మానవరహిత వైమానిక వాహనం. ఇది F-4 ఫాంటమ్ II ఫైటర్-బాంబర్ నుండి ప్రారంభించటానికి ఉద్దేశించబడింది మరియు లాంచింగ్ విమానాల ఉపయోగం కోసం రిమోట్ సెన్సార్ అర్రే మరియు లేజర్ డిజైనర్‌ను తీసుకువెళుతుంది. ఈ వ్యవస్థ 1970 ల మధ్యలో అంచనా వేయబడింది, కాని కార్యాచరణ సేవలో ప్రవేశించలేదు. డిఫెన్స్ అడ్వాన్స్‌డ్ రీసెర్చ్ ప్రాజెక్ట్స్ ఏజెన్సీ (DARPA) నుండి లాక్‌హీడ్ క్షిపణులు మరియు అంతరిక్ష సంస్థకు కాంట్రాక్టు ఇవ్వడంతో 1973 లో అక్వారే యొక్క అభివృద్ధి ప్రారంభమైంది వాహనం) యునైటెడ్ స్టేట్స్ ఎయిర్ ఫోర్స్ (యుఎస్ఎఎఫ్) ఉపయోగం కోసం సమ్మె విమానాల కోసం లక్ష్యాలను కనుగొనటానికి మరియు నియమించడానికి. [1] ఫలిత విమానం, విండెకర్ ఇండస్ట్రీస్ ద్వారా ఉప కాంట్రాక్ట్ కింద ఉత్పత్తి అవుతుంది, [1] మడత 7 అడుగుల 6 (2.29 మీ) రెక్కలు మరియు మెక్‌కలోచ్ MC-101 ఇంజిన్ చేత శక్తినిచ్చే పషర్ డక్టెడ్ ఫ్యాన్ కలిగి ఉంది మరియు ఇది A నుండి ప్రారంభించటానికి ఉద్దేశించబడింది SUU-42 ఫ్లేర్ డిస్పెన్సర్, [2] ఇది మెక్‌డోనెల్ డగ్లస్ ఎఫ్ -4 ఫాంటమ్ II ఫైటర్-బాంబర్ నుండి సుమారు 24,000 అడుగుల (7,300 మీ) వద్ద విడుదల అవుతుంది మరియు పారాచూట్ కింద దిగుతుంది. ప్రధాన పారాచూట్‌ను అమలు చేసిన తరువాత, అక్వారే విడుదల చేయబడుతుంది, దాని ఇంజిన్‌ను ప్రారంభించి, గ్రౌండ్ స్టేషన్ నుండి రేడియో కమాండ్ మార్గదర్శకత్వంలో ఎగురుతుంది, [3] ఇమేజరీ మరియు టెలిమెట్రీతో డేటాలింక్ ద్వారా ప్రసారం అవుతుంది, [1] లాంచింగ్ ఎయిర్‌క్రాఫ్ట్ రిలేగా పనిచేస్తుంది CTU-2 డేటాలింక్ పాడ్ ఉపయోగించి. [4] అక్వివేలో వైమానిక నిఘా కోసం కెమెరాలు అమర్చబడి ఉన్నాయి మరియు యుఎవి కనుగొన్న లక్ష్యాలపై దాడి చేయడానికి లాంచింగ్ ఎఫ్ -4 లేదా ఇతర విమానాలను అనుమతించడానికి లేజర్ డిజైనర్‌తో కూడా అమర్చారు. [2] అక్వేర్ మొదట 1975 మధ్యలో ఎగిరింది; [2] 15 మరియు 20 ప్రోటోటైప్ విమానాల మధ్య ఉత్పత్తి చేయబడింది. మార్చి 1976 లో సిస్టమ్ యొక్క విమాన ప్రయత్నాల ముగిసిన తరువాత, [1] ఉత్పత్తి చేపట్టబడలేదు. [2] ఎల్‌ఎంఎస్‌సి మరియు విండెక్కర్ సంయుక్తంగా ఉత్పత్తి చేయబడిన అక్వారే, సేవియర్ (పరిశీలన, తెలివితేటలు మరియు నిఘా కోసం చిన్న వైమానిక వాహనం) యొక్క అభివృద్ధి, కొత్త స్థిర వింగ్ మరియు ల్యాండింగ్ గేర్ కాన్ఫిగరేషన్‌కు అనుగుణంగా సరికొత్త అక్వారే యొక్క ఫ్యూజ్‌లేజ్ మరియు ఇంజిన్‌ను ఉపయోగించింది; మానవరహిత వైమానిక వాహనాల కోసం ఆటోపైలట్ డిజైన్ మరియు లాంచ్-అండ్-రికవరీ పద్ధతులను పరిశోధించడానికి ఇది ఉపయోగించబడింది. [5] పార్స్చ్ 2004 నుండి డేటా [2] సాధారణ లక్షణాలు పనితీరు యొక్క పనితీరు విమానం పోల్చదగిన పాత్ర, కాన్ఫిగరేషన్ మరియు ERA సంబంధిత జాబితా అనులేఖనాల గ్రంథ పట్టిక</v>
      </c>
      <c r="F64" s="1" t="s">
        <v>416</v>
      </c>
      <c r="G64" s="1" t="str">
        <f>IFERROR(__xludf.DUMMYFUNCTION("GOOGLETRANSLATE(F:F, ""en"", ""te"")"),"నిఘా డ్రోన్")</f>
        <v>నిఘా డ్రోన్</v>
      </c>
      <c r="I64" s="1" t="s">
        <v>127</v>
      </c>
      <c r="J64" s="1" t="str">
        <f>IFERROR(__xludf.DUMMYFUNCTION("GOOGLETRANSLATE(I:I, ""en"", ""te"")"),"సంయుక్త రాష్ట్రాలు")</f>
        <v>సంయుక్త రాష్ట్రాలు</v>
      </c>
      <c r="L64" s="1" t="s">
        <v>1118</v>
      </c>
      <c r="M64" s="1" t="str">
        <f>IFERROR(__xludf.DUMMYFUNCTION("GOOGLETRANSLATE(L:L, ""en"", ""te"")"),"లాక్‌హీడ్ క్షిపణులు మరియు అంతరిక్ష సంస్థ")</f>
        <v>లాక్‌హీడ్ క్షిపణులు మరియు అంతరిక్ష సంస్థ</v>
      </c>
      <c r="N64" s="1" t="s">
        <v>1119</v>
      </c>
      <c r="Q64" s="1" t="s">
        <v>1120</v>
      </c>
      <c r="S64" s="1" t="s">
        <v>407</v>
      </c>
      <c r="U64" s="1" t="s">
        <v>1121</v>
      </c>
      <c r="V64" s="1" t="s">
        <v>1122</v>
      </c>
      <c r="Y64" s="1" t="s">
        <v>1123</v>
      </c>
      <c r="AA64" s="1" t="s">
        <v>1124</v>
      </c>
      <c r="AE64" s="1" t="s">
        <v>1125</v>
      </c>
      <c r="AJ64" s="1">
        <v>1975.0</v>
      </c>
      <c r="AP64" s="1" t="s">
        <v>1028</v>
      </c>
      <c r="BH64" s="1" t="s">
        <v>1126</v>
      </c>
      <c r="BI64" s="1" t="s">
        <v>1127</v>
      </c>
      <c r="CJ64" s="1" t="s">
        <v>1128</v>
      </c>
      <c r="CK64" s="1" t="s">
        <v>1129</v>
      </c>
    </row>
    <row r="65">
      <c r="A65" s="1" t="s">
        <v>1130</v>
      </c>
      <c r="B65" s="1" t="str">
        <f>IFERROR(__xludf.DUMMYFUNCTION("GOOGLETRANSLATE(A:A, ""en"", ""te"")"),"స్థోమత")</f>
        <v>స్థోమత</v>
      </c>
      <c r="C65" s="1" t="s">
        <v>1131</v>
      </c>
      <c r="D65" s="1" t="str">
        <f>IFERROR(__xludf.DUMMYFUNCTION("GOOGLETRANSLATE(C:C, ""en"", ""te"")"),"స్థోమత పూపు లేన్ (కొన్నిసార్లు వ్రాసినది-ఒక విమానం) అనేది ఒక అమెరికన్ ప్రణాళికలు నిర్మించిన, హై వింగ్, స్ట్రట్-బ్రేక్, సింగిల్ ఇంజిన్, ట్రాక్టర్ కాన్ఫిగరేషన్, సాంప్రదాయ ల్యాండింగ్ గేర్ అమర్చిన అల్ట్రాలైట్ విమానాలు యుఎస్ ఫార్ 103 అల్ట్రాలైట్ వెహికల్స్ రూల్"&amp;"స్. డేవ్ ఎడ్వర్డ్స్ చేత రూపకల్పన చేయబడినది, ఇది te త్సాహిక నిర్మాణం కోసం ఉద్దేశించబడింది. [1] 150 నుండి 250 గంటల నిర్మాణ సమయంలో సాధారణ సాధనాలను ఉపయోగించి తక్షణమే మూలం మరియు చవకైన పదార్థాల నుండి దీనిని నిర్మించవచ్చని విమానం ప్రణాళికలు పేర్కొన్నాయి. [3] స్థ"&amp;"ోమత మరియు రౌండ్ అల్యూమినియం ట్యూబ్ రెండింటినీ ఉపయోగించి, స్థోమత 6061 టి -6 అల్యూమినియం ట్యూబ్ ఫ్యూజ్‌లేజ్ మరియు ఇతర నిర్మాణ భాగాలతో నిర్మించబడింది. రెక్కలు అనేది ""నిచ్చెన-రకం"" క్రాస్-బ్రేస్ నిర్మాణం, స్ట్రట్స్ చేత మద్దతు ఇవ్వబడుతుంది మరియు డోప్డ్ ఫాబ్రి"&amp;"క్లో కప్పబడి ఉంటుంది. బిల్డర్లకు అల్యూమినియం ట్యూబ్ లేదా దృ foo మైన నురుగు నుండి పక్కటెముకలను నిర్మించే అవకాశం ఉంది. వెల్డింగ్‌కు బదులుగా, నిర్మాణాత్మక భాగాలు రివర్టెడ్ లేదా బోల్ట్ అల్యూమినియం గుస్సెట్‌లతో జతచేయబడతాయి. కాక్‌పిట్ ప్లెక్సిగ్లాస్ లేదా లెక్సా"&amp;"న్ విండ్‌షీల్డ్‌తో బహిర్గతమవుతుంది. నియంత్రణలు సాంప్రదాయిక 3-అక్షం. [సైటేషన్ అవసరం] పార్ట్ 103 అల్ట్రాలైట్‌గా నిర్మించినప్పుడు, ఈ విమానం 26 హెచ్‌పి (19 కిలోవాట్) రోటాక్స్ 277, 35 హెచ్‌పి (26 కిలోవాట్ . రోటాక్స్ 503 తో సహా భారీ మరియు మరింత శక్తివంతమైన ఇంజన"&amp;"్లు కూడా ఉపయోగించబడతాయి, అయితే విమానం రూపకల్పన చేసినట్లుగా నిర్మించబడితే, ఫార్ పార్ట్ 103 254 పౌండ్ (115 కిలోల) ఖాళీ బరువు పరిమితిని మించిపోతుంది. రోటాక్స్ ఇంజిన్‌లను ఈ ప్రణాళికలు సిఫార్సు చేస్తాయి, అయితే సగం VW, కవాసాకి 340 మరియు కవాసాకి 440 కూడా ఉపయోగిం"&amp;"చబడ్డాయి. [4] స్థోమత పూపు లేన్ ఒక ప్రత్యేకమైన సింగిల్ యాక్టింగ్ ఐలెరాన్ కంట్రోల్ ఉపరితలం రెక్క యొక్క మొత్తం పొడవును కలిగి ఉంది. కొంతమంది బిల్డర్లు వీటిని ఫ్లాపెరాన్లుగా కాన్ఫిగర్ చేశారు, కాని ప్రణాళికలు ఈ సవరణకు వివరాలను కలిగి ఉండవు. [5] ప్రణాళికలు సింగిల"&amp;"్-సీట్ వెర్షన్‌గా గీస్తారు. కనీసం ఒక బిల్డర్ రెండు సీట్ల, టెన్డం వెర్షన్‌ను నిర్మించాడు. [6] అల్ట్రాలైట్ న్యూస్ నుండి డేటా, [1] పైలట్ మిక్స్. [4] పోల్చదగిన పాత్ర, కాన్ఫిగరేషన్ మరియు ERA యొక్క సాధారణ లక్షణాలు పనితీరు విమానం")</f>
        <v>స్థోమత పూపు లేన్ (కొన్నిసార్లు వ్రాసినది-ఒక విమానం) అనేది ఒక అమెరికన్ ప్రణాళికలు నిర్మించిన, హై వింగ్, స్ట్రట్-బ్రేక్, సింగిల్ ఇంజిన్, ట్రాక్టర్ కాన్ఫిగరేషన్, సాంప్రదాయ ల్యాండింగ్ గేర్ అమర్చిన అల్ట్రాలైట్ విమానాలు యుఎస్ ఫార్ 103 అల్ట్రాలైట్ వెహికల్స్ రూల్స్. డేవ్ ఎడ్వర్డ్స్ చేత రూపకల్పన చేయబడినది, ఇది te త్సాహిక నిర్మాణం కోసం ఉద్దేశించబడింది. [1] 150 నుండి 250 గంటల నిర్మాణ సమయంలో సాధారణ సాధనాలను ఉపయోగించి తక్షణమే మూలం మరియు చవకైన పదార్థాల నుండి దీనిని నిర్మించవచ్చని విమానం ప్రణాళికలు పేర్కొన్నాయి. [3] స్థోమత మరియు రౌండ్ అల్యూమినియం ట్యూబ్ రెండింటినీ ఉపయోగించి, స్థోమత 6061 టి -6 అల్యూమినియం ట్యూబ్ ఫ్యూజ్‌లేజ్ మరియు ఇతర నిర్మాణ భాగాలతో నిర్మించబడింది. రెక్కలు అనేది "నిచ్చెన-రకం" క్రాస్-బ్రేస్ నిర్మాణం, స్ట్రట్స్ చేత మద్దతు ఇవ్వబడుతుంది మరియు డోప్డ్ ఫాబ్రిక్లో కప్పబడి ఉంటుంది. బిల్డర్లకు అల్యూమినియం ట్యూబ్ లేదా దృ foo మైన నురుగు నుండి పక్కటెముకలను నిర్మించే అవకాశం ఉంది. వెల్డింగ్‌కు బదులుగా, నిర్మాణాత్మక భాగాలు రివర్టెడ్ లేదా బోల్ట్ అల్యూమినియం గుస్సెట్‌లతో జతచేయబడతాయి. కాక్‌పిట్ ప్లెక్సిగ్లాస్ లేదా లెక్సాన్ విండ్‌షీల్డ్‌తో బహిర్గతమవుతుంది. నియంత్రణలు సాంప్రదాయిక 3-అక్షం. [సైటేషన్ అవసరం] పార్ట్ 103 అల్ట్రాలైట్‌గా నిర్మించినప్పుడు, ఈ విమానం 26 హెచ్‌పి (19 కిలోవాట్) రోటాక్స్ 277, 35 హెచ్‌పి (26 కిలోవాట్ . రోటాక్స్ 503 తో సహా భారీ మరియు మరింత శక్తివంతమైన ఇంజన్లు కూడా ఉపయోగించబడతాయి, అయితే విమానం రూపకల్పన చేసినట్లుగా నిర్మించబడితే, ఫార్ పార్ట్ 103 254 పౌండ్ (115 కిలోల) ఖాళీ బరువు పరిమితిని మించిపోతుంది. రోటాక్స్ ఇంజిన్‌లను ఈ ప్రణాళికలు సిఫార్సు చేస్తాయి, అయితే సగం VW, కవాసాకి 340 మరియు కవాసాకి 440 కూడా ఉపయోగించబడ్డాయి. [4] స్థోమత పూపు లేన్ ఒక ప్రత్యేకమైన సింగిల్ యాక్టింగ్ ఐలెరాన్ కంట్రోల్ ఉపరితలం రెక్క యొక్క మొత్తం పొడవును కలిగి ఉంది. కొంతమంది బిల్డర్లు వీటిని ఫ్లాపెరాన్లుగా కాన్ఫిగర్ చేశారు, కాని ప్రణాళికలు ఈ సవరణకు వివరాలను కలిగి ఉండవు. [5] ప్రణాళికలు సింగిల్-సీట్ వెర్షన్‌గా గీస్తారు. కనీసం ఒక బిల్డర్ రెండు సీట్ల, టెన్డం వెర్షన్‌ను నిర్మించాడు. [6] అల్ట్రాలైట్ న్యూస్ నుండి డేటా, [1] పైలట్ మిక్స్. [4] పోల్చదగిన పాత్ర, కాన్ఫిగరేషన్ మరియు ERA యొక్క సాధారణ లక్షణాలు పనితీరు విమానం</v>
      </c>
      <c r="E65" s="1" t="s">
        <v>1132</v>
      </c>
      <c r="F65" s="1" t="s">
        <v>1133</v>
      </c>
      <c r="G65" s="1" t="str">
        <f>IFERROR(__xludf.DUMMYFUNCTION("GOOGLETRANSLATE(F:F, ""en"", ""te"")"),"అల్ట్రాలైట్ విమానం")</f>
        <v>అల్ట్రాలైట్ విమానం</v>
      </c>
      <c r="H65" s="1" t="s">
        <v>1134</v>
      </c>
      <c r="I65" s="1" t="s">
        <v>127</v>
      </c>
      <c r="J65" s="1" t="str">
        <f>IFERROR(__xludf.DUMMYFUNCTION("GOOGLETRANSLATE(I:I, ""en"", ""te"")"),"సంయుక్త రాష్ట్రాలు")</f>
        <v>సంయుక్త రాష్ట్రాలు</v>
      </c>
      <c r="K65" s="1" t="s">
        <v>128</v>
      </c>
      <c r="L65" s="1" t="s">
        <v>1135</v>
      </c>
      <c r="M65" s="1" t="str">
        <f>IFERROR(__xludf.DUMMYFUNCTION("GOOGLETRANSLATE(L:L, ""en"", ""te"")"),"స్థోమత విమానం")</f>
        <v>స్థోమత విమానం</v>
      </c>
      <c r="N65" s="1" t="s">
        <v>1136</v>
      </c>
      <c r="O65" s="1" t="s">
        <v>1137</v>
      </c>
      <c r="P65" s="1" t="str">
        <f>IFERROR(__xludf.DUMMYFUNCTION("GOOGLETRANSLATE(O:O, ""en"", ""te"")"),"ప్రణాళికలు అందుబాటులో ఉన్నాయి")</f>
        <v>ప్రణాళికలు అందుబాటులో ఉన్నాయి</v>
      </c>
      <c r="Q65" s="1" t="s">
        <v>1138</v>
      </c>
      <c r="R65" s="1" t="s">
        <v>132</v>
      </c>
      <c r="S65" s="1" t="s">
        <v>133</v>
      </c>
      <c r="T65" s="1" t="s">
        <v>1139</v>
      </c>
      <c r="U65" s="1" t="s">
        <v>1140</v>
      </c>
      <c r="V65" s="1" t="s">
        <v>1141</v>
      </c>
      <c r="W65" s="1" t="s">
        <v>1142</v>
      </c>
      <c r="X65" s="1" t="s">
        <v>1143</v>
      </c>
      <c r="Y65" s="1" t="s">
        <v>1144</v>
      </c>
      <c r="Z65" s="1" t="s">
        <v>1145</v>
      </c>
      <c r="AA65" s="1" t="s">
        <v>1146</v>
      </c>
      <c r="AB65" s="1" t="s">
        <v>1147</v>
      </c>
      <c r="AC65" s="1" t="s">
        <v>289</v>
      </c>
      <c r="AD65" s="1" t="s">
        <v>1148</v>
      </c>
      <c r="AE65" s="1" t="s">
        <v>1149</v>
      </c>
      <c r="AF65" s="1" t="s">
        <v>1150</v>
      </c>
      <c r="AG65" s="1" t="s">
        <v>1151</v>
      </c>
      <c r="AH65" s="1" t="s">
        <v>1152</v>
      </c>
      <c r="AJ65" s="1">
        <v>2001.0</v>
      </c>
      <c r="AK65" s="1">
        <v>2001.0</v>
      </c>
      <c r="AM65" s="1" t="s">
        <v>1153</v>
      </c>
      <c r="AP65" s="1" t="s">
        <v>1154</v>
      </c>
      <c r="AR65" s="1" t="s">
        <v>1155</v>
      </c>
      <c r="AW65" s="1" t="s">
        <v>1156</v>
      </c>
    </row>
    <row r="66">
      <c r="A66" s="1" t="s">
        <v>1157</v>
      </c>
      <c r="B66" s="1" t="str">
        <f>IFERROR(__xludf.DUMMYFUNCTION("GOOGLETRANSLATE(A:A, ""en"", ""te"")"),"CBB O2")</f>
        <v>CBB O2</v>
      </c>
      <c r="C66" s="1" t="s">
        <v>1158</v>
      </c>
      <c r="D66" s="1" t="str">
        <f>IFERROR(__xludf.DUMMYFUNCTION("GOOGLETRANSLATE(C:C, ""en"", ""te"")"),"CBB O2 (తరచుగా శైలిలో O²) అనేది ఫ్రెంచ్ అల్ట్రాలైట్ ట్రైక్‌ల కుటుంబం, ఇది బ్రూనో బౌరాన్ చేత రూపొందించబడింది మరియు మాంట్రీయుల్-బెల్లెకు చెందిన CBB ULM చేత ఉత్పత్తి చేయబడింది. విమానం పూర్తి మరియు ఎగరడానికి సిద్ధంగా ఉంది. [1] వర్గం యొక్క గరిష్ట స్థూల బరువు 4"&amp;"50 కిలోల (992 పౌండ్లు) తో సహా, ఫెడెరేషన్ Aéronautique ఇంటర్నేషనల్ మైక్రోలైట్ వర్గానికి అనుగుణంగా O2 రూపొందించబడింది. ఈ విమానం గరిష్టంగా స్థూల బరువు 450 కిలోలు (992 పౌండ్లు). [1] విమాన రూపకల్పనలో కేబుల్-బ్రేస్డ్ హాంగ్ గ్లైడర్-స్టైల్ హై వింగ్ ఉన్నాయి, వీటి "&amp;"పషర్ కాన్ఫిగరేషన్‌లో ఇంజిన్. [1] ఈ విమానం బోల్ట్-టుగెథర్ అల్యూమినియం గొట్టాల నుండి తయారవుతుంది, దాని డబుల్-ఉపరితల విభాగం డాక్రాన్ సెయిల్‌క్లాత్‌లో కప్పబడి ఉంటుంది. దీని 9.38 మీ (30.8 అడుగులు) స్పాన్ వింగ్‌కు ఒకే ట్యూబ్-రకం కింగ్‌పోస్ట్ మద్దతు ఇస్తుంది మరి"&amp;"యు ""ఎ"" ఫ్రేమ్ వెయిట్-షిఫ్ట్ కంట్రోల్ బార్‌ను ఉపయోగిస్తుంది. పవర్‌ప్లాంట్ ఒక ట్విన్-సిలిండర్, లిక్విడ్-కూల్డ్, టూ-స్ట్రోక్, డ్యూయల్-ఇగ్నిషన్ 64 హెచ్‌పి (48 కిలోవాట్ (60 kW) రోటాక్స్ 912UL ఇంజిన్. ఒక సమయంలో ట్విన్-సిలిండర్, ఎయిర్-కూల్డ్, ఫోర్-స్ట్రోక్, డ్"&amp;"యూయల్-ఇగ్నిషన్ 60 హెచ్‌పి (45 కిలోవాట్ ఒక ఎంపికగా. [1] [2] దాని O2 SW 582 సంస్కరణలో, ఈ విమానం ఖాళీ బరువు 172 కిలోల (379 పౌండ్లు) మరియు స్థూల బరువు 450 కిలోల (992 ఎల్బి), ఇది 278 కిలోల (613 పౌండ్లు) ఉపయోగకరమైన లోడ్ ఇస్తుంది. 52 లీటర్ల పూర్తి ఇంధనంతో (11 ఇం"&amp;"ప్ గల్; 14 యుఎస్ గాల్), పేలోడ్ 241 కిలోలు (531 ఎల్బి). [1] ప్రాథమిక O2 క్యారేజ్ యొక్క మెరుగైన మోడల్ O2B. [3] ప్రామాణిక లా మౌట్ ఒరిక్స్‌తో సహా ప్రాథమిక క్యారేజీకి అనేక విభిన్న రెక్కలను అమర్చవచ్చు. [1] టాక్ నుండి డేటా [1] సాధారణ లక్షణాల పనితీరు")</f>
        <v>CBB O2 (తరచుగా శైలిలో O²) అనేది ఫ్రెంచ్ అల్ట్రాలైట్ ట్రైక్‌ల కుటుంబం, ఇది బ్రూనో బౌరాన్ చేత రూపొందించబడింది మరియు మాంట్రీయుల్-బెల్లెకు చెందిన CBB ULM చేత ఉత్పత్తి చేయబడింది. విమానం పూర్తి మరియు ఎగరడానికి సిద్ధంగా ఉంది. [1] వర్గం యొక్క గరిష్ట స్థూల బరువు 450 కిలోల (992 పౌండ్లు) తో సహా, ఫెడెరేషన్ Aéronautique ఇంటర్నేషనల్ మైక్రోలైట్ వర్గానికి అనుగుణంగా O2 రూపొందించబడింది. ఈ విమానం గరిష్టంగా స్థూల బరువు 450 కిలోలు (992 పౌండ్లు). [1] విమాన రూపకల్పనలో కేబుల్-బ్రేస్డ్ హాంగ్ గ్లైడర్-స్టైల్ హై వింగ్ ఉన్నాయి, వీటి పషర్ కాన్ఫిగరేషన్‌లో ఇంజిన్. [1] ఈ విమానం బోల్ట్-టుగెథర్ అల్యూమినియం గొట్టాల నుండి తయారవుతుంది, దాని డబుల్-ఉపరితల విభాగం డాక్రాన్ సెయిల్‌క్లాత్‌లో కప్పబడి ఉంటుంది. దీని 9.38 మీ (30.8 అడుగులు) స్పాన్ వింగ్‌కు ఒకే ట్యూబ్-రకం కింగ్‌పోస్ట్ మద్దతు ఇస్తుంది మరియు "ఎ" ఫ్రేమ్ వెయిట్-షిఫ్ట్ కంట్రోల్ బార్‌ను ఉపయోగిస్తుంది. పవర్‌ప్లాంట్ ఒక ట్విన్-సిలిండర్, లిక్విడ్-కూల్డ్, టూ-స్ట్రోక్, డ్యూయల్-ఇగ్నిషన్ 64 హెచ్‌పి (48 కిలోవాట్ (60 kW) రోటాక్స్ 912UL ఇంజిన్. ఒక సమయంలో ట్విన్-సిలిండర్, ఎయిర్-కూల్డ్, ఫోర్-స్ట్రోక్, డ్యూయల్-ఇగ్నిషన్ 60 హెచ్‌పి (45 కిలోవాట్ ఒక ఎంపికగా. [1] [2] దాని O2 SW 582 సంస్కరణలో, ఈ విమానం ఖాళీ బరువు 172 కిలోల (379 పౌండ్లు) మరియు స్థూల బరువు 450 కిలోల (992 ఎల్బి), ఇది 278 కిలోల (613 పౌండ్లు) ఉపయోగకరమైన లోడ్ ఇస్తుంది. 52 లీటర్ల పూర్తి ఇంధనంతో (11 ఇంప్ గల్; 14 యుఎస్ గాల్), పేలోడ్ 241 కిలోలు (531 ఎల్బి). [1] ప్రాథమిక O2 క్యారేజ్ యొక్క మెరుగైన మోడల్ O2B. [3] ప్రామాణిక లా మౌట్ ఒరిక్స్‌తో సహా ప్రాథమిక క్యారేజీకి అనేక విభిన్న రెక్కలను అమర్చవచ్చు. [1] టాక్ నుండి డేటా [1] సాధారణ లక్షణాల పనితీరు</v>
      </c>
      <c r="F66" s="1" t="s">
        <v>184</v>
      </c>
      <c r="G66" s="1" t="str">
        <f>IFERROR(__xludf.DUMMYFUNCTION("GOOGLETRANSLATE(F:F, ""en"", ""te"")"),"అల్ట్రాలైట్ ట్రైక్")</f>
        <v>అల్ట్రాలైట్ ట్రైక్</v>
      </c>
      <c r="H66" s="1" t="s">
        <v>185</v>
      </c>
      <c r="I66" s="1" t="s">
        <v>646</v>
      </c>
      <c r="J66" s="1" t="str">
        <f>IFERROR(__xludf.DUMMYFUNCTION("GOOGLETRANSLATE(I:I, ""en"", ""te"")"),"ఫ్రాన్స్")</f>
        <v>ఫ్రాన్స్</v>
      </c>
      <c r="K66" s="3" t="s">
        <v>647</v>
      </c>
      <c r="L66" s="1" t="s">
        <v>1159</v>
      </c>
      <c r="M66" s="1" t="str">
        <f>IFERROR(__xludf.DUMMYFUNCTION("GOOGLETRANSLATE(L:L, ""en"", ""te"")"),"CBB ULM")</f>
        <v>CBB ULM</v>
      </c>
      <c r="N66" s="1" t="s">
        <v>1160</v>
      </c>
      <c r="O66" s="1" t="s">
        <v>560</v>
      </c>
      <c r="P66" s="1" t="str">
        <f>IFERROR(__xludf.DUMMYFUNCTION("GOOGLETRANSLATE(O:O, ""en"", ""te"")"),"ఉత్పత్తిలో (2018)")</f>
        <v>ఉత్పత్తిలో (2018)</v>
      </c>
      <c r="R66" s="1" t="s">
        <v>132</v>
      </c>
      <c r="S66" s="1" t="s">
        <v>133</v>
      </c>
      <c r="T66" s="1" t="s">
        <v>134</v>
      </c>
      <c r="V66" s="1" t="s">
        <v>1161</v>
      </c>
      <c r="W66" s="1" t="s">
        <v>1162</v>
      </c>
      <c r="X66" s="1" t="s">
        <v>1163</v>
      </c>
      <c r="Y66" s="1" t="s">
        <v>252</v>
      </c>
      <c r="Z66" s="1" t="s">
        <v>1164</v>
      </c>
      <c r="AA66" s="1" t="s">
        <v>1165</v>
      </c>
      <c r="AB66" s="1" t="s">
        <v>1166</v>
      </c>
      <c r="AC66" s="1" t="s">
        <v>515</v>
      </c>
      <c r="AF66" s="1" t="s">
        <v>1167</v>
      </c>
      <c r="AG66" s="1" t="s">
        <v>1168</v>
      </c>
      <c r="AH66" s="1" t="s">
        <v>1169</v>
      </c>
      <c r="AP66" s="1" t="s">
        <v>1170</v>
      </c>
    </row>
    <row r="67">
      <c r="A67" s="1" t="s">
        <v>1171</v>
      </c>
      <c r="B67" s="1" t="str">
        <f>IFERROR(__xludf.DUMMYFUNCTION("GOOGLETRANSLATE(A:A, ""en"", ""te"")"),"EDM ఏరోటెక్ కోక్స్ 2D/2R")</f>
        <v>EDM ఏరోటెక్ కోక్స్ 2D/2R</v>
      </c>
      <c r="C67" s="1" t="s">
        <v>1172</v>
      </c>
      <c r="D67" s="1" t="str">
        <f>IFERROR(__xludf.DUMMYFUNCTION("GOOGLETRANSLATE(C:C, ""en"", ""te"")"),"EDM ఏరోటెక్ కోక్స్ 2D/2R అనేది జర్మన్ ఏకాక్షక ప్రధాన రోటర్ హెలికాప్టర్ల శ్రేణి. విమానం పూర్తి మరియు రెడీ టు-ఫ్లై సరఫరా చేయబడుతుంది. [1] COAX 2D/2R ను మొదట FLIP 2 (ఫ్లై ఇన్ పర్ఫెక్షన్) అని పిలుస్తారు మరియు ఇది ఫ్లిప్ 1 యొక్క ఉత్పన్నం, ఇది ఒక ప్రధాన మరియు త"&amp;"ోక రోటర్‌తో సాంప్రదాయిక హెలికాప్టర్. [1] COAX 2D/2R యూరోపియన్ క్లాస్ 6 మైక్రోలైట్ హెలికాప్టర్ నిబంధనలకు అనుగుణంగా రూపొందించబడింది, ఇందులో వర్గం యొక్క గరిష్ట టేకాఫ్ బరువు 450 కిలోలు (992 పౌండ్లు). డిజైన్ పరీక్ష 2012 లో ప్రారంభమైంది. [1] ఈ డిజైన్‌లో డ్యూయల్"&amp;" ఏకాక్షక ప్రధాన రోటర్లు, రెండు-సీట్ల సైడ్-బై-సైడ్ కాన్ఫిగరేషన్ పరివేష్టిత కాక్‌పిట్ మరియు గ్రౌండ్ హ్యాండ్లింగ్ వీల్స్‌తో స్కిడ్ ల్యాండింగ్ గేర్ ఉన్నాయి. రెండు వేరియంట్లు వేర్వేరు విద్యుత్ ప్లాంట్లను ఉపయోగిస్తాయి. [1] విమానం ఫ్యూజ్‌లేజ్ మిశ్రమాల నుండి తయార"&amp;"వుతుంది. దీని ద్వంద్వ మిశ్రమ రెండు-బ్లేడెడ్ ప్రధాన రోటర్లు 6.50 మీ (21.3 అడుగులు) వ్యాసం కలిగి ఉంటాయి. ఈ విమానం 283 కిలోల (624 పౌండ్లు) మరియు స్థూల బరువు 450 కిలోల (992 ఎల్బి) ఖాళీ బరువును కలిగి ఉంది, ఇది 167 కిలోల (368 పౌండ్లు) ఉపయోగకరమైన లోడ్ ఇస్తుంది. "&amp;"48 లీటర్ల పూర్తి ఇంధనంతో (11 ఇంప్ గల్; 13 యుఎస్ గాల్) పైలట్ కోసం పేలోడ్, ప్రయాణీకులు మరియు సామాను 132 కిలోలు (291 పౌండ్లు). [1] [2] టాక్ మరియు తయారీదారు నుండి డేటా [1] [2] సాధారణ లక్షణాల పనితీరు")</f>
        <v>EDM ఏరోటెక్ కోక్స్ 2D/2R అనేది జర్మన్ ఏకాక్షక ప్రధాన రోటర్ హెలికాప్టర్ల శ్రేణి. విమానం పూర్తి మరియు రెడీ టు-ఫ్లై సరఫరా చేయబడుతుంది. [1] COAX 2D/2R ను మొదట FLIP 2 (ఫ్లై ఇన్ పర్ఫెక్షన్) అని పిలుస్తారు మరియు ఇది ఫ్లిప్ 1 యొక్క ఉత్పన్నం, ఇది ఒక ప్రధాన మరియు తోక రోటర్‌తో సాంప్రదాయిక హెలికాప్టర్. [1] COAX 2D/2R యూరోపియన్ క్లాస్ 6 మైక్రోలైట్ హెలికాప్టర్ నిబంధనలకు అనుగుణంగా రూపొందించబడింది, ఇందులో వర్గం యొక్క గరిష్ట టేకాఫ్ బరువు 450 కిలోలు (992 పౌండ్లు). డిజైన్ పరీక్ష 2012 లో ప్రారంభమైంది. [1] ఈ డిజైన్‌లో డ్యూయల్ ఏకాక్షక ప్రధాన రోటర్లు, రెండు-సీట్ల సైడ్-బై-సైడ్ కాన్ఫిగరేషన్ పరివేష్టిత కాక్‌పిట్ మరియు గ్రౌండ్ హ్యాండ్లింగ్ వీల్స్‌తో స్కిడ్ ల్యాండింగ్ గేర్ ఉన్నాయి. రెండు వేరియంట్లు వేర్వేరు విద్యుత్ ప్లాంట్లను ఉపయోగిస్తాయి. [1] విమానం ఫ్యూజ్‌లేజ్ మిశ్రమాల నుండి తయారవుతుంది. దీని ద్వంద్వ మిశ్రమ రెండు-బ్లేడెడ్ ప్రధాన రోటర్లు 6.50 మీ (21.3 అడుగులు) వ్యాసం కలిగి ఉంటాయి. ఈ విమానం 283 కిలోల (624 పౌండ్లు) మరియు స్థూల బరువు 450 కిలోల (992 ఎల్బి) ఖాళీ బరువును కలిగి ఉంది, ఇది 167 కిలోల (368 పౌండ్లు) ఉపయోగకరమైన లోడ్ ఇస్తుంది. 48 లీటర్ల పూర్తి ఇంధనంతో (11 ఇంప్ గల్; 13 యుఎస్ గాల్) పైలట్ కోసం పేలోడ్, ప్రయాణీకులు మరియు సామాను 132 కిలోలు (291 పౌండ్లు). [1] [2] టాక్ మరియు తయారీదారు నుండి డేటా [1] [2] సాధారణ లక్షణాల పనితీరు</v>
      </c>
      <c r="E67" s="1" t="s">
        <v>1173</v>
      </c>
      <c r="F67" s="1" t="s">
        <v>218</v>
      </c>
      <c r="G67" s="1" t="str">
        <f>IFERROR(__xludf.DUMMYFUNCTION("GOOGLETRANSLATE(F:F, ""en"", ""te"")"),"హెలికాప్టర్")</f>
        <v>హెలికాప్టర్</v>
      </c>
      <c r="H67" s="3" t="s">
        <v>219</v>
      </c>
      <c r="I67" s="1" t="s">
        <v>321</v>
      </c>
      <c r="J67" s="1" t="str">
        <f>IFERROR(__xludf.DUMMYFUNCTION("GOOGLETRANSLATE(I:I, ""en"", ""te"")"),"జర్మనీ")</f>
        <v>జర్మనీ</v>
      </c>
      <c r="K67" s="3" t="s">
        <v>322</v>
      </c>
      <c r="L67" s="1" t="s">
        <v>1174</v>
      </c>
      <c r="M67" s="1" t="str">
        <f>IFERROR(__xludf.DUMMYFUNCTION("GOOGLETRANSLATE(L:L, ""en"", ""te"")"),"EDM ఏరోటెక్")</f>
        <v>EDM ఏరోటెక్</v>
      </c>
      <c r="N67" s="1" t="s">
        <v>1175</v>
      </c>
      <c r="O67" s="1" t="s">
        <v>539</v>
      </c>
      <c r="P67" s="1" t="str">
        <f>IFERROR(__xludf.DUMMYFUNCTION("GOOGLETRANSLATE(O:O, ""en"", ""te"")"),"ఉత్పత్తిలో (2017)")</f>
        <v>ఉత్పత్తిలో (2017)</v>
      </c>
      <c r="AJ67" s="1">
        <v>2012.0</v>
      </c>
    </row>
    <row r="68">
      <c r="A68" s="1" t="s">
        <v>1176</v>
      </c>
      <c r="B68" s="1" t="str">
        <f>IFERROR(__xludf.DUMMYFUNCTION("GOOGLETRANSLATE(A:A, ""en"", ""te"")"),"ధ్రువ నక్షత్రం")</f>
        <v>ధ్రువ నక్షత్రం</v>
      </c>
      <c r="C68" s="1" t="s">
        <v>1177</v>
      </c>
      <c r="D68" s="1" t="str">
        <f>IFERROR(__xludf.DUMMYFUNCTION("GOOGLETRANSLATE(C:C, ""en"", ""te"")"),"పోలార్ స్టార్ అనేది ధ్రువ అన్వేషకుడు లింకన్ ఎల్స్‌వర్త్ ఉపయోగించిన విమానం, ధ్రువ అన్వేషణ కోసం విమానాల ప్రారంభ అడాప్టర్ మరియు రాబర్ట్ పియరీతో కలిసి పనిచేశారు. [1] పోలార్ స్టార్ ఆల్-మెటల్ నార్త్రోప్ గామా, ఇది తక్కువ-వింగ్ కలిగి ఉంది, గాలులు మరియు విస్తృత స్"&amp;"కిస్ యొక్క ప్రభావాలను చక్రాలు లేదా పాంటూన్లతో మార్చవచ్చు మరియు 5,000 మైళ్ళు (4,300 ఎన్ఎమ్ఐ; 8,000 కిమీ) క్రూజింగ్ పరిధి. [1 ] పోలార్ స్టార్ 1934 లో నార్వేలో ఉన్న HMAS వ్యాట్ ఇర్ప్ పై అంటార్కిటిక్కు రవాణా చేయబడింది. ఆస్ట్రేలియా అన్వేషకుడు సర్ హుబెర్ట్ విల్"&amp;"కిన్స్ సలహాదారు మరియు నార్వేజియన్-అమెరికన్ ఎక్స్‌ప్లోరర్ బెర్న్ట్ బాల్చెన్ మొదటి పైలట్‌గా పనిచేశారు. ఈ యాత్ర 6 జనవరి 1934 న షిప్ ద్వారా బే ఆఫ్ తిమింగలాలు చేరుకుంది, మరియు ఎల్స్‌వర్త్ బే ఆఫ్ తిమింగలాలు మరియు వెడ్డెల్ సముద్రం మధ్య బాల్చెన్‌తో రౌండ్-ట్రిప్ ఫ"&amp;"్లైట్ చేయాలని అనుకున్నాడు. అయితే, స్కిస్ మంచు మీద విరిగింది. [2] సెప్టెంబర్ 1934 లో అంటార్కిటిక్‌లో ధ్రువ నక్షత్రాన్ని ఎగరడానికి రెండవ ప్రయత్నం కూడా విజయవంతం కాలేదు. [2] చివరగా, 1935 చివరలో, ఎల్స్‌వర్త్ కొత్త పైలట్‌తో మూడవ ప్రయత్నం, హెర్బర్ట్ హోలిక్-కెన్య"&amp;"ోన్ విజయవంతమైంది. [3] విమానం 14 గంటలు ఎగిరింది మరియు ల్యాండింగ్‌లో ఫ్యూజ్‌లేజ్ దెబ్బతిన్నప్పటికీ, విమానం మళ్లీ ఎగరగలిగింది. [2] ఈ సాధన కోసం, ఎల్స్‌వర్త్‌కు నేషనల్ జియోగ్రాఫిక్ సొసైటీ యొక్క హబ్బర్డ్ పతకాన్ని అధ్యక్షుడు ఫ్రాంక్లిన్ డి. రూజ్‌వెల్ట్ ఏప్రిల్ 1"&amp;"936 లో అన్వేషణ, ఆవిష్కరణ మరియు పరిశోధనలో వ్యత్యాసం కోసం ప్రదానం చేశారు. 1936 లో అతన్ని నార్వేజియన్ భౌగోళిక సమాజంలో గౌరవ సభ్యుడిగా ప్రకటించారు. [4] 1936 లో, ఎల్స్‌వర్త్ పోలార్ స్టార్‌ను వాషింగ్టన్ DC లోని స్మిత్సోనియన్ సంస్థకు విరాళంగా ఇచ్చాడు. ఇది ఇప్పుడు"&amp;" నేషనల్ ఎయిర్ అండ్ స్పేస్ మ్యూజియంలో ఉంది. [2]")</f>
        <v>పోలార్ స్టార్ అనేది ధ్రువ అన్వేషకుడు లింకన్ ఎల్స్‌వర్త్ ఉపయోగించిన విమానం, ధ్రువ అన్వేషణ కోసం విమానాల ప్రారంభ అడాప్టర్ మరియు రాబర్ట్ పియరీతో కలిసి పనిచేశారు. [1] పోలార్ స్టార్ ఆల్-మెటల్ నార్త్రోప్ గామా, ఇది తక్కువ-వింగ్ కలిగి ఉంది, గాలులు మరియు విస్తృత స్కిస్ యొక్క ప్రభావాలను చక్రాలు లేదా పాంటూన్లతో మార్చవచ్చు మరియు 5,000 మైళ్ళు (4,300 ఎన్ఎమ్ఐ; 8,000 కిమీ) క్రూజింగ్ పరిధి. [1 ] పోలార్ స్టార్ 1934 లో నార్వేలో ఉన్న HMAS వ్యాట్ ఇర్ప్ పై అంటార్కిటిక్కు రవాణా చేయబడింది. ఆస్ట్రేలియా అన్వేషకుడు సర్ హుబెర్ట్ విల్కిన్స్ సలహాదారు మరియు నార్వేజియన్-అమెరికన్ ఎక్స్‌ప్లోరర్ బెర్న్ట్ బాల్చెన్ మొదటి పైలట్‌గా పనిచేశారు. ఈ యాత్ర 6 జనవరి 1934 న షిప్ ద్వారా బే ఆఫ్ తిమింగలాలు చేరుకుంది, మరియు ఎల్స్‌వర్త్ బే ఆఫ్ తిమింగలాలు మరియు వెడ్డెల్ సముద్రం మధ్య బాల్చెన్‌తో రౌండ్-ట్రిప్ ఫ్లైట్ చేయాలని అనుకున్నాడు. అయితే, స్కిస్ మంచు మీద విరిగింది. [2] సెప్టెంబర్ 1934 లో అంటార్కిటిక్‌లో ధ్రువ నక్షత్రాన్ని ఎగరడానికి రెండవ ప్రయత్నం కూడా విజయవంతం కాలేదు. [2] చివరగా, 1935 చివరలో, ఎల్స్‌వర్త్ కొత్త పైలట్‌తో మూడవ ప్రయత్నం, హెర్బర్ట్ హోలిక్-కెన్యోన్ విజయవంతమైంది. [3] విమానం 14 గంటలు ఎగిరింది మరియు ల్యాండింగ్‌లో ఫ్యూజ్‌లేజ్ దెబ్బతిన్నప్పటికీ, విమానం మళ్లీ ఎగరగలిగింది. [2] ఈ సాధన కోసం, ఎల్స్‌వర్త్‌కు నేషనల్ జియోగ్రాఫిక్ సొసైటీ యొక్క హబ్బర్డ్ పతకాన్ని అధ్యక్షుడు ఫ్రాంక్లిన్ డి. రూజ్‌వెల్ట్ ఏప్రిల్ 1936 లో అన్వేషణ, ఆవిష్కరణ మరియు పరిశోధనలో వ్యత్యాసం కోసం ప్రదానం చేశారు. 1936 లో అతన్ని నార్వేజియన్ భౌగోళిక సమాజంలో గౌరవ సభ్యుడిగా ప్రకటించారు. [4] 1936 లో, ఎల్స్‌వర్త్ పోలార్ స్టార్‌ను వాషింగ్టన్ DC లోని స్మిత్సోనియన్ సంస్థకు విరాళంగా ఇచ్చాడు. ఇది ఇప్పుడు నేషనల్ ఎయిర్ అండ్ స్పేస్ మ్యూజియంలో ఉంది. [2]</v>
      </c>
      <c r="E68" s="1" t="s">
        <v>1178</v>
      </c>
      <c r="L68" s="1" t="s">
        <v>1179</v>
      </c>
      <c r="M68" s="1" t="str">
        <f>IFERROR(__xludf.DUMMYFUNCTION("GOOGLETRANSLATE(L:L, ""en"", ""te"")"),"నార్త్రోప్")</f>
        <v>నార్త్రోప్</v>
      </c>
      <c r="N68" s="3" t="s">
        <v>1180</v>
      </c>
      <c r="AJ68" s="1">
        <v>1934.0</v>
      </c>
      <c r="BX68" s="1" t="s">
        <v>1181</v>
      </c>
      <c r="BY68" s="1" t="s">
        <v>1182</v>
      </c>
      <c r="CL68" s="1" t="s">
        <v>1183</v>
      </c>
      <c r="CM68" s="1" t="s">
        <v>1184</v>
      </c>
      <c r="CN68" s="1" t="s">
        <v>1185</v>
      </c>
      <c r="CO68" s="1">
        <v>1936.0</v>
      </c>
      <c r="CP68" s="1" t="s">
        <v>1186</v>
      </c>
      <c r="CQ68" s="1" t="s">
        <v>1187</v>
      </c>
      <c r="CR68" s="1" t="s">
        <v>1188</v>
      </c>
    </row>
    <row r="69">
      <c r="A69" s="1" t="s">
        <v>1189</v>
      </c>
      <c r="B69" s="1" t="str">
        <f>IFERROR(__xludf.DUMMYFUNCTION("GOOGLETRANSLATE(A:A, ""en"", ""te"")"),"PAF XT-004 లేంగ్")</f>
        <v>PAF XT-004 లేంగ్</v>
      </c>
      <c r="C69" s="1" t="s">
        <v>1190</v>
      </c>
      <c r="D69" s="1" t="str">
        <f>IFERROR(__xludf.DUMMYFUNCTION("GOOGLETRANSLATE(C:C, ""en"", ""te"")"),"PAF XT-004 లేంగ్ అనేది ఫిలిప్పీన్ వైమానిక దళం యొక్క వైమానిక దళం పరిశోధన మరియు అభివృద్ధి కేంద్రం (AFRDC) అభివృద్ధి చేసిన ప్రాథమిక ట్రైనర్ విమానం. [2] 1996 లో తీవ్రతరం చేసిన మరియు పునరుజ్జీవింపబడిన స్వావలంబన కార్యక్రమం తరువాత, ""లేంగ్"" అనే కోడ్-పేరుతో ఉన్న"&amp;" XT-004 ప్రాజెక్ట్ PAFRDC చే పసేలోని విల్లమోర్ ఎయిర్ బేస్ అభివృద్ధి చేసింది. ఇది 350 హెచ్‌పి అల్లిసన్ మోడల్ 250-బి 17 డి టర్బోషాఫ్ట్ ఇంజిన్‌తో నడిచే సింగిల్-ఇంజిన్ విమానం మరియు అల్యూమినియం నుండి సెమీ-మోనోకోక్ నిర్మాణంతో నిర్మించబడింది. PAFRDC ప్రకారం, 198"&amp;"5 నుండి విమానం జిగ్స్ మరియు ఫిక్చర్స్ ఇప్పటికే నిర్మించబడ్డాయి, కాని నిధుల కొరత ప్రాజెక్ట్ పూర్తి కావడానికి ఆటంకం కలిగించింది. [2] పోల్చదగిన పాత్ర, కాన్ఫిగరేషన్ మరియు ERA సంబంధిత జాబితాల విమానం")</f>
        <v>PAF XT-004 లేంగ్ అనేది ఫిలిప్పీన్ వైమానిక దళం యొక్క వైమానిక దళం పరిశోధన మరియు అభివృద్ధి కేంద్రం (AFRDC) అభివృద్ధి చేసిన ప్రాథమిక ట్రైనర్ విమానం. [2] 1996 లో తీవ్రతరం చేసిన మరియు పునరుజ్జీవింపబడిన స్వావలంబన కార్యక్రమం తరువాత, "లేంగ్" అనే కోడ్-పేరుతో ఉన్న XT-004 ప్రాజెక్ట్ PAFRDC చే పసేలోని విల్లమోర్ ఎయిర్ బేస్ అభివృద్ధి చేసింది. ఇది 350 హెచ్‌పి అల్లిసన్ మోడల్ 250-బి 17 డి టర్బోషాఫ్ట్ ఇంజిన్‌తో నడిచే సింగిల్-ఇంజిన్ విమానం మరియు అల్యూమినియం నుండి సెమీ-మోనోకోక్ నిర్మాణంతో నిర్మించబడింది. PAFRDC ప్రకారం, 1985 నుండి విమానం జిగ్స్ మరియు ఫిక్చర్స్ ఇప్పటికే నిర్మించబడ్డాయి, కాని నిధుల కొరత ప్రాజెక్ట్ పూర్తి కావడానికి ఆటంకం కలిగించింది. [2] పోల్చదగిన పాత్ర, కాన్ఫిగరేషన్ మరియు ERA సంబంధిత జాబితాల విమానం</v>
      </c>
      <c r="F69" s="1" t="s">
        <v>1191</v>
      </c>
      <c r="G69" s="1" t="str">
        <f>IFERROR(__xludf.DUMMYFUNCTION("GOOGLETRANSLATE(F:F, ""en"", ""te"")"),"బేసిక్ ట్రైనర్ విమానం")</f>
        <v>బేసిక్ ట్రైనర్ విమానం</v>
      </c>
      <c r="H69" s="1" t="s">
        <v>1192</v>
      </c>
      <c r="I69" s="1" t="s">
        <v>471</v>
      </c>
      <c r="J69" s="1" t="str">
        <f>IFERROR(__xludf.DUMMYFUNCTION("GOOGLETRANSLATE(I:I, ""en"", ""te"")"),"ఫిలిప్పీన్స్")</f>
        <v>ఫిలిప్పీన్స్</v>
      </c>
      <c r="L69" s="1" t="s">
        <v>479</v>
      </c>
      <c r="M69" s="1" t="str">
        <f>IFERROR(__xludf.DUMMYFUNCTION("GOOGLETRANSLATE(L:L, ""en"", ""te"")"),"ఫిలిప్పీన్ వైమానిక దళం")</f>
        <v>ఫిలిప్పీన్ వైమానిక దళం</v>
      </c>
      <c r="N69" s="1" t="s">
        <v>480</v>
      </c>
      <c r="O69" s="1" t="s">
        <v>474</v>
      </c>
      <c r="P69" s="1" t="str">
        <f>IFERROR(__xludf.DUMMYFUNCTION("GOOGLETRANSLATE(O:O, ""en"", ""te"")"),"రద్దు")</f>
        <v>రద్దు</v>
      </c>
      <c r="Q69" s="1" t="s">
        <v>475</v>
      </c>
      <c r="AJ69" s="1" t="s">
        <v>1193</v>
      </c>
      <c r="AT69" s="1" t="s">
        <v>1194</v>
      </c>
      <c r="AU69" s="1" t="s">
        <v>1195</v>
      </c>
      <c r="BH69" s="1" t="s">
        <v>479</v>
      </c>
    </row>
    <row r="70">
      <c r="A70" s="1" t="s">
        <v>1196</v>
      </c>
      <c r="B70" s="1" t="str">
        <f>IFERROR(__xludf.DUMMYFUNCTION("GOOGLETRANSLATE(A:A, ""en"", ""te"")"),"నావికాదళ విమానం ఫ్యాక్టరీ XOSN")</f>
        <v>నావికాదళ విమానం ఫ్యాక్టరీ XOSN</v>
      </c>
      <c r="C70" s="1" t="s">
        <v>1197</v>
      </c>
      <c r="D70" s="1" t="str">
        <f>IFERROR(__xludf.DUMMYFUNCTION("GOOGLETRANSLATE(C:C, ""en"", ""te"")"),"నావల్ ఎయిర్క్రాఫ్ట్ ఫ్యాక్టరీ XOSN అనేది 1930 ల చివరలో యునైటెడ్ స్టేట్స్ నేవీ కోసం నావికాదళ విమాన కర్మాగారం అభివృద్ధి చేసిన ఒక అమెరికన్ బిప్లేన్ అబ్జర్వేషన్ ఫ్లోట్ ప్లేన్. 1936 లో, నేవీ ఆసక్తిగల విమానాల తయారీదారులందరినీ కొత్త పరిశీలన-స్కౌట్ విమానాల కోసం బ"&amp;"ిడ్లను సమర్పించాలని కోరింది, ఇది నీరు లేదా భూమి నుండి పనిచేయగల సామర్థ్యం కలిగి ఉంది, కానీ ప్రధానంగా గన్నరీ స్పాటింగ్ కోసం యుద్ధనౌకలు మరియు క్రూయిజర్‌లపై సేవ కోసం ఉద్దేశించబడింది. [1] మూడు కంపెనీలు - స్టీర్మాన్ విమానం, వోట్ మరియు నావల్ ఎయిర్క్రాఫ్ట్ ఫ్యాక్"&amp;"టరీ - అవసరాలను తీర్చడానికి విమానాలను సమర్పించాయి. నావల్ ఎయిర్క్రాఫ్ట్ ఫ్యాక్టరీ డిజైన్, XOSN-1 హోదాను కేటాయించింది, [2] మిశ్రమ లోహ మరియు ఫాబ్రిక్ నిర్మాణం యొక్క రెండు-సీట్ల బిప్‌లేన్, పైలట్ మరియు పరిశీలకుడు పూర్తిగా పరివేష్టిత కాక్‌పిట్‌లో కూర్చున్నారు. ఆ"&amp;"విష్కరణలలో అప్పర్ వింగ్‌లో ఆటోమేటిక్ లీడింగ్-ఎడ్జ్ స్లాట్‌లు మరియు ఇంటర్‌ప్లేన్ బ్రేసింగ్ వైర్ల అవసరాన్ని తొలగించిన ఐ-స్ట్రట్ బ్రేసింగ్ సిస్టమ్ ఉన్నాయి. సాంప్రదాయిక టెయిల్‌డ్రాగర్ రకం యొక్క ఫ్లోట్ లేదా వీల్డ్ ల్యాండింగ్ గేర్ కోసం నిబంధనలు జరిగాయి. XOSN-1 "&amp;"మే 1938 లో అధికారిక ప్రయత్నాల కోసం పంపిణీ చేయబడింది మరియు ఇతర ప్రవేశించిన వారితో పాటు మూల్యాంకనం చేయబడింది. వోట్ యొక్క మోనోప్లేన్ XOS2U-1 ఉత్పత్తికి ఎంపికైన తరువాత, XOSN-1 ను అన్నాపోలిస్‌లోని నావల్ అకాడమీకి కేటాయించారు, అక్కడ దీనిని 1944 మధ్యకాలం వరకు శిక"&amp;"్షకుడిగా ఉపయోగించారు. [2] [2] సాధారణ లక్షణాల నుండి డేటా పోల్చదగిన పాత్ర, కాన్ఫిగరేషన్ మరియు ERA సంబంధిత జాబితాల పనితీరు ఆయుధ విమానం")</f>
        <v>నావల్ ఎయిర్క్రాఫ్ట్ ఫ్యాక్టరీ XOSN అనేది 1930 ల చివరలో యునైటెడ్ స్టేట్స్ నేవీ కోసం నావికాదళ విమాన కర్మాగారం అభివృద్ధి చేసిన ఒక అమెరికన్ బిప్లేన్ అబ్జర్వేషన్ ఫ్లోట్ ప్లేన్. 1936 లో, నేవీ ఆసక్తిగల విమానాల తయారీదారులందరినీ కొత్త పరిశీలన-స్కౌట్ విమానాల కోసం బిడ్లను సమర్పించాలని కోరింది, ఇది నీరు లేదా భూమి నుండి పనిచేయగల సామర్థ్యం కలిగి ఉంది, కానీ ప్రధానంగా గన్నరీ స్పాటింగ్ కోసం యుద్ధనౌకలు మరియు క్రూయిజర్‌లపై సేవ కోసం ఉద్దేశించబడింది. [1] మూడు కంపెనీలు - స్టీర్మాన్ విమానం, వోట్ మరియు నావల్ ఎయిర్క్రాఫ్ట్ ఫ్యాక్టరీ - అవసరాలను తీర్చడానికి విమానాలను సమర్పించాయి. నావల్ ఎయిర్క్రాఫ్ట్ ఫ్యాక్టరీ డిజైన్, XOSN-1 హోదాను కేటాయించింది, [2] మిశ్రమ లోహ మరియు ఫాబ్రిక్ నిర్మాణం యొక్క రెండు-సీట్ల బిప్‌లేన్, పైలట్ మరియు పరిశీలకుడు పూర్తిగా పరివేష్టిత కాక్‌పిట్‌లో కూర్చున్నారు. ఆవిష్కరణలలో అప్పర్ వింగ్‌లో ఆటోమేటిక్ లీడింగ్-ఎడ్జ్ స్లాట్‌లు మరియు ఇంటర్‌ప్లేన్ బ్రేసింగ్ వైర్ల అవసరాన్ని తొలగించిన ఐ-స్ట్రట్ బ్రేసింగ్ సిస్టమ్ ఉన్నాయి. సాంప్రదాయిక టెయిల్‌డ్రాగర్ రకం యొక్క ఫ్లోట్ లేదా వీల్డ్ ల్యాండింగ్ గేర్ కోసం నిబంధనలు జరిగాయి. XOSN-1 మే 1938 లో అధికారిక ప్రయత్నాల కోసం పంపిణీ చేయబడింది మరియు ఇతర ప్రవేశించిన వారితో పాటు మూల్యాంకనం చేయబడింది. వోట్ యొక్క మోనోప్లేన్ XOS2U-1 ఉత్పత్తికి ఎంపికైన తరువాత, XOSN-1 ను అన్నాపోలిస్‌లోని నావల్ అకాడమీకి కేటాయించారు, అక్కడ దీనిని 1944 మధ్యకాలం వరకు శిక్షకుడిగా ఉపయోగించారు. [2] [2] సాధారణ లక్షణాల నుండి డేటా పోల్చదగిన పాత్ర, కాన్ఫిగరేషన్ మరియు ERA సంబంధిత జాబితాల పనితీరు ఆయుధ విమానం</v>
      </c>
      <c r="E70" s="1" t="s">
        <v>1198</v>
      </c>
      <c r="F70" s="1" t="s">
        <v>765</v>
      </c>
      <c r="G70" s="1" t="str">
        <f>IFERROR(__xludf.DUMMYFUNCTION("GOOGLETRANSLATE(F:F, ""en"", ""te"")"),"పరిశీలన ఫ్లోట్ ప్లేన్")</f>
        <v>పరిశీలన ఫ్లోట్ ప్లేన్</v>
      </c>
      <c r="L70" s="1" t="s">
        <v>1199</v>
      </c>
      <c r="M70" s="1" t="str">
        <f>IFERROR(__xludf.DUMMYFUNCTION("GOOGLETRANSLATE(L:L, ""en"", ""te"")"),"నావికాదళ విమాన కర్మాగారం")</f>
        <v>నావికాదళ విమాన కర్మాగారం</v>
      </c>
      <c r="N70" s="1" t="s">
        <v>1200</v>
      </c>
      <c r="Q70" s="1">
        <v>1.0</v>
      </c>
      <c r="S70" s="1" t="s">
        <v>768</v>
      </c>
      <c r="U70" s="1" t="s">
        <v>1201</v>
      </c>
      <c r="V70" s="1" t="s">
        <v>1202</v>
      </c>
      <c r="W70" s="1" t="s">
        <v>1203</v>
      </c>
      <c r="X70" s="1" t="s">
        <v>1204</v>
      </c>
      <c r="Y70" s="1" t="s">
        <v>1205</v>
      </c>
      <c r="AA70" s="1" t="s">
        <v>1206</v>
      </c>
      <c r="AE70" s="1" t="s">
        <v>1207</v>
      </c>
      <c r="AJ70" s="2">
        <v>14001.0</v>
      </c>
      <c r="AM70" s="1" t="s">
        <v>1208</v>
      </c>
      <c r="AP70" s="1" t="s">
        <v>1209</v>
      </c>
      <c r="AR70" s="1" t="s">
        <v>1210</v>
      </c>
      <c r="AZ70" s="1" t="s">
        <v>778</v>
      </c>
      <c r="BH70" s="1" t="s">
        <v>412</v>
      </c>
      <c r="BI70" s="1" t="s">
        <v>413</v>
      </c>
    </row>
    <row r="71">
      <c r="A71" s="1" t="s">
        <v>1211</v>
      </c>
      <c r="B71" s="1" t="str">
        <f>IFERROR(__xludf.DUMMYFUNCTION("GOOGLETRANSLATE(A:A, ""en"", ""te"")"),"జలేవ్స్కీ W.Z.XI KOGUTEK")</f>
        <v>జలేవ్స్కీ W.Z.XI KOGUTEK</v>
      </c>
      <c r="C71" s="1" t="s">
        <v>1212</v>
      </c>
      <c r="D71" s="1" t="str">
        <f>IFERROR(__xludf.DUMMYFUNCTION("GOOGLETRANSLATE(C:C, ""en"", ""te"")"),"జలేవ్స్కీ W.Z.XI కోగుటెక్ I (కాకరెల్ I) 1920 లలో పోలాండ్‌లో రూపొందించిన మరియు నిర్మించిన ఒక ప్రాథమిక, సింగిల్ సీట్ స్పోర్ట్ విమానం. దీని ఇంజిన్ జలేవ్స్కీ చేత రూపొందించబడింది మరియు నిర్మించబడింది, ఇది ఎగురుతున్న మొదటి ఆల్-పోలిష్ విమానం. సంఖ్యా లేని కానీ ని"&amp;"ర్మించని డిజైన్ల తరువాత, వాడిస్లా జలేవ్స్కీ తన ఖాళీ సమయాన్ని సరళమైన మరియు చౌకైన సింగిల్ సీట్ విమానాలను అభివృద్ధి చేశాడు, దానిపై ఎగరడం నేర్చుకున్నాడు. అతను పనితీరు కంటే తేలిక మరియు మంచి నిర్వహణపై దృష్టి పెట్టాడు మరియు అతనికి బాహ్య నిధులు లేనందున, అతని మొదట"&amp;"ి కానీ అసంపూర్తిగా ఉన్న యుద్ధానికి పూర్వం W.Z.I బిప్లేన్ నుండి తిరిగి ఉపయోగించబడింది. W.Z.XI ఫలితం. పార్ట్ టైమ్ నిర్మాణం 1926 లో మిలానెవెక్‌లో తన వర్క్‌షాప్‌లో నెమ్మదిగా ప్రారంభమైంది, అయితే తరువాతి వసంతకాలంలో జలేవ్స్కీ ఆ శరదృతువుకు షెడ్యూల్ చేయబడిన మొదటి "&amp;"జాతీయ లైట్ ప్లేన్ పోటీకి సిద్ధంగా ఉండటానికి నిశ్చయమైన ప్రయత్నం చేసాడు. అతని ప్రయత్నాలు ఉన్నప్పటికీ, మొదటి ఫ్లైట్, ZBigniew బాబిన్స్కి చేత పైలట్ చేయబడింది, పోటీ యొక్క చివరి రోజున మాత్రమే సమీపంలోని వార్సాకు తీసుకువెళ్ళింది. [1] కోగుటెక్ యొక్క భుజం రెక్కలు ప"&amp;"్రణాళికలో దీర్ఘచతురస్రాకారంగా ఉన్నాయి, ప్రతి ఒక్కటి రెండు స్పార్లు మరియు ఫాబ్రిక్ చుట్టూ నిర్మించబడ్డాయి. వాటిని ఎగువ ఫ్యూజ్‌లేజ్ లాన్స్‌పై కొన్ని డైహెడ్రల్‌తో అమర్చారు. W.Z.I లెగసీ రెక్కలకు సన్నని విభాగాన్ని ఇచ్చింది, కాబట్టి అవి వైర్ బ్రేస్ చేయబడ్డాయి, "&amp;"ఫ్యూజ్‌లేజ్ పైన జతచేయబడిన ఎగువ వైర్లు ఇంజిన్ మరియు కాక్‌పిట్ మధ్య ఉంచిన నాలుగు స్ట్రట్‌ల పిరమిడ్‌కు. దిగువ వైర్లు దిగువ ఫ్యూజ్‌లేజ్ కోసం పరిష్కరించబడ్డాయి. రెండు సెట్లు రెక్కల యొక్క బయటి భాగాలకు కింగ్‌పోస్టుల ద్వారా ఫార్వర్డ్ స్పార్‌లకు అనుసంధానించబడి ఉన్"&amp;"నాయి, ఇది పైన మరియు క్రింద రెండింటినీ అంచనా వేసింది, ఇది 1920 ల తరువాత ఒక అనాక్రోనిస్టిక్ లక్షణం. దీని ఐలెరాన్లు చాలా వెనుకబడిన అంచులను ఆక్రమించి, తీగలో బాహ్యంగా పెరిగాయి. [1] W.X.XI యొక్క ఫ్యూజ్‌లేజ్ ఒక దీర్ఘచతురస్రాకార విభాగం నిర్మాణాన్ని కలిగి ఉంది, ఇద"&amp;"ి నలుగురు లాంగన్స్ నిర్వచించింది మరియు ప్లైవుడ్-కవర్ చేయబడింది. ప్లై ఎగువ ఫ్యూజ్‌లేజ్ డెక్కింగ్ గుండ్రంగా ఉంది, మధ్య తీగ వద్ద ఓపెన్ కాక్‌పిట్ ద్వారా అంతరాయం కలిగింది. దీని ఇంజిన్ జలేవ్స్కీ WZ.18 13 kW (18 HP), ఐదు సిలిండర్ రేడియల్ ఇంజిన్ 1923 లో రూపొందించ"&amp;"బడింది మరియు నిర్మించబడింది, ఇది ఒక మొద్దుబారిన, లోహ కౌలింగ్‌లో ఉంచారు, దాని సిలిండర్లతో శీతలీకరణకు పాక్షికంగా బహిర్గతమైంది. ఒక అతుక్కొని మౌంటు సర్వీసింగ్ కోసం సులభంగా యాక్సెస్ చేయడానికి అనుమతించింది. ఇంజిన్ మరియు ఆయిల్ ట్యాంకులు ఇంజిన్ వెనుక ఉన్నాయి [1] "&amp;"W.Z.XI యొక్క సామ్రాజ్యం సాంప్రదాయకంగా ఉంది, చెక్క నిర్మాణాలు మరియు ఫాబ్రిక్ కవరింగ్. క్షితిజ సమాంతర తోక మధ్య-ఫ్యూజ్‌లేజ్ వద్ద అమర్చబడింది మరియు అసాధారణమైన ప్రణాళికను కలిగి ఉంది, ఇది ""కాకరెల్"" పేరుకు దారితీసింది: వైర్-బ్రేస్డ్ టెయిల్‌ప్లేన్ యొక్క ప్రముఖ "&amp;"అంచులు రూట్ నుండి పుటాకార వక్రతతో ముందుకు సాగాయి. ఇది ఒకే, సెమీ ఎలిప్టికల్ ఎలివేటర్‌ను కలిగి ఉంది. దీని FIN టెయిల్‌ప్లేన్‌కు సమానమైన ప్రొఫైల్‌ను కలిగి ఉంది మరియు ఎలివేటర్ పైన పనిచేసే అసమతుల్య, సెమీ వృత్తాకార చుక్కాను అమర్చారు. [1] W.Z.XI యొక్క సాంప్రదాయిక"&amp;", స్థిర ల్యాండింగ్ గేర్ కూడా మునుపటి అభ్యాసాన్ని అనుసరించింది. రబ్బరు త్రాడు షాక్ అబ్జార్బర్‌లతో చక్రాలు, దిగువ ఫ్యూజ్‌లేజ్ వైపులా అమర్చిన రెండు స్కిడ్‌లతో జతచేయబడిన ఒకే ఇరుసుపై ఉన్నాయి. వాటి మధ్య ఒక జత క్రాస్ బ్రేసింగ్ స్ట్రట్‌లతో. [1] పోటీలో కనిపించిన త"&amp;"రువాత, బాబిన్స్కి విమానయానంపై అవగాహన పెంచడానికి దేశవ్యాప్తంగా W.Z.XI ను ఎగరేశాడు. ఇది 1928 లో జరిగిన రెండవ జాతీయ లైట్ ప్లేన్ పోటీలో పాల్గొంది, కాని ఇంజిన్ సమస్యలు దానిని తొమ్మిదవ స్థానానికి పరిమితం చేశాయి, అయినప్పటికీ ఇది అతి తక్కువ ల్యాండింగ్ దూరానికి (7"&amp;"0 మీ (230 అడుగులు)) రవాణా మంత్రిత్వ శాఖను గెలుచుకుంది. [1] 1930 లో ఇది దాని చివరి జాతీయ లైట్ ప్లేన్ పోటీలో మూడవది, కానీ పదవీ విరమణ చేయవలసి వచ్చింది. పోలిష్ సివిల్ రిజిస్టర్ నుండి SP-AEF తొలగించబడిన ఫిబ్రవరి 1934 వరకు ఇది చురుకుగా ఉంది. [2] ఇది మరింత అధునా"&amp;"తన జలేవ్స్కీ W.Z.XII కోగుటెక్ II చేత భర్తీ చేయబడింది. [1] సిన్క్, 1971 నుండి డేటా [1] సాధారణ లక్షణాల పనితీరు")</f>
        <v>జలేవ్స్కీ W.Z.XI కోగుటెక్ I (కాకరెల్ I) 1920 లలో పోలాండ్‌లో రూపొందించిన మరియు నిర్మించిన ఒక ప్రాథమిక, సింగిల్ సీట్ స్పోర్ట్ విమానం. దీని ఇంజిన్ జలేవ్స్కీ చేత రూపొందించబడింది మరియు నిర్మించబడింది, ఇది ఎగురుతున్న మొదటి ఆల్-పోలిష్ విమానం. సంఖ్యా లేని కానీ నిర్మించని డిజైన్ల తరువాత, వాడిస్లా జలేవ్స్కీ తన ఖాళీ సమయాన్ని సరళమైన మరియు చౌకైన సింగిల్ సీట్ విమానాలను అభివృద్ధి చేశాడు, దానిపై ఎగరడం నేర్చుకున్నాడు. అతను పనితీరు కంటే తేలిక మరియు మంచి నిర్వహణపై దృష్టి పెట్టాడు మరియు అతనికి బాహ్య నిధులు లేనందున, అతని మొదటి కానీ అసంపూర్తిగా ఉన్న యుద్ధానికి పూర్వం W.Z.I బిప్లేన్ నుండి తిరిగి ఉపయోగించబడింది. W.Z.XI ఫలితం. పార్ట్ టైమ్ నిర్మాణం 1926 లో మిలానెవెక్‌లో తన వర్క్‌షాప్‌లో నెమ్మదిగా ప్రారంభమైంది, అయితే తరువాతి వసంతకాలంలో జలేవ్స్కీ ఆ శరదృతువుకు షెడ్యూల్ చేయబడిన మొదటి జాతీయ లైట్ ప్లేన్ పోటీకి సిద్ధంగా ఉండటానికి నిశ్చయమైన ప్రయత్నం చేసాడు. అతని ప్రయత్నాలు ఉన్నప్పటికీ, మొదటి ఫ్లైట్, ZBigniew బాబిన్స్కి చేత పైలట్ చేయబడింది, పోటీ యొక్క చివరి రోజున మాత్రమే సమీపంలోని వార్సాకు తీసుకువెళ్ళింది. [1] కోగుటెక్ యొక్క భుజం రెక్కలు ప్రణాళికలో దీర్ఘచతురస్రాకారంగా ఉన్నాయి, ప్రతి ఒక్కటి రెండు స్పార్లు మరియు ఫాబ్రిక్ చుట్టూ నిర్మించబడ్డాయి. వాటిని ఎగువ ఫ్యూజ్‌లేజ్ లాన్స్‌పై కొన్ని డైహెడ్రల్‌తో అమర్చారు. W.Z.I లెగసీ రెక్కలకు సన్నని విభాగాన్ని ఇచ్చింది, కాబట్టి అవి వైర్ బ్రేస్ చేయబడ్డాయి, ఫ్యూజ్‌లేజ్ పైన జతచేయబడిన ఎగువ వైర్లు ఇంజిన్ మరియు కాక్‌పిట్ మధ్య ఉంచిన నాలుగు స్ట్రట్‌ల పిరమిడ్‌కు. దిగువ వైర్లు దిగువ ఫ్యూజ్‌లేజ్ కోసం పరిష్కరించబడ్డాయి. రెండు సెట్లు రెక్కల యొక్క బయటి భాగాలకు కింగ్‌పోస్టుల ద్వారా ఫార్వర్డ్ స్పార్‌లకు అనుసంధానించబడి ఉన్నాయి, ఇది పైన మరియు క్రింద రెండింటినీ అంచనా వేసింది, ఇది 1920 ల తరువాత ఒక అనాక్రోనిస్టిక్ లక్షణం. దీని ఐలెరాన్లు చాలా వెనుకబడిన అంచులను ఆక్రమించి, తీగలో బాహ్యంగా పెరిగాయి. [1] W.X.XI యొక్క ఫ్యూజ్‌లేజ్ ఒక దీర్ఘచతురస్రాకార విభాగం నిర్మాణాన్ని కలిగి ఉంది, ఇది నలుగురు లాంగన్స్ నిర్వచించింది మరియు ప్లైవుడ్-కవర్ చేయబడింది. ప్లై ఎగువ ఫ్యూజ్‌లేజ్ డెక్కింగ్ గుండ్రంగా ఉంది, మధ్య తీగ వద్ద ఓపెన్ కాక్‌పిట్ ద్వారా అంతరాయం కలిగింది. దీని ఇంజిన్ జలేవ్స్కీ WZ.18 13 kW (18 HP), ఐదు సిలిండర్ రేడియల్ ఇంజిన్ 1923 లో రూపొందించబడింది మరియు నిర్మించబడింది, ఇది ఒక మొద్దుబారిన, లోహ కౌలింగ్‌లో ఉంచారు, దాని సిలిండర్లతో శీతలీకరణకు పాక్షికంగా బహిర్గతమైంది. ఒక అతుక్కొని మౌంటు సర్వీసింగ్ కోసం సులభంగా యాక్సెస్ చేయడానికి అనుమతించింది. ఇంజిన్ మరియు ఆయిల్ ట్యాంకులు ఇంజిన్ వెనుక ఉన్నాయి [1] W.Z.XI యొక్క సామ్రాజ్యం సాంప్రదాయకంగా ఉంది, చెక్క నిర్మాణాలు మరియు ఫాబ్రిక్ కవరింగ్. క్షితిజ సమాంతర తోక మధ్య-ఫ్యూజ్‌లేజ్ వద్ద అమర్చబడింది మరియు అసాధారణమైన ప్రణాళికను కలిగి ఉంది, ఇది "కాకరెల్" పేరుకు దారితీసింది: వైర్-బ్రేస్డ్ టెయిల్‌ప్లేన్ యొక్క ప్రముఖ అంచులు రూట్ నుండి పుటాకార వక్రతతో ముందుకు సాగాయి. ఇది ఒకే, సెమీ ఎలిప్టికల్ ఎలివేటర్‌ను కలిగి ఉంది. దీని FIN టెయిల్‌ప్లేన్‌కు సమానమైన ప్రొఫైల్‌ను కలిగి ఉంది మరియు ఎలివేటర్ పైన పనిచేసే అసమతుల్య, సెమీ వృత్తాకార చుక్కాను అమర్చారు. [1] W.Z.XI యొక్క సాంప్రదాయిక, స్థిర ల్యాండింగ్ గేర్ కూడా మునుపటి అభ్యాసాన్ని అనుసరించింది. రబ్బరు త్రాడు షాక్ అబ్జార్బర్‌లతో చక్రాలు, దిగువ ఫ్యూజ్‌లేజ్ వైపులా అమర్చిన రెండు స్కిడ్‌లతో జతచేయబడిన ఒకే ఇరుసుపై ఉన్నాయి. వాటి మధ్య ఒక జత క్రాస్ బ్రేసింగ్ స్ట్రట్‌లతో. [1] పోటీలో కనిపించిన తరువాత, బాబిన్స్కి విమానయానంపై అవగాహన పెంచడానికి దేశవ్యాప్తంగా W.Z.XI ను ఎగరేశాడు. ఇది 1928 లో జరిగిన రెండవ జాతీయ లైట్ ప్లేన్ పోటీలో పాల్గొంది, కాని ఇంజిన్ సమస్యలు దానిని తొమ్మిదవ స్థానానికి పరిమితం చేశాయి, అయినప్పటికీ ఇది అతి తక్కువ ల్యాండింగ్ దూరానికి (70 మీ (230 అడుగులు)) రవాణా మంత్రిత్వ శాఖను గెలుచుకుంది. [1] 1930 లో ఇది దాని చివరి జాతీయ లైట్ ప్లేన్ పోటీలో మూడవది, కానీ పదవీ విరమణ చేయవలసి వచ్చింది. పోలిష్ సివిల్ రిజిస్టర్ నుండి SP-AEF తొలగించబడిన ఫిబ్రవరి 1934 వరకు ఇది చురుకుగా ఉంది. [2] ఇది మరింత అధునాతన జలేవ్స్కీ W.Z.XII కోగుటెక్ II చేత భర్తీ చేయబడింది. [1] సిన్క్, 1971 నుండి డేటా [1] సాధారణ లక్షణాల పనితీరు</v>
      </c>
      <c r="E71" s="1" t="s">
        <v>1213</v>
      </c>
      <c r="F71" s="1" t="s">
        <v>1214</v>
      </c>
      <c r="G71" s="1" t="str">
        <f>IFERROR(__xludf.DUMMYFUNCTION("GOOGLETRANSLATE(F:F, ""en"", ""te"")"),"సింగిల్-సీట్ స్పోర్ట్స్")</f>
        <v>సింగిల్-సీట్ స్పోర్ట్స్</v>
      </c>
      <c r="I71" s="1" t="s">
        <v>431</v>
      </c>
      <c r="J71" s="1" t="str">
        <f>IFERROR(__xludf.DUMMYFUNCTION("GOOGLETRANSLATE(I:I, ""en"", ""te"")"),"పోలాండ్")</f>
        <v>పోలాండ్</v>
      </c>
      <c r="K71" s="3" t="s">
        <v>432</v>
      </c>
      <c r="S71" s="1" t="s">
        <v>433</v>
      </c>
      <c r="U71" s="1" t="s">
        <v>1215</v>
      </c>
      <c r="V71" s="1" t="s">
        <v>1216</v>
      </c>
      <c r="W71" s="1" t="s">
        <v>1217</v>
      </c>
      <c r="X71" s="1" t="s">
        <v>667</v>
      </c>
      <c r="Y71" s="1" t="s">
        <v>1218</v>
      </c>
      <c r="AA71" s="1" t="s">
        <v>1219</v>
      </c>
      <c r="AB71" s="1" t="s">
        <v>1220</v>
      </c>
      <c r="AC71" s="1" t="s">
        <v>657</v>
      </c>
      <c r="AD71" s="1" t="s">
        <v>1221</v>
      </c>
      <c r="AH71" s="1" t="s">
        <v>1222</v>
      </c>
      <c r="AJ71" s="5">
        <v>10144.0</v>
      </c>
      <c r="AM71" s="1" t="s">
        <v>1223</v>
      </c>
      <c r="AP71" s="1" t="s">
        <v>515</v>
      </c>
      <c r="AQ71" s="1" t="s">
        <v>1224</v>
      </c>
      <c r="BD71" s="1" t="s">
        <v>1225</v>
      </c>
      <c r="BR71" s="1" t="s">
        <v>1226</v>
      </c>
    </row>
    <row r="72">
      <c r="A72" s="1" t="s">
        <v>1227</v>
      </c>
      <c r="B72" s="1" t="str">
        <f>IFERROR(__xludf.DUMMYFUNCTION("GOOGLETRANSLATE(A:A, ""en"", ""te"")"),"బుల్టే Rb.1")</f>
        <v>బుల్టే Rb.1</v>
      </c>
      <c r="C72" s="1" t="s">
        <v>1228</v>
      </c>
      <c r="D72" s="1" t="str">
        <f>IFERROR(__xludf.DUMMYFUNCTION("GOOGLETRANSLATE(C:C, ""en"", ""te"")"),"బుల్టే Rb.1 1928 లో బెల్జియన్ శిక్షణ మరియు టూరింగ్ బిప్‌లేన్. ఐదు ఉదాహరణలు క్లబ్‌లతో మరియు పోటీలు మరియు ర్యాలీలలో ప్రైవేట్ యజమానులతో ప్రయాణించాయి. జూన్ 1928 వరకు రెనీ బుల్టే అటెలియర్స్ డి కన్స్ట్రక్షన్ ఏనానాటిక్ డి జీబ్రూగెస్‌తో డిజైన్ హెడ్‌గా ఉన్నారు, దీ"&amp;"నిని సాధారణంగా జాకో అని పిలుస్తారు మరియు ఆల్-మెటల్ విమాన తయారీ యొక్క మార్గదర్శకులలో ఒకరు. అతను తన సొంత సంస్థ, ఏవియన్స్ బుల్టే &amp; సి. RB.1 అనేది సరళమైన, సాంప్రదాయిక, రెండు-బే బైప్‌లేన్, సన్నని-విభాగం, సమానమైన స్పాన్ రెక్కలు అస్థిరంగా లేకుండా అమర్చబడి ఉంటాయి"&amp;". డిజైన్ యొక్క ఒక లక్షణం భాగాల పరస్పర మార్పిడి; ఉదాహరణగా, రెక్క ప్యానెల్లు ఒకేలా ఉన్నాయి. ఇటువంటి పరస్పర మార్పిడి అవసరమైన విడిభాగాల నిల్వలను తగ్గించింది. దిగువ రెక్కలు దిగువ ఫ్యూజ్‌లేజ్ నిర్మాణానికి మరియు ఎగువ వాటిని ఫ్యూజ్‌లేజ్-వైడ్ సెంటర్ విభాగానికి జతచ"&amp;"ేయబడ్డాయి, ఎగువ ఫ్యూజ్‌లేజ్ నుండి నాలుగు నిటారుగా ఉన్న క్యాబన్ స్ట్రట్‌ల ద్వారా ఫ్యూజ్‌లేజ్ పైన బాగా ఉంచబడ్డాయి. ఎగువ మరియు దిగువ వింగ్-సెట్లు రెండూ 3 ° డైహెడ్రల్‌తో అమర్చబడ్డాయి మరియు ప్రతి వైపు రెండు జతల ఒకేలా, సమాంతర ఇంటర్‌ప్లేన్ స్ట్రట్‌లతో కలుపుతారు,"&amp;" సాధారణ వైర్ క్రాస్ బ్రేసింగ్ ద్వారా సహాయపడుతుంది. రెండింటిలో చిన్న, విస్తృత-తీగ ఐలెరాన్లు ఉన్నాయి, ఇవి వింగ్‌టిప్స్‌కు చేరుకున్నాయి మరియు బాహ్యంగా ఒకదానితో ఒకటి అనుసంధానించబడ్డాయి. నిర్మాణాత్మకంగా, ప్రతి రెక్క రెండు స్ప్రూస్ స్పార్‌ల చుట్టూ నిర్మించబడింద"&amp;"ి మరియు ప్లైవుడ్ కప్పబడిన ప్రముఖ అంచులను కలిగి ఉంది. [1] శిక్షకుడు ముక్కులో 89 కిలోవాట్ల (120 హెచ్‌పి) అంజాని 6 ఆరు సిలిండర్ రేడియల్ ఇంజిన్‌తో శక్తినిచ్చాడు, ఇరుకైన తీగ రింగ్ కౌలింగ్‌తో అమర్చారు. ఇంజిన్ వెనుక వెంటనే ఫ్యూజ్‌లేజ్ ఐదు వైపులా ఉంది, క్రింద దీర"&amp;"్ఘచతురస్రాకారంగా ఉంది, కానీ పైన వాలుగా ఉంది మరియు అల్యూమినియం షీట్లతో తిరిగి వింగ్ లీడింగ్ అంచుకు కప్పబడి ఉంది. ఈ ప్రాంతంలో ఇంధన మరియు చమురు ట్యాంకులు ఉన్నాయి. దాని వెనుక, ఫ్యూజ్‌లేజ్ నలుగురు చెక్క లాంగన్స్ చుట్టూ ఏర్పడింది, కాక్‌పిట్ వెనుక భాగంలో బూడిద మ"&amp;"రియు మరింత వెనుకకు స్ప్రూస్. బూడిద-ఫ్రేమ్డ్ భాగంలో మూడు-ప్లై కవర్ వైపులా మరియు సన్నని అల్యూమినియం అండర్ సైడ్ ఉన్నాయి మరియు వెనుక ఫ్యూజ్‌లేజ్ కాన్వాస్‌ను కప్పబడి ఉంటుంది, వీటిలో గోపురం వెనుక డెక్కింగ్‌తో సహా. [1] సాధారణంగా బోధకుడు మరియు విద్యార్థి ఒకదానికొ"&amp;"కటి వెనుక భాగంలో కూర్చుని, ఒకే, ఓపెన్ కాక్‌పిట్‌లో, ద్వంద్వ నియంత్రణతో అమర్చారు. ముందు సీటు రెక్క కింద ఉంది, కానీ వెనుక భాగం వెనుకంజలో ఉన్న అంచు వెనుక ఉంది, ఇది మంచి పైకి దృష్టి కోసం దీర్ఘచతురస్రాకార కటౌట్ కలిగి ఉంది. ప్రత్యామ్నాయంగా, సీట్లను పక్కపక్కనే గ"&amp;"ట్టిగా అమర్చవచ్చు, అయినప్పటికీ కొంచెం అస్థిరంగా ఉంటుంది, ఇది ఒకే నియంత్రణలను భాగస్వామ్యం చేయడానికి మరియు కమ్యూనికేషన్‌ను సడలించడానికి అనుమతించింది. [1] Rb.1 యొక్క ఎంపెనేజ్ సాంప్రదాయికమైనది, విస్తృత-తీగ, దీర్ఘచతురస్రాకార ప్రణాళిక టెయిల్‌ప్లేన్ ఫ్యూజ్‌లేజ్ "&amp;"పైన అమర్చబడి, చుక్కాని కదలిక కోసం పెద్ద సెంట్రల్ కటౌట్‌తో ఎలివేటర్లను మోసుకెళ్ళింది. దీని త్రిభుజాకార ఫిన్ ఒక సమాంతర చతుర్భుజ ప్రొఫైల్ చుక్కానిని అమర్చారు, ఇది కీల్‌కు చేరుకుంది. [1] ఇది సాంప్రదాయిక, స్థిర ల్యాండింగ్ గేర్‌ను కలిగి ఉంది, దాని మెయిన్‌వీల్స్"&amp;"‌తో ఒకే ఇరుసుపై మరియు విస్తృత ట్రాక్ సుమారు 2 మీ (79 అంగుళాలు). దిగువ ఫ్యూజ్‌లేజ్ లాంగన్స్‌పై అమర్చిన ఒక జత స్టీల్ వి-స్ట్రట్‌లచే మద్దతు ఉన్న ఒక స్థిర జత విలోమ స్టీల్ ట్యూబ్‌లకు రబ్బరు త్రాడు షాక్ అబ్జార్బర్స్ ద్వారా ఇరుసు చేరారు. దీని తోకను బాహ్యంగా కొద్"&amp;"దిగా స్టీల్ ట్యూబ్ పిరమిడ్ మీద అమర్చారు, మోకాలి-రకం రబ్బరు త్రాడు షాక్ అబ్జార్బర్‌తో. [1] బుల్టే rb.1 మొదట 1928 చివరిలో ఎగిరింది, అయినప్పటికీ ఖచ్చితమైన తేదీ తెలియదు. 1929 మరియు 1931 మధ్య బెల్జియన్ సివిల్ ఎయిర్క్రాఫ్ట్ రిజిస్టర్‌లో ఐదుగురు కనిపించారు. [2] "&amp;"టూర్ డు ఫ్రాన్స్ డెస్ ఏవియన్స్ డి టూరిస్మేలో మే 1931 లో ఫ్రాన్స్ చుట్టూ మరియు మరొకటి ఆ సంవత్సరం జూలైలో ఆవెర్గ్నే ర్యాలీలో పాల్గొన్నారు. [4] UK అమ్మకాల ప్రయత్నాలను సీలాండైర్ నిర్వహించింది [5] కానీ ఉదాహరణలు నమోదు కాలేదు. [6] లెస్ ఐల్స్ నుండి డేటా, నవంబర్ 19"&amp;"28 [1] సాధారణ లక్షణాల పనితీరు")</f>
        <v>బుల్టే Rb.1 1928 లో బెల్జియన్ శిక్షణ మరియు టూరింగ్ బిప్‌లేన్. ఐదు ఉదాహరణలు క్లబ్‌లతో మరియు పోటీలు మరియు ర్యాలీలలో ప్రైవేట్ యజమానులతో ప్రయాణించాయి. జూన్ 1928 వరకు రెనీ బుల్టే అటెలియర్స్ డి కన్స్ట్రక్షన్ ఏనానాటిక్ డి జీబ్రూగెస్‌తో డిజైన్ హెడ్‌గా ఉన్నారు, దీనిని సాధారణంగా జాకో అని పిలుస్తారు మరియు ఆల్-మెటల్ విమాన తయారీ యొక్క మార్గదర్శకులలో ఒకరు. అతను తన సొంత సంస్థ, ఏవియన్స్ బుల్టే &amp; సి. RB.1 అనేది సరళమైన, సాంప్రదాయిక, రెండు-బే బైప్‌లేన్, సన్నని-విభాగం, సమానమైన స్పాన్ రెక్కలు అస్థిరంగా లేకుండా అమర్చబడి ఉంటాయి. డిజైన్ యొక్క ఒక లక్షణం భాగాల పరస్పర మార్పిడి; ఉదాహరణగా, రెక్క ప్యానెల్లు ఒకేలా ఉన్నాయి. ఇటువంటి పరస్పర మార్పిడి అవసరమైన విడిభాగాల నిల్వలను తగ్గించింది. దిగువ రెక్కలు దిగువ ఫ్యూజ్‌లేజ్ నిర్మాణానికి మరియు ఎగువ వాటిని ఫ్యూజ్‌లేజ్-వైడ్ సెంటర్ విభాగానికి జతచేయబడ్డాయి, ఎగువ ఫ్యూజ్‌లేజ్ నుండి నాలుగు నిటారుగా ఉన్న క్యాబన్ స్ట్రట్‌ల ద్వారా ఫ్యూజ్‌లేజ్ పైన బాగా ఉంచబడ్డాయి. ఎగువ మరియు దిగువ వింగ్-సెట్లు రెండూ 3 ° డైహెడ్రల్‌తో అమర్చబడ్డాయి మరియు ప్రతి వైపు రెండు జతల ఒకేలా, సమాంతర ఇంటర్‌ప్లేన్ స్ట్రట్‌లతో కలుపుతారు, సాధారణ వైర్ క్రాస్ బ్రేసింగ్ ద్వారా సహాయపడుతుంది. రెండింటిలో చిన్న, విస్తృత-తీగ ఐలెరాన్లు ఉన్నాయి, ఇవి వింగ్‌టిప్స్‌కు చేరుకున్నాయి మరియు బాహ్యంగా ఒకదానితో ఒకటి అనుసంధానించబడ్డాయి. నిర్మాణాత్మకంగా, ప్రతి రెక్క రెండు స్ప్రూస్ స్పార్‌ల చుట్టూ నిర్మించబడింది మరియు ప్లైవుడ్ కప్పబడిన ప్రముఖ అంచులను కలిగి ఉంది. [1] శిక్షకుడు ముక్కులో 89 కిలోవాట్ల (120 హెచ్‌పి) అంజాని 6 ఆరు సిలిండర్ రేడియల్ ఇంజిన్‌తో శక్తినిచ్చాడు, ఇరుకైన తీగ రింగ్ కౌలింగ్‌తో అమర్చారు. ఇంజిన్ వెనుక వెంటనే ఫ్యూజ్‌లేజ్ ఐదు వైపులా ఉంది, క్రింద దీర్ఘచతురస్రాకారంగా ఉంది, కానీ పైన వాలుగా ఉంది మరియు అల్యూమినియం షీట్లతో తిరిగి వింగ్ లీడింగ్ అంచుకు కప్పబడి ఉంది. ఈ ప్రాంతంలో ఇంధన మరియు చమురు ట్యాంకులు ఉన్నాయి. దాని వెనుక, ఫ్యూజ్‌లేజ్ నలుగురు చెక్క లాంగన్స్ చుట్టూ ఏర్పడింది, కాక్‌పిట్ వెనుక భాగంలో బూడిద మరియు మరింత వెనుకకు స్ప్రూస్. బూడిద-ఫ్రేమ్డ్ భాగంలో మూడు-ప్లై కవర్ వైపులా మరియు సన్నని అల్యూమినియం అండర్ సైడ్ ఉన్నాయి మరియు వెనుక ఫ్యూజ్‌లేజ్ కాన్వాస్‌ను కప్పబడి ఉంటుంది, వీటిలో గోపురం వెనుక డెక్కింగ్‌తో సహా. [1] సాధారణంగా బోధకుడు మరియు విద్యార్థి ఒకదానికొకటి వెనుక భాగంలో కూర్చుని, ఒకే, ఓపెన్ కాక్‌పిట్‌లో, ద్వంద్వ నియంత్రణతో అమర్చారు. ముందు సీటు రెక్క కింద ఉంది, కానీ వెనుక భాగం వెనుకంజలో ఉన్న అంచు వెనుక ఉంది, ఇది మంచి పైకి దృష్టి కోసం దీర్ఘచతురస్రాకార కటౌట్ కలిగి ఉంది. ప్రత్యామ్నాయంగా, సీట్లను పక్కపక్కనే గట్టిగా అమర్చవచ్చు, అయినప్పటికీ కొంచెం అస్థిరంగా ఉంటుంది, ఇది ఒకే నియంత్రణలను భాగస్వామ్యం చేయడానికి మరియు కమ్యూనికేషన్‌ను సడలించడానికి అనుమతించింది. [1] Rb.1 యొక్క ఎంపెనేజ్ సాంప్రదాయికమైనది, విస్తృత-తీగ, దీర్ఘచతురస్రాకార ప్రణాళిక టెయిల్‌ప్లేన్ ఫ్యూజ్‌లేజ్ పైన అమర్చబడి, చుక్కాని కదలిక కోసం పెద్ద సెంట్రల్ కటౌట్‌తో ఎలివేటర్లను మోసుకెళ్ళింది. దీని త్రిభుజాకార ఫిన్ ఒక సమాంతర చతుర్భుజ ప్రొఫైల్ చుక్కానిని అమర్చారు, ఇది కీల్‌కు చేరుకుంది. [1] ఇది సాంప్రదాయిక, స్థిర ల్యాండింగ్ గేర్‌ను కలిగి ఉంది, దాని మెయిన్‌వీల్స్‌తో ఒకే ఇరుసుపై మరియు విస్తృత ట్రాక్ సుమారు 2 మీ (79 అంగుళాలు). దిగువ ఫ్యూజ్‌లేజ్ లాంగన్స్‌పై అమర్చిన ఒక జత స్టీల్ వి-స్ట్రట్‌లచే మద్దతు ఉన్న ఒక స్థిర జత విలోమ స్టీల్ ట్యూబ్‌లకు రబ్బరు త్రాడు షాక్ అబ్జార్బర్స్ ద్వారా ఇరుసు చేరారు. దీని తోకను బాహ్యంగా కొద్దిగా స్టీల్ ట్యూబ్ పిరమిడ్ మీద అమర్చారు, మోకాలి-రకం రబ్బరు త్రాడు షాక్ అబ్జార్బర్‌తో. [1] బుల్టే rb.1 మొదట 1928 చివరిలో ఎగిరింది, అయినప్పటికీ ఖచ్చితమైన తేదీ తెలియదు. 1929 మరియు 1931 మధ్య బెల్జియన్ సివిల్ ఎయిర్క్రాఫ్ట్ రిజిస్టర్‌లో ఐదుగురు కనిపించారు. [2] టూర్ డు ఫ్రాన్స్ డెస్ ఏవియన్స్ డి టూరిస్మేలో మే 1931 లో ఫ్రాన్స్ చుట్టూ మరియు మరొకటి ఆ సంవత్సరం జూలైలో ఆవెర్గ్నే ర్యాలీలో పాల్గొన్నారు. [4] UK అమ్మకాల ప్రయత్నాలను సీలాండైర్ నిర్వహించింది [5] కానీ ఉదాహరణలు నమోదు కాలేదు. [6] లెస్ ఐల్స్ నుండి డేటా, నవంబర్ 1928 [1] సాధారణ లక్షణాల పనితీరు</v>
      </c>
      <c r="E72" s="1" t="s">
        <v>1229</v>
      </c>
      <c r="F72" s="1" t="s">
        <v>1230</v>
      </c>
      <c r="G72" s="1" t="str">
        <f>IFERROR(__xludf.DUMMYFUNCTION("GOOGLETRANSLATE(F:F, ""en"", ""te"")"),"శిక్షణ మరియు పర్యటన విమానం")</f>
        <v>శిక్షణ మరియు పర్యటన విమానం</v>
      </c>
      <c r="H72" s="1" t="s">
        <v>1231</v>
      </c>
      <c r="I72" s="1" t="s">
        <v>1077</v>
      </c>
      <c r="J72" s="1" t="str">
        <f>IFERROR(__xludf.DUMMYFUNCTION("GOOGLETRANSLATE(I:I, ""en"", ""te"")"),"బెల్జియం")</f>
        <v>బెల్జియం</v>
      </c>
      <c r="K72" s="3" t="s">
        <v>1078</v>
      </c>
      <c r="L72" s="1" t="s">
        <v>1232</v>
      </c>
      <c r="M72" s="1" t="str">
        <f>IFERROR(__xludf.DUMMYFUNCTION("GOOGLETRANSLATE(L:L, ""en"", ""te"")"),"ఏవియన్లు బుల్టే &amp; సీ సా")</f>
        <v>ఏవియన్లు బుల్టే &amp; సీ సా</v>
      </c>
      <c r="Q72" s="1">
        <v>5.0</v>
      </c>
      <c r="S72" s="1" t="s">
        <v>1233</v>
      </c>
      <c r="U72" s="1" t="s">
        <v>1234</v>
      </c>
      <c r="V72" s="1" t="s">
        <v>1235</v>
      </c>
      <c r="W72" s="1" t="s">
        <v>1236</v>
      </c>
      <c r="X72" s="1" t="s">
        <v>1237</v>
      </c>
      <c r="Y72" s="1" t="s">
        <v>1238</v>
      </c>
      <c r="AA72" s="1" t="s">
        <v>1239</v>
      </c>
      <c r="AB72" s="1" t="s">
        <v>440</v>
      </c>
      <c r="AD72" s="1" t="s">
        <v>1240</v>
      </c>
      <c r="AE72" s="1" t="s">
        <v>1241</v>
      </c>
      <c r="AG72" s="1" t="s">
        <v>1242</v>
      </c>
      <c r="AH72" s="1" t="s">
        <v>1243</v>
      </c>
      <c r="AJ72" s="1" t="s">
        <v>1244</v>
      </c>
      <c r="AM72" s="1" t="s">
        <v>1245</v>
      </c>
      <c r="AP72" s="1" t="s">
        <v>1246</v>
      </c>
      <c r="AR72" s="1" t="s">
        <v>1247</v>
      </c>
      <c r="AS72" s="1">
        <v>6.88</v>
      </c>
    </row>
    <row r="73">
      <c r="A73" s="1" t="s">
        <v>1248</v>
      </c>
      <c r="B73" s="1" t="str">
        <f>IFERROR(__xludf.DUMMYFUNCTION("GOOGLETRANSLATE(A:A, ""en"", ""te"")"),"డైనలి హెచ్ 3 ఈజీఫ్లైయర్")</f>
        <v>డైనలి హెచ్ 3 ఈజీఫ్లైయర్</v>
      </c>
      <c r="C73" s="1" t="s">
        <v>1249</v>
      </c>
      <c r="D73" s="1" t="str">
        <f>IFERROR(__xludf.DUMMYFUNCTION("GOOGLETRANSLATE(C:C, ""en"", ""te"")"),"డైనలి హెచ్ 3 ఈజీఫ్లైయర్, ఇప్పుడు స్పోర్ట్ అని పిలుస్తారు, ఇది బెల్జియన్ హెలికాప్టర్, ఇది థైన్స్ డిస్ట్రిక్ట్ ఆఫ్ నివెల్లెస్ యొక్క డైనలి రూపొందించింది మరియు ఉత్పత్తి చేస్తుంది. విమానం పూర్తి మరియు రెడీ-టు-ఫ్లై-ఎయిర్‌క్రాఫ్ట్ లేదా te త్సాహిక నిర్మాణానికి కి"&amp;"ట్‌గా సరఫరా చేయబడుతుంది. [1] విమాన శిక్షణ, యుటిలిటీ మరియు వ్యక్తిగత వినియోగ పాత్రల కోసం H3 రూపొందించబడింది. ఇది యూరోపియన్ క్లాస్ 6 మైక్రోలైట్ హెలికాప్టర్ నిబంధనలకు అనుగుణంగా రూపొందించబడింది, ముఖ్యంగా ఫ్రెంచ్ క్లాస్ 6 మైక్రోలైట్ వర్గం, స్థూల బరువు 450 కిలో"&amp;"ల (992 పౌండ్లు). ఇది సింగిల్ మెయిన్ రోటర్ మరియు టెయిల్ రోటర్, బబుల్ పందిరితో రెండు-సైడ్-బై సైడ్-బై-సైడ్ కాన్ఫిగరేషన్ పరివేష్టిత కాక్‌పిట్, స్కిడ్ ల్యాండింగ్ గేర్ మరియు నాలుగు సిలిండర్, ద్రవ మరియు ఎయిర్-కూల్డ్, నాలుగు స్ట్రోక్ 100 హెచ్‌పి (75 కలిగి ఉంది (7"&amp;"5 kW) రోటాక్స్ 912లు ఇంజిన్, డైనలి-అభివృద్ధి చెందిన ఇంధన-ఇంధన 110 హెచ్‌పి (82 కిలోవాట్ మైక్రోలైట్ వర్గానికి విమానం యొక్క స్థూల బరువు 450 కిలోల (992 పౌండ్లు) నుండి మారుతుంది, లైట్-స్పోర్ట్ విమానాలు వంటి ఇతర జాతీయ విభాగాలలో వ్యవస్థాపించిన శక్తిని బట్టి భారీ"&amp;" బరువులు లభిస్తాయి. ROTAX 912ULS ఇంజిన్‌తో, స్థూల బరువు 500 kg (1,102 lb), 550 కిలోలు (1,213 పౌండ్లు) రోటాక్స్ 912LS-1 మరియు 600 కిలోల (1,323 lb) తో రోటాక్స్ 914 తో ఉంటుంది. [1] [2] విమానం ఫ్యూజ్‌లేజ్ ఫ్రేమ్ వెల్డెడ్ స్టెయిన్‌లెస్ స్టీల్ గొట్టాల నుండి తయా"&amp;"రవుతుంది. దీని రెండు-బ్లేడెడ్ రోటర్ 7.14 మీ (23.4 అడుగులు) మరియు 18.5 సెం.మీ (7.3 అంగుళాలు) తీగను కలిగి ఉంది. రోటాక్స్ 914 ఇంజిన్‌తో ఈ విమానం 290 కిలోల (639 పౌండ్లు) మరియు స్థూల బరువు 600 కిలోల (1,323 పౌండ్లు) ఖాళీ బరువును కలిగి ఉంటుంది, ఇది 310 కిలోల (68"&amp;"3 ఎల్బి) ఉపయోగకరమైన లోడ్‌ను ఇస్తుంది. 60 లీటర్ల పూర్తి ఇంధనంతో (13 ఇంప్ గల్; 16 యుఎస్ గాల్) పైలట్, ప్రయాణీకుడు మరియు సామాను 267 కిలోలు (589 ఎల్బి). [1] [2] టాక్ మరియు తయారీదారు నుండి డేటా [1] [3] సాధారణ లక్షణాల పనితీరు")</f>
        <v>డైనలి హెచ్ 3 ఈజీఫ్లైయర్, ఇప్పుడు స్పోర్ట్ అని పిలుస్తారు, ఇది బెల్జియన్ హెలికాప్టర్, ఇది థైన్స్ డిస్ట్రిక్ట్ ఆఫ్ నివెల్లెస్ యొక్క డైనలి రూపొందించింది మరియు ఉత్పత్తి చేస్తుంది. విమానం పూర్తి మరియు రెడీ-టు-ఫ్లై-ఎయిర్‌క్రాఫ్ట్ లేదా te త్సాహిక నిర్మాణానికి కిట్‌గా సరఫరా చేయబడుతుంది. [1] విమాన శిక్షణ, యుటిలిటీ మరియు వ్యక్తిగత వినియోగ పాత్రల కోసం H3 రూపొందించబడింది. ఇది యూరోపియన్ క్లాస్ 6 మైక్రోలైట్ హెలికాప్టర్ నిబంధనలకు అనుగుణంగా రూపొందించబడింది, ముఖ్యంగా ఫ్రెంచ్ క్లాస్ 6 మైక్రోలైట్ వర్గం, స్థూల బరువు 450 కిలోల (992 పౌండ్లు). ఇది సింగిల్ మెయిన్ రోటర్ మరియు టెయిల్ రోటర్, బబుల్ పందిరితో రెండు-సైడ్-బై సైడ్-బై-సైడ్ కాన్ఫిగరేషన్ పరివేష్టిత కాక్‌పిట్, స్కిడ్ ల్యాండింగ్ గేర్ మరియు నాలుగు సిలిండర్, ద్రవ మరియు ఎయిర్-కూల్డ్, నాలుగు స్ట్రోక్ 100 హెచ్‌పి (75 కలిగి ఉంది (75 kW) రోటాక్స్ 912లు ఇంజిన్, డైనలి-అభివృద్ధి చెందిన ఇంధన-ఇంధన 110 హెచ్‌పి (82 కిలోవాట్ మైక్రోలైట్ వర్గానికి విమానం యొక్క స్థూల బరువు 450 కిలోల (992 పౌండ్లు) నుండి మారుతుంది, లైట్-స్పోర్ట్ విమానాలు వంటి ఇతర జాతీయ విభాగాలలో వ్యవస్థాపించిన శక్తిని బట్టి భారీ బరువులు లభిస్తాయి. ROTAX 912ULS ఇంజిన్‌తో, స్థూల బరువు 500 kg (1,102 lb), 550 కిలోలు (1,213 పౌండ్లు) రోటాక్స్ 912LS-1 మరియు 600 కిలోల (1,323 lb) తో రోటాక్స్ 914 తో ఉంటుంది. [1] [2] విమానం ఫ్యూజ్‌లేజ్ ఫ్రేమ్ వెల్డెడ్ స్టెయిన్‌లెస్ స్టీల్ గొట్టాల నుండి తయారవుతుంది. దీని రెండు-బ్లేడెడ్ రోటర్ 7.14 మీ (23.4 అడుగులు) మరియు 18.5 సెం.మీ (7.3 అంగుళాలు) తీగను కలిగి ఉంది. రోటాక్స్ 914 ఇంజిన్‌తో ఈ విమానం 290 కిలోల (639 పౌండ్లు) మరియు స్థూల బరువు 600 కిలోల (1,323 పౌండ్లు) ఖాళీ బరువును కలిగి ఉంటుంది, ఇది 310 కిలోల (683 ఎల్బి) ఉపయోగకరమైన లోడ్‌ను ఇస్తుంది. 60 లీటర్ల పూర్తి ఇంధనంతో (13 ఇంప్ గల్; 16 యుఎస్ గాల్) పైలట్, ప్రయాణీకుడు మరియు సామాను 267 కిలోలు (589 ఎల్బి). [1] [2] టాక్ మరియు తయారీదారు నుండి డేటా [1] [3] సాధారణ లక్షణాల పనితీరు</v>
      </c>
      <c r="E73" s="1" t="s">
        <v>1250</v>
      </c>
      <c r="F73" s="1" t="s">
        <v>218</v>
      </c>
      <c r="G73" s="1" t="str">
        <f>IFERROR(__xludf.DUMMYFUNCTION("GOOGLETRANSLATE(F:F, ""en"", ""te"")"),"హెలికాప్టర్")</f>
        <v>హెలికాప్టర్</v>
      </c>
      <c r="H73" s="3" t="s">
        <v>219</v>
      </c>
      <c r="I73" s="1" t="s">
        <v>1077</v>
      </c>
      <c r="J73" s="1" t="str">
        <f>IFERROR(__xludf.DUMMYFUNCTION("GOOGLETRANSLATE(I:I, ""en"", ""te"")"),"బెల్జియం")</f>
        <v>బెల్జియం</v>
      </c>
      <c r="K73" s="3" t="s">
        <v>1078</v>
      </c>
      <c r="L73" s="1" t="s">
        <v>1251</v>
      </c>
      <c r="M73" s="1" t="str">
        <f>IFERROR(__xludf.DUMMYFUNCTION("GOOGLETRANSLATE(L:L, ""en"", ""te"")"),"డైనలి హెలికాప్టర్ కంపెనీ")</f>
        <v>డైనలి హెలికాప్టర్ కంపెనీ</v>
      </c>
      <c r="N73" s="1" t="s">
        <v>1252</v>
      </c>
      <c r="O73" s="1" t="s">
        <v>539</v>
      </c>
      <c r="P73" s="1" t="str">
        <f>IFERROR(__xludf.DUMMYFUNCTION("GOOGLETRANSLATE(O:O, ""en"", ""te"")"),"ఉత్పత్తిలో (2017)")</f>
        <v>ఉత్పత్తిలో (2017)</v>
      </c>
      <c r="S73" s="1" t="s">
        <v>133</v>
      </c>
      <c r="T73" s="1" t="s">
        <v>134</v>
      </c>
      <c r="X73" s="1" t="s">
        <v>1253</v>
      </c>
      <c r="Y73" s="1" t="s">
        <v>1254</v>
      </c>
      <c r="Z73" s="1" t="s">
        <v>1255</v>
      </c>
      <c r="AA73" s="1" t="s">
        <v>691</v>
      </c>
      <c r="AC73" s="1" t="s">
        <v>548</v>
      </c>
      <c r="AF73" s="1" t="s">
        <v>1256</v>
      </c>
      <c r="AO73" s="1" t="s">
        <v>1257</v>
      </c>
      <c r="AQ73" s="1" t="s">
        <v>1258</v>
      </c>
      <c r="AR73" s="1" t="s">
        <v>1072</v>
      </c>
      <c r="AW73" s="1" t="s">
        <v>1259</v>
      </c>
      <c r="BN73" s="1" t="s">
        <v>1260</v>
      </c>
      <c r="BO73" s="1" t="s">
        <v>1045</v>
      </c>
    </row>
    <row r="74">
      <c r="A74" s="1" t="s">
        <v>1261</v>
      </c>
      <c r="B74" s="1" t="str">
        <f>IFERROR(__xludf.DUMMYFUNCTION("GOOGLETRANSLATE(A:A, ""en"", ""te"")"),"IRI T250A")</f>
        <v>IRI T250A</v>
      </c>
      <c r="C74" s="1" t="s">
        <v>1262</v>
      </c>
      <c r="D74" s="1" t="str">
        <f>IFERROR(__xludf.DUMMYFUNCTION("GOOGLETRANSLATE(C:C, ""en"", ""te"")"),"IRI T250A అనేది ఇటాలియన్ హెలికాప్టర్, దీనిని ఇటాలియన్ రోటర్ల పరిశ్రమలు ఏప్రిల్, లాజియో యొక్క ఇటాలియన్ రోటర్ల పరిశ్రమలు రూపొందించాయి మరియు 2015 లో పరిచయం చేశాయి. ఇప్పుడు ఉత్పత్తిలో లేనప్పుడు, విమానం అందుబాటులో ఉన్నప్పుడు పూర్తి మరియు రెడీ టు-ఫ్లై. [1] ఈ సం"&amp;"స్థ 2013 లో స్థాపించబడింది మరియు జూన్ 2016 లో ఉత్పత్తి నుండి బయటపడింది, ఉత్పత్తిని ముగించింది. [2] [3] T250A లో సింగిల్ మెయిన్ రోటర్ మరియు టెయిల్ రోటర్, విండ్‌షీల్డ్, స్కిడ్ ల్యాండింగ్ గేర్ మరియు 250 హెచ్‌పి (186 కిలోవాట్ . [[ విమానం ఫ్యూజ్‌లేజ్ మిశ్రమాల "&amp;"నుండి తయారవుతుంది. దీని రెండు-బ్లేడెడ్ రోటర్ 7.6 మీ (24.9 అడుగులు) వ్యాసం కలిగి ఉంది. ఈ విమానం 295 కిలోల (650 ఎల్బి) యొక్క సాధారణ ఖాళీ బరువు మరియు 650 కిలోల (1,433 ఎల్బి) స్థూల బరువును కలిగి ఉంది, ఇది 355 కిలోల (783 పౌండ్లు) ఉపయోగకరమైన లోడ్ ఇస్తుంది. 130 "&amp;"లీటర్ల పూర్తి ఇంధనంతో (29 ఇంప్ గల్; 34 యుఎస్ గాల్) సిబ్బందికి పేలోడ్, ప్రయాణీకుడు మరియు సామాను 261 కిలోలు (575 ఎల్బి). [1] ఈ విమానం ISO 9001 మరియు EN 9100 ప్రమాణాలకు నిర్మించబడింది. [1] టాక్ నుండి డేటా [1] సాధారణ లక్షణాల పనితీరు")</f>
        <v>IRI T250A అనేది ఇటాలియన్ హెలికాప్టర్, దీనిని ఇటాలియన్ రోటర్ల పరిశ్రమలు ఏప్రిల్, లాజియో యొక్క ఇటాలియన్ రోటర్ల పరిశ్రమలు రూపొందించాయి మరియు 2015 లో పరిచయం చేశాయి. ఇప్పుడు ఉత్పత్తిలో లేనప్పుడు, విమానం అందుబాటులో ఉన్నప్పుడు పూర్తి మరియు రెడీ టు-ఫ్లై. [1] ఈ సంస్థ 2013 లో స్థాపించబడింది మరియు జూన్ 2016 లో ఉత్పత్తి నుండి బయటపడింది, ఉత్పత్తిని ముగించింది. [2] [3] T250A లో సింగిల్ మెయిన్ రోటర్ మరియు టెయిల్ రోటర్, విండ్‌షీల్డ్, స్కిడ్ ల్యాండింగ్ గేర్ మరియు 250 హెచ్‌పి (186 కిలోవాట్ . [[ విమానం ఫ్యూజ్‌లేజ్ మిశ్రమాల నుండి తయారవుతుంది. దీని రెండు-బ్లేడెడ్ రోటర్ 7.6 మీ (24.9 అడుగులు) వ్యాసం కలిగి ఉంది. ఈ విమానం 295 కిలోల (650 ఎల్బి) యొక్క సాధారణ ఖాళీ బరువు మరియు 650 కిలోల (1,433 ఎల్బి) స్థూల బరువును కలిగి ఉంది, ఇది 355 కిలోల (783 పౌండ్లు) ఉపయోగకరమైన లోడ్ ఇస్తుంది. 130 లీటర్ల పూర్తి ఇంధనంతో (29 ఇంప్ గల్; 34 యుఎస్ గాల్) సిబ్బందికి పేలోడ్, ప్రయాణీకుడు మరియు సామాను 261 కిలోలు (575 ఎల్బి). [1] ఈ విమానం ISO 9001 మరియు EN 9100 ప్రమాణాలకు నిర్మించబడింది. [1] టాక్ నుండి డేటా [1] సాధారణ లక్షణాల పనితీరు</v>
      </c>
      <c r="F74" s="1" t="s">
        <v>218</v>
      </c>
      <c r="G74" s="1" t="str">
        <f>IFERROR(__xludf.DUMMYFUNCTION("GOOGLETRANSLATE(F:F, ""en"", ""te"")"),"హెలికాప్టర్")</f>
        <v>హెలికాప్టర్</v>
      </c>
      <c r="H74" s="3" t="s">
        <v>219</v>
      </c>
      <c r="I74" s="1" t="s">
        <v>220</v>
      </c>
      <c r="J74" s="1" t="str">
        <f>IFERROR(__xludf.DUMMYFUNCTION("GOOGLETRANSLATE(I:I, ""en"", ""te"")"),"ఇటలీ")</f>
        <v>ఇటలీ</v>
      </c>
      <c r="K74" s="3" t="s">
        <v>221</v>
      </c>
      <c r="L74" s="1" t="s">
        <v>522</v>
      </c>
      <c r="M74" s="1" t="str">
        <f>IFERROR(__xludf.DUMMYFUNCTION("GOOGLETRANSLATE(L:L, ""en"", ""te"")"),"ఇటాలియన్ రోటర్స్ ఇండస్ట్రీస్")</f>
        <v>ఇటాలియన్ రోటర్స్ ఇండస్ట్రీస్</v>
      </c>
      <c r="N74" s="1" t="s">
        <v>523</v>
      </c>
      <c r="O74" s="1" t="s">
        <v>524</v>
      </c>
      <c r="P74" s="1" t="str">
        <f>IFERROR(__xludf.DUMMYFUNCTION("GOOGLETRANSLATE(O:O, ""en"", ""te"")"),"ఉత్పత్తి పూర్తయింది (2016)")</f>
        <v>ఉత్పత్తి పూర్తయింది (2016)</v>
      </c>
      <c r="S74" s="1" t="s">
        <v>133</v>
      </c>
      <c r="T74" s="1" t="s">
        <v>134</v>
      </c>
      <c r="X74" s="1" t="s">
        <v>1263</v>
      </c>
      <c r="Y74" s="1" t="s">
        <v>526</v>
      </c>
      <c r="Z74" s="1" t="s">
        <v>1264</v>
      </c>
      <c r="AA74" s="1" t="s">
        <v>1265</v>
      </c>
      <c r="AC74" s="1" t="s">
        <v>260</v>
      </c>
      <c r="AF74" s="1" t="s">
        <v>1266</v>
      </c>
      <c r="AK74" s="1">
        <v>2015.0</v>
      </c>
      <c r="AO74" s="1" t="s">
        <v>530</v>
      </c>
      <c r="AP74" s="1" t="s">
        <v>531</v>
      </c>
      <c r="AT74" s="1" t="s">
        <v>520</v>
      </c>
      <c r="AU74" s="1" t="s">
        <v>1267</v>
      </c>
      <c r="BN74" s="1" t="s">
        <v>532</v>
      </c>
      <c r="BO74" s="1" t="s">
        <v>533</v>
      </c>
    </row>
    <row r="75">
      <c r="A75" s="1" t="s">
        <v>1268</v>
      </c>
      <c r="B75" s="1" t="str">
        <f>IFERROR(__xludf.DUMMYFUNCTION("GOOGLETRANSLATE(A:A, ""en"", ""te"")"),"బై ఏరోస్పేస్ సన్ ఫ్లైయర్")</f>
        <v>బై ఏరోస్పేస్ సన్ ఫ్లైయర్</v>
      </c>
      <c r="C75" s="1" t="s">
        <v>1269</v>
      </c>
      <c r="D75" s="1" t="str">
        <f>IFERROR(__xludf.DUMMYFUNCTION("GOOGLETRANSLATE(C:C, ""en"", ""te"")"),"బై ఏరోస్పేస్ సన్ ఫ్లైయర్ (గతంలో ఏరో ఎలక్ట్రిక్ ఎయిర్‌క్రాఫ్ట్ కార్పొరేషన్ సన్ ఫ్లైయర్ అని కూడా పిలుస్తారు) అనేది ఎలక్ట్రిక్ విమానం, దీనిని పిసి-ఏరో ఎలెక్ట్రా వన్ నుండి బై ఏరోస్పేస్ యొక్క ఏరో ఎలక్ట్రిక్ ఎయిర్‌క్రాఫ్ట్ కార్పొరేషన్ డివిజన్ ఆఫ్ డెన్వర్, కొలరా"&amp;"డో, యునైటెడ్ స్టేట్స్ 2015. ఎలెక్ట్రా వన్ డిజైనర్ అయిన కాలిన్ గోలాగన్‌తో డిజైన్ కోసం కంపెనీకి లైసెన్స్ ఒప్పందం మరియు ఇంజనీరింగ్ ఒప్పందం ఉంది. [1] [2] ఈ విమానం మిశ్రమ నిర్మాణం, కాంటిలివర్ లో-వింగ్, సింగిల్-సీట్, బబుల్ పందిరి కింద పరివేష్టిత కాక్‌పిట్, వీల్"&amp;" ప్యాంటుతో స్థిర ట్రైసైకిల్ ల్యాండింగ్ గేర్ మరియు ట్రాక్టర్ కాన్ఫిగరేషన్‌లో ఒకే ఎలక్ట్రిక్ మోటారును కలిగి ఉంది. [1] [2] సన్ ఫ్లైయర్ కొత్త ల్యాండింగ్ గేర్, ప్రొపెల్లర్ మరియు వాయిద్యాలను చేర్చడం ద్వారా పిసి-ఎరో ఎలెక్ట్రా వన్ నుండి భిన్నంగా ఉంది. ఇది ప్రతిపా"&amp;"దిత రెండు-సీట్ల కోసం ఒక నమూనాను అందించింది, ఇది నాలుగు పానాసోనిక్ లిథియం-అయాన్ బ్యాటరీలను కలిగి ఉంది, సౌర ఫలకాలతో పాటు రెక్కలు, క్షితిజ సమాంతర తోకపై మరియు పందిరి వెనుక ఉన్న ఫ్యూజ్‌లేజ్‌పై వ్యవస్థాపించబడింది. ఈ రెండు-సీటర్లు పగలు మరియు రాత్రి దృశ్య విమాన న"&amp;"ియమాల కోసం ధృవీకరించబడాలని అనుకున్నారు. సన్ ఫ్లైయర్ యొక్క ప్రతిపాదిత రెండు-సీట్ల వెర్షన్ చివరికి కొత్త డిజైన్‌కు దారితీసింది, బదులుగా బై ఏరోస్పేస్ సన్ ఫ్లైయర్ 2. [1] స్పార్టన్ కాలేజ్ ఆఫ్ ఏరోనాటిక్స్ అండ్ టెక్నాలజీ మొదటి 20 రెండు-సీట్ల మోడళ్లను ఉత్పత్తి చే"&amp;"సింది. [3] ఏవియేషన్ వీక్ మరియు ఏవియేషన్ ప్రోస్ నుండి డేటా [1] [2] సాధారణ లక్షణాల పనితీరు")</f>
        <v>బై ఏరోస్పేస్ సన్ ఫ్లైయర్ (గతంలో ఏరో ఎలక్ట్రిక్ ఎయిర్‌క్రాఫ్ట్ కార్పొరేషన్ సన్ ఫ్లైయర్ అని కూడా పిలుస్తారు) అనేది ఎలక్ట్రిక్ విమానం, దీనిని పిసి-ఏరో ఎలెక్ట్రా వన్ నుండి బై ఏరోస్పేస్ యొక్క ఏరో ఎలక్ట్రిక్ ఎయిర్‌క్రాఫ్ట్ కార్పొరేషన్ డివిజన్ ఆఫ్ డెన్వర్, కొలరాడో, యునైటెడ్ స్టేట్స్ 2015. ఎలెక్ట్రా వన్ డిజైనర్ అయిన కాలిన్ గోలాగన్‌తో డిజైన్ కోసం కంపెనీకి లైసెన్స్ ఒప్పందం మరియు ఇంజనీరింగ్ ఒప్పందం ఉంది. [1] [2] ఈ విమానం మిశ్రమ నిర్మాణం, కాంటిలివర్ లో-వింగ్, సింగిల్-సీట్, బబుల్ పందిరి కింద పరివేష్టిత కాక్‌పిట్, వీల్ ప్యాంటుతో స్థిర ట్రైసైకిల్ ల్యాండింగ్ గేర్ మరియు ట్రాక్టర్ కాన్ఫిగరేషన్‌లో ఒకే ఎలక్ట్రిక్ మోటారును కలిగి ఉంది. [1] [2] సన్ ఫ్లైయర్ కొత్త ల్యాండింగ్ గేర్, ప్రొపెల్లర్ మరియు వాయిద్యాలను చేర్చడం ద్వారా పిసి-ఎరో ఎలెక్ట్రా వన్ నుండి భిన్నంగా ఉంది. ఇది ప్రతిపాదిత రెండు-సీట్ల కోసం ఒక నమూనాను అందించింది, ఇది నాలుగు పానాసోనిక్ లిథియం-అయాన్ బ్యాటరీలను కలిగి ఉంది, సౌర ఫలకాలతో పాటు రెక్కలు, క్షితిజ సమాంతర తోకపై మరియు పందిరి వెనుక ఉన్న ఫ్యూజ్‌లేజ్‌పై వ్యవస్థాపించబడింది. ఈ రెండు-సీటర్లు పగలు మరియు రాత్రి దృశ్య విమాన నియమాల కోసం ధృవీకరించబడాలని అనుకున్నారు. సన్ ఫ్లైయర్ యొక్క ప్రతిపాదిత రెండు-సీట్ల వెర్షన్ చివరికి కొత్త డిజైన్‌కు దారితీసింది, బదులుగా బై ఏరోస్పేస్ సన్ ఫ్లైయర్ 2. [1] స్పార్టన్ కాలేజ్ ఆఫ్ ఏరోనాటిక్స్ అండ్ టెక్నాలజీ మొదటి 20 రెండు-సీట్ల మోడళ్లను ఉత్పత్తి చేసింది. [3] ఏవియేషన్ వీక్ మరియు ఏవియేషన్ ప్రోస్ నుండి డేటా [1] [2] సాధారణ లక్షణాల పనితీరు</v>
      </c>
      <c r="F75" s="1" t="s">
        <v>125</v>
      </c>
      <c r="G75" s="1" t="str">
        <f>IFERROR(__xludf.DUMMYFUNCTION("GOOGLETRANSLATE(F:F, ""en"", ""te"")"),"Te త్సాహిక నిర్మించిన విమానం")</f>
        <v>Te త్సాహిక నిర్మించిన విమానం</v>
      </c>
      <c r="H75" s="1" t="s">
        <v>126</v>
      </c>
      <c r="I75" s="1" t="s">
        <v>127</v>
      </c>
      <c r="J75" s="1" t="str">
        <f>IFERROR(__xludf.DUMMYFUNCTION("GOOGLETRANSLATE(I:I, ""en"", ""te"")"),"సంయుక్త రాష్ట్రాలు")</f>
        <v>సంయుక్త రాష్ట్రాలు</v>
      </c>
      <c r="K75" s="1" t="s">
        <v>128</v>
      </c>
      <c r="L75" s="1" t="s">
        <v>1270</v>
      </c>
      <c r="M75" s="1" t="str">
        <f>IFERROR(__xludf.DUMMYFUNCTION("GOOGLETRANSLATE(L:L, ""en"", ""te"")"),"బై ఏరోస్పేస్")</f>
        <v>బై ఏరోస్పేస్</v>
      </c>
      <c r="N75" s="1" t="s">
        <v>1271</v>
      </c>
      <c r="O75" s="1" t="s">
        <v>1272</v>
      </c>
      <c r="P75" s="1" t="str">
        <f>IFERROR(__xludf.DUMMYFUNCTION("GOOGLETRANSLATE(O:O, ""en"", ""te"")"),"ప్రయోగాత్మక ప్రోటోటైప్ మాత్రమే (2015)")</f>
        <v>ప్రయోగాత్మక ప్రోటోటైప్ మాత్రమే (2015)</v>
      </c>
      <c r="Q75" s="1" t="s">
        <v>133</v>
      </c>
      <c r="S75" s="1" t="s">
        <v>133</v>
      </c>
      <c r="AA75" s="1" t="s">
        <v>1273</v>
      </c>
      <c r="AB75" s="1" t="s">
        <v>276</v>
      </c>
      <c r="AH75" s="1" t="s">
        <v>1274</v>
      </c>
    </row>
    <row r="76">
      <c r="A76" s="1" t="s">
        <v>870</v>
      </c>
      <c r="B76" s="1" t="str">
        <f>IFERROR(__xludf.DUMMYFUNCTION("GOOGLETRANSLATE(A:A, ""en"", ""te"")"),"ఎలక్ట్రిక్ రైడ్ ఇ-బర్డ్")</f>
        <v>ఎలక్ట్రిక్ రైడ్ ఇ-బర్డ్</v>
      </c>
      <c r="C76" s="1" t="s">
        <v>1275</v>
      </c>
      <c r="D76" s="1" t="str">
        <f>IFERROR(__xludf.DUMMYFUNCTION("GOOGLETRANSLATE(C:C, ""en"", ""te"")"),"ఎలక్ట్రిక్ రైడ్ ఇ-బర్డ్ అనేది జర్మన్ ఎలక్ట్రిక్ అల్ట్రాలైట్ ట్రైక్, ఇది బేర్బ్రన్ యొక్క ఎలక్ట్రిక్ రైడ్ ద్వారా అభివృద్ధి చేయబడింది మరియు ఉత్పత్తి చేయబడింది. విమానం పూర్తి మరియు రెడీ టు-ఫ్లై సరఫరా చేయబడుతుంది. [1] ఇ-బర్డ్ ఈరోస్ చీమ యొక్క విద్యుత్ శక్తి అభి"&amp;"వృద్ధి. ఇది ఫెడరేషన్ Aéronautique ఇంటర్నేషనల్ మైక్రోలైట్ కేటగిరీ, జర్మన్ 120 కిలోల తరగతి మరియు యుఎస్ ఫార్ 103 అల్ట్రాలైట్ వెహికల్స్ రూల్స్. [1] విమాన రూపకల్పనలో కేబుల్-బ్రేస్డ్ హాంగ్ గ్లైడర్-స్టైల్ హై-వింగ్, వెయిట్-షిఫ్ట్ కంట్రోల్స్, కాక్‌పిట్ ఫెయిరింగ్ ల"&amp;"ేకుండా సింగిల్-సీట్ల ఓపెన్ కాక్‌పిట్, ట్రైసైకిల్ ల్యాండింగ్ గేర్ మరియు పషర్ కాన్ఫిగరేషన్‌లో ఒకే ఎలక్ట్రిక్ మోటారు ఉన్నాయి. [1] ఈ విమానం బోల్ట్-టుగెథర్ అల్యూమినియం గొట్టాల నుండి తయారవుతుంది, దాని డబుల్ ఉపరితలం ""టాప్‌లెస్"" ఎరోస్ కంబాట్ వింగ్ డాక్రాన్ సెయి"&amp;"ల్‌క్లాత్‌లో కప్పబడి ఉంటుంది. దాని 10 మీ (32.8 అడుగులు) స్పాన్ వింగ్ ""ఎ"" ఫ్రేమ్ వెయిట్-షిఫ్ట్ కంట్రోల్ బార్‌ను ఉపయోగిస్తుంది. పవర్‌ప్లాంట్ టేకాఫ్ కోసం 16 కిలోవాట్ల (21 హెచ్‌పి) మరియు 12 కిలోవాట్ల (16 హెచ్‌పి) నిరంతరాయంగా రేట్ చేయబడిన ఎలక్ట్రిక్ మోటారు, "&amp;"ఇది 5.85 కిలోవాట్ బ్యాటరీతో శక్తినిస్తుంది. విమానంలో గరిష్ట శబ్దం 47 dB లోపు ఉంటుంది. [1] [2] ఈ విమానం ఖాళీ బరువు 106 కిలోల (234 పౌండ్లు) మరియు స్థూల బరువు 194 కిలోలు (428 పౌండ్లు), ఇది 88 కిలోల (194 పౌండ్లు) ఉపయోగకరమైన లోడ్‌ను ఇస్తుంది. చీమల మాదిరిగా ఇది"&amp;" ఇ-బర్డ్ వ్యాన్ మీద ఆధారపడి ఉంటుంది మరియు రవాణా చేయబడి ఆటోమొబైల్ ట్రంక్‌లో రవాణా చేయబడుతుంది. [1] టాక్ నుండి డేటా [1] సాధారణ లక్షణాల పనితీరు")</f>
        <v>ఎలక్ట్రిక్ రైడ్ ఇ-బర్డ్ అనేది జర్మన్ ఎలక్ట్రిక్ అల్ట్రాలైట్ ట్రైక్, ఇది బేర్బ్రన్ యొక్క ఎలక్ట్రిక్ రైడ్ ద్వారా అభివృద్ధి చేయబడింది మరియు ఉత్పత్తి చేయబడింది. విమానం పూర్తి మరియు రెడీ టు-ఫ్లై సరఫరా చేయబడుతుంది. [1] ఇ-బర్డ్ ఈరోస్ చీమ యొక్క విద్యుత్ శక్తి అభివృద్ధి. ఇది ఫెడరేషన్ Aéronautique ఇంటర్నేషనల్ మైక్రోలైట్ కేటగిరీ, జర్మన్ 120 కిలోల తరగతి మరియు యుఎస్ ఫార్ 103 అల్ట్రాలైట్ వెహికల్స్ రూల్స్. [1] విమాన రూపకల్పనలో కేబుల్-బ్రేస్డ్ హాంగ్ గ్లైడర్-స్టైల్ హై-వింగ్, వెయిట్-షిఫ్ట్ కంట్రోల్స్, కాక్‌పిట్ ఫెయిరింగ్ లేకుండా సింగిల్-సీట్ల ఓపెన్ కాక్‌పిట్, ట్రైసైకిల్ ల్యాండింగ్ గేర్ మరియు పషర్ కాన్ఫిగరేషన్‌లో ఒకే ఎలక్ట్రిక్ మోటారు ఉన్నాయి. [1] ఈ విమానం బోల్ట్-టుగెథర్ అల్యూమినియం గొట్టాల నుండి తయారవుతుంది, దాని డబుల్ ఉపరితలం "టాప్‌లెస్" ఎరోస్ కంబాట్ వింగ్ డాక్రాన్ సెయిల్‌క్లాత్‌లో కప్పబడి ఉంటుంది. దాని 10 మీ (32.8 అడుగులు) స్పాన్ వింగ్ "ఎ" ఫ్రేమ్ వెయిట్-షిఫ్ట్ కంట్రోల్ బార్‌ను ఉపయోగిస్తుంది. పవర్‌ప్లాంట్ టేకాఫ్ కోసం 16 కిలోవాట్ల (21 హెచ్‌పి) మరియు 12 కిలోవాట్ల (16 హెచ్‌పి) నిరంతరాయంగా రేట్ చేయబడిన ఎలక్ట్రిక్ మోటారు, ఇది 5.85 కిలోవాట్ బ్యాటరీతో శక్తినిస్తుంది. విమానంలో గరిష్ట శబ్దం 47 dB లోపు ఉంటుంది. [1] [2] ఈ విమానం ఖాళీ బరువు 106 కిలోల (234 పౌండ్లు) మరియు స్థూల బరువు 194 కిలోలు (428 పౌండ్లు), ఇది 88 కిలోల (194 పౌండ్లు) ఉపయోగకరమైన లోడ్‌ను ఇస్తుంది. చీమల మాదిరిగా ఇది ఇ-బర్డ్ వ్యాన్ మీద ఆధారపడి ఉంటుంది మరియు రవాణా చేయబడి ఆటోమొబైల్ ట్రంక్‌లో రవాణా చేయబడుతుంది. [1] టాక్ నుండి డేటా [1] సాధారణ లక్షణాల పనితీరు</v>
      </c>
      <c r="F76" s="1" t="s">
        <v>184</v>
      </c>
      <c r="G76" s="1" t="str">
        <f>IFERROR(__xludf.DUMMYFUNCTION("GOOGLETRANSLATE(F:F, ""en"", ""te"")"),"అల్ట్రాలైట్ ట్రైక్")</f>
        <v>అల్ట్రాలైట్ ట్రైక్</v>
      </c>
      <c r="H76" s="1" t="s">
        <v>185</v>
      </c>
      <c r="I76" s="1" t="s">
        <v>321</v>
      </c>
      <c r="J76" s="1" t="str">
        <f>IFERROR(__xludf.DUMMYFUNCTION("GOOGLETRANSLATE(I:I, ""en"", ""te"")"),"జర్మనీ")</f>
        <v>జర్మనీ</v>
      </c>
      <c r="K76" s="3" t="s">
        <v>322</v>
      </c>
      <c r="L76" s="1" t="s">
        <v>1276</v>
      </c>
      <c r="M76" s="1" t="str">
        <f>IFERROR(__xludf.DUMMYFUNCTION("GOOGLETRANSLATE(L:L, ""en"", ""te"")"),"ఎలక్ట్రిక్ రైడ్ Gmbh")</f>
        <v>ఎలక్ట్రిక్ రైడ్ Gmbh</v>
      </c>
      <c r="N76" s="1" t="s">
        <v>1277</v>
      </c>
      <c r="O76" s="1" t="s">
        <v>560</v>
      </c>
      <c r="P76" s="1" t="str">
        <f>IFERROR(__xludf.DUMMYFUNCTION("GOOGLETRANSLATE(O:O, ""en"", ""te"")"),"ఉత్పత్తిలో (2018)")</f>
        <v>ఉత్పత్తిలో (2018)</v>
      </c>
      <c r="S76" s="1" t="s">
        <v>133</v>
      </c>
      <c r="V76" s="1" t="s">
        <v>562</v>
      </c>
      <c r="W76" s="1" t="s">
        <v>1278</v>
      </c>
      <c r="X76" s="1" t="s">
        <v>1279</v>
      </c>
      <c r="Y76" s="1" t="s">
        <v>1280</v>
      </c>
      <c r="AA76" s="1" t="s">
        <v>1281</v>
      </c>
      <c r="AB76" s="1" t="s">
        <v>1282</v>
      </c>
      <c r="AG76" s="1" t="s">
        <v>1283</v>
      </c>
      <c r="AT76" s="1" t="s">
        <v>865</v>
      </c>
      <c r="AU76" s="1" t="s">
        <v>1284</v>
      </c>
    </row>
    <row r="77">
      <c r="A77" s="1" t="s">
        <v>1285</v>
      </c>
      <c r="B77" s="1" t="str">
        <f>IFERROR(__xludf.DUMMYFUNCTION("GOOGLETRANSLATE(A:A, ""en"", ""te"")"),"PAF XT-001 మార్కో 1")</f>
        <v>PAF XT-001 మార్కో 1</v>
      </c>
      <c r="C77" s="1" t="s">
        <v>1286</v>
      </c>
      <c r="D77" s="1" t="str">
        <f>IFERROR(__xludf.DUMMYFUNCTION("GOOGLETRANSLATE(C:C, ""en"", ""te"")"),"PAF XT-001 మార్కో 1 అనేది ఫిలిప్పీన్ వైమానిక దళం స్వీయ-ఆధారిత అభివృద్ధి వింగ్ (PAFSRDW) చే అభివృద్ధి చేయబడిన ప్రాథమిక ట్రైనర్ విమానం. [1] ఇది 1975 లో స్థానికంగా రూపొందించిన జిగ్స్ మరియు ఫిక్చర్స్ నుండి ఫిలిప్పీన్ వైమానిక దళం యొక్క స్వీయ-ఆధారిత అభివృద్ధి వ"&amp;"ిభాగం రూపొందించింది మరియు నిర్మించింది. ఇది సియాయి-క్రోర్కెట్టి SF.260MP ట్రైనర్‌ను దగ్గరగా పోలి ఉంటుంది, కానీ సవరించిన వింగ్‌టిప్స్ మరియు కాక్‌పిట్‌తో. ప్రోటోటైప్ ప్రారంభంలో సవరించిన SF.260MP గా భావించబడింది. SF.260MP కోసం డేటాను పోల్చడం రెక్కల యొక్క స్వ"&amp;"ల్ప పెరుగుదలను సూచిస్తుంది (స్థూల వింగ్ ప్రాంతంలో కాకపోయినా), తక్కువ ఖాళీ బరువు, మరియు (ఇలాంటి పవర్‌ప్లాంట్ మరియు ఒకేలాంటి గరిష్ట టేకాఫ్ బరువు ఉన్నప్పటికీ) కొద్దిగా తగ్గిన పనితీరును సూచిస్తుంది. మొదటి పరీక్ష ఫ్లైట్ మే 21, 1975 న జరిగింది. [1] [2] జేన్ యొక"&amp;"్క అన్ని ప్రపంచ విమానాల నుండి డేటా 1978-79 [3] పోల్చదగిన పాత్ర, కాన్ఫిగరేషన్ మరియు ERA సంబంధిత జాబితాల సాధారణ లక్షణాల పనితీరు విమానం")</f>
        <v>PAF XT-001 మార్కో 1 అనేది ఫిలిప్పీన్ వైమానిక దళం స్వీయ-ఆధారిత అభివృద్ధి వింగ్ (PAFSRDW) చే అభివృద్ధి చేయబడిన ప్రాథమిక ట్రైనర్ విమానం. [1] ఇది 1975 లో స్థానికంగా రూపొందించిన జిగ్స్ మరియు ఫిక్చర్స్ నుండి ఫిలిప్పీన్ వైమానిక దళం యొక్క స్వీయ-ఆధారిత అభివృద్ధి విభాగం రూపొందించింది మరియు నిర్మించింది. ఇది సియాయి-క్రోర్కెట్టి SF.260MP ట్రైనర్‌ను దగ్గరగా పోలి ఉంటుంది, కానీ సవరించిన వింగ్‌టిప్స్ మరియు కాక్‌పిట్‌తో. ప్రోటోటైప్ ప్రారంభంలో సవరించిన SF.260MP గా భావించబడింది. SF.260MP కోసం డేటాను పోల్చడం రెక్కల యొక్క స్వల్ప పెరుగుదలను సూచిస్తుంది (స్థూల వింగ్ ప్రాంతంలో కాకపోయినా), తక్కువ ఖాళీ బరువు, మరియు (ఇలాంటి పవర్‌ప్లాంట్ మరియు ఒకేలాంటి గరిష్ట టేకాఫ్ బరువు ఉన్నప్పటికీ) కొద్దిగా తగ్గిన పనితీరును సూచిస్తుంది. మొదటి పరీక్ష ఫ్లైట్ మే 21, 1975 న జరిగింది. [1] [2] జేన్ యొక్క అన్ని ప్రపంచ విమానాల నుండి డేటా 1978-79 [3] పోల్చదగిన పాత్ర, కాన్ఫిగరేషన్ మరియు ERA సంబంధిత జాబితాల సాధారణ లక్షణాల పనితీరు విమానం</v>
      </c>
      <c r="F77" s="1" t="s">
        <v>1191</v>
      </c>
      <c r="G77" s="1" t="str">
        <f>IFERROR(__xludf.DUMMYFUNCTION("GOOGLETRANSLATE(F:F, ""en"", ""te"")"),"బేసిక్ ట్రైనర్ విమానం")</f>
        <v>బేసిక్ ట్రైనర్ విమానం</v>
      </c>
      <c r="H77" s="1" t="s">
        <v>1192</v>
      </c>
      <c r="I77" s="1" t="s">
        <v>471</v>
      </c>
      <c r="J77" s="1" t="str">
        <f>IFERROR(__xludf.DUMMYFUNCTION("GOOGLETRANSLATE(I:I, ""en"", ""te"")"),"ఫిలిప్పీన్స్")</f>
        <v>ఫిలిప్పీన్స్</v>
      </c>
      <c r="L77" s="1" t="s">
        <v>479</v>
      </c>
      <c r="M77" s="1" t="str">
        <f>IFERROR(__xludf.DUMMYFUNCTION("GOOGLETRANSLATE(L:L, ""en"", ""te"")"),"ఫిలిప్పీన్ వైమానిక దళం")</f>
        <v>ఫిలిప్పీన్ వైమానిక దళం</v>
      </c>
      <c r="N77" s="1" t="s">
        <v>480</v>
      </c>
      <c r="O77" s="1" t="s">
        <v>474</v>
      </c>
      <c r="P77" s="1" t="str">
        <f>IFERROR(__xludf.DUMMYFUNCTION("GOOGLETRANSLATE(O:O, ""en"", ""te"")"),"రద్దు")</f>
        <v>రద్దు</v>
      </c>
      <c r="Q77" s="1" t="s">
        <v>475</v>
      </c>
      <c r="S77" s="1">
        <v>2.0</v>
      </c>
      <c r="U77" s="1" t="s">
        <v>896</v>
      </c>
      <c r="V77" s="1" t="s">
        <v>579</v>
      </c>
      <c r="W77" s="1" t="s">
        <v>1287</v>
      </c>
      <c r="X77" s="1" t="s">
        <v>805</v>
      </c>
      <c r="AA77" s="1" t="s">
        <v>1288</v>
      </c>
      <c r="AB77" s="1" t="s">
        <v>1289</v>
      </c>
      <c r="AD77" s="1" t="s">
        <v>622</v>
      </c>
      <c r="AJ77" s="5">
        <v>27535.0</v>
      </c>
      <c r="AM77" s="1" t="s">
        <v>1290</v>
      </c>
      <c r="AN77" s="1" t="s">
        <v>1291</v>
      </c>
      <c r="AP77" s="1" t="s">
        <v>1292</v>
      </c>
      <c r="AT77" s="1" t="s">
        <v>1293</v>
      </c>
      <c r="AU77" s="1" t="s">
        <v>1294</v>
      </c>
      <c r="BH77" s="1" t="s">
        <v>479</v>
      </c>
    </row>
    <row r="78">
      <c r="A78" s="1" t="s">
        <v>1295</v>
      </c>
      <c r="B78" s="1" t="str">
        <f>IFERROR(__xludf.DUMMYFUNCTION("GOOGLETRANSLATE(A:A, ""en"", ""te"")"),"స్కైక్రూజర్ ఆటోజీరో స్కైక్రూజర్")</f>
        <v>స్కైక్రూజర్ ఆటోజీరో స్కైక్రూజర్</v>
      </c>
      <c r="C78" s="1" t="s">
        <v>1296</v>
      </c>
      <c r="D78" s="1" t="str">
        <f>IFERROR(__xludf.DUMMYFUNCTION("GOOGLETRANSLATE(C:C, ""en"", ""te"")"),"స్కైక్రూయిజర్ ఆటోగ్రెరో స్కైక్రూయిజర్ హంగేరియన్ ఆటోజైరోస్, ఇది ఇన్ర్క్స్ యొక్క స్కైక్రూయిజర్ ఆటోజీరో KFT రూపొందించిన మరియు నిర్మించినది. ఇది 2014 లో ఏరో ఫ్రీడ్రిచ్‌షాఫెన్ ఎయిర్‌షోలో బహిరంగంగా ప్రవేశపెట్టబడింది. ఈ విమానం పూర్తి మరియు రెడీ టు-ఫ్లై సరఫరా చేయ"&amp;"బడుతుంది. [1] స్కైక్రూయిజర్‌లో ఒకే మెయిన్ రోటర్, విండ్‌షీల్డ్‌తో రెండు-సీట్ల టెన్డం ఓపెన్ కాక్‌పిట్, వీల్ ప్యాంటుతో ట్రైసైకిల్ ల్యాండింగ్ గేర్, ప్లస్ టెయిల్ క్యాస్టర్ మరియు నాలుగు సిలిండర్, ద్రవ మరియు ఎయిర్-కూల్డ్, నాలుగు స్ట్రోక్ 115 హెచ్‌పి (86 ఉన్నాయి "&amp;"kW) రోటాక్స్ 914 టర్బోచార్జ్డ్ ఇంజిన్ లేదా సవరించిన 125 HP (93 kW) టర్బోచార్జ్డ్ రోటాక్స్ 912 పషర్ కాన్ఫిగరేషన్‌లో. [1] [2] విమానం ఫ్యూజ్‌లేజ్ మిశ్రమాల నుండి తయారవుతుంది మరియు 8.4 మీ (27.6 అడుగులు) వ్యాసం మరియు ఎలక్ట్రానిక్ ప్రీ-రొటేటర్‌తో రెండు-బ్లేడెడ్ "&amp;"రోటర్‌ను కలిగి ఉంటుంది. ఈ విమానం స్థూల బరువు 560 కిలోలు (1,235 పౌండ్లు). [1] డిజైన్ ఆటోమేటిక్ ప్రొపెల్లర్ సిస్టమ్‌ను కలిగి ఉంది. ప్రధాన రోటర్ కోసం ఎలక్ట్రానిక్ ప్రీ-రొటటర్ నిశ్చితార్థం అయినప్పుడు, పషర్ ప్రొపెల్లర్ స్వయంచాలకంగా ఫ్లాట్ పిచ్‌కు వెళ్లి ఎటువంట"&amp;"ి థ్రస్ట్‌ను సృష్టించదు. పైలట్ కంట్రోల్ స్టిక్ను కదిలించినప్పుడు, ప్రొపెల్లర్ స్వయంచాలకంగా ఉత్తమమైన ఆరోహణ అమరికకు వెళుతుంది. [1] 2011 లో SC-200 ""న్యూ ఫేస్"" అని పిలువబడే మెరుగైన సంస్కరణను ప్రవేశపెట్టారు, సౌందర్య మార్పులతో, వీటిలో మరింత గుండ్రని కాక్‌పిట్"&amp;" ఫెయిరింగ్ మరియు విస్తృత కాక్‌పిట్ సీటింగ్‌తో సహా. అసలు మోడల్ అప్పుడు ""SC-200 ప్రమాణం"" గా మార్చబడింది. [3] టాక్ నుండి డేటా [1] సాధారణ లక్షణాల పనితీరు")</f>
        <v>స్కైక్రూయిజర్ ఆటోగ్రెరో స్కైక్రూయిజర్ హంగేరియన్ ఆటోజైరోస్, ఇది ఇన్ర్క్స్ యొక్క స్కైక్రూయిజర్ ఆటోజీరో KFT రూపొందించిన మరియు నిర్మించినది. ఇది 2014 లో ఏరో ఫ్రీడ్రిచ్‌షాఫెన్ ఎయిర్‌షోలో బహిరంగంగా ప్రవేశపెట్టబడింది. ఈ విమానం పూర్తి మరియు రెడీ టు-ఫ్లై సరఫరా చేయబడుతుంది. [1] స్కైక్రూయిజర్‌లో ఒకే మెయిన్ రోటర్, విండ్‌షీల్డ్‌తో రెండు-సీట్ల టెన్డం ఓపెన్ కాక్‌పిట్, వీల్ ప్యాంటుతో ట్రైసైకిల్ ల్యాండింగ్ గేర్, ప్లస్ టెయిల్ క్యాస్టర్ మరియు నాలుగు సిలిండర్, ద్రవ మరియు ఎయిర్-కూల్డ్, నాలుగు స్ట్రోక్ 115 హెచ్‌పి (86 ఉన్నాయి kW) రోటాక్స్ 914 టర్బోచార్జ్డ్ ఇంజిన్ లేదా సవరించిన 125 HP (93 kW) టర్బోచార్జ్డ్ రోటాక్స్ 912 పషర్ కాన్ఫిగరేషన్‌లో. [1] [2] విమానం ఫ్యూజ్‌లేజ్ మిశ్రమాల నుండి తయారవుతుంది మరియు 8.4 మీ (27.6 అడుగులు) వ్యాసం మరియు ఎలక్ట్రానిక్ ప్రీ-రొటేటర్‌తో రెండు-బ్లేడెడ్ రోటర్‌ను కలిగి ఉంటుంది. ఈ విమానం స్థూల బరువు 560 కిలోలు (1,235 పౌండ్లు). [1] డిజైన్ ఆటోమేటిక్ ప్రొపెల్లర్ సిస్టమ్‌ను కలిగి ఉంది. ప్రధాన రోటర్ కోసం ఎలక్ట్రానిక్ ప్రీ-రొటటర్ నిశ్చితార్థం అయినప్పుడు, పషర్ ప్రొపెల్లర్ స్వయంచాలకంగా ఫ్లాట్ పిచ్‌కు వెళ్లి ఎటువంటి థ్రస్ట్‌ను సృష్టించదు. పైలట్ కంట్రోల్ స్టిక్ను కదిలించినప్పుడు, ప్రొపెల్లర్ స్వయంచాలకంగా ఉత్తమమైన ఆరోహణ అమరికకు వెళుతుంది. [1] 2011 లో SC-200 "న్యూ ఫేస్" అని పిలువబడే మెరుగైన సంస్కరణను ప్రవేశపెట్టారు, సౌందర్య మార్పులతో, వీటిలో మరింత గుండ్రని కాక్‌పిట్ ఫెయిరింగ్ మరియు విస్తృత కాక్‌పిట్ సీటింగ్‌తో సహా. అసలు మోడల్ అప్పుడు "SC-200 ప్రమాణం" గా మార్చబడింది. [3] టాక్ నుండి డేటా [1] సాధారణ లక్షణాల పనితీరు</v>
      </c>
      <c r="F78" s="1" t="s">
        <v>266</v>
      </c>
      <c r="G78" s="1" t="str">
        <f>IFERROR(__xludf.DUMMYFUNCTION("GOOGLETRANSLATE(F:F, ""en"", ""te"")"),"ఆటోజీరో")</f>
        <v>ఆటోజీరో</v>
      </c>
      <c r="H78" s="3" t="s">
        <v>267</v>
      </c>
      <c r="I78" s="1" t="s">
        <v>881</v>
      </c>
      <c r="J78" s="1" t="str">
        <f>IFERROR(__xludf.DUMMYFUNCTION("GOOGLETRANSLATE(I:I, ""en"", ""te"")"),"హంగరీ")</f>
        <v>హంగరీ</v>
      </c>
      <c r="K78" s="3" t="s">
        <v>882</v>
      </c>
      <c r="L78" s="1" t="s">
        <v>1297</v>
      </c>
      <c r="M78" s="1" t="str">
        <f>IFERROR(__xludf.DUMMYFUNCTION("GOOGLETRANSLATE(L:L, ""en"", ""te"")"),"స్కైక్రూజర్ ఆటోజీరో KFT")</f>
        <v>స్కైక్రూజర్ ఆటోజీరో KFT</v>
      </c>
      <c r="N78" s="1" t="s">
        <v>1298</v>
      </c>
      <c r="O78" s="1" t="s">
        <v>539</v>
      </c>
      <c r="P78" s="1" t="str">
        <f>IFERROR(__xludf.DUMMYFUNCTION("GOOGLETRANSLATE(O:O, ""en"", ""te"")"),"ఉత్పత్తిలో (2017)")</f>
        <v>ఉత్పత్తిలో (2017)</v>
      </c>
      <c r="S78" s="1" t="s">
        <v>133</v>
      </c>
      <c r="T78" s="1" t="s">
        <v>134</v>
      </c>
      <c r="Y78" s="1" t="s">
        <v>1237</v>
      </c>
      <c r="Z78" s="1" t="s">
        <v>1299</v>
      </c>
      <c r="AA78" s="1" t="s">
        <v>1300</v>
      </c>
      <c r="AB78" s="1" t="s">
        <v>276</v>
      </c>
      <c r="AC78" s="1" t="s">
        <v>1301</v>
      </c>
      <c r="AO78" s="1" t="s">
        <v>579</v>
      </c>
      <c r="AP78" s="1" t="s">
        <v>230</v>
      </c>
      <c r="BN78" s="1" t="s">
        <v>695</v>
      </c>
      <c r="BO78" s="1" t="s">
        <v>696</v>
      </c>
    </row>
    <row r="79">
      <c r="A79" s="1" t="s">
        <v>1302</v>
      </c>
      <c r="B79" s="1" t="str">
        <f>IFERROR(__xludf.DUMMYFUNCTION("GOOGLETRANSLATE(A:A, ""en"", ""te"")"),"బాణం క్రీడ")</f>
        <v>బాణం క్రీడ</v>
      </c>
      <c r="C79" s="1" t="s">
        <v>1303</v>
      </c>
      <c r="D79" s="1" t="str">
        <f>IFERROR(__xludf.DUMMYFUNCTION("GOOGLETRANSLATE(C:C, ""en"", ""te"")"),"బాణం క్రీడ 1920 మరియు 1930 లలో యునైటెడ్ స్టేట్స్లో నిర్మించిన రెండు సీట్ల క్రీడా బిప్‌లేన్ విమానం. ఈ విమానం స్వెన్ స్వాన్సన్ చేత రూపొందించబడింది మరియు ఇది టెయిల్స్కిడ్ అండర్ క్యారేజీతో ఎక్కువగా సాంప్రదాయిక ఆకృతీకరణను కలిగి ఉంది, కానీ పైలట్ మరియు ప్రయాణీకు"&amp;"డు ఓపెన్ కాక్‌పిట్‌లో పక్కపక్కనే కూర్చున్నారు, మరియు మొదట రూపొందించినట్లుగా, పూర్తిగా కాంటిలివర్ వింగ్స్‌కు ఇంటర్‌ప్లేన్ స్ట్రట్‌లు లేవు - ఎగువ వింగ్ నేరుగా ఫ్యూజ్‌లేజ్ పైభాగానికి జతచేస్తుంది. ఈ తరువాతి లక్షణం చాలా మంది కాబోయే పైలట్లకు చాలా భయంకరమైనదని ని"&amp;"రూపించబడింది, తరువాత తయారీదారు తరువాత N- రకం స్ట్రట్‌లను సరఫరా చేశాడు, అవి ఏవియేటర్స్ భయాలను తగ్గించడం తప్ప వేరే పని చేయలేదు. తొమ్మిది బిప్‌లేన్ క్రీడలు 2020 నాటికి యునైటెడ్ స్టేట్స్లో నమోదు చేయబడ్డాయి, ఎక్కువగా మ్యూజియంలు మరియు ప్రైవేట్ సేకరణలలో, [1] వీట"&amp;"ిలో: అమెరికన్ విమానం స్పెసిఫికేషన్ల నుండి డేటా [8] పోల్చదగిన పాత్ర, కాన్ఫిగరేషన్ మరియు యుగం యొక్క సాధారణ లక్షణాల పనితీరు విమానం పనితీరు విమానం")</f>
        <v>బాణం క్రీడ 1920 మరియు 1930 లలో యునైటెడ్ స్టేట్స్లో నిర్మించిన రెండు సీట్ల క్రీడా బిప్‌లేన్ విమానం. ఈ విమానం స్వెన్ స్వాన్సన్ చేత రూపొందించబడింది మరియు ఇది టెయిల్స్కిడ్ అండర్ క్యారేజీతో ఎక్కువగా సాంప్రదాయిక ఆకృతీకరణను కలిగి ఉంది, కానీ పైలట్ మరియు ప్రయాణీకుడు ఓపెన్ కాక్‌పిట్‌లో పక్కపక్కనే కూర్చున్నారు, మరియు మొదట రూపొందించినట్లుగా, పూర్తిగా కాంటిలివర్ వింగ్స్‌కు ఇంటర్‌ప్లేన్ స్ట్రట్‌లు లేవు - ఎగువ వింగ్ నేరుగా ఫ్యూజ్‌లేజ్ పైభాగానికి జతచేస్తుంది. ఈ తరువాతి లక్షణం చాలా మంది కాబోయే పైలట్లకు చాలా భయంకరమైనదని నిరూపించబడింది, తరువాత తయారీదారు తరువాత N- రకం స్ట్రట్‌లను సరఫరా చేశాడు, అవి ఏవియేటర్స్ భయాలను తగ్గించడం తప్ప వేరే పని చేయలేదు. తొమ్మిది బిప్‌లేన్ క్రీడలు 2020 నాటికి యునైటెడ్ స్టేట్స్లో నమోదు చేయబడ్డాయి, ఎక్కువగా మ్యూజియంలు మరియు ప్రైవేట్ సేకరణలలో, [1] వీటిలో: అమెరికన్ విమానం స్పెసిఫికేషన్ల నుండి డేటా [8] పోల్చదగిన పాత్ర, కాన్ఫిగరేషన్ మరియు యుగం యొక్క సాధారణ లక్షణాల పనితీరు విమానం పనితీరు విమానం</v>
      </c>
      <c r="E79" s="1" t="s">
        <v>1304</v>
      </c>
      <c r="F79" s="1" t="s">
        <v>1305</v>
      </c>
      <c r="G79" s="1" t="str">
        <f>IFERROR(__xludf.DUMMYFUNCTION("GOOGLETRANSLATE(F:F, ""en"", ""te"")"),"స్పోర్ట్స్ ప్లేన్")</f>
        <v>స్పోర్ట్స్ ప్లేన్</v>
      </c>
      <c r="L79" s="1" t="s">
        <v>1306</v>
      </c>
      <c r="M79" s="1" t="str">
        <f>IFERROR(__xludf.DUMMYFUNCTION("GOOGLETRANSLATE(L:L, ""en"", ""te"")"),"బాణం విమానం మరియు మోటార్లు")</f>
        <v>బాణం విమానం మరియు మోటార్లు</v>
      </c>
      <c r="N79" s="1" t="s">
        <v>1307</v>
      </c>
      <c r="Q79" s="1" t="s">
        <v>1308</v>
      </c>
      <c r="R79" s="1" t="s">
        <v>1309</v>
      </c>
      <c r="S79" s="1">
        <v>1.0</v>
      </c>
      <c r="T79" s="1" t="s">
        <v>1310</v>
      </c>
      <c r="U79" s="1" t="s">
        <v>1311</v>
      </c>
      <c r="V79" s="1" t="s">
        <v>1312</v>
      </c>
      <c r="W79" s="1" t="s">
        <v>1313</v>
      </c>
      <c r="X79" s="1" t="s">
        <v>286</v>
      </c>
      <c r="Y79" s="1" t="s">
        <v>1314</v>
      </c>
      <c r="AA79" s="1" t="s">
        <v>1315</v>
      </c>
      <c r="AC79" s="1" t="s">
        <v>1316</v>
      </c>
      <c r="AD79" s="1" t="s">
        <v>1317</v>
      </c>
      <c r="AE79" s="1" t="s">
        <v>1125</v>
      </c>
      <c r="AH79" s="1" t="s">
        <v>1318</v>
      </c>
      <c r="AJ79" s="1">
        <v>1926.0</v>
      </c>
      <c r="AM79" s="1" t="s">
        <v>1121</v>
      </c>
      <c r="AP79" s="1" t="s">
        <v>1319</v>
      </c>
      <c r="AR79" s="1" t="s">
        <v>1320</v>
      </c>
    </row>
    <row r="80">
      <c r="A80" s="1" t="s">
        <v>1321</v>
      </c>
      <c r="B80" s="1" t="str">
        <f>IFERROR(__xludf.DUMMYFUNCTION("GOOGLETRANSLATE(A:A, ""en"", ""te"")"),"ఆస్టర్ అగ్రికోలా")</f>
        <v>ఆస్టర్ అగ్రికోలా</v>
      </c>
      <c r="C80" s="1" t="s">
        <v>1322</v>
      </c>
      <c r="D80" s="1" t="str">
        <f>IFERROR(__xludf.DUMMYFUNCTION("GOOGLETRANSLATE(C:C, ""en"", ""te"")"),"ఆస్టర్ బి 8 అగ్రికోలా అనేది వాణిజ్యపరంగా విజయవంతం కాని బ్రిటిష్ వ్యవసాయ విమానం, ఇది ఏరియల్ టాప్‌డ్రెస్సింగ్ మార్కెట్ కోసం రూపొందించబడింది, ఇది 1950 ల ప్రారంభంలో న్యూజిలాండ్‌లో ప్రారంభమైంది. తుప్పు-ప్రూఫ్డ్ స్టీల్ ఫ్రేమ్ మీద బట్టతో నిర్మించిన ఈ డిజైన్‌లో ప"&amp;"ెద్ద హై-లిఫ్ట్ తక్కువ-సెట్ మోనోప్లేన్ వింగ్, బాహ్య నియంత్రణ కేబుల్స్, స్థిర టెయిల్‌వీల్ అండర్ క్యారేజ్ మరియు కొంతవరకు కోణీయ ఫ్యూజ్‌లేజ్ ఉన్నాయి. ఇది ఇద్దరు ప్రయాణీకులను కూర్చునే వెనుక క్యాబిన్ కలిగి ఉంది, ఇది రెక్క మధ్యలో ఒక హాప్పర్, ఇది టాప్‌డ్రెస్సింగ్ "&amp;"పాత్రలో 750 కిలోల సూపర్ఫాస్ఫేట్‌ను లేదా 654 లీటర్ల స్ప్రేను పంట డస్టర్‌గా కలిగి ఉంటుంది. పైలట్ వింగ్ లీడింగ్ ఎడ్జ్‌పై హాప్పర్ ముందుకు కూర్చున్నాడు, ఇది పైలట్‌ను హాప్పర్ వెనుక ఉంచే అమెరికన్ అభ్యాసంతో పోలిస్తే మంచి అభిప్రాయాన్ని ఇచ్చింది, అయినప్పటికీ ఈ అభిప"&amp;"్రాయం విస్తృతమైన పందిరి మరియు స్థూల వెనుక డెకింగ్ ద్వారా కొంతవరకు పరిమితం చేయబడింది . అగ్రికోలా యొక్క నిర్వహణ సాధారణంగా అనుకూలంగా వర్ణించబడింది, ముఖ్యంగా దాని నెమ్మదిగా వేగం పనితీరు మరియు నియంత్రణలు, అయితే దాని కఠినమైన మరియు సరళమైన నిర్మాణం సులభంగా నిర్వహ"&amp;"ణ మరియు మరమ్మత్తు కోసం అనుమతించబడింది. విమానం ఆకర్షణీయంగా కాకుండా ప్రయోజనకరమైనది; ఒక వెబ్‌సైట్ ఎప్పటికప్పుడు వికారమైన విమానాల కోసం ఒక పోటీలో అగ్రికోలాను చిన్న-జాబితా చేసింది [సైటేషన్ అవసరం]. ఈ రకం మొట్టమొదట 1955 లో ఎగురవేయబడింది. దీనిని పిఎసి ఫ్లెచర్ తన ల"&amp;"క్ష్య మార్కెట్లో అధిగమించింది మరియు బ్రిటన్, ఆస్ట్రేలియా మరియు ఐరోపాలో వైమానిక అనువర్తన పని కోసం రకాన్ని విక్రయించడానికి ప్రయత్నిస్తుంది. ఉత్పత్తి ఆగిపోయే ముందు తొమ్మిది మాత్రమే తయారు చేయబడ్డాయి. ఈ ZK-BXO లో, ఏకైక ప్రాణాలతో ఉంది. విటియాంగాకు చెందిన జాన్ స"&amp;"్టీఫెన్‌సన్ చేత పునరుద్ధరించబడిన దీనిని చారిత్రాత్మక విమానం మరియు వ్యక్తిగత రవాణా రెండూ అతనిచే చాలా సంవత్సరాలు నిర్వహించబడ్డాయి. BXO ను 2005 లో UK కి విక్రయించారు మరియు G-CBOA గా తిరిగి నమోదు చేశారు. మార్చి 2016 లో, ఈ విమానం మరోసారి న్యూజిలాండ్‌కు విక్రయి"&amp;"ంచబడింది. 1919 వాల్యూమ్ 1 నుండి బ్రిటిష్ సివిల్ ఎయిర్క్రాఫ్ట్ నుండి డేటా [1] సాధారణ లక్షణాల పనితీరు")</f>
        <v>ఆస్టర్ బి 8 అగ్రికోలా అనేది వాణిజ్యపరంగా విజయవంతం కాని బ్రిటిష్ వ్యవసాయ విమానం, ఇది ఏరియల్ టాప్‌డ్రెస్సింగ్ మార్కెట్ కోసం రూపొందించబడింది, ఇది 1950 ల ప్రారంభంలో న్యూజిలాండ్‌లో ప్రారంభమైంది. తుప్పు-ప్రూఫ్డ్ స్టీల్ ఫ్రేమ్ మీద బట్టతో నిర్మించిన ఈ డిజైన్‌లో పెద్ద హై-లిఫ్ట్ తక్కువ-సెట్ మోనోప్లేన్ వింగ్, బాహ్య నియంత్రణ కేబుల్స్, స్థిర టెయిల్‌వీల్ అండర్ క్యారేజ్ మరియు కొంతవరకు కోణీయ ఫ్యూజ్‌లేజ్ ఉన్నాయి. ఇది ఇద్దరు ప్రయాణీకులను కూర్చునే వెనుక క్యాబిన్ కలిగి ఉంది, ఇది రెక్క మధ్యలో ఒక హాప్పర్, ఇది టాప్‌డ్రెస్సింగ్ పాత్రలో 750 కిలోల సూపర్ఫాస్ఫేట్‌ను లేదా 654 లీటర్ల స్ప్రేను పంట డస్టర్‌గా కలిగి ఉంటుంది. పైలట్ వింగ్ లీడింగ్ ఎడ్జ్‌పై హాప్పర్ ముందుకు కూర్చున్నాడు, ఇది పైలట్‌ను హాప్పర్ వెనుక ఉంచే అమెరికన్ అభ్యాసంతో పోలిస్తే మంచి అభిప్రాయాన్ని ఇచ్చింది, అయినప్పటికీ ఈ అభిప్రాయం విస్తృతమైన పందిరి మరియు స్థూల వెనుక డెకింగ్ ద్వారా కొంతవరకు పరిమితం చేయబడింది . అగ్రికోలా యొక్క నిర్వహణ సాధారణంగా అనుకూలంగా వర్ణించబడింది, ముఖ్యంగా దాని నెమ్మదిగా వేగం పనితీరు మరియు నియంత్రణలు, అయితే దాని కఠినమైన మరియు సరళమైన నిర్మాణం సులభంగా నిర్వహణ మరియు మరమ్మత్తు కోసం అనుమతించబడింది. విమానం ఆకర్షణీయంగా కాకుండా ప్రయోజనకరమైనది; ఒక వెబ్‌సైట్ ఎప్పటికప్పుడు వికారమైన విమానాల కోసం ఒక పోటీలో అగ్రికోలాను చిన్న-జాబితా చేసింది [సైటేషన్ అవసరం]. ఈ రకం మొట్టమొదట 1955 లో ఎగురవేయబడింది. దీనిని పిఎసి ఫ్లెచర్ తన లక్ష్య మార్కెట్లో అధిగమించింది మరియు బ్రిటన్, ఆస్ట్రేలియా మరియు ఐరోపాలో వైమానిక అనువర్తన పని కోసం రకాన్ని విక్రయించడానికి ప్రయత్నిస్తుంది. ఉత్పత్తి ఆగిపోయే ముందు తొమ్మిది మాత్రమే తయారు చేయబడ్డాయి. ఈ ZK-BXO లో, ఏకైక ప్రాణాలతో ఉంది. విటియాంగాకు చెందిన జాన్ స్టీఫెన్‌సన్ చేత పునరుద్ధరించబడిన దీనిని చారిత్రాత్మక విమానం మరియు వ్యక్తిగత రవాణా రెండూ అతనిచే చాలా సంవత్సరాలు నిర్వహించబడ్డాయి. BXO ను 2005 లో UK కి విక్రయించారు మరియు G-CBOA గా తిరిగి నమోదు చేశారు. మార్చి 2016 లో, ఈ విమానం మరోసారి న్యూజిలాండ్‌కు విక్రయించబడింది. 1919 వాల్యూమ్ 1 నుండి బ్రిటిష్ సివిల్ ఎయిర్క్రాఫ్ట్ నుండి డేటా [1] సాధారణ లక్షణాల పనితీరు</v>
      </c>
      <c r="E80" s="1" t="s">
        <v>1323</v>
      </c>
      <c r="F80" s="1" t="s">
        <v>932</v>
      </c>
      <c r="G80" s="1" t="str">
        <f>IFERROR(__xludf.DUMMYFUNCTION("GOOGLETRANSLATE(F:F, ""en"", ""te"")"),"వ్యవసాయ విమానం")</f>
        <v>వ్యవసాయ విమానం</v>
      </c>
      <c r="H80" s="1" t="s">
        <v>1324</v>
      </c>
      <c r="L80" s="1" t="s">
        <v>1325</v>
      </c>
      <c r="M80" s="1" t="str">
        <f>IFERROR(__xludf.DUMMYFUNCTION("GOOGLETRANSLATE(L:L, ""en"", ""te"")"),"ఆస్టర్")</f>
        <v>ఆస్టర్</v>
      </c>
      <c r="N80" s="3" t="s">
        <v>1326</v>
      </c>
      <c r="O80" s="1" t="s">
        <v>1327</v>
      </c>
      <c r="P80" s="1" t="str">
        <f>IFERROR(__xludf.DUMMYFUNCTION("GOOGLETRANSLATE(O:O, ""en"", ""te"")"),"1 మోడల్ బతికి ఉంది")</f>
        <v>1 మోడల్ బతికి ఉంది</v>
      </c>
      <c r="Q80" s="1">
        <v>9.0</v>
      </c>
      <c r="S80" s="1" t="s">
        <v>133</v>
      </c>
      <c r="T80" s="1" t="s">
        <v>1328</v>
      </c>
      <c r="U80" s="1" t="s">
        <v>1329</v>
      </c>
      <c r="V80" s="1" t="s">
        <v>1330</v>
      </c>
      <c r="W80" s="1" t="s">
        <v>1331</v>
      </c>
      <c r="X80" s="1" t="s">
        <v>1332</v>
      </c>
      <c r="AA80" s="1" t="s">
        <v>1333</v>
      </c>
      <c r="AC80" s="1" t="s">
        <v>1334</v>
      </c>
      <c r="AD80" s="1" t="s">
        <v>1335</v>
      </c>
      <c r="AE80" s="1" t="s">
        <v>1336</v>
      </c>
      <c r="AF80" s="1" t="s">
        <v>1337</v>
      </c>
      <c r="AJ80" s="1">
        <v>1955.0</v>
      </c>
      <c r="AM80" s="1" t="s">
        <v>1338</v>
      </c>
      <c r="AN80" s="1" t="s">
        <v>1339</v>
      </c>
      <c r="AP80" s="1" t="s">
        <v>1340</v>
      </c>
      <c r="AR80" s="1" t="s">
        <v>1341</v>
      </c>
      <c r="AS80" s="1">
        <v>6.93</v>
      </c>
    </row>
    <row r="81">
      <c r="A81" s="1" t="s">
        <v>1342</v>
      </c>
      <c r="B81" s="1" t="str">
        <f>IFERROR(__xludf.DUMMYFUNCTION("GOOGLETRANSLATE(A:A, ""en"", ""te"")"),"ఏవియన్ జావా")</f>
        <v>ఏవియన్ జావా</v>
      </c>
      <c r="C81" s="1" t="s">
        <v>1343</v>
      </c>
      <c r="D81" s="1" t="str">
        <f>IFERROR(__xludf.DUMMYFUNCTION("GOOGLETRANSLATE(C:C, ""en"", ""te"")"),"ఏవియన్ జావా ఒక బ్రిటిష్ హై-వింగ్, సింగిల్-ప్లేస్, అడ్వాన్స్‌డ్ స్పోర్ట్స్ హాంగ్ గ్లైడర్, దీనిని స్టీవ్ ఎల్కిన్స్ మరియు నీల్ హామెర్టన్ రూపొందించారు మరియు హోప్ వ్యాలీ, డెర్బీషైర్ యొక్క ఏవియన్ లిమిటెడ్ చేత నిర్మించబడింది. [1] [2] జావా అధునాతన వినోద హాంగ్ గ్ల"&amp;"ైడర్‌గా రూపొందించబడింది. ఇది తరువాత ""టాప్‌లెస్"" జావా కాంప్ 150 గా అభివృద్ధి చేయబడింది, ఇది కింగ్‌పోస్ట్ మరియు టాప్ వైర్ రిగ్గింగ్‌తో పంపిణీ చేసింది, అయినప్పటికీ ఇది తక్కువ ఫ్లయింగ్ వైర్లను కలిగి ఉంది. జావా కాంప్ 150 తరువాత ఏవియన్ చిరుత పోటీ గ్లైడర్‌గా అ"&amp;"భివృద్ధి చెందింది. అన్ని జావా నమూనాలు బ్రిటిష్ హాంగ్ గ్లైడింగ్ మరియు పారాగ్లైడింగ్ అసోసియేషన్ సర్టిఫికేట్. [1] జావా 155 మోడల్ లైన్ యొక్క విలక్షణమైనది మరియు అల్యూమినియం గొట్టాల నుండి తయారవుతుంది, రెక్క డాక్రాన్ సెయిల్‌క్లాత్‌లో కప్పబడి ఉంటుంది. దీని 10.0 మ"&amp;"ీ (32.8 అడుగులు) స్పాన్ వింగ్ ముక్కు కోణం 125 ° మరియు ఒక కారక నిష్పత్తి 7.0: 1. ఆమోదయోగ్యమైన పైలట్ హుక్-ఇన్ బరువు 70 నుండి 110 కిలోలు (150 నుండి 240 పౌండ్లు). [1] జావా 155 ను 31 కిలోల (68 ఎల్బి) ప్యాకేజీ వరకు, కారు పైభాగంలో భూ రవాణా కోసం 5.9 మీ (19.4 అడుగ"&amp;"ులు) పొడవు. విమానయాన సంస్థ లేదా ఇలాంటి అంతరిక్ష-నిరోధిత ప్రయాణానికి అవసరమైనప్పుడు దీనిని 4.6 మీ (15.1 అడుగులు) పొడవుకు మరింతగా విభజించవచ్చు. [2] ఏవియన్ నుండి డేటా [2] సాధారణ లక్షణాల పనితీరు")</f>
        <v>ఏవియన్ జావా ఒక బ్రిటిష్ హై-వింగ్, సింగిల్-ప్లేస్, అడ్వాన్స్‌డ్ స్పోర్ట్స్ హాంగ్ గ్లైడర్, దీనిని స్టీవ్ ఎల్కిన్స్ మరియు నీల్ హామెర్టన్ రూపొందించారు మరియు హోప్ వ్యాలీ, డెర్బీషైర్ యొక్క ఏవియన్ లిమిటెడ్ చేత నిర్మించబడింది. [1] [2] జావా అధునాతన వినోద హాంగ్ గ్లైడర్‌గా రూపొందించబడింది. ఇది తరువాత "టాప్‌లెస్" జావా కాంప్ 150 గా అభివృద్ధి చేయబడింది, ఇది కింగ్‌పోస్ట్ మరియు టాప్ వైర్ రిగ్గింగ్‌తో పంపిణీ చేసింది, అయినప్పటికీ ఇది తక్కువ ఫ్లయింగ్ వైర్లను కలిగి ఉంది. జావా కాంప్ 150 తరువాత ఏవియన్ చిరుత పోటీ గ్లైడర్‌గా అభివృద్ధి చెందింది. అన్ని జావా నమూనాలు బ్రిటిష్ హాంగ్ గ్లైడింగ్ మరియు పారాగ్లైడింగ్ అసోసియేషన్ సర్టిఫికేట్. [1] జావా 155 మోడల్ లైన్ యొక్క విలక్షణమైనది మరియు అల్యూమినియం గొట్టాల నుండి తయారవుతుంది, రెక్క డాక్రాన్ సెయిల్‌క్లాత్‌లో కప్పబడి ఉంటుంది. దీని 10.0 మీ (32.8 అడుగులు) స్పాన్ వింగ్ ముక్కు కోణం 125 ° మరియు ఒక కారక నిష్పత్తి 7.0: 1. ఆమోదయోగ్యమైన పైలట్ హుక్-ఇన్ బరువు 70 నుండి 110 కిలోలు (150 నుండి 240 పౌండ్లు). [1] జావా 155 ను 31 కిలోల (68 ఎల్బి) ప్యాకేజీ వరకు, కారు పైభాగంలో భూ రవాణా కోసం 5.9 మీ (19.4 అడుగులు) పొడవు. విమానయాన సంస్థ లేదా ఇలాంటి అంతరిక్ష-నిరోధిత ప్రయాణానికి అవసరమైనప్పుడు దీనిని 4.6 మీ (15.1 అడుగులు) పొడవుకు మరింతగా విభజించవచ్చు. [2] ఏవియన్ నుండి డేటా [2] సాధారణ లక్షణాల పనితీరు</v>
      </c>
      <c r="F81" s="1" t="s">
        <v>173</v>
      </c>
      <c r="G81" s="1" t="str">
        <f>IFERROR(__xludf.DUMMYFUNCTION("GOOGLETRANSLATE(F:F, ""en"", ""te"")"),"గ్లైడర్ హాంగ్")</f>
        <v>గ్లైడర్ హాంగ్</v>
      </c>
      <c r="H81" s="1" t="s">
        <v>174</v>
      </c>
      <c r="I81" s="1" t="s">
        <v>357</v>
      </c>
      <c r="J81" s="1" t="str">
        <f>IFERROR(__xludf.DUMMYFUNCTION("GOOGLETRANSLATE(I:I, ""en"", ""te"")"),"యునైటెడ్ కింగ్‌డమ్")</f>
        <v>యునైటెడ్ కింగ్‌డమ్</v>
      </c>
      <c r="K81" s="1" t="s">
        <v>1344</v>
      </c>
      <c r="L81" s="1" t="s">
        <v>1345</v>
      </c>
      <c r="M81" s="1" t="str">
        <f>IFERROR(__xludf.DUMMYFUNCTION("GOOGLETRANSLATE(L:L, ""en"", ""te"")"),"ఏవియన్ లిమిటెడ్")</f>
        <v>ఏవియన్ లిమిటెడ్</v>
      </c>
      <c r="N81" s="1" t="s">
        <v>1346</v>
      </c>
      <c r="O81" s="1" t="s">
        <v>179</v>
      </c>
      <c r="P81" s="1" t="str">
        <f>IFERROR(__xludf.DUMMYFUNCTION("GOOGLETRANSLATE(O:O, ""en"", ""te"")"),"ఉత్పత్తిలో")</f>
        <v>ఉత్పత్తిలో</v>
      </c>
      <c r="R81" s="1" t="s">
        <v>132</v>
      </c>
      <c r="S81" s="1" t="s">
        <v>133</v>
      </c>
      <c r="V81" s="1" t="s">
        <v>1347</v>
      </c>
      <c r="W81" s="1" t="s">
        <v>1348</v>
      </c>
      <c r="X81" s="1" t="s">
        <v>1349</v>
      </c>
      <c r="Y81" s="1" t="s">
        <v>1350</v>
      </c>
      <c r="AD81" s="1" t="s">
        <v>1351</v>
      </c>
      <c r="AH81" s="1" t="s">
        <v>1352</v>
      </c>
      <c r="AS81" s="1">
        <v>7.0</v>
      </c>
      <c r="AW81" s="1" t="s">
        <v>1353</v>
      </c>
      <c r="BE81" s="1">
        <v>13.0</v>
      </c>
      <c r="BF81" s="1" t="s">
        <v>1354</v>
      </c>
      <c r="BP81" s="1" t="s">
        <v>1355</v>
      </c>
    </row>
    <row r="82">
      <c r="A82" s="1" t="s">
        <v>1356</v>
      </c>
      <c r="B82" s="1" t="str">
        <f>IFERROR(__xludf.DUMMYFUNCTION("GOOGLETRANSLATE(A:A, ""en"", ""te"")"),"ఏవియాటిక్ అలయన్స్ అలెక్స్ -251")</f>
        <v>ఏవియాటిక్ అలయన్స్ అలెక్స్ -251</v>
      </c>
      <c r="C82" s="1" t="s">
        <v>1357</v>
      </c>
      <c r="D82" s="1" t="str">
        <f>IFERROR(__xludf.DUMMYFUNCTION("GOOGLETRANSLATE(C:C, ""en"", ""te"")"),"ఏవియాటిక్ అలయన్స్ అలెక్స్ -251 ఒక ట్విన్ ఇంజిన్, పారాసోల్ వింగ్ ఉభయచర విమానం, ఇది 2010 ల ప్రారంభంలో రష్యాలో రూపొందించబడింది మరియు నిర్మించబడింది. ఇది ఆరుగురు ప్రయాణీకులను తీసుకెళ్లగలదు. అబ్ంటెక్స్ -251 కు సుదీర్ఘ అభివృద్ధి సమయం ఉంది. ఈ ప్రాజెక్టును 2003 ల"&amp;"ో రిడా డిజైన్ బ్యూరో 2004 చివరలో మొదటి విమానంలో ప్రారంభించాలని అనుకుంది. ఏవియాటిక్ అలయన్స్ కంపెనీ యొక్క పునాది మరియు సమీప-పూర్తి ప్రోటోటైప్ యొక్క ప్రదర్శన వరకు మరింత పురోగతి నివేదికలు లేవు ఆగష్టు 2009 లో మాస్కో సెలూన్. [1] ఈ విమానం మొదటిసారి 10 సెప్టెంబర్"&amp;" 2010 న ప్రయాణించింది. [2] అలెక్స్ -251 ఎక్కువగా లోహంతో నిర్మించబడింది, ఇది నోస్‌కోన్, ఇంజిన్ కౌలింగ్స్ మరియు ఫిన్ టిప్‌లోని మిశ్రమాలను మాత్రమే ఉపయోగిస్తుంది. ఇది సమాంతర తీగను కలిగి ఉంది, స్క్వేర్ చిట్కా వింగ్ స్లాట్డ్ ఐలెరన్లు మరియు ఫ్లాప్‌ల పూర్తి-స్పాన"&amp;"్ కలయికతో ఉంటుంది. పారాసోల్ కాన్ఫిగరేషన్ జంట 127 kW (170 HP) LOM 332S విలోమ ఇన్లైన్ ఇంజిన్లను వింగ్ ముందుకు మరియు కింద అమర్చడానికి అనుమతిస్తుంది. రెక్కను ఫ్యూజ్‌లేజ్‌కు కలుపుతారు, ఇంజిన్ మౌంటులకు ఒక జత విలోమ V- స్ట్రట్‌లతో. [1] అలెక్స్ -251 యొక్క పొట్టు ఒ"&amp;"కే దశను కలిగి ఉంది మరియు ఆరు నీటితో నిండిన కంపార్ట్మెంట్లుగా విభజించబడింది. క్యాబిన్, 3.10 మీ (10 అడుగుల 2 అంగుళాలు) పొడవు, 1.40 మీ (4 అడుగుల 7 అంగుళాలు) వెడల్పు మరియు 1.30 మీ (4 అడుగుల 3 అంగుళాలు) అధిక సీట్లు పైలట్ మరియు ఆరుగురు ప్రయాణీకులు మూడు వరుసలలో,"&amp;" సెంట్రల్ ఒకటి మూడు సీటులు ఫ్రంట్ పెయిర్ వింగ్ లీడింగ్ ఎడ్జ్ కంటే కొంచెం ముందు కానీ ప్రొపెల్లర్ డిస్కుల వెనుక. ఇతర సీటింగ్ కాన్ఫిగరేషన్‌లు, ఉదా. స్ట్రెచర్ మరియు ఇద్దరు పరిచారకులతో వైద్య తరలింపు కోసం, సాధ్యమే. ప్రాప్యత అనేది అతుక్కొని పారదర్శకత ద్వారా. స్ట"&amp;"్రెయిట్ ఎడ్జ్డ్, తుడిచిపెట్టిన ఫిన్ కొమ్ము-సమతుల్య చుక్కాని రెండింటినీ కలిగి ఉంటుంది మరియు సుమారు ⅓ ఎత్తు, సమాంతర తీగ, గట్టిగా డైహెడ్రేల్డ్ టెయిల్‌ప్లేన్. పోర్ట్ ఎలివేటర్ మరియు, ఉత్పత్తి విమానంలో చుక్కాని, ట్రిమ్ ట్యాబ్‌లు ఉన్నాయి. [1] నీటిపై అలెక్స్ -251"&amp;" ఒక జత ఫ్లోట్ల ద్వారా స్థిరీకరించబడుతుంది, ప్రతి ఒక్కటి ఒకే స్ట్రట్ మీద అమర్చబడి, గాలిలో ఒకసారి రెక్క చిట్కాకు వారి ఫ్లోట్‌ను తిప్పేస్తుంది. భూమిపై ఇది పూర్తిగా ముడుచుకునే టెయిల్‌వీల్ అండర్ క్యారేజ్ కలిగి ఉంది. క్యాబిన్ విండ్‌స్క్రీన్ యొక్క ఎగువ ముక్కులోక"&amp;"ి చక్రాలను ఉపసంహరించుకోవడానికి కాంటిలివర్ ప్రధాన కాళ్ళు 90 ° కన్నా ఎక్కువ ముందుకు తిరుగుతాయి. ఒక MVEN బాలిస్టిక్ రికవరీ పారాచూట్ అమర్చబడింది. [1] మొదటి ఫ్లైట్ ఏవియాటిక్ అలయన్స్ ఉత్పత్తి విమానాలకు వేర్వేరు ఇంజన్లు, బహుశా టర్బోప్రోప్స్ కలిగి ఉంటాయని ప్రకటిం"&amp;"చడానికి ముందు, కానీ ఒక ఎంపిక ఇంకా చేయలేదని. [1] జేన్ యొక్క అన్ని ప్రపంచ విమానాల నుండి డేటా 2011/12 [1] సాధారణ లక్షణాలు పనితీరు ఏవియానిక్స్")</f>
        <v>ఏవియాటిక్ అలయన్స్ అలెక్స్ -251 ఒక ట్విన్ ఇంజిన్, పారాసోల్ వింగ్ ఉభయచర విమానం, ఇది 2010 ల ప్రారంభంలో రష్యాలో రూపొందించబడింది మరియు నిర్మించబడింది. ఇది ఆరుగురు ప్రయాణీకులను తీసుకెళ్లగలదు. అబ్ంటెక్స్ -251 కు సుదీర్ఘ అభివృద్ధి సమయం ఉంది. ఈ ప్రాజెక్టును 2003 లో రిడా డిజైన్ బ్యూరో 2004 చివరలో మొదటి విమానంలో ప్రారంభించాలని అనుకుంది. ఏవియాటిక్ అలయన్స్ కంపెనీ యొక్క పునాది మరియు సమీప-పూర్తి ప్రోటోటైప్ యొక్క ప్రదర్శన వరకు మరింత పురోగతి నివేదికలు లేవు ఆగష్టు 2009 లో మాస్కో సెలూన్. [1] ఈ విమానం మొదటిసారి 10 సెప్టెంబర్ 2010 న ప్రయాణించింది. [2] అలెక్స్ -251 ఎక్కువగా లోహంతో నిర్మించబడింది, ఇది నోస్‌కోన్, ఇంజిన్ కౌలింగ్స్ మరియు ఫిన్ టిప్‌లోని మిశ్రమాలను మాత్రమే ఉపయోగిస్తుంది. ఇది సమాంతర తీగను కలిగి ఉంది, స్క్వేర్ చిట్కా వింగ్ స్లాట్డ్ ఐలెరన్లు మరియు ఫ్లాప్‌ల పూర్తి-స్పాన్ కలయికతో ఉంటుంది. పారాసోల్ కాన్ఫిగరేషన్ జంట 127 kW (170 HP) LOM 332S విలోమ ఇన్లైన్ ఇంజిన్లను వింగ్ ముందుకు మరియు కింద అమర్చడానికి అనుమతిస్తుంది. రెక్కను ఫ్యూజ్‌లేజ్‌కు కలుపుతారు, ఇంజిన్ మౌంటులకు ఒక జత విలోమ V- స్ట్రట్‌లతో. [1] అలెక్స్ -251 యొక్క పొట్టు ఒకే దశను కలిగి ఉంది మరియు ఆరు నీటితో నిండిన కంపార్ట్మెంట్లుగా విభజించబడింది. క్యాబిన్, 3.10 మీ (10 అడుగుల 2 అంగుళాలు) పొడవు, 1.40 మీ (4 అడుగుల 7 అంగుళాలు) వెడల్పు మరియు 1.30 మీ (4 అడుగుల 3 అంగుళాలు) అధిక సీట్లు పైలట్ మరియు ఆరుగురు ప్రయాణీకులు మూడు వరుసలలో, సెంట్రల్ ఒకటి మూడు సీటులు ఫ్రంట్ పెయిర్ వింగ్ లీడింగ్ ఎడ్జ్ కంటే కొంచెం ముందు కానీ ప్రొపెల్లర్ డిస్కుల వెనుక. ఇతర సీటింగ్ కాన్ఫిగరేషన్‌లు, ఉదా. స్ట్రెచర్ మరియు ఇద్దరు పరిచారకులతో వైద్య తరలింపు కోసం, సాధ్యమే. ప్రాప్యత అనేది అతుక్కొని పారదర్శకత ద్వారా. స్ట్రెయిట్ ఎడ్జ్డ్, తుడిచిపెట్టిన ఫిన్ కొమ్ము-సమతుల్య చుక్కాని రెండింటినీ కలిగి ఉంటుంది మరియు సుమారు ⅓ ఎత్తు, సమాంతర తీగ, గట్టిగా డైహెడ్రేల్డ్ టెయిల్‌ప్లేన్. పోర్ట్ ఎలివేటర్ మరియు, ఉత్పత్తి విమానంలో చుక్కాని, ట్రిమ్ ట్యాబ్‌లు ఉన్నాయి. [1] నీటిపై అలెక్స్ -251 ఒక జత ఫ్లోట్ల ద్వారా స్థిరీకరించబడుతుంది, ప్రతి ఒక్కటి ఒకే స్ట్రట్ మీద అమర్చబడి, గాలిలో ఒకసారి రెక్క చిట్కాకు వారి ఫ్లోట్‌ను తిప్పేస్తుంది. భూమిపై ఇది పూర్తిగా ముడుచుకునే టెయిల్‌వీల్ అండర్ క్యారేజ్ కలిగి ఉంది. క్యాబిన్ విండ్‌స్క్రీన్ యొక్క ఎగువ ముక్కులోకి చక్రాలను ఉపసంహరించుకోవడానికి కాంటిలివర్ ప్రధాన కాళ్ళు 90 ° కన్నా ఎక్కువ ముందుకు తిరుగుతాయి. ఒక MVEN బాలిస్టిక్ రికవరీ పారాచూట్ అమర్చబడింది. [1] మొదటి ఫ్లైట్ ఏవియాటిక్ అలయన్స్ ఉత్పత్తి విమానాలకు వేర్వేరు ఇంజన్లు, బహుశా టర్బోప్రోప్స్ కలిగి ఉంటాయని ప్రకటించడానికి ముందు, కానీ ఒక ఎంపిక ఇంకా చేయలేదని. [1] జేన్ యొక్క అన్ని ప్రపంచ విమానాల నుండి డేటా 2011/12 [1] సాధారణ లక్షణాలు పనితీరు ఏవియానిక్స్</v>
      </c>
      <c r="E82" s="1" t="s">
        <v>1358</v>
      </c>
      <c r="F82" s="1" t="s">
        <v>1359</v>
      </c>
      <c r="G82" s="1" t="str">
        <f>IFERROR(__xludf.DUMMYFUNCTION("GOOGLETRANSLATE(F:F, ""en"", ""te"")"),"ఆరు సీట్ల ఉభయచర విమానం")</f>
        <v>ఆరు సీట్ల ఉభయచర విమానం</v>
      </c>
      <c r="H82" s="1" t="s">
        <v>1360</v>
      </c>
      <c r="I82" s="1" t="s">
        <v>1361</v>
      </c>
      <c r="J82" s="1" t="str">
        <f>IFERROR(__xludf.DUMMYFUNCTION("GOOGLETRANSLATE(I:I, ""en"", ""te"")"),"రష్యా")</f>
        <v>రష్యా</v>
      </c>
      <c r="K82" s="3" t="s">
        <v>1362</v>
      </c>
      <c r="L82" s="1" t="s">
        <v>1363</v>
      </c>
      <c r="M82" s="1" t="str">
        <f>IFERROR(__xludf.DUMMYFUNCTION("GOOGLETRANSLATE(L:L, ""en"", ""te"")"),"ఏవియాటిక్ అలయన్స్")</f>
        <v>ఏవియాటిక్ అలయన్స్</v>
      </c>
      <c r="S82" s="1">
        <v>1.0</v>
      </c>
      <c r="T82" s="1" t="s">
        <v>1364</v>
      </c>
      <c r="U82" s="1" t="s">
        <v>1365</v>
      </c>
      <c r="V82" s="1" t="s">
        <v>1366</v>
      </c>
      <c r="W82" s="1" t="s">
        <v>1367</v>
      </c>
      <c r="X82" s="1" t="s">
        <v>1368</v>
      </c>
      <c r="Z82" s="1" t="s">
        <v>1369</v>
      </c>
      <c r="AA82" s="1" t="s">
        <v>1370</v>
      </c>
      <c r="AB82" s="1" t="s">
        <v>1371</v>
      </c>
      <c r="AC82" s="1" t="s">
        <v>1070</v>
      </c>
      <c r="AD82" s="1" t="s">
        <v>1372</v>
      </c>
      <c r="AE82" s="1" t="s">
        <v>1373</v>
      </c>
      <c r="AF82" s="1" t="s">
        <v>1374</v>
      </c>
      <c r="AG82" s="1" t="s">
        <v>1375</v>
      </c>
      <c r="AH82" s="1" t="s">
        <v>1376</v>
      </c>
      <c r="AJ82" s="5">
        <v>40431.0</v>
      </c>
      <c r="AM82" s="1" t="s">
        <v>1377</v>
      </c>
      <c r="AN82" s="1" t="s">
        <v>1378</v>
      </c>
      <c r="AP82" s="1" t="s">
        <v>1379</v>
      </c>
      <c r="BU82" s="1" t="s">
        <v>1380</v>
      </c>
    </row>
    <row r="83">
      <c r="A83" s="1" t="s">
        <v>1381</v>
      </c>
      <c r="B83" s="1" t="str">
        <f>IFERROR(__xludf.DUMMYFUNCTION("GOOGLETRANSLATE(A:A, ""en"", ""te"")"),"పోమిలియో గామా")</f>
        <v>పోమిలియో గామా</v>
      </c>
      <c r="C83" s="1" t="s">
        <v>1382</v>
      </c>
      <c r="D83" s="1" t="str">
        <f>IFERROR(__xludf.DUMMYFUNCTION("GOOGLETRANSLATE(C:C, ""en"", ""te"")"),"పోమిలియో గామా 1918 నాటి ఇటాలియన్ ఫైటర్ ప్రోటోటైప్. టురిన్ యొక్క పోమిలియో కంపెనీ గామా, ఒక చెక్క, సింగిల్-సీట్, సింగిల్-బే బైప్‌లేన్ అసమాన వ్యవధిలో రెక్కలతో రూపొందించింది మరియు తయారు చేసింది, అప్పర్ వింగ్ దిగువ కంటే ఎక్కువ వ్యవధిలో ఉంది. ఇది 149 కిలోవాట్ల ("&amp;"200-హార్స్‌పవర్) స్పా 6 ఎ వాటర్-కూల్డ్ ఇంజిన్ రెండు బ్లేడెడ్ ట్రాక్టర్ ప్రొపెల్లర్‌ను నడుపుతుంది. ఇది పరిష్కరించబడింది, టెయిల్‌స్కిడ్ ల్యాండింగ్ గేర్. [1] గామా ప్రోటోటైప్ మొదట 1918 ప్రారంభంలో ప్రయాణించింది. ఒక ఇటాలియన్ అధికారిక కమిషన్ దాని యొక్క ప్రదర్శనన"&amp;"ు గమనించింది మరియు ఇది వేగంగా మరియు మంచి యుక్తి ఉన్నప్పటికీ, దాని ఆరోహణ రేటు ఉత్పత్తి క్రమానికి అర్హమైనది కాదని తేల్చింది. [2] రెండవ నమూనాను నిర్మించడం ద్వారా గామా యొక్క లోపాలకు పోమిలియో స్పందించాడు, గామా ఉంటే, 186 కిలోవాట్ల (250 హార్స్‌పవర్) వద్ద రేట్ చే"&amp;"యబడిన మరింత శక్తివంతమైన ఐసోటా ఫ్రాస్చిని వి 6 ఇంజిన్‌తో అమర్చబడి ఉంటుంది. ఒక అధికారిక కమిషన్ 1918 లో గామా యొక్క ప్రదర్శనను చూసింది, కాని మొదట అది ఉత్పత్తి ఉత్తర్వులను మెచ్చుకుందా అని అంగీకరించలేదు. మొదటి ప్రపంచ యుద్ధం యొక్క చివరి వారాల్లో, కమిషన్ చివరకు య"&amp;"ోధులు ఉంటే తక్కువ సంఖ్యలో గామాను ఆర్డర్ చేయాలని నిర్ణయించుకుంది, అయినప్పటికీ గామా ఎప్పుడూ క్రియాశీల సేవలో ప్రవేశించకపోతే. [3] గ్రీన్, విలియం, మరియు గోర్డాన్ స్వాన్బరో ది కంప్లీట్ బుక్ ఆఫ్ ఫైటర్స్ నుండి డేటా: న్యూయార్క్, నిర్మించిన మరియు ఫ్లౌన్ నిర్మించిన "&amp;"మరియు ఫ్లౌన్ యొక్క ప్రతి ఫైటర్ ఎన్సైక్లోపీడియా: స్మిత్మార్క్ పబ్లిషర్స్, 1994, .MW- పార్సర్-అవుట్పుట్ సైట్.సిటేషన్ {ఫాంట్-స్టైల్: వారసత్వం; వర్డ్-ర్యాప్: బ్రేక్-వర్డ్} .mw-parser-అవుట్పుట్ .సైటేషన్ q {quots: ""\"" """" ""\"" """" """" """"}. RGBA (0,127,2"&amp;"55,0.133)}. . -పార్సర్-అవుట్పుట్ .ID-LOCK- రిజిస్ట్రేషన్ A, .MW- పార్సర్-అవుట్పుట్ .citation .cs1- లాక్-పరిమిత A, .MW- పార్సర్-అవుట్పుట్ .సిటేషన్ .cs1- లాక్-రిజిస్ట్రేషన్ A {నేపథ్యం: లీనియర్-గ్రేడియంట్ (లీనియర్-గ్రేడియంట్ ( పారదర్శక, పారదర్శక), URL (""// "&amp;"అప్‌లోడ్ అవుట్పుట్ .ID- లాక్-సబ్‌స్క్రిప్షన్ a, .mw -పార్సర్-అవుట్పుట్ .సిటేషన్ .cs1- లాక్-సబ్‌స్క్రిప్షన్ A {నేపథ్యం: లీనియర్-గ్రేడియంట్ (పారదర్శక, పారదర్శక), URL (""// అప్‌లోడ్ . /వికీపీడియా/కామన్స్ . CS1- నిర్వహణ {ప్రదర్శన: ఏదీ లేదు; రంగు:#3A3; మార్జిన"&amp;"్-ఎడమ: 0.3EM} .MW- పార్సర్-అవుట్పుట్ .cs1- ఫార్మాట్ {ఫాంట్-సైజ్: 95%}. {పాడింగ్-లెఫ్ట్: 0.2em} .mw- పార్సర్-అవుట్పుట్ .సిఎస్ 1-కెర్న్-రైట్ {పాడింగ్-రైట్: 0.2em} .mw-parser- అవుట్పుట్ .citation .mw-selflink {font-weight: isbn 0- 8317-3939-8 జనరల్ లక్షణాల ప"&amp;"నితీరు గమనికలు:")</f>
        <v>పోమిలియో గామా 1918 నాటి ఇటాలియన్ ఫైటర్ ప్రోటోటైప్. టురిన్ యొక్క పోమిలియో కంపెనీ గామా, ఒక చెక్క, సింగిల్-సీట్, సింగిల్-బే బైప్‌లేన్ అసమాన వ్యవధిలో రెక్కలతో రూపొందించింది మరియు తయారు చేసింది, అప్పర్ వింగ్ దిగువ కంటే ఎక్కువ వ్యవధిలో ఉంది. ఇది 149 కిలోవాట్ల (200-హార్స్‌పవర్) స్పా 6 ఎ వాటర్-కూల్డ్ ఇంజిన్ రెండు బ్లేడెడ్ ట్రాక్టర్ ప్రొపెల్లర్‌ను నడుపుతుంది. ఇది పరిష్కరించబడింది, టెయిల్‌స్కిడ్ ల్యాండింగ్ గేర్. [1] గామా ప్రోటోటైప్ మొదట 1918 ప్రారంభంలో ప్రయాణించింది. ఒక ఇటాలియన్ అధికారిక కమిషన్ దాని యొక్క ప్రదర్శనను గమనించింది మరియు ఇది వేగంగా మరియు మంచి యుక్తి ఉన్నప్పటికీ, దాని ఆరోహణ రేటు ఉత్పత్తి క్రమానికి అర్హమైనది కాదని తేల్చింది. [2] రెండవ నమూనాను నిర్మించడం ద్వారా గామా యొక్క లోపాలకు పోమిలియో స్పందించాడు, గామా ఉంటే, 186 కిలోవాట్ల (250 హార్స్‌పవర్) వద్ద రేట్ చేయబడిన మరింత శక్తివంతమైన ఐసోటా ఫ్రాస్చిని వి 6 ఇంజిన్‌తో అమర్చబడి ఉంటుంది. ఒక అధికారిక కమిషన్ 1918 లో గామా యొక్క ప్రదర్శనను చూసింది, కాని మొదట అది ఉత్పత్తి ఉత్తర్వులను మెచ్చుకుందా అని అంగీకరించలేదు. మొదటి ప్రపంచ యుద్ధం యొక్క చివరి వారాల్లో, కమిషన్ చివరకు యోధులు ఉంటే తక్కువ సంఖ్యలో గామాను ఆర్డర్ చేయాలని నిర్ణయించుకుంది, అయినప్పటికీ గామా ఎప్పుడూ క్రియాశీల సేవలో ప్రవేశించకపోతే. [3] గ్రీన్, విలియం, మరియు గోర్డాన్ స్వాన్బరో ది కంప్లీట్ బుక్ ఆఫ్ ఫైటర్స్ నుండి డేటా: న్యూయార్క్, నిర్మించిన మరియు ఫ్లౌన్ నిర్మించిన మరియు ఫ్లౌన్ యొక్క ప్రతి ఫైటర్ ఎన్సైక్లోపీడియా: స్మిత్మార్క్ పబ్లిషర్స్, 1994, .MW- పార్సర్-అవుట్పుట్ సైట్.సిటేషన్ {ఫాంట్-స్టైల్: వారసత్వం; వర్డ్-ర్యాప్: బ్రేక్-వర్డ్} .mw-parser-అవుట్పుట్ .సైటేషన్ q {quots: "\" "" "\" "" "" ""}. RGBA (0,127,255,0.133)}. . -పార్సర్-అవుట్పుట్ .ID-LOCK- రిజిస్ట్రేషన్ A, .MW- పార్సర్-అవుట్పుట్ .citation .cs1- లాక్-పరిమిత A, .MW- పార్సర్-అవుట్పుట్ .సిటేషన్ .cs1- లాక్-రిజిస్ట్రేషన్ A {నేపథ్యం: లీనియర్-గ్రేడియంట్ (లీనియర్-గ్రేడియంట్ ( పారదర్శక, పారదర్శక), URL ("// అప్‌లోడ్ అవుట్పుట్ .ID- లాక్-సబ్‌స్క్రిప్షన్ a, .mw -పార్సర్-అవుట్పుట్ .సిటేషన్ .cs1- లాక్-సబ్‌స్క్రిప్షన్ A {నేపథ్యం: లీనియర్-గ్రేడియంట్ (పారదర్శక, పారదర్శక), URL ("// అప్‌లోడ్ . /వికీపీడియా/కామన్స్ . CS1- నిర్వహణ {ప్రదర్శన: ఏదీ లేదు; రంగు:#3A3; మార్జిన్-ఎడమ: 0.3EM} .MW- పార్సర్-అవుట్పుట్ .cs1- ఫార్మాట్ {ఫాంట్-సైజ్: 95%}. {పాడింగ్-లెఫ్ట్: 0.2em} .mw- పార్సర్-అవుట్పుట్ .సిఎస్ 1-కెర్న్-రైట్ {పాడింగ్-రైట్: 0.2em} .mw-parser- అవుట్పుట్ .citation .mw-selflink {font-weight: isbn 0- 8317-3939-8 జనరల్ లక్షణాల పనితీరు గమనికలు:</v>
      </c>
      <c r="E83" s="1" t="s">
        <v>1383</v>
      </c>
      <c r="F83" s="1" t="s">
        <v>356</v>
      </c>
      <c r="G83" s="1" t="str">
        <f>IFERROR(__xludf.DUMMYFUNCTION("GOOGLETRANSLATE(F:F, ""en"", ""te"")"),"యుద్ధ")</f>
        <v>యుద్ధ</v>
      </c>
      <c r="H83" s="3" t="s">
        <v>1384</v>
      </c>
      <c r="I83" s="1" t="s">
        <v>220</v>
      </c>
      <c r="J83" s="1" t="str">
        <f>IFERROR(__xludf.DUMMYFUNCTION("GOOGLETRANSLATE(I:I, ""en"", ""te"")"),"ఇటలీ")</f>
        <v>ఇటలీ</v>
      </c>
      <c r="K83" s="3" t="s">
        <v>221</v>
      </c>
      <c r="L83" s="1" t="s">
        <v>1385</v>
      </c>
      <c r="M83" s="1" t="str">
        <f>IFERROR(__xludf.DUMMYFUNCTION("GOOGLETRANSLATE(L:L, ""en"", ""te"")"),"పోమిలియో")</f>
        <v>పోమిలియో</v>
      </c>
      <c r="N83" s="3" t="s">
        <v>1386</v>
      </c>
      <c r="Q83" s="1">
        <v>2.0</v>
      </c>
      <c r="R83" s="1" t="s">
        <v>132</v>
      </c>
      <c r="S83" s="1">
        <v>1.0</v>
      </c>
      <c r="U83" s="1" t="s">
        <v>1387</v>
      </c>
      <c r="V83" s="1" t="s">
        <v>1388</v>
      </c>
      <c r="W83" s="1" t="s">
        <v>1389</v>
      </c>
      <c r="X83" s="1" t="s">
        <v>899</v>
      </c>
      <c r="Y83" s="1" t="s">
        <v>1390</v>
      </c>
      <c r="AA83" s="1" t="s">
        <v>1391</v>
      </c>
      <c r="AJ83" s="1">
        <v>1918.0</v>
      </c>
      <c r="AP83" s="1" t="s">
        <v>1392</v>
      </c>
      <c r="AQ83" s="1" t="s">
        <v>1258</v>
      </c>
      <c r="BH83" s="1" t="s">
        <v>220</v>
      </c>
      <c r="BI83" s="3" t="s">
        <v>221</v>
      </c>
      <c r="CG83" s="3" t="s">
        <v>1393</v>
      </c>
      <c r="CS83" s="1" t="s">
        <v>1394</v>
      </c>
    </row>
    <row r="84">
      <c r="A84" s="1" t="s">
        <v>1395</v>
      </c>
      <c r="B84" s="1" t="str">
        <f>IFERROR(__xludf.DUMMYFUNCTION("GOOGLETRANSLATE(A:A, ""en"", ""te"")"),"ఏరో సర్వీసెస్ గుపార్డ్ గుయాపీ")</f>
        <v>ఏరో సర్వీసెస్ గుపార్డ్ గుయాపీ</v>
      </c>
      <c r="C84" s="1" t="s">
        <v>1396</v>
      </c>
      <c r="D84" s="1" t="str">
        <f>IFERROR(__xludf.DUMMYFUNCTION("GOOGLETRANSLATE(C:C, ""en"", ""te"")"),"అరో సర్వీసెస్ గుపార్డ్ గుపోపై ఒక ఫ్రెంచ్ రెండు-సీట్ల మైక్రోలైట్ క్యాబిన్ మోనోప్లేన్, ఇది FAI మైక్రోలైట్ ప్రమాణాన్ని తీర్చడానికి ఏరో సర్వీసెస్ గుపార్డ్ రూపొందించిన మరియు నిర్మించినది, ఇది te త్సాహిక నిర్మాణానికి భాగాల కిట్‌గా కూడా విక్రయించబడింది. [1] [3] "&amp;"గుపీ గ్యూపార్డ్ 912 యొక్క చిన్న వేరియంట్ మరియు ఇది బ్రేస్డ్ హై-మౌంటెడ్ వింగ్ ఉన్న క్యాబిన్ మోనోప్లేన్, ఇది స్థిర ట్రైసైకిల్ ల్యాండింగ్ గేర్ మరియు పక్కపక్కనే కాన్ఫిగరేషన్‌లో కూర్చున్న రెండు కోసం పరివేష్టిత క్యాబిన్ కలిగి ఉంది. గుయాపీ వెల్డెడ్ స్టీల్ ట్యూబ్"&amp;" నుండి గొట్టపు వింగ్ స్పార్స్ మరియు అల్యూమినియం పక్కటెముకలతో నిర్మించబడింది, క్లబ్ వేరియంట్‌లో ఫాబ్రిక్ కవర్ వింగ్ ఉంది. 80 హెచ్‌పి (60 కిలోవాట్ల) జబిరు 2200 ఫోర్-స్ట్రోక్ లేదా 64 హెచ్‌పి (48 కిలోవాట్) రోటాక్స్ 582 రెండు-స్ట్రోక్ పవర్‌ప్లాంట్ సాధారణంగా ఉప"&amp;"యోగించబడుతున్నప్పటికీ. [1] [2] [3] వరల్డ్ డైరెక్టరీ ఆఫ్ లీజర్ ఏవియేషన్ 2005/2006 మరియు 2015/16 నుండి డేటా [1] [3] సాధారణ లక్షణాల పనితీరు")</f>
        <v>అరో సర్వీసెస్ గుపార్డ్ గుపోపై ఒక ఫ్రెంచ్ రెండు-సీట్ల మైక్రోలైట్ క్యాబిన్ మోనోప్లేన్, ఇది FAI మైక్రోలైట్ ప్రమాణాన్ని తీర్చడానికి ఏరో సర్వీసెస్ గుపార్డ్ రూపొందించిన మరియు నిర్మించినది, ఇది te త్సాహిక నిర్మాణానికి భాగాల కిట్‌గా కూడా విక్రయించబడింది. [1] [3] గుపీ గ్యూపార్డ్ 912 యొక్క చిన్న వేరియంట్ మరియు ఇది బ్రేస్డ్ హై-మౌంటెడ్ వింగ్ ఉన్న క్యాబిన్ మోనోప్లేన్, ఇది స్థిర ట్రైసైకిల్ ల్యాండింగ్ గేర్ మరియు పక్కపక్కనే కాన్ఫిగరేషన్‌లో కూర్చున్న రెండు కోసం పరివేష్టిత క్యాబిన్ కలిగి ఉంది. గుయాపీ వెల్డెడ్ స్టీల్ ట్యూబ్ నుండి గొట్టపు వింగ్ స్పార్స్ మరియు అల్యూమినియం పక్కటెముకలతో నిర్మించబడింది, క్లబ్ వేరియంట్‌లో ఫాబ్రిక్ కవర్ వింగ్ ఉంది. 80 హెచ్‌పి (60 కిలోవాట్ల) జబిరు 2200 ఫోర్-స్ట్రోక్ లేదా 64 హెచ్‌పి (48 కిలోవాట్) రోటాక్స్ 582 రెండు-స్ట్రోక్ పవర్‌ప్లాంట్ సాధారణంగా ఉపయోగించబడుతున్నప్పటికీ. [1] [2] [3] వరల్డ్ డైరెక్టరీ ఆఫ్ లీజర్ ఏవియేషన్ 2005/2006 మరియు 2015/16 నుండి డేటా [1] [3] సాధారణ లక్షణాల పనితీరు</v>
      </c>
      <c r="F84" s="1" t="s">
        <v>1397</v>
      </c>
      <c r="G84" s="1" t="str">
        <f>IFERROR(__xludf.DUMMYFUNCTION("GOOGLETRANSLATE(F:F, ""en"", ""te"")"),"మైక్రోలైట్ క్యాబిన్ మోనోప్లేన్")</f>
        <v>మైక్రోలైట్ క్యాబిన్ మోనోప్లేన్</v>
      </c>
      <c r="H84" s="1" t="s">
        <v>1398</v>
      </c>
      <c r="I84" s="1" t="s">
        <v>646</v>
      </c>
      <c r="J84" s="1" t="str">
        <f>IFERROR(__xludf.DUMMYFUNCTION("GOOGLETRANSLATE(I:I, ""en"", ""te"")"),"ఫ్రాన్స్")</f>
        <v>ఫ్రాన్స్</v>
      </c>
      <c r="L84" s="1" t="s">
        <v>1399</v>
      </c>
      <c r="M84" s="1" t="str">
        <f>IFERROR(__xludf.DUMMYFUNCTION("GOOGLETRANSLATE(L:L, ""en"", ""te"")"),"ఏరో సర్వీసెస్ గుపార్డ్")</f>
        <v>ఏరో సర్వీసెస్ గుపార్డ్</v>
      </c>
      <c r="N84" s="1" t="s">
        <v>1400</v>
      </c>
      <c r="S84" s="1" t="s">
        <v>133</v>
      </c>
      <c r="T84" s="1" t="s">
        <v>1401</v>
      </c>
      <c r="V84" s="1" t="s">
        <v>1402</v>
      </c>
      <c r="W84" s="1" t="s">
        <v>563</v>
      </c>
      <c r="X84" s="1" t="s">
        <v>668</v>
      </c>
      <c r="Z84" s="1" t="s">
        <v>1403</v>
      </c>
      <c r="AA84" s="1" t="s">
        <v>1404</v>
      </c>
      <c r="AC84" s="1" t="s">
        <v>1405</v>
      </c>
      <c r="AD84" s="1" t="s">
        <v>257</v>
      </c>
      <c r="AF84" s="1" t="s">
        <v>658</v>
      </c>
      <c r="AN84" s="1" t="s">
        <v>1406</v>
      </c>
      <c r="AP84" s="1" t="s">
        <v>1070</v>
      </c>
    </row>
    <row r="85">
      <c r="A85" s="1" t="s">
        <v>1407</v>
      </c>
      <c r="B85" s="1" t="str">
        <f>IFERROR(__xludf.DUMMYFUNCTION("GOOGLETRANSLATE(A:A, ""en"", ""te"")"),"ఆస్టర్ అవిస్")</f>
        <v>ఆస్టర్ అవిస్</v>
      </c>
      <c r="C85" s="1" t="s">
        <v>1408</v>
      </c>
      <c r="D85" s="1" t="str">
        <f>IFERROR(__xludf.DUMMYFUNCTION("GOOGLETRANSLATE(C:C, ""en"", ""te"")"),"ఆస్టర్ అవిస్ ఆస్టర్ ఆటోక్రాట్ నుండి అభివృద్ధి చేయబడిన నాలుగు-సీట్ల తేలికపాటి విమానం. ఇది నాలుగు తలుపులు మరియు తోక వైపు వృత్తాకార క్రాస్ సెక్షన్, కొత్త అండర్ క్యారేజ్ మరియు కొత్త వింగ్ ఫ్లాప్‌లను కలిగి ఉన్న పున es రూపకల్పన చేసిన ఫ్యూజ్‌లేజ్‌ను కలిగి ఉంది. "&amp;"ఇది రెండు వెర్షన్లలో ప్రణాళిక చేయబడింది, పౌర ఉపయోగం కోసం MK 1 మరియు సైనిక మరియు ఎయిర్ అంబులెన్స్ విధుల కోసం MK 2. ఏదేమైనా, రెండు ప్రోటోటైప్‌లు మాత్రమే నిర్మించబడ్డాయి మరియు ఆస్టర్ ఆస్టర్ జె -5 ఆటోకార్‌కు అనుకూలంగా ఈ ప్రాజెక్టును విడిచిపెట్టాడు. జేన్ యొక్క"&amp;" అన్ని ప్రపంచ విమానాల నుండి డేటా 1949-50, [1] అసంపూర్ణ గైడ్ టు ఎయిర్‌ఫాయిల్ వాడకం [2] సాధారణ లక్షణాల పనితీరు 1940 ల విమానంలో ఈ వ్యాసం ఒక స్టబ్. వికీపీడియా విస్తరించడం ద్వారా మీరు సహాయపడవచ్చు.")</f>
        <v>ఆస్టర్ అవిస్ ఆస్టర్ ఆటోక్రాట్ నుండి అభివృద్ధి చేయబడిన నాలుగు-సీట్ల తేలికపాటి విమానం. ఇది నాలుగు తలుపులు మరియు తోక వైపు వృత్తాకార క్రాస్ సెక్షన్, కొత్త అండర్ క్యారేజ్ మరియు కొత్త వింగ్ ఫ్లాప్‌లను కలిగి ఉన్న పున es రూపకల్పన చేసిన ఫ్యూజ్‌లేజ్‌ను కలిగి ఉంది. ఇది రెండు వెర్షన్లలో ప్రణాళిక చేయబడింది, పౌర ఉపయోగం కోసం MK 1 మరియు సైనిక మరియు ఎయిర్ అంబులెన్స్ విధుల కోసం MK 2. ఏదేమైనా, రెండు ప్రోటోటైప్‌లు మాత్రమే నిర్మించబడ్డాయి మరియు ఆస్టర్ ఆస్టర్ జె -5 ఆటోకార్‌కు అనుకూలంగా ఈ ప్రాజెక్టును విడిచిపెట్టాడు. జేన్ యొక్క అన్ని ప్రపంచ విమానాల నుండి డేటా 1949-50, [1] అసంపూర్ణ గైడ్ టు ఎయిర్‌ఫాయిల్ వాడకం [2] సాధారణ లక్షణాల పనితీరు 1940 ల విమానంలో ఈ వ్యాసం ఒక స్టబ్. వికీపీడియా విస్తరించడం ద్వారా మీరు సహాయపడవచ్చు.</v>
      </c>
      <c r="F85" s="1" t="s">
        <v>1409</v>
      </c>
      <c r="G85" s="1" t="str">
        <f>IFERROR(__xludf.DUMMYFUNCTION("GOOGLETRANSLATE(F:F, ""en"", ""te"")"),"యుటిలిటీ విమానం")</f>
        <v>యుటిలిటీ విమానం</v>
      </c>
      <c r="L85" s="1" t="s">
        <v>1325</v>
      </c>
      <c r="M85" s="1" t="str">
        <f>IFERROR(__xludf.DUMMYFUNCTION("GOOGLETRANSLATE(L:L, ""en"", ""te"")"),"ఆస్టర్")</f>
        <v>ఆస్టర్</v>
      </c>
      <c r="N85" s="3" t="s">
        <v>1326</v>
      </c>
      <c r="Q85" s="1">
        <v>2.0</v>
      </c>
      <c r="S85" s="1">
        <v>1.0</v>
      </c>
      <c r="T85" s="1" t="s">
        <v>1410</v>
      </c>
      <c r="U85" s="1" t="s">
        <v>1411</v>
      </c>
      <c r="V85" s="1" t="s">
        <v>1412</v>
      </c>
      <c r="W85" s="1" t="s">
        <v>1413</v>
      </c>
      <c r="X85" s="1" t="s">
        <v>1414</v>
      </c>
      <c r="Y85" s="1" t="s">
        <v>1415</v>
      </c>
      <c r="Z85" s="1" t="s">
        <v>1416</v>
      </c>
      <c r="AA85" s="1" t="s">
        <v>1417</v>
      </c>
      <c r="AB85" s="1" t="s">
        <v>1418</v>
      </c>
      <c r="AC85" s="1" t="s">
        <v>1419</v>
      </c>
      <c r="AD85" s="1" t="s">
        <v>1420</v>
      </c>
      <c r="AE85" s="1" t="s">
        <v>1421</v>
      </c>
      <c r="AF85" s="1" t="s">
        <v>1422</v>
      </c>
      <c r="AG85" s="1" t="s">
        <v>1423</v>
      </c>
      <c r="AJ85" s="1" t="s">
        <v>1424</v>
      </c>
      <c r="AM85" s="1" t="s">
        <v>1425</v>
      </c>
      <c r="AP85" s="1" t="s">
        <v>1426</v>
      </c>
      <c r="AR85" s="1" t="s">
        <v>1427</v>
      </c>
      <c r="AS85" s="1">
        <v>6.982</v>
      </c>
      <c r="AT85" s="1" t="s">
        <v>1428</v>
      </c>
      <c r="AU85" s="1" t="s">
        <v>1429</v>
      </c>
      <c r="AY85" s="1" t="s">
        <v>1430</v>
      </c>
      <c r="BD85" s="1" t="s">
        <v>551</v>
      </c>
      <c r="BK85" s="1" t="s">
        <v>1431</v>
      </c>
      <c r="BL85" s="1" t="s">
        <v>1432</v>
      </c>
      <c r="CT85" s="1" t="s">
        <v>1433</v>
      </c>
      <c r="CU85" s="1" t="s">
        <v>1434</v>
      </c>
    </row>
    <row r="86">
      <c r="A86" s="1" t="s">
        <v>1435</v>
      </c>
      <c r="B86" s="1" t="str">
        <f>IFERROR(__xludf.DUMMYFUNCTION("GOOGLETRANSLATE(A:A, ""en"", ""te"")"),"అవామా స్టైలస్")</f>
        <v>అవామా స్టైలస్</v>
      </c>
      <c r="C86" s="1" t="s">
        <v>1436</v>
      </c>
      <c r="D86" s="1" t="str">
        <f>IFERROR(__xludf.DUMMYFUNCTION("GOOGLETRANSLATE(C:C, ""en"", ""te"")"),"అవామా స్టైలస్ ఒక స్లోవాక్ లైట్-స్పోర్ట్ విమానం, ఇది పోప్రాడ్ యొక్క అవామా చేత రూపొందించబడింది మరియు ఉత్పత్తి చేయబడింది మరియు 2010 లో ఏరో ఫ్రెడరిచాఫెన్ వద్ద ప్రవేశపెట్టబడింది. ఈ విమానం te త్సాహిక నిర్మాణానికి కిట్‌గా లేదా పూర్తి రెడీ-టు-ఫ్లై-ఎయిర్‌క్రాఫ్ట్‌"&amp;"గా సరఫరా చేయబడుతుంది. [1 నటించు ఈ విమానం యుఎస్ లైట్-స్పోర్ట్ ఎయిర్క్రాఫ్ట్ నిబంధనలను ఎస్కె మోడల్‌తో జాయింట్ వెంచర్‌గా పాటించేలా రూపొందించబడింది. ఇది స్ట్రట్-బ్రేస్డ్ హై-వింగ్ రెండు-సీట్ల-సైడ్-సైడ్ కాన్ఫిగరేషన్ పరివేష్టిత కాక్‌పిట్, స్థిర ట్రైసైకిల్ ల్యాండ"&amp;"ింగ్ గేర్ లేదా సాంప్రదాయిక ల్యాండింగ్ గేర్ మరియు ట్రాక్టర్ కాన్ఫిగరేషన్‌లో ఒకే ఇంజిన్‌ను కలిగి ఉంది. [1] [2] స్టైలస్ యొక్క ఫ్యూజ్‌లేజ్ వెల్డెడ్ స్టీల్ గొట్టాల నుండి తయారవుతుంది, అయితే రెక్కల నిర్మాణం అల్యూమినియం. ఫ్యూజ్‌లేజ్ మరియు ఎగిరే ఉపరితలాలు ముందుగా "&amp;"రూపొందించిన ప్లాస్టిక్ మరియు డోప్డ్ ఎయిర్‌క్రాఫ్ట్ ఫాబ్రిక్ మిశ్రమంలో కప్పబడి ఉంటాయి. దీని 9.5 మీ (31.2 అడుగులు) స్పాన్ వింగ్ వి-స్ట్రట్స్ మరియు జ్యూరీ స్ట్రట్‌లతో ద్వంద్వ స్పార్ డిజైన్‌ను ఉపయోగిస్తుంది. ప్రామాణిక ఇంజిన్ 80 HP (60 kW) రోటాక్స్ 912UL లేదా "&amp;"100 HP (75 kW) రోటాక్స్ 912లు నాలుగు-స్ట్రోక్ పవర్‌ప్లాంట్. [1] [2] బేయర్ల్ మరియు అవామా నుండి డేటా [1] [3] సాధారణ లక్షణాల పనితీరు")</f>
        <v>అవామా స్టైలస్ ఒక స్లోవాక్ లైట్-స్పోర్ట్ విమానం, ఇది పోప్రాడ్ యొక్క అవామా చేత రూపొందించబడింది మరియు ఉత్పత్తి చేయబడింది మరియు 2010 లో ఏరో ఫ్రెడరిచాఫెన్ వద్ద ప్రవేశపెట్టబడింది. ఈ విమానం te త్సాహిక నిర్మాణానికి కిట్‌గా లేదా పూర్తి రెడీ-టు-ఫ్లై-ఎయిర్‌క్రాఫ్ట్‌గా సరఫరా చేయబడుతుంది. [1 నటించు ఈ విమానం యుఎస్ లైట్-స్పోర్ట్ ఎయిర్క్రాఫ్ట్ నిబంధనలను ఎస్కె మోడల్‌తో జాయింట్ వెంచర్‌గా పాటించేలా రూపొందించబడింది. ఇది స్ట్రట్-బ్రేస్డ్ హై-వింగ్ రెండు-సీట్ల-సైడ్-సైడ్ కాన్ఫిగరేషన్ పరివేష్టిత కాక్‌పిట్, స్థిర ట్రైసైకిల్ ల్యాండింగ్ గేర్ లేదా సాంప్రదాయిక ల్యాండింగ్ గేర్ మరియు ట్రాక్టర్ కాన్ఫిగరేషన్‌లో ఒకే ఇంజిన్‌ను కలిగి ఉంది. [1] [2] స్టైలస్ యొక్క ఫ్యూజ్‌లేజ్ వెల్డెడ్ స్టీల్ గొట్టాల నుండి తయారవుతుంది, అయితే రెక్కల నిర్మాణం అల్యూమినియం. ఫ్యూజ్‌లేజ్ మరియు ఎగిరే ఉపరితలాలు ముందుగా రూపొందించిన ప్లాస్టిక్ మరియు డోప్డ్ ఎయిర్‌క్రాఫ్ట్ ఫాబ్రిక్ మిశ్రమంలో కప్పబడి ఉంటాయి. దీని 9.5 మీ (31.2 అడుగులు) స్పాన్ వింగ్ వి-స్ట్రట్స్ మరియు జ్యూరీ స్ట్రట్‌లతో ద్వంద్వ స్పార్ డిజైన్‌ను ఉపయోగిస్తుంది. ప్రామాణిక ఇంజిన్ 80 HP (60 kW) రోటాక్స్ 912UL లేదా 100 HP (75 kW) రోటాక్స్ 912లు నాలుగు-స్ట్రోక్ పవర్‌ప్లాంట్. [1] [2] బేయర్ల్ మరియు అవామా నుండి డేటా [1] [3] సాధారణ లక్షణాల పనితీరు</v>
      </c>
      <c r="F86" s="1" t="s">
        <v>1437</v>
      </c>
      <c r="G86" s="1" t="str">
        <f>IFERROR(__xludf.DUMMYFUNCTION("GOOGLETRANSLATE(F:F, ""en"", ""te"")"),"లైట్-స్పోర్ట్ విమానం")</f>
        <v>లైట్-స్పోర్ట్ విమానం</v>
      </c>
      <c r="H86" s="1" t="s">
        <v>1438</v>
      </c>
      <c r="I86" s="1" t="s">
        <v>1439</v>
      </c>
      <c r="J86" s="1" t="str">
        <f>IFERROR(__xludf.DUMMYFUNCTION("GOOGLETRANSLATE(I:I, ""en"", ""te"")"),"స్లోవేకియా")</f>
        <v>స్లోవేకియా</v>
      </c>
      <c r="K86" s="3" t="s">
        <v>1440</v>
      </c>
      <c r="L86" s="1" t="s">
        <v>1441</v>
      </c>
      <c r="M86" s="1" t="str">
        <f>IFERROR(__xludf.DUMMYFUNCTION("GOOGLETRANSLATE(L:L, ""en"", ""te"")"),"అవామా")</f>
        <v>అవామా</v>
      </c>
      <c r="N86" s="3" t="s">
        <v>1442</v>
      </c>
      <c r="O86" s="1" t="s">
        <v>179</v>
      </c>
      <c r="P86" s="1" t="str">
        <f>IFERROR(__xludf.DUMMYFUNCTION("GOOGLETRANSLATE(O:O, ""en"", ""te"")"),"ఉత్పత్తిలో")</f>
        <v>ఉత్పత్తిలో</v>
      </c>
      <c r="R86" s="1" t="s">
        <v>132</v>
      </c>
      <c r="S86" s="1" t="s">
        <v>133</v>
      </c>
      <c r="T86" s="1" t="s">
        <v>134</v>
      </c>
      <c r="U86" s="1" t="s">
        <v>1443</v>
      </c>
      <c r="V86" s="1" t="s">
        <v>1444</v>
      </c>
      <c r="Y86" s="1" t="s">
        <v>804</v>
      </c>
      <c r="Z86" s="1" t="s">
        <v>1445</v>
      </c>
      <c r="AA86" s="1" t="s">
        <v>1446</v>
      </c>
      <c r="AC86" s="1" t="s">
        <v>1447</v>
      </c>
      <c r="AD86" s="1" t="s">
        <v>1448</v>
      </c>
      <c r="AK86" s="1">
        <v>2010.0</v>
      </c>
      <c r="AL86" s="1" t="s">
        <v>1449</v>
      </c>
      <c r="AM86" s="1" t="s">
        <v>1450</v>
      </c>
      <c r="AP86" s="1" t="s">
        <v>230</v>
      </c>
      <c r="AX86" s="1" t="s">
        <v>1451</v>
      </c>
    </row>
    <row r="87">
      <c r="A87" s="1" t="s">
        <v>1452</v>
      </c>
      <c r="B87" s="1" t="str">
        <f>IFERROR(__xludf.DUMMYFUNCTION("GOOGLETRANSLATE(A:A, ""en"", ""te"")"),"ఆస్టర్ ఆల్పైన్")</f>
        <v>ఆస్టర్ ఆల్పైన్</v>
      </c>
      <c r="C87" s="1" t="s">
        <v>1453</v>
      </c>
      <c r="D87" s="1" t="str">
        <f>IFERROR(__xludf.DUMMYFUNCTION("GOOGLETRANSLATE(C:C, ""en"", ""te"")"),"ఆస్టర్ J/5 ఆల్పైన్ 1950 ల బ్రిటిష్ సింగిల్-ఇంజిన్ నాలుగు-సీట్ల హై-వింగ్ శిక్షణ మరియు టూరింగ్ మోనోప్లేన్, ఇది లీసెస్టర్షైర్లోని రియర్స్బై వద్ద ఆస్టర్ ఎయిర్క్రాఫ్ట్ లిమిటెడ్ నిర్మించింది. ఆల్పైన్ అనేది J/5 ఐగ్లెట్ ట్రైనర్ యొక్క ఫ్యూజ్‌లేజ్ ఆధారంగా ఒక హైబ్రి"&amp;"డ్ విమానం, ఇది J-1 ఆటోక్రాట్ నుండి రెక్కలతో అమర్చబడింది. ప్రోటోటైప్ ఆస్టర్ జె -5 ఎల్ ఐగ్లెట్ ట్రైనర్ నుండి మార్చబడింది. 1919 నుండి బ్రిటిష్ సివిల్ ఎయిర్క్రాఫ్ట్ నుండి వచ్చిన డేటా [1] వికీమీడియా కామన్స్ వద్ద ఆస్టర్ ఆల్పైన్‌కు సంబంధించిన సాధారణ లక్షణాలు పని"&amp;"తీరు మీడియా")</f>
        <v>ఆస్టర్ J/5 ఆల్పైన్ 1950 ల బ్రిటిష్ సింగిల్-ఇంజిన్ నాలుగు-సీట్ల హై-వింగ్ శిక్షణ మరియు టూరింగ్ మోనోప్లేన్, ఇది లీసెస్టర్షైర్లోని రియర్స్బై వద్ద ఆస్టర్ ఎయిర్క్రాఫ్ట్ లిమిటెడ్ నిర్మించింది. ఆల్పైన్ అనేది J/5 ఐగ్లెట్ ట్రైనర్ యొక్క ఫ్యూజ్‌లేజ్ ఆధారంగా ఒక హైబ్రిడ్ విమానం, ఇది J-1 ఆటోక్రాట్ నుండి రెక్కలతో అమర్చబడింది. ప్రోటోటైప్ ఆస్టర్ జె -5 ఎల్ ఐగ్లెట్ ట్రైనర్ నుండి మార్చబడింది. 1919 నుండి బ్రిటిష్ సివిల్ ఎయిర్క్రాఫ్ట్ నుండి వచ్చిన డేటా [1] వికీమీడియా కామన్స్ వద్ద ఆస్టర్ ఆల్పైన్‌కు సంబంధించిన సాధారణ లక్షణాలు పనితీరు మీడియా</v>
      </c>
      <c r="E87" s="1" t="s">
        <v>1454</v>
      </c>
      <c r="F87" s="1" t="s">
        <v>1455</v>
      </c>
      <c r="G87" s="1" t="str">
        <f>IFERROR(__xludf.DUMMYFUNCTION("GOOGLETRANSLATE(F:F, ""en"", ""te"")"),"ట్రైనర్/టూరర్")</f>
        <v>ట్రైనర్/టూరర్</v>
      </c>
      <c r="L87" s="1" t="s">
        <v>1456</v>
      </c>
      <c r="M87" s="1" t="str">
        <f>IFERROR(__xludf.DUMMYFUNCTION("GOOGLETRANSLATE(L:L, ""en"", ""te"")"),"ఆస్టర్ ఎయిర్క్రాఫ్ట్ లిమిటెడ్")</f>
        <v>ఆస్టర్ ఎయిర్క్రాఫ్ట్ లిమిటెడ్</v>
      </c>
      <c r="N87" s="1" t="s">
        <v>1457</v>
      </c>
      <c r="Q87" s="1">
        <v>10.0</v>
      </c>
      <c r="R87" s="1" t="s">
        <v>1458</v>
      </c>
      <c r="S87" s="1">
        <v>1.0</v>
      </c>
      <c r="T87" s="1" t="s">
        <v>1459</v>
      </c>
      <c r="U87" s="1" t="s">
        <v>1460</v>
      </c>
      <c r="V87" s="1" t="s">
        <v>1461</v>
      </c>
      <c r="W87" s="1" t="s">
        <v>1413</v>
      </c>
      <c r="X87" s="1" t="s">
        <v>1462</v>
      </c>
      <c r="Z87" s="1" t="s">
        <v>1463</v>
      </c>
      <c r="AA87" s="1" t="s">
        <v>1464</v>
      </c>
      <c r="AC87" s="1" t="s">
        <v>1465</v>
      </c>
      <c r="AE87" s="1" t="s">
        <v>1466</v>
      </c>
      <c r="AF87" s="1" t="s">
        <v>1467</v>
      </c>
      <c r="AM87" s="1" t="s">
        <v>1468</v>
      </c>
      <c r="AN87" s="1" t="s">
        <v>1469</v>
      </c>
      <c r="AP87" s="1" t="s">
        <v>1470</v>
      </c>
      <c r="AR87" s="1" t="s">
        <v>1471</v>
      </c>
      <c r="AT87" s="1" t="s">
        <v>1472</v>
      </c>
      <c r="AU87" s="1" t="s">
        <v>1473</v>
      </c>
      <c r="CV87" s="1" t="s">
        <v>1474</v>
      </c>
    </row>
    <row r="88">
      <c r="A88" s="1" t="s">
        <v>1475</v>
      </c>
      <c r="B88" s="1" t="str">
        <f>IFERROR(__xludf.DUMMYFUNCTION("GOOGLETRANSLATE(A:A, ""en"", ""te"")"),"ఆస్టర్ బాణం")</f>
        <v>ఆస్టర్ బాణం</v>
      </c>
      <c r="C88" s="1" t="s">
        <v>1476</v>
      </c>
      <c r="D88" s="1" t="str">
        <f>IFERROR(__xludf.DUMMYFUNCTION("GOOGLETRANSLATE(C:C, ""en"", ""te"")"),"ఆస్టర్ J/2 బాణం 1940 ల బ్రిటిష్ సింగిల్-ఇంజిన్ రెండు-సీట్ల హై-వింగ్ టూరింగ్ మోనోప్లేన్, ఇది ఇంగ్లాండ్‌లోని లీసెస్టర్‌షైర్‌లోని రియర్‌బై వద్ద ఆస్టర్ ఎయిర్‌క్రాఫ్ట్ లిమిటెడ్ నిర్మించింది. బాణం యుద్ధానికి పూర్వం టేలర్ క్రాఫ్ట్ ప్లస్ సి మోనోప్లేన్ వారసుడిగా ర"&amp;"ూపొందించబడింది. ఒక అభివృద్ధి విమానం, 1946 లో ఒక ప్రక్క ప్రక్క రెండు-సీట్ల మొదట ఎగిరింది, లైమింగ్ O-145-B3 ఫ్లాట్ నాలుగు ఎయిర్-కూల్డ్ ఇంజిన్. [1] అమెరికన్ నిర్మించిన ఇంజిన్ల యునైటెడ్ కింగ్‌డమ్ (యుకె) లో అమ్మకంపై దిగుమతి పరిమితులు ఫలితంగా 44 విమానాలలో ఎక్కు"&amp;"వ భాగం ఎగుమతి చేయబడ్డాయి, ప్రధానంగా ఆస్ట్రేలియాకు. [1] తరువాతి జీవితంలో, ఉదాహరణలు UK కి తిరిగి దిగుమతి చేయబడ్డాయి, ఇక్కడ 2011 లో అనేక ఉదాహరణలు చురుకుగా ఉన్నాయి. జేన్ యొక్క అన్ని ప్రపంచ విమానాల నుండి డేటా 1951–52 [2] సాధారణ లక్షణాలు పనితీరు విమానం పోల్చదగి"&amp;"న పాత్ర, కాన్ఫిగరేషన్ మరియు ERA సంబంధిత జాబితాలు మీడియాకు సంబంధించినవి వికీమీడియా కామన్స్ వద్ద ఆస్టర్ జె/2 బాణం")</f>
        <v>ఆస్టర్ J/2 బాణం 1940 ల బ్రిటిష్ సింగిల్-ఇంజిన్ రెండు-సీట్ల హై-వింగ్ టూరింగ్ మోనోప్లేన్, ఇది ఇంగ్లాండ్‌లోని లీసెస్టర్‌షైర్‌లోని రియర్‌బై వద్ద ఆస్టర్ ఎయిర్‌క్రాఫ్ట్ లిమిటెడ్ నిర్మించింది. బాణం యుద్ధానికి పూర్వం టేలర్ క్రాఫ్ట్ ప్లస్ సి మోనోప్లేన్ వారసుడిగా రూపొందించబడింది. ఒక అభివృద్ధి విమానం, 1946 లో ఒక ప్రక్క ప్రక్క రెండు-సీట్ల మొదట ఎగిరింది, లైమింగ్ O-145-B3 ఫ్లాట్ నాలుగు ఎయిర్-కూల్డ్ ఇంజిన్. [1] అమెరికన్ నిర్మించిన ఇంజిన్ల యునైటెడ్ కింగ్‌డమ్ (యుకె) లో అమ్మకంపై దిగుమతి పరిమితులు ఫలితంగా 44 విమానాలలో ఎక్కువ భాగం ఎగుమతి చేయబడ్డాయి, ప్రధానంగా ఆస్ట్రేలియాకు. [1] తరువాతి జీవితంలో, ఉదాహరణలు UK కి తిరిగి దిగుమతి చేయబడ్డాయి, ఇక్కడ 2011 లో అనేక ఉదాహరణలు చురుకుగా ఉన్నాయి. జేన్ యొక్క అన్ని ప్రపంచ విమానాల నుండి డేటా 1951–52 [2] సాధారణ లక్షణాలు పనితీరు విమానం పోల్చదగిన పాత్ర, కాన్ఫిగరేషన్ మరియు ERA సంబంధిత జాబితాలు మీడియాకు సంబంధించినవి వికీమీడియా కామన్స్ వద్ద ఆస్టర్ జె/2 బాణం</v>
      </c>
      <c r="E88" s="1" t="s">
        <v>1477</v>
      </c>
      <c r="F88" s="1" t="s">
        <v>1478</v>
      </c>
      <c r="G88" s="1" t="str">
        <f>IFERROR(__xludf.DUMMYFUNCTION("GOOGLETRANSLATE(F:F, ""en"", ""te"")"),"పర్యటన విమానం")</f>
        <v>పర్యటన విమానం</v>
      </c>
      <c r="L88" s="1" t="s">
        <v>1456</v>
      </c>
      <c r="M88" s="1" t="str">
        <f>IFERROR(__xludf.DUMMYFUNCTION("GOOGLETRANSLATE(L:L, ""en"", ""te"")"),"ఆస్టర్ ఎయిర్క్రాఫ్ట్ లిమిటెడ్")</f>
        <v>ఆస్టర్ ఎయిర్క్రాఫ్ట్ లిమిటెడ్</v>
      </c>
      <c r="N88" s="1" t="s">
        <v>1457</v>
      </c>
      <c r="O88" s="1" t="s">
        <v>1479</v>
      </c>
      <c r="P88" s="1" t="str">
        <f>IFERROR(__xludf.DUMMYFUNCTION("GOOGLETRANSLATE(O:O, ""en"", ""te"")"),"2009 లో UK లో రెండు వాయు ఎంపిక")</f>
        <v>2009 లో UK లో రెండు వాయు ఎంపిక</v>
      </c>
      <c r="Q88" s="1">
        <v>44.0</v>
      </c>
      <c r="R88" s="1" t="s">
        <v>1480</v>
      </c>
      <c r="S88" s="1">
        <v>1.0</v>
      </c>
      <c r="T88" s="1" t="s">
        <v>1310</v>
      </c>
      <c r="U88" s="1" t="s">
        <v>1481</v>
      </c>
      <c r="V88" s="1" t="s">
        <v>1461</v>
      </c>
      <c r="W88" s="1" t="s">
        <v>1413</v>
      </c>
      <c r="X88" s="1" t="s">
        <v>1482</v>
      </c>
      <c r="Y88" s="1" t="s">
        <v>1483</v>
      </c>
      <c r="AA88" s="1" t="s">
        <v>1484</v>
      </c>
      <c r="AC88" s="1" t="s">
        <v>1485</v>
      </c>
      <c r="AD88" s="1" t="s">
        <v>290</v>
      </c>
      <c r="AE88" s="1" t="s">
        <v>1486</v>
      </c>
      <c r="AF88" s="1" t="s">
        <v>1487</v>
      </c>
      <c r="AJ88" s="1">
        <v>1945.0</v>
      </c>
      <c r="AK88" s="1">
        <v>1945.0</v>
      </c>
      <c r="AM88" s="1" t="s">
        <v>1488</v>
      </c>
      <c r="AP88" s="1" t="s">
        <v>1489</v>
      </c>
      <c r="AR88" s="1" t="s">
        <v>1490</v>
      </c>
      <c r="BH88" s="1" t="s">
        <v>1491</v>
      </c>
      <c r="BP88" s="1" t="s">
        <v>1492</v>
      </c>
      <c r="CG88" s="3" t="s">
        <v>1493</v>
      </c>
    </row>
    <row r="89">
      <c r="A89" s="1" t="s">
        <v>1494</v>
      </c>
      <c r="B89" s="1" t="str">
        <f>IFERROR(__xludf.DUMMYFUNCTION("GOOGLETRANSLATE(A:A, ""en"", ""te"")"),"ఆస్టర్ వర్క్‌మాస్టర్")</f>
        <v>ఆస్టర్ వర్క్‌మాస్టర్</v>
      </c>
      <c r="C89" s="1" t="s">
        <v>1495</v>
      </c>
      <c r="D89" s="1" t="str">
        <f>IFERROR(__xludf.DUMMYFUNCTION("GOOGLETRANSLATE(C:C, ""en"", ""te"")"),"ఆస్టర్ J/1U వర్క్‌మాస్టర్ 1950 ల చివరలో బ్రిటిష్ సింగిల్-ఇంజిన్ సింగిల్-సీట్ల హై-వింగ్ అగ్రికల్చరల్ మోనోప్లేన్, లీసెస్టర్‌షైర్‌లోని రియర్‌బై వద్ద ఆస్టర్ ఎయిర్‌క్రాఫ్ట్ లిమిటెడ్ నిర్మించబడింది. సాంప్రదాయ హై-వింగ్ లేఅవుట్లో, ఇది పైలట్ పక్కన 90 గ్యాలన్ల స్ప్"&amp;"రే ద్రవాన్ని ఒక ట్యాంక్‌లో తీసుకువెళుతుంది, ప్రయాణీకుడికి అదనపు సీటు అందించబడుతుంది. 180 హెచ్.పి. యొక్క లైమింగ్ 0-360-ఎ ఇంజిన్. డ్రైవింగ్ ఎ మెక్కాలీ వి.పి. ప్రొపెల్లర్ దీనికి తగినంత శక్తిని ఇస్తుంది; మరియు స్లాట్డ్ ఐలెరాన్లు మరియు సమతుల్య తోక నియంత్రణలు మ"&amp;"ంచి నిర్వహణను అందిస్తాయి. భారీ టైర్లు అమర్చబడ్డాయి. టేకాఫ్ రన్ 2,550 పౌండ్లు స్థూల బరువు మరియు 65 శాతం శక్తి వద్ద క్రూజింగ్ స్పీడ్ వరుసగా 180 yd మరియు గంటకు 88 మైళ్ళు (గంటకు 142 కిమీ). బ్రిటెన్-నార్మన్ స్ప్రే గేర్‌ను పంట సంస్కృతి అందించింది మరియు ఈ సంస్థ "&amp;"తొమ్మిది మంది వర్క్‌మాస్టర్‌లను ఆదేశించింది. J/1B ఐగ్లెట్ వ్యవసాయ విమానాలను అభివృద్ధి చేసిన అనుభవాన్ని అనుసరించి, ఆస్టర్ మరింత శక్తివంతమైన వారసుడిని J/1U వర్క్‌మాస్టర్‌ను అభివృద్ధి చేశాడు. ప్రాథమిక ఆటోక్రాట్ ఫ్యూజ్‌లేజ్‌ను ఉపయోగించి ఇది బలోపేతం చేయబడింది "&amp;"మరియు డోర్సల్ ఫిన్ ఫిల్లెట్లను జోడించింది, తక్కువ పీడన టైర్లు మరియు 180 హెచ్‌పి (134 కిలోవాట్) అవ్కో లైమింగ్ ఇంజన్. ఈ విమానం పంట స్ప్రేయింగ్ కోసం బ్రిటెన్-నార్మన్ రోటరీ అటామైజర్‌లతో మరియు ఫ్యూజ్‌లేజ్‌లో 100 ఇంపీరియల్ గాలన్ (455 లీటర్) కెమికల్ ట్యాంక్‌తో అ"&amp;"మర్చారు. అత్యవసర డంప్ వాల్వ్ ట్యాంక్‌ను 5 సెకన్లలో ఖాళీ చేయడానికి అనుమతించింది. వర్క్‌మాస్టర్లు ప్రధానంగా పశ్చిమ ఆఫ్రికాలో నిర్వహించబడ్డారు, తరువాత ముగ్గురు తిరిగి వచ్చారు మరియు ప్రస్తుతం (2009) యు.కె. సివిల్ ఎయిర్క్రాఫ్ట్ రిజిస్టర్‌లో ఉన్నారు. జేన్ యొక్క"&amp;" అన్ని ప్రపంచ విమానాల నుండి డేటా 1959-60 [1] సాధారణ లక్షణాల పనితీరు")</f>
        <v>ఆస్టర్ J/1U వర్క్‌మాస్టర్ 1950 ల చివరలో బ్రిటిష్ సింగిల్-ఇంజిన్ సింగిల్-సీట్ల హై-వింగ్ అగ్రికల్చరల్ మోనోప్లేన్, లీసెస్టర్‌షైర్‌లోని రియర్‌బై వద్ద ఆస్టర్ ఎయిర్‌క్రాఫ్ట్ లిమిటెడ్ నిర్మించబడింది. సాంప్రదాయ హై-వింగ్ లేఅవుట్లో, ఇది పైలట్ పక్కన 90 గ్యాలన్ల స్ప్రే ద్రవాన్ని ఒక ట్యాంక్‌లో తీసుకువెళుతుంది, ప్రయాణీకుడికి అదనపు సీటు అందించబడుతుంది. 180 హెచ్.పి. యొక్క లైమింగ్ 0-360-ఎ ఇంజిన్. డ్రైవింగ్ ఎ మెక్కాలీ వి.పి. ప్రొపెల్లర్ దీనికి తగినంత శక్తిని ఇస్తుంది; మరియు స్లాట్డ్ ఐలెరాన్లు మరియు సమతుల్య తోక నియంత్రణలు మంచి నిర్వహణను అందిస్తాయి. భారీ టైర్లు అమర్చబడ్డాయి. టేకాఫ్ రన్ 2,550 పౌండ్లు స్థూల బరువు మరియు 65 శాతం శక్తి వద్ద క్రూజింగ్ స్పీడ్ వరుసగా 180 yd మరియు గంటకు 88 మైళ్ళు (గంటకు 142 కిమీ). బ్రిటెన్-నార్మన్ స్ప్రే గేర్‌ను పంట సంస్కృతి అందించింది మరియు ఈ సంస్థ తొమ్మిది మంది వర్క్‌మాస్టర్‌లను ఆదేశించింది. J/1B ఐగ్లెట్ వ్యవసాయ విమానాలను అభివృద్ధి చేసిన అనుభవాన్ని అనుసరించి, ఆస్టర్ మరింత శక్తివంతమైన వారసుడిని J/1U వర్క్‌మాస్టర్‌ను అభివృద్ధి చేశాడు. ప్రాథమిక ఆటోక్రాట్ ఫ్యూజ్‌లేజ్‌ను ఉపయోగించి ఇది బలోపేతం చేయబడింది మరియు డోర్సల్ ఫిన్ ఫిల్లెట్లను జోడించింది, తక్కువ పీడన టైర్లు మరియు 180 హెచ్‌పి (134 కిలోవాట్) అవ్కో లైమింగ్ ఇంజన్. ఈ విమానం పంట స్ప్రేయింగ్ కోసం బ్రిటెన్-నార్మన్ రోటరీ అటామైజర్‌లతో మరియు ఫ్యూజ్‌లేజ్‌లో 100 ఇంపీరియల్ గాలన్ (455 లీటర్) కెమికల్ ట్యాంక్‌తో అమర్చారు. అత్యవసర డంప్ వాల్వ్ ట్యాంక్‌ను 5 సెకన్లలో ఖాళీ చేయడానికి అనుమతించింది. వర్క్‌మాస్టర్లు ప్రధానంగా పశ్చిమ ఆఫ్రికాలో నిర్వహించబడ్డారు, తరువాత ముగ్గురు తిరిగి వచ్చారు మరియు ప్రస్తుతం (2009) యు.కె. సివిల్ ఎయిర్క్రాఫ్ట్ రిజిస్టర్‌లో ఉన్నారు. జేన్ యొక్క అన్ని ప్రపంచ విమానాల నుండి డేటా 1959-60 [1] సాధారణ లక్షణాల పనితీరు</v>
      </c>
      <c r="E89" s="1" t="s">
        <v>1496</v>
      </c>
      <c r="F89" s="1" t="s">
        <v>932</v>
      </c>
      <c r="G89" s="1" t="str">
        <f>IFERROR(__xludf.DUMMYFUNCTION("GOOGLETRANSLATE(F:F, ""en"", ""te"")"),"వ్యవసాయ విమానం")</f>
        <v>వ్యవసాయ విమానం</v>
      </c>
      <c r="L89" s="1" t="s">
        <v>1456</v>
      </c>
      <c r="M89" s="1" t="str">
        <f>IFERROR(__xludf.DUMMYFUNCTION("GOOGLETRANSLATE(L:L, ""en"", ""te"")"),"ఆస్టర్ ఎయిర్క్రాఫ్ట్ లిమిటెడ్")</f>
        <v>ఆస్టర్ ఎయిర్క్రాఫ్ట్ లిమిటెడ్</v>
      </c>
      <c r="N89" s="1" t="s">
        <v>1457</v>
      </c>
      <c r="Q89" s="1">
        <v>10.0</v>
      </c>
      <c r="S89" s="1">
        <v>1.0</v>
      </c>
      <c r="T89" s="1" t="s">
        <v>1497</v>
      </c>
      <c r="U89" s="1" t="s">
        <v>1498</v>
      </c>
      <c r="V89" s="1" t="s">
        <v>1202</v>
      </c>
      <c r="W89" s="1" t="s">
        <v>1413</v>
      </c>
      <c r="Y89" s="1" t="s">
        <v>1499</v>
      </c>
      <c r="Z89" s="1" t="s">
        <v>1416</v>
      </c>
      <c r="AA89" s="1" t="s">
        <v>1500</v>
      </c>
      <c r="AB89" s="1" t="s">
        <v>1501</v>
      </c>
      <c r="AC89" s="1" t="s">
        <v>1502</v>
      </c>
      <c r="AD89" s="1" t="s">
        <v>1503</v>
      </c>
      <c r="AF89" s="1" t="s">
        <v>1504</v>
      </c>
      <c r="AJ89" s="1">
        <v>1958.0</v>
      </c>
      <c r="AK89" s="1">
        <v>1958.0</v>
      </c>
      <c r="AM89" s="1" t="s">
        <v>1505</v>
      </c>
      <c r="AN89" s="1" t="s">
        <v>1506</v>
      </c>
      <c r="AP89" s="1" t="s">
        <v>1507</v>
      </c>
      <c r="AS89" s="1">
        <v>7.0</v>
      </c>
      <c r="AT89" s="1" t="s">
        <v>1428</v>
      </c>
      <c r="AU89" s="1" t="s">
        <v>1429</v>
      </c>
      <c r="BD89" s="1" t="s">
        <v>1508</v>
      </c>
      <c r="BH89" s="1" t="s">
        <v>1509</v>
      </c>
      <c r="BK89" s="1" t="s">
        <v>1510</v>
      </c>
      <c r="CG89" s="3" t="s">
        <v>1511</v>
      </c>
      <c r="CW89" s="1" t="s">
        <v>1512</v>
      </c>
      <c r="CX89" s="1" t="s">
        <v>1513</v>
      </c>
    </row>
    <row r="90">
      <c r="A90" s="1" t="s">
        <v>1514</v>
      </c>
      <c r="B90" s="1" t="str">
        <f>IFERROR(__xludf.DUMMYFUNCTION("GOOGLETRANSLATE(A:A, ""en"", ""te"")"),"ఏవియన్ రియో")</f>
        <v>ఏవియన్ రియో</v>
      </c>
      <c r="C90" s="1" t="s">
        <v>1515</v>
      </c>
      <c r="D90" s="1" t="str">
        <f>IFERROR(__xludf.DUMMYFUNCTION("GOOGLETRANSLATE(C:C, ""en"", ""te"")"),"ఏవియన్ రియో ​​ఒక బ్రిటిష్ హై-వింగ్, సింగిల్-ప్లేస్, రిక్రియేషనల్ హాంగ్ గ్లైడర్, దీనిని స్టీవ్ ఎల్కిన్స్ మరియు నీల్ హామెర్టన్ రూపొందించారు మరియు హోప్ వ్యాలీ, డెర్బీషైర్ యొక్క ఏవియన్ లిమిటెడ్ చేత నిర్మించబడింది. [1] [2] రియో వినోద స్థానిక మరియు క్రాస్ కంట్ర"&amp;"ీ ఫ్లయింగ్ కోసం స్పోర్ట్స్ గ్లైడర్‌గా రూపొందించబడింది, అయితే బరువులో తేలికగా మరియు ఎగరడం సులభం. [1] [2] రియో 15 మోడల్ ఏకైక వెర్షన్ ఉత్పత్తి చేయబడింది మరియు అల్యూమినియం గొట్టాల నుండి తయారు చేయబడింది, రెక్కతో డాక్రాన్ సెయిల్‌క్లాత్‌లో కప్పబడి ఉంటుంది. దీని "&amp;"9.4 మీ (30.8 అడుగులు) స్పాన్ వింగ్ ముక్కు కోణం 120 ° మరియు ఒక కారక నిష్పత్తి 6: 1. ఆమోదయోగ్యమైన పైలట్ హుక్-ఇన్ బరువు 61 నుండి 95 కిలోలు (134 నుండి 209 పౌండ్లు). మోడల్ సంఖ్య చదరపు మీటర్లలో రెక్కల ప్రాంతాన్ని సూచిస్తుంది. [1] గ్లైడర్‌ను 27.3 కిలోల (60 ఎల్బి"&amp;") ప్యాకేజీకి, కారు పైభాగంలో భూ రవాణా కోసం 3.8 మీ (12.5 అడుగులు) పొడవును విచ్ఛిన్నం చేయవచ్చు. [2] ఏవియన్ నుండి డేటా [2] సాధారణ లక్షణాల పనితీరు")</f>
        <v>ఏవియన్ రియో ​​ఒక బ్రిటిష్ హై-వింగ్, సింగిల్-ప్లేస్, రిక్రియేషనల్ హాంగ్ గ్లైడర్, దీనిని స్టీవ్ ఎల్కిన్స్ మరియు నీల్ హామెర్టన్ రూపొందించారు మరియు హోప్ వ్యాలీ, డెర్బీషైర్ యొక్క ఏవియన్ లిమిటెడ్ చేత నిర్మించబడింది. [1] [2] రియో వినోద స్థానిక మరియు క్రాస్ కంట్రీ ఫ్లయింగ్ కోసం స్పోర్ట్స్ గ్లైడర్‌గా రూపొందించబడింది, అయితే బరువులో తేలికగా మరియు ఎగరడం సులభం. [1] [2] రియో 15 మోడల్ ఏకైక వెర్షన్ ఉత్పత్తి చేయబడింది మరియు అల్యూమినియం గొట్టాల నుండి తయారు చేయబడింది, రెక్కతో డాక్రాన్ సెయిల్‌క్లాత్‌లో కప్పబడి ఉంటుంది. దీని 9.4 మీ (30.8 అడుగులు) స్పాన్ వింగ్ ముక్కు కోణం 120 ° మరియు ఒక కారక నిష్పత్తి 6: 1. ఆమోదయోగ్యమైన పైలట్ హుక్-ఇన్ బరువు 61 నుండి 95 కిలోలు (134 నుండి 209 పౌండ్లు). మోడల్ సంఖ్య చదరపు మీటర్లలో రెక్కల ప్రాంతాన్ని సూచిస్తుంది. [1] గ్లైడర్‌ను 27.3 కిలోల (60 ఎల్బి) ప్యాకేజీకి, కారు పైభాగంలో భూ రవాణా కోసం 3.8 మీ (12.5 అడుగులు) పొడవును విచ్ఛిన్నం చేయవచ్చు. [2] ఏవియన్ నుండి డేటా [2] సాధారణ లక్షణాల పనితీరు</v>
      </c>
      <c r="F90" s="1" t="s">
        <v>173</v>
      </c>
      <c r="G90" s="1" t="str">
        <f>IFERROR(__xludf.DUMMYFUNCTION("GOOGLETRANSLATE(F:F, ""en"", ""te"")"),"గ్లైడర్ హాంగ్")</f>
        <v>గ్లైడర్ హాంగ్</v>
      </c>
      <c r="H90" s="1" t="s">
        <v>174</v>
      </c>
      <c r="I90" s="1" t="s">
        <v>357</v>
      </c>
      <c r="J90" s="1" t="str">
        <f>IFERROR(__xludf.DUMMYFUNCTION("GOOGLETRANSLATE(I:I, ""en"", ""te"")"),"యునైటెడ్ కింగ్‌డమ్")</f>
        <v>యునైటెడ్ కింగ్‌డమ్</v>
      </c>
      <c r="K90" s="1" t="s">
        <v>1344</v>
      </c>
      <c r="L90" s="1" t="s">
        <v>1345</v>
      </c>
      <c r="M90" s="1" t="str">
        <f>IFERROR(__xludf.DUMMYFUNCTION("GOOGLETRANSLATE(L:L, ""en"", ""te"")"),"ఏవియన్ లిమిటెడ్")</f>
        <v>ఏవియన్ లిమిటెడ్</v>
      </c>
      <c r="N90" s="1" t="s">
        <v>1346</v>
      </c>
      <c r="O90" s="1" t="s">
        <v>179</v>
      </c>
      <c r="P90" s="1" t="str">
        <f>IFERROR(__xludf.DUMMYFUNCTION("GOOGLETRANSLATE(O:O, ""en"", ""te"")"),"ఉత్పత్తిలో")</f>
        <v>ఉత్పత్తిలో</v>
      </c>
      <c r="S90" s="1" t="s">
        <v>133</v>
      </c>
      <c r="V90" s="1" t="s">
        <v>1516</v>
      </c>
      <c r="W90" s="1" t="s">
        <v>826</v>
      </c>
      <c r="X90" s="1" t="s">
        <v>1517</v>
      </c>
      <c r="Y90" s="1" t="s">
        <v>1518</v>
      </c>
      <c r="AD90" s="1" t="s">
        <v>1351</v>
      </c>
      <c r="AG90" s="1" t="s">
        <v>1519</v>
      </c>
      <c r="AH90" s="1" t="s">
        <v>1352</v>
      </c>
      <c r="AS90" s="1">
        <v>6.0</v>
      </c>
      <c r="AW90" s="1" t="s">
        <v>1520</v>
      </c>
      <c r="BF90" s="1" t="s">
        <v>1521</v>
      </c>
    </row>
    <row r="91">
      <c r="A91" s="1" t="s">
        <v>1522</v>
      </c>
      <c r="B91" s="1" t="str">
        <f>IFERROR(__xludf.DUMMYFUNCTION("GOOGLETRANSLATE(A:A, ""en"", ""te"")"),"అవ్రో 636")</f>
        <v>అవ్రో 636</v>
      </c>
      <c r="C91" s="1" t="s">
        <v>1523</v>
      </c>
      <c r="D91" s="1" t="str">
        <f>IFERROR(__xludf.DUMMYFUNCTION("GOOGLETRANSLATE(C:C, ""en"", ""te"")"),"అవ్రో 636 1930 ల మధ్యలో అవ్రో నిర్మించిన సింగిల్-ఇంజిన్ బ్రిటిష్ ఫైటర్-ట్రైనర్. ఐరిష్ ఎయిర్ కార్ప్స్ కోసం నాలుగు నిర్మించబడ్డాయి. అవ్రో 636 ను నవంబర్ 1934 లో అవ్రో యొక్క చీఫ్ డిజైనర్ రాయ్ చాడ్విక్ ఒకటి లేదా రెండు-సీట్ల ఫైటర్-ట్రైనర్గా రూపొందించారు మరియు స"&amp;"ింగిల్-సీట్ల యోధుల ఎగిరే లక్షణాలను పునరుత్పత్తి చేయడానికి ప్రణాళిక చేయబడింది. ఇది వెల్డెడ్ స్టీల్ ట్యూబ్ ఫ్యూజ్‌లేజ్‌తో ట్యూటర్‌కు సమానమైన నిర్మాణాన్ని కలిగి ఉంది. [1] ఈ విమానం సింగిల్ లేదా రెండు సీటర్లుగా పనిచేసేలా రూపొందించబడింది, రెండు ఫార్వర్డ్ ఫైరింగ"&amp;"్ అమర్చిన నిబంధన .303 (7.7 మిమీ) విక్కర్స్ మెషిన్ గన్లలో. నాలుగు అవ్రో 636 లను డిసెంబర్ 1934 లో ఐరిష్ ఎయిర్ కార్ప్స్ ఆదేశించింది. ఈ విమానాలను పాత ఆర్మ్‌స్ట్రాంగ్ సిడ్డిలీ జాగ్వార్ ఐవిసి ఇంజన్లు నడిపించాయి, వీటిని మొదట 1930 లో ఐరిష్ విక్కర్స్ వెస్పా ఆర్మీ "&amp;"కో-ఆపరేషన్ ఎయిర్‌క్రాఫ్ట్‌లో ఉపయోగం కోసం కొనుగోలు చేసింది. జాగ్వార్ IVC శక్తితో కూడిన విమానం AVRO 667 గా నియమించబడాలని అనుకున్నప్పటికీ, వాటిని ఎల్లప్పుడూ అవ్రో 636 లు అని పిలుస్తారు. [1] ఈ నాలుగు విమానాలు ఆగస్టు 1935 లో పంపిణీ చేయబడ్డాయి మరియు చాలా సంవత్స"&amp;"రాలు సేవలో ఉన్నాయి. 1908 నుండి అవ్రో విమానం నుండి డేటా [1] సాధారణ లక్షణాల పనితీరు")</f>
        <v>అవ్రో 636 1930 ల మధ్యలో అవ్రో నిర్మించిన సింగిల్-ఇంజిన్ బ్రిటిష్ ఫైటర్-ట్రైనర్. ఐరిష్ ఎయిర్ కార్ప్స్ కోసం నాలుగు నిర్మించబడ్డాయి. అవ్రో 636 ను నవంబర్ 1934 లో అవ్రో యొక్క చీఫ్ డిజైనర్ రాయ్ చాడ్విక్ ఒకటి లేదా రెండు-సీట్ల ఫైటర్-ట్రైనర్గా రూపొందించారు మరియు సింగిల్-సీట్ల యోధుల ఎగిరే లక్షణాలను పునరుత్పత్తి చేయడానికి ప్రణాళిక చేయబడింది. ఇది వెల్డెడ్ స్టీల్ ట్యూబ్ ఫ్యూజ్‌లేజ్‌తో ట్యూటర్‌కు సమానమైన నిర్మాణాన్ని కలిగి ఉంది. [1] ఈ విమానం సింగిల్ లేదా రెండు సీటర్లుగా పనిచేసేలా రూపొందించబడింది, రెండు ఫార్వర్డ్ ఫైరింగ్ అమర్చిన నిబంధన .303 (7.7 మిమీ) విక్కర్స్ మెషిన్ గన్లలో. నాలుగు అవ్రో 636 లను డిసెంబర్ 1934 లో ఐరిష్ ఎయిర్ కార్ప్స్ ఆదేశించింది. ఈ విమానాలను పాత ఆర్మ్‌స్ట్రాంగ్ సిడ్డిలీ జాగ్వార్ ఐవిసి ఇంజన్లు నడిపించాయి, వీటిని మొదట 1930 లో ఐరిష్ విక్కర్స్ వెస్పా ఆర్మీ కో-ఆపరేషన్ ఎయిర్‌క్రాఫ్ట్‌లో ఉపయోగం కోసం కొనుగోలు చేసింది. జాగ్వార్ IVC శక్తితో కూడిన విమానం AVRO 667 గా నియమించబడాలని అనుకున్నప్పటికీ, వాటిని ఎల్లప్పుడూ అవ్రో 636 లు అని పిలుస్తారు. [1] ఈ నాలుగు విమానాలు ఆగస్టు 1935 లో పంపిణీ చేయబడ్డాయి మరియు చాలా సంవత్సరాలు సేవలో ఉన్నాయి. 1908 నుండి అవ్రో విమానం నుండి డేటా [1] సాధారణ లక్షణాల పనితీరు</v>
      </c>
      <c r="F91" s="1" t="s">
        <v>1524</v>
      </c>
      <c r="G91" s="1" t="str">
        <f>IFERROR(__xludf.DUMMYFUNCTION("GOOGLETRANSLATE(F:F, ""en"", ""te"")"),"ఫైటర్ ట్రైనర్")</f>
        <v>ఫైటర్ ట్రైనర్</v>
      </c>
      <c r="I91" s="1" t="s">
        <v>357</v>
      </c>
      <c r="J91" s="1" t="str">
        <f>IFERROR(__xludf.DUMMYFUNCTION("GOOGLETRANSLATE(I:I, ""en"", ""te"")"),"యునైటెడ్ కింగ్‌డమ్")</f>
        <v>యునైటెడ్ కింగ్‌డమ్</v>
      </c>
      <c r="L91" s="1" t="s">
        <v>1525</v>
      </c>
      <c r="M91" s="1" t="str">
        <f>IFERROR(__xludf.DUMMYFUNCTION("GOOGLETRANSLATE(L:L, ""en"", ""te"")"),"అవ్రో")</f>
        <v>అవ్రో</v>
      </c>
      <c r="N91" s="3" t="s">
        <v>1526</v>
      </c>
      <c r="Q91" s="1">
        <v>4.0</v>
      </c>
      <c r="R91" s="1" t="s">
        <v>132</v>
      </c>
      <c r="S91" s="1">
        <v>2.0</v>
      </c>
      <c r="U91" s="1" t="s">
        <v>1527</v>
      </c>
      <c r="V91" s="1" t="s">
        <v>1528</v>
      </c>
      <c r="W91" s="1" t="s">
        <v>1529</v>
      </c>
      <c r="X91" s="1" t="s">
        <v>1530</v>
      </c>
      <c r="Y91" s="1" t="s">
        <v>1531</v>
      </c>
      <c r="AA91" s="1" t="s">
        <v>1532</v>
      </c>
      <c r="AB91" s="1" t="s">
        <v>366</v>
      </c>
      <c r="AF91" s="1" t="s">
        <v>1533</v>
      </c>
      <c r="AH91" s="1" t="s">
        <v>1534</v>
      </c>
      <c r="AI91" s="1" t="s">
        <v>1535</v>
      </c>
      <c r="AJ91" s="1">
        <v>1935.0</v>
      </c>
      <c r="AK91" s="1">
        <v>1935.0</v>
      </c>
      <c r="AL91" s="1">
        <v>1935.0</v>
      </c>
      <c r="AM91" s="1" t="s">
        <v>1536</v>
      </c>
      <c r="AP91" s="1" t="s">
        <v>1537</v>
      </c>
      <c r="AR91" s="1" t="s">
        <v>1538</v>
      </c>
      <c r="BH91" s="1" t="s">
        <v>1539</v>
      </c>
      <c r="BI91" s="1" t="s">
        <v>1540</v>
      </c>
    </row>
    <row r="92">
      <c r="A92" s="1" t="s">
        <v>1541</v>
      </c>
      <c r="B92" s="1" t="str">
        <f>IFERROR(__xludf.DUMMYFUNCTION("GOOGLETRANSLATE(A:A, ""en"", ""te"")"),"ఆర్సెనల్ O.101")</f>
        <v>ఆర్సెనల్ O.101</v>
      </c>
      <c r="C92" s="1" t="s">
        <v>1542</v>
      </c>
      <c r="D92" s="1" t="str">
        <f>IFERROR(__xludf.DUMMYFUNCTION("GOOGLETRANSLATE(C:C, ""en"", ""te"")"),"ఆర్సెనల్ O.101 ఒక ఫ్రెంచ్ పరిశోధనా విమానం, ఇది రెండవ ప్రపంచ యుద్ధం తరువాత కొంతకాలం ప్రయాణించింది. ఇది స్థిర టెయిల్‌వీల్ అండర్ క్యారేజ్‌తో సాంప్రదాయిక కాన్ఫిగరేషన్ యొక్క తక్కువ-వింగ్ మోనోప్లేన్, కానీ ఎయిర్‌ఫాయిల్ విభాగాలను అంచనా వేయడానికి మరియు ఉపరితల డిజై"&amp;"న్లను నియంత్రించడానికి వాయుమార్గాన టెస్ట్‌బెడ్‌గా దాని పాత్ర కోసం అనేక నవల లక్షణాలను కలిగి ఉంది. ఇది పైలట్ మరియు టెన్డం కాక్‌పిట్స్‌లో ఒక పరిశీలకుడికి అనుగుణంగా రూపొందించబడింది. ఏదేమైనా, పరిశీలకుడు విమానం యొక్క రెక్కలను చూస్తున్నందున, ఈ కాక్‌పిట్ పూర్తిగా"&amp;" ఫ్యూజ్‌లేజ్‌లోకి మునిగిపోయింది, ఇది ముందస్తు మరియు వినాశనం చేయలేదు. పైలట్ యొక్క కాక్‌పిట్ తోక దగ్గర ఫ్యూజ్‌లేజ్ వెంట బాగా తిరిగి అమర్చబడింది. O.101 విమానం అంతటా ఒత్తిళ్లు మరియు లోడ్లను కొలవడానికి విస్తృతమైన పరికరాలతో అమర్చబడింది, మరియు మొత్తం విమానాలను చ"&amp;"ాలాయిస్-మెయుడాన్ వద్ద విండ్ టన్నెల్ లోపల ఎటువంటి విడదీయడం అవసరం లేకుండా ఉంచవచ్చు. సాధారణ లక్షణాల పనితీరు 1940 ల విమానంలో ఈ వ్యాసం ఒక స్టబ్. వికీపీడియా విస్తరించడం ద్వారా మీరు సహాయపడవచ్చు.")</f>
        <v>ఆర్సెనల్ O.101 ఒక ఫ్రెంచ్ పరిశోధనా విమానం, ఇది రెండవ ప్రపంచ యుద్ధం తరువాత కొంతకాలం ప్రయాణించింది. ఇది స్థిర టెయిల్‌వీల్ అండర్ క్యారేజ్‌తో సాంప్రదాయిక కాన్ఫిగరేషన్ యొక్క తక్కువ-వింగ్ మోనోప్లేన్, కానీ ఎయిర్‌ఫాయిల్ విభాగాలను అంచనా వేయడానికి మరియు ఉపరితల డిజైన్లను నియంత్రించడానికి వాయుమార్గాన టెస్ట్‌బెడ్‌గా దాని పాత్ర కోసం అనేక నవల లక్షణాలను కలిగి ఉంది. ఇది పైలట్ మరియు టెన్డం కాక్‌పిట్స్‌లో ఒక పరిశీలకుడికి అనుగుణంగా రూపొందించబడింది. ఏదేమైనా, పరిశీలకుడు విమానం యొక్క రెక్కలను చూస్తున్నందున, ఈ కాక్‌పిట్ పూర్తిగా ఫ్యూజ్‌లేజ్‌లోకి మునిగిపోయింది, ఇది ముందస్తు మరియు వినాశనం చేయలేదు. పైలట్ యొక్క కాక్‌పిట్ తోక దగ్గర ఫ్యూజ్‌లేజ్ వెంట బాగా తిరిగి అమర్చబడింది. O.101 విమానం అంతటా ఒత్తిళ్లు మరియు లోడ్లను కొలవడానికి విస్తృతమైన పరికరాలతో అమర్చబడింది, మరియు మొత్తం విమానాలను చాలాయిస్-మెయుడాన్ వద్ద విండ్ టన్నెల్ లోపల ఎటువంటి విడదీయడం అవసరం లేకుండా ఉంచవచ్చు. సాధారణ లక్షణాల పనితీరు 1940 ల విమానంలో ఈ వ్యాసం ఒక స్టబ్. వికీపీడియా విస్తరించడం ద్వారా మీరు సహాయపడవచ్చు.</v>
      </c>
      <c r="F92" s="1" t="s">
        <v>1543</v>
      </c>
      <c r="G92" s="1" t="str">
        <f>IFERROR(__xludf.DUMMYFUNCTION("GOOGLETRANSLATE(F:F, ""en"", ""te"")"),"పరిశోధన విమానం")</f>
        <v>పరిశోధన విమానం</v>
      </c>
      <c r="L92" s="1" t="s">
        <v>1544</v>
      </c>
      <c r="M92" s="1" t="str">
        <f>IFERROR(__xludf.DUMMYFUNCTION("GOOGLETRANSLATE(L:L, ""en"", ""te"")"),"ఆర్సెనల్ డి ఎల్'అరోనటిక్")</f>
        <v>ఆర్సెనల్ డి ఎల్'అరోనటిక్</v>
      </c>
      <c r="N92" s="1" t="s">
        <v>1545</v>
      </c>
      <c r="Q92" s="1">
        <v>1.0</v>
      </c>
      <c r="S92" s="1" t="s">
        <v>1546</v>
      </c>
      <c r="U92" s="1" t="s">
        <v>1547</v>
      </c>
      <c r="V92" s="1" t="s">
        <v>1548</v>
      </c>
      <c r="W92" s="1" t="s">
        <v>1549</v>
      </c>
      <c r="Y92" s="1" t="s">
        <v>1550</v>
      </c>
      <c r="AA92" s="1" t="s">
        <v>1551</v>
      </c>
      <c r="AJ92" s="1">
        <v>1947.0</v>
      </c>
      <c r="AM92" s="1" t="s">
        <v>947</v>
      </c>
      <c r="AP92" s="1" t="s">
        <v>1552</v>
      </c>
      <c r="AR92" s="1" t="s">
        <v>1553</v>
      </c>
    </row>
    <row r="93">
      <c r="A93" s="1" t="s">
        <v>1554</v>
      </c>
      <c r="B93" s="1" t="str">
        <f>IFERROR(__xludf.DUMMYFUNCTION("GOOGLETRANSLATE(A:A, ""en"", ""te"")"),"ఆస్టర్ టగ్‌మాస్టర్")</f>
        <v>ఆస్టర్ టగ్‌మాస్టర్</v>
      </c>
      <c r="C93" s="1" t="s">
        <v>1555</v>
      </c>
      <c r="D93" s="1" t="str">
        <f>IFERROR(__xludf.DUMMYFUNCTION("GOOGLETRANSLATE(C:C, ""en"", ""te"")"),"ఆస్టర్ 6 ఎ టగ్‌మాస్టర్ బ్రిటిష్ హై-వింగ్ మోనోప్లేన్ గ్లైడర్ టగ్ మిగులు మాజీ మిలిటరీ ఆస్టర్ AOP.6S నుండి మార్చబడింది. [1] ఆస్టర్ టగ్‌మాస్టర్ హై-వింగ్ బ్రేస్డ్ మోనోప్లేన్, ఇది స్థిర టెయిల్‌వీల్ ల్యాండింగ్ గేర్‌తో మరియు డి హవిలాండ్ జిప్సీ మేజర్ ఇంజిన్ చేత శక"&amp;"్తినిస్తుంది. [1] టగ్మాస్టర్స్ వారి ఇంజిన్లను పౌర ప్రమాణాలకు జిప్సీ మేజర్ 10 గా సవరించారు మరియు వారికి పెద్ద తోక ఉపరితలాలు కూడా అమర్చబడ్డాయి. [2] అసలు రేడియో ఫిట్ కారణంగా తొలగించబడింది, రెండవ ప్రయాణీకుడు పైలట్ వెనుక పక్కపక్కనే సీటులో కూర్చుని పక్కపక్కనే క"&amp;"ాదు, అయితే మూడు విమానాలు ద్వంద్వ నియంత్రణలు మరియు పక్కపక్కనే సీటింగ్ తో అమర్చబడి ఉన్నాయి. [2] 1959 నుండి ఆస్టర్ AOP.9 ను బ్రిటిష్ ఆర్మీ సేవలో ప్రవేశపెట్టినప్పుడు, ఆస్టర్ విమానం 104 [3] మనుగడలో కొనుగోలు చేసింది మరియు ఇప్పుడు మిగులు ఆస్టర్ AOP.6 మరియు T.7S."&amp;" [1] ప్రారంభంలో 29 ఎయిర్‌ఫ్రేమ్‌లు [2] గ్లైడర్ వెళ్ళుట కోసం ఆస్టర్ 6 ఎ టగ్‌మాస్టర్‌గా సవరించబడ్డాయి. [1] [4] ప్రతి వ్యక్తి విమానం అవసరమైన విధంగా తీసివేయబడింది మరియు గరిష్టంగా 400 మ్యాన్‌హోర్‌లలో కనీస ఖర్చుతో తిరిగి నిర్మించబడింది, అమ్మకపు ధర £ 995. [5] తద"&amp;"నంతరం, సుమారు 50 మంది పౌర ఉపయోగం కోసం మూడు-సీట్ల టూరింగ్ విమానాలుగా మార్చబడ్డాయి, తరువాత ఆస్టర్ 6 బిగా, తరువాత బీగల్ A.61 టెర్రియర్ గా నియమించబడింది. మొదటి మార్పిడి, టెస్ట్ రిజిస్ట్రేషన్ G-25-9, 5 జూలై 1960 న ప్రయాణించింది [6] మరియు దీనిని లాషమ్ [7] వద్ద "&amp;"ఎయిర్ టోస్ లిమిటెడ్ నిర్మించింది మరియు విద్యుత్తుతో నడిచే వించ్ తో అమర్చబడింది; మరో ఐదుగురు గాలి టోస్ల ద్వారా సవరించబడ్డాయి. [2] సాంప్రదాయిక ఆస్టర్-రూపొందించిన టూవింగ్ హుక్‌తో ఇరవై ఒకటి ఆస్టర్ చేత రియర్‌బై వద్ద మార్చబడింది. [2] లండన్ హీత్రో విమానాశ్రయంలోన"&amp;"ి బ్రిటిష్ యూరోపియన్ ఎయిర్‌వేస్ ఉద్యోగులు బుకర్ వద్ద తమ సొంత గ్లైడింగ్ క్లబ్ కోసం అనేక సంస్థలు ఇతర మార్పిడులు జరిగాయి. కొన్ని మిగులు రాయల్ కెనడియన్ ఎయిర్ ఫోర్స్ ఆస్టర్ AOP.6 విమానాలను కూడా కెనడాలో గ్లైడర్ వెళ్ళుట కోసం మార్చారు. [2] టగ్‌మాస్టర్ యొక్క ఉదాహర"&amp;"ణలు ఫిన్లాండ్, నార్వే మరియు స్వీడన్‌లకు ఎగుమతి చేయబడ్డాయి. [4] అనేక టగ్మాస్టర్లు యుకె గ్లైడింగ్ క్లబ్‌లు (2014) తో సేవలో ఉన్నారు. [1] సాధారణ లక్షణాల నుండి డేటా పనితీరు సంబంధిత అభివృద్ధి")</f>
        <v>ఆస్టర్ 6 ఎ టగ్‌మాస్టర్ బ్రిటిష్ హై-వింగ్ మోనోప్లేన్ గ్లైడర్ టగ్ మిగులు మాజీ మిలిటరీ ఆస్టర్ AOP.6S నుండి మార్చబడింది. [1] ఆస్టర్ టగ్‌మాస్టర్ హై-వింగ్ బ్రేస్డ్ మోనోప్లేన్, ఇది స్థిర టెయిల్‌వీల్ ల్యాండింగ్ గేర్‌తో మరియు డి హవిలాండ్ జిప్సీ మేజర్ ఇంజిన్ చేత శక్తినిస్తుంది. [1] టగ్మాస్టర్స్ వారి ఇంజిన్లను పౌర ప్రమాణాలకు జిప్సీ మేజర్ 10 గా సవరించారు మరియు వారికి పెద్ద తోక ఉపరితలాలు కూడా అమర్చబడ్డాయి. [2] అసలు రేడియో ఫిట్ కారణంగా తొలగించబడింది, రెండవ ప్రయాణీకుడు పైలట్ వెనుక పక్కపక్కనే సీటులో కూర్చుని పక్కపక్కనే కాదు, అయితే మూడు విమానాలు ద్వంద్వ నియంత్రణలు మరియు పక్కపక్కనే సీటింగ్ తో అమర్చబడి ఉన్నాయి. [2] 1959 నుండి ఆస్టర్ AOP.9 ను బ్రిటిష్ ఆర్మీ సేవలో ప్రవేశపెట్టినప్పుడు, ఆస్టర్ విమానం 104 [3] మనుగడలో కొనుగోలు చేసింది మరియు ఇప్పుడు మిగులు ఆస్టర్ AOP.6 మరియు T.7S. [1] ప్రారంభంలో 29 ఎయిర్‌ఫ్రేమ్‌లు [2] గ్లైడర్ వెళ్ళుట కోసం ఆస్టర్ 6 ఎ టగ్‌మాస్టర్‌గా సవరించబడ్డాయి. [1] [4] ప్రతి వ్యక్తి విమానం అవసరమైన విధంగా తీసివేయబడింది మరియు గరిష్టంగా 400 మ్యాన్‌హోర్‌లలో కనీస ఖర్చుతో తిరిగి నిర్మించబడింది, అమ్మకపు ధర £ 995. [5] తదనంతరం, సుమారు 50 మంది పౌర ఉపయోగం కోసం మూడు-సీట్ల టూరింగ్ విమానాలుగా మార్చబడ్డాయి, తరువాత ఆస్టర్ 6 బిగా, తరువాత బీగల్ A.61 టెర్రియర్ గా నియమించబడింది. మొదటి మార్పిడి, టెస్ట్ రిజిస్ట్రేషన్ G-25-9, 5 జూలై 1960 న ప్రయాణించింది [6] మరియు దీనిని లాషమ్ [7] వద్ద ఎయిర్ టోస్ లిమిటెడ్ నిర్మించింది మరియు విద్యుత్తుతో నడిచే వించ్ తో అమర్చబడింది; మరో ఐదుగురు గాలి టోస్ల ద్వారా సవరించబడ్డాయి. [2] సాంప్రదాయిక ఆస్టర్-రూపొందించిన టూవింగ్ హుక్‌తో ఇరవై ఒకటి ఆస్టర్ చేత రియర్‌బై వద్ద మార్చబడింది. [2] లండన్ హీత్రో విమానాశ్రయంలోని బ్రిటిష్ యూరోపియన్ ఎయిర్‌వేస్ ఉద్యోగులు బుకర్ వద్ద తమ సొంత గ్లైడింగ్ క్లబ్ కోసం అనేక సంస్థలు ఇతర మార్పిడులు జరిగాయి. కొన్ని మిగులు రాయల్ కెనడియన్ ఎయిర్ ఫోర్స్ ఆస్టర్ AOP.6 విమానాలను కూడా కెనడాలో గ్లైడర్ వెళ్ళుట కోసం మార్చారు. [2] టగ్‌మాస్టర్ యొక్క ఉదాహరణలు ఫిన్లాండ్, నార్వే మరియు స్వీడన్‌లకు ఎగుమతి చేయబడ్డాయి. [4] అనేక టగ్మాస్టర్లు యుకె గ్లైడింగ్ క్లబ్‌లు (2014) తో సేవలో ఉన్నారు. [1] సాధారణ లక్షణాల నుండి డేటా పనితీరు సంబంధిత అభివృద్ధి</v>
      </c>
      <c r="E93" s="1" t="s">
        <v>1556</v>
      </c>
      <c r="F93" s="1" t="s">
        <v>1557</v>
      </c>
      <c r="G93" s="1" t="str">
        <f>IFERROR(__xludf.DUMMYFUNCTION("GOOGLETRANSLATE(F:F, ""en"", ""te"")"),"గ్లైడర్ టగ్")</f>
        <v>గ్లైడర్ టగ్</v>
      </c>
      <c r="H93" s="1" t="s">
        <v>1558</v>
      </c>
      <c r="I93" s="1" t="s">
        <v>357</v>
      </c>
      <c r="J93" s="1" t="str">
        <f>IFERROR(__xludf.DUMMYFUNCTION("GOOGLETRANSLATE(I:I, ""en"", ""te"")"),"యునైటెడ్ కింగ్‌డమ్")</f>
        <v>యునైటెడ్ కింగ్‌డమ్</v>
      </c>
      <c r="K93" s="1" t="s">
        <v>1344</v>
      </c>
      <c r="L93" s="1" t="s">
        <v>1325</v>
      </c>
      <c r="M93" s="1" t="str">
        <f>IFERROR(__xludf.DUMMYFUNCTION("GOOGLETRANSLATE(L:L, ""en"", ""te"")"),"ఆస్టర్")</f>
        <v>ఆస్టర్</v>
      </c>
      <c r="N93" s="3" t="s">
        <v>1326</v>
      </c>
      <c r="O93" s="1" t="s">
        <v>1559</v>
      </c>
      <c r="P93" s="1" t="str">
        <f>IFERROR(__xludf.DUMMYFUNCTION("GOOGLETRANSLATE(O:O, ""en"", ""te"")"),"క్రియాశీల సేవలో (2014)")</f>
        <v>క్రియాశీల సేవలో (2014)</v>
      </c>
      <c r="Q93" s="1">
        <v>34.0</v>
      </c>
      <c r="S93" s="1">
        <v>2.0</v>
      </c>
      <c r="U93" s="1" t="s">
        <v>1560</v>
      </c>
      <c r="V93" s="1" t="s">
        <v>1461</v>
      </c>
      <c r="W93" s="1" t="s">
        <v>1561</v>
      </c>
      <c r="X93" s="1" t="s">
        <v>1414</v>
      </c>
      <c r="AA93" s="1" t="s">
        <v>1562</v>
      </c>
      <c r="AB93" s="1" t="s">
        <v>1563</v>
      </c>
      <c r="AC93" s="1" t="s">
        <v>1564</v>
      </c>
      <c r="AF93" s="1" t="s">
        <v>1565</v>
      </c>
      <c r="AJ93" s="5">
        <v>22102.0</v>
      </c>
      <c r="AK93" s="1">
        <v>1960.0</v>
      </c>
      <c r="AM93" s="1" t="s">
        <v>1566</v>
      </c>
      <c r="AN93" s="1" t="s">
        <v>1567</v>
      </c>
      <c r="AP93" s="1" t="s">
        <v>1568</v>
      </c>
      <c r="AR93" s="1" t="s">
        <v>1320</v>
      </c>
      <c r="AT93" s="1" t="s">
        <v>1569</v>
      </c>
      <c r="AU93" s="1" t="s">
        <v>1570</v>
      </c>
      <c r="BH93" s="1" t="s">
        <v>1571</v>
      </c>
    </row>
    <row r="94">
      <c r="A94" s="1" t="s">
        <v>1572</v>
      </c>
      <c r="B94" s="1" t="str">
        <f>IFERROR(__xludf.DUMMYFUNCTION("GOOGLETRANSLATE(A:A, ""en"", ""te"")"),"అమెరికన్ ఏవియేషన్ AA-2 పేట్రియాట్")</f>
        <v>అమెరికన్ ఏవియేషన్ AA-2 పేట్రియాట్</v>
      </c>
      <c r="C94" s="1" t="s">
        <v>1573</v>
      </c>
      <c r="D94" s="1" t="str">
        <f>IFERROR(__xludf.DUMMYFUNCTION("GOOGLETRANSLATE(C:C, ""en"", ""te"")"),"అమెరికన్ ఏవియేషన్ AA-2 పేట్రియాట్ నాలుగు-సీట్ల, ఆల్-మెటల్ విమానం, దీనిని 1970-71లో అమెరికన్ ఏవియేషన్ ఆఫ్ క్లీవ్‌ల్యాండ్ ఒహియో చేత అభివృద్ధి చేయబడింది. డిజైన్ ప్రోటోటైప్ దశకు మించి పురోగతి సాధించలేదు. AA-1 యాంకీ క్లిప్పర్ అమెరికన్ ఏవియేషన్ యొక్క మార్కెట్ వ"&amp;"ిజయం తరువాత నాలుగు సీట్ల విమానాలను అభివృద్ధి చేయడానికి వారి దృష్టిని మరల్చింది. అమెరికన్ ఏవియేషన్ ఇంజనీర్లు ""పేపర్ యొక్క క్లీన్ షీట్"" తో ప్రారంభించారు మరియు కొత్త విమానాన్ని రూపొందించారు. ఈ విమానం అమెరికన్ ఏవియేషన్ AA-2 పేట్రియాట్ గా ఉత్పత్తి చేయటానికి "&amp;"ఉద్దేశించబడింది. ఫలితంగా వచ్చిన ప్రోటోటైప్ AA-1 తో చాలా తక్కువ కుటుంబ పోలికను కలిగి ఉంది. AA-2 AA-1 నుండి భిన్నంగా ఉంది, దానిలో యాంకీ యొక్క ట్రేడ్మార్క్ స్లైడింగ్ పందిరి మరియు యాంకీ యొక్క స్ప్రింగ్ స్టీల్ ట్యూబ్ నోస్ గేర్ స్థానంలో ఒలియో స్ట్రట్‌కు బదులుగా"&amp;" తలుపులు ఉన్నాయి. ప్రోటోటైప్‌లో స్థిర ల్యాండింగ్ గేర్‌ను కలిగి ఉన్నప్పటికీ, ఈ విమానం ఉపసంహరణ గేర్‌ను తరువాతి సంస్కరణలో వ్యవస్థాపించడానికి నిబంధనలు కలిగి ఉంది. AA-2 180 హెచ్‌పి (134 కిలోవాట్) లైమింగ్ ఇంజిన్‌తో పనిచేసింది. రిజిస్టర్డ్ ""N488AA"" అనే ప్రోటోట"&amp;"ైప్ 1970 లో పూర్తయింది మరియు అదే సంవత్సరం ప్రారంభంలో టెస్ట్ ఫ్లయింగ్ ప్రారంభమైంది. [1] పరీక్ష ఎగిరే ప్రక్రియలో విమాన పనితీరు డిజైన్ లక్ష్యాలకు చాలా తక్కువగా పడిపోయింది, కాబట్టి ఈ ప్రాజెక్ట్ వదిలివేయబడింది మరియు తయారీదారు చివరికి ప్రోటోటైప్‌ను విడదీశారు. A"&amp;"A-2 ను వెంబడించడానికి బదులుగా AA-1 యాంకీ క్లిప్పర్ యొక్క విస్తరించిన సంస్కరణను అభివృద్ధి చేయడానికి అమెరికన్ ఏవియేషన్ నిర్ణయం తీసుకుంది. ఈ విమానం చివరికి AA-5 యాత్రికుడిగా ఉత్పత్తి చేయబడింది మరియు తరువాత దీనిని AA-5A చిరుత మరియు AA-5B పులిగా అభివృద్ధి చేశా"&amp;"రు. ఈ నమూనాను అమెరికన్ యాంకీ అసోసియేషన్ సభ్యులు స్వాధీనం చేసుకున్నారు. [1] సాధారణ లక్షణాలు పనితీరు సంబంధిత అభివృద్ధి")</f>
        <v>అమెరికన్ ఏవియేషన్ AA-2 పేట్రియాట్ నాలుగు-సీట్ల, ఆల్-మెటల్ విమానం, దీనిని 1970-71లో అమెరికన్ ఏవియేషన్ ఆఫ్ క్లీవ్‌ల్యాండ్ ఒహియో చేత అభివృద్ధి చేయబడింది. డిజైన్ ప్రోటోటైప్ దశకు మించి పురోగతి సాధించలేదు. AA-1 యాంకీ క్లిప్పర్ అమెరికన్ ఏవియేషన్ యొక్క మార్కెట్ విజయం తరువాత నాలుగు సీట్ల విమానాలను అభివృద్ధి చేయడానికి వారి దృష్టిని మరల్చింది. అమెరికన్ ఏవియేషన్ ఇంజనీర్లు "పేపర్ యొక్క క్లీన్ షీట్" తో ప్రారంభించారు మరియు కొత్త విమానాన్ని రూపొందించారు. ఈ విమానం అమెరికన్ ఏవియేషన్ AA-2 పేట్రియాట్ గా ఉత్పత్తి చేయటానికి ఉద్దేశించబడింది. ఫలితంగా వచ్చిన ప్రోటోటైప్ AA-1 తో చాలా తక్కువ కుటుంబ పోలికను కలిగి ఉంది. AA-2 AA-1 నుండి భిన్నంగా ఉంది, దానిలో యాంకీ యొక్క ట్రేడ్మార్క్ స్లైడింగ్ పందిరి మరియు యాంకీ యొక్క స్ప్రింగ్ స్టీల్ ట్యూబ్ నోస్ గేర్ స్థానంలో ఒలియో స్ట్రట్‌కు బదులుగా తలుపులు ఉన్నాయి. ప్రోటోటైప్‌లో స్థిర ల్యాండింగ్ గేర్‌ను కలిగి ఉన్నప్పటికీ, ఈ విమానం ఉపసంహరణ గేర్‌ను తరువాతి సంస్కరణలో వ్యవస్థాపించడానికి నిబంధనలు కలిగి ఉంది. AA-2 180 హెచ్‌పి (134 కిలోవాట్) లైమింగ్ ఇంజిన్‌తో పనిచేసింది. రిజిస్టర్డ్ "N488AA" అనే ప్రోటోటైప్ 1970 లో పూర్తయింది మరియు అదే సంవత్సరం ప్రారంభంలో టెస్ట్ ఫ్లయింగ్ ప్రారంభమైంది. [1] పరీక్ష ఎగిరే ప్రక్రియలో విమాన పనితీరు డిజైన్ లక్ష్యాలకు చాలా తక్కువగా పడిపోయింది, కాబట్టి ఈ ప్రాజెక్ట్ వదిలివేయబడింది మరియు తయారీదారు చివరికి ప్రోటోటైప్‌ను విడదీశారు. AA-2 ను వెంబడించడానికి బదులుగా AA-1 యాంకీ క్లిప్పర్ యొక్క విస్తరించిన సంస్కరణను అభివృద్ధి చేయడానికి అమెరికన్ ఏవియేషన్ నిర్ణయం తీసుకుంది. ఈ విమానం చివరికి AA-5 యాత్రికుడిగా ఉత్పత్తి చేయబడింది మరియు తరువాత దీనిని AA-5A చిరుత మరియు AA-5B పులిగా అభివృద్ధి చేశారు. ఈ నమూనాను అమెరికన్ యాంకీ అసోసియేషన్ సభ్యులు స్వాధీనం చేసుకున్నారు. [1] సాధారణ లక్షణాలు పనితీరు సంబంధిత అభివృద్ధి</v>
      </c>
      <c r="F94" s="1" t="s">
        <v>1574</v>
      </c>
      <c r="G94" s="1" t="str">
        <f>IFERROR(__xludf.DUMMYFUNCTION("GOOGLETRANSLATE(F:F, ""en"", ""te"")"),"నాలుగు-సీట్ల క్యాబిన్ మోనోప్లేన్")</f>
        <v>నాలుగు-సీట్ల క్యాబిన్ మోనోప్లేన్</v>
      </c>
      <c r="I94" s="1" t="s">
        <v>127</v>
      </c>
      <c r="J94" s="1" t="str">
        <f>IFERROR(__xludf.DUMMYFUNCTION("GOOGLETRANSLATE(I:I, ""en"", ""te"")"),"సంయుక్త రాష్ట్రాలు")</f>
        <v>సంయుక్త రాష్ట్రాలు</v>
      </c>
      <c r="L94" s="1" t="s">
        <v>1575</v>
      </c>
      <c r="M94" s="1" t="str">
        <f>IFERROR(__xludf.DUMMYFUNCTION("GOOGLETRANSLATE(L:L, ""en"", ""te"")"),"అమెరికన్ ఏవియేషన్")</f>
        <v>అమెరికన్ ఏవియేషన్</v>
      </c>
      <c r="N94" s="1" t="s">
        <v>1576</v>
      </c>
      <c r="Q94" s="1">
        <v>2.0</v>
      </c>
      <c r="S94" s="1" t="s">
        <v>433</v>
      </c>
      <c r="T94" s="1" t="s">
        <v>895</v>
      </c>
      <c r="U94" s="1" t="s">
        <v>1577</v>
      </c>
      <c r="V94" s="1" t="s">
        <v>1578</v>
      </c>
      <c r="AA94" s="1" t="s">
        <v>1579</v>
      </c>
      <c r="AE94" s="1" t="s">
        <v>1580</v>
      </c>
      <c r="AJ94" s="1">
        <v>1970.0</v>
      </c>
      <c r="AN94" s="1" t="s">
        <v>1581</v>
      </c>
      <c r="AP94" s="1" t="s">
        <v>1582</v>
      </c>
    </row>
    <row r="95">
      <c r="A95" s="1" t="s">
        <v>1583</v>
      </c>
      <c r="B95" s="1" t="str">
        <f>IFERROR(__xludf.DUMMYFUNCTION("GOOGLETRANSLATE(A:A, ""en"", ""te"")"),"అంటోనిట్టే III")</f>
        <v>అంటోనిట్టే III</v>
      </c>
      <c r="C95" s="1" t="s">
        <v>1584</v>
      </c>
      <c r="D95" s="1" t="str">
        <f>IFERROR(__xludf.DUMMYFUNCTION("GOOGLETRANSLATE(C:C, ""en"", ""te"")"),"థా ఆంటోనిట్టే III 1908 లో ఫ్రాన్స్‌లో అభివృద్ధి చేయబడిన ఒక మార్గదర్శక విమానం. [సైటేషన్ అవసరం] గాస్టాంబైడ్-మెంగిన్ మోనోప్లేన్ లెవావాస్సేర్ యొక్క పరిమిత విజయం సాధించిన తరువాత ఆంటోనిట్టే III ఫలితంగా డిజైన్‌ను పూర్తిగా సవరించారు. సరిపోని రోల్ నియంత్రణ పెద్దగా"&amp;" మెరుగుపరచబడలేదు, గాస్టాంబైడ్-మెంగిన్ యొక్క రెక్కల వార్పింగ్ నిలుపుకుంది. గ్రౌండ్ హ్యాండ్లింగ్ మరియు టేకాఫ్ / ల్యాండింగ్ పనితీరు మెరుగుపరచబడింది, అయినప్పటికీ, గాస్టాంబైడ్-మెంగిన్ యొక్క సంక్లిష్టమైన సరిపోని క్వాడ్రిసైకిల్ అండర్ క్యారేజీని సవరించడం ద్వారా, "&amp;"సింగిల్స్ మధ్య సెంటర్-లైన్ మరియు పక్కపక్కనే చక్రాలపై స్ట్రట్ మద్దతు ఉన్న చక్రాలు ముందుకు మరియు వెనుకకు ఉన్నాయి . ఇతర మెరుగుదలలు సిలువ తోక యూనిట్ రూపంలో వచ్చాయి, వెనుక ఫ్యూజ్‌లేజ్ పైన మరియు క్రింద పెద్ద త్రిభుజాకార రెక్కలు, అలాగే పెద్ద టెయిల్‌ప్లేన్, ఇవన్న"&amp;"ీ త్రిభుజాకార నియంత్రణ ఉపరితలాలకు మద్దతు ఇచ్చాయి. [1] నియంత్రణ ఉత్తమంగా ఉపాంతంగా ఉన్నట్లు కనుగొనబడింది, కాని చిన్న విమానాలు క్రమం తప్పకుండా తయారు చేయబడ్డాయి. [1]")</f>
        <v>థా ఆంటోనిట్టే III 1908 లో ఫ్రాన్స్‌లో అభివృద్ధి చేయబడిన ఒక మార్గదర్శక విమానం. [సైటేషన్ అవసరం] గాస్టాంబైడ్-మెంగిన్ మోనోప్లేన్ లెవావాస్సేర్ యొక్క పరిమిత విజయం సాధించిన తరువాత ఆంటోనిట్టే III ఫలితంగా డిజైన్‌ను పూర్తిగా సవరించారు. సరిపోని రోల్ నియంత్రణ పెద్దగా మెరుగుపరచబడలేదు, గాస్టాంబైడ్-మెంగిన్ యొక్క రెక్కల వార్పింగ్ నిలుపుకుంది. గ్రౌండ్ హ్యాండ్లింగ్ మరియు టేకాఫ్ / ల్యాండింగ్ పనితీరు మెరుగుపరచబడింది, అయినప్పటికీ, గాస్టాంబైడ్-మెంగిన్ యొక్క సంక్లిష్టమైన సరిపోని క్వాడ్రిసైకిల్ అండర్ క్యారేజీని సవరించడం ద్వారా, సింగిల్స్ మధ్య సెంటర్-లైన్ మరియు పక్కపక్కనే చక్రాలపై స్ట్రట్ మద్దతు ఉన్న చక్రాలు ముందుకు మరియు వెనుకకు ఉన్నాయి . ఇతర మెరుగుదలలు సిలువ తోక యూనిట్ రూపంలో వచ్చాయి, వెనుక ఫ్యూజ్‌లేజ్ పైన మరియు క్రింద పెద్ద త్రిభుజాకార రెక్కలు, అలాగే పెద్ద టెయిల్‌ప్లేన్, ఇవన్నీ త్రిభుజాకార నియంత్రణ ఉపరితలాలకు మద్దతు ఇచ్చాయి. [1] నియంత్రణ ఉత్తమంగా ఉపాంతంగా ఉన్నట్లు కనుగొనబడింది, కాని చిన్న విమానాలు క్రమం తప్పకుండా తయారు చేయబడ్డాయి. [1]</v>
      </c>
      <c r="E95" s="1" t="s">
        <v>1585</v>
      </c>
      <c r="F95" s="1" t="s">
        <v>1586</v>
      </c>
      <c r="G95" s="1" t="str">
        <f>IFERROR(__xludf.DUMMYFUNCTION("GOOGLETRANSLATE(F:F, ""en"", ""te"")"),"పయనీర్ విమానం")</f>
        <v>పయనీర్ విమానం</v>
      </c>
      <c r="I95" s="1" t="s">
        <v>646</v>
      </c>
      <c r="J95" s="1" t="str">
        <f>IFERROR(__xludf.DUMMYFUNCTION("GOOGLETRANSLATE(I:I, ""en"", ""te"")"),"ఫ్రాన్స్")</f>
        <v>ఫ్రాన్స్</v>
      </c>
      <c r="K95" s="3" t="s">
        <v>647</v>
      </c>
      <c r="L95" s="1" t="s">
        <v>1587</v>
      </c>
      <c r="M95" s="1" t="str">
        <f>IFERROR(__xludf.DUMMYFUNCTION("GOOGLETRANSLATE(L:L, ""en"", ""te"")"),"అంటోనిట్టే")</f>
        <v>అంటోనిట్టే</v>
      </c>
      <c r="N95" s="3" t="s">
        <v>1588</v>
      </c>
      <c r="Q95" s="1">
        <v>1.0</v>
      </c>
      <c r="AH95" s="1" t="s">
        <v>1589</v>
      </c>
      <c r="AI95" s="1" t="s">
        <v>1590</v>
      </c>
      <c r="AJ95" s="1">
        <v>1908.0</v>
      </c>
      <c r="AT95" s="1" t="s">
        <v>1591</v>
      </c>
      <c r="AU95" s="1" t="s">
        <v>1592</v>
      </c>
    </row>
    <row r="96">
      <c r="A96" s="1" t="s">
        <v>1593</v>
      </c>
      <c r="B96" s="1" t="str">
        <f>IFERROR(__xludf.DUMMYFUNCTION("GOOGLETRANSLATE(A:A, ""en"", ""te"")"),"ఆంటోనిట్టే వి")</f>
        <v>ఆంటోనిట్టే వి</v>
      </c>
      <c r="C96" s="1" t="s">
        <v>1594</v>
      </c>
      <c r="D96" s="1" t="str">
        <f>IFERROR(__xludf.DUMMYFUNCTION("GOOGLETRANSLATE(C:C, ""en"", ""te"")"),"ఆంటోనెట్ V ఒక ప్రారంభ ఫ్రెంచ్ విమానం, ఇది మొట్టమొదట 20 డిసెంబర్ 1908 న ఎగిరింది. లెవావాస్సీర్ ప్రవేశపెట్టిన విజేత సూత్రాన్ని అనుసరించి, ఆంటోనిట్టే V సవరించిన అండర్ క్యారేజీని ప్రవేశపెట్టింది, క్యారేజ్/స్కిడ్ వెనుక భాగంలో దగ్గరగా ఉన్న మెయిన్‌వీల్స్‌తో పాటు"&amp;" ఇది ప్రొపెల్లర్ యొక్క ముందుకు విస్తరించింది, దిగువ ఫిన్ ఫ్రేమ్‌వర్క్‌కు అనుసంధానించబడిన తోక-స్కిడ్ తోక విభాగానికి నష్టాన్ని నిరోధించింది. భూమిపై పార్శ్వ స్థిరత్వం సగం-స్పాన్ వద్ద వైర్-బ్రాస్డ్ ఫ్రేమ్‌వర్క్ చేత మద్దతు ఇవ్వబడిన అవుట్‌రిగ్గర్ వీల్స్ ద్వారా "&amp;"అందించబడింది. ఆంటోనిట్టే IV యొక్క అభివృద్ధి, తక్కువ ఫిన్ ఫ్రేమ్‌వర్క్‌ను కప్పి ఉంచే ఫాబ్రిక్ లేకుండా ఎగువ నిలువు తోక ప్రాంతాన్ని పెంచడంలో ఆంటోనిట్టే V కొంత భిన్నంగా ఉంది. ఫ్యూజ్‌లేజ్ ఫాబ్రిక్‌తో కప్పబడిన త్రిభుజాకార విభాగం యొక్క చెక్క చట్రాన్ని కలిగి ఉంది"&amp;", కాక్‌పిట్ ప్రాంతంలో తప్ప రెక్కల వెనుకంజలో ఉన్న అంచున ఉంటుంది. రెక్కలు ఇదే పద్ధతిలో నిర్మించబడ్డాయి మరియు ఫాబ్రిక్‌లో కూడా ఉన్నాయి. రోల్ మరియు పిచ్ కోసం పైలట్ సీటుకు ఇరువైపులా చక్రాల ద్వారా నియంత్రణ ప్రభావితమైంది మరియు యా కోసం చుక్కాని బార్. పైలట్ ఒక త్ర"&amp;"ిభుజాకార ఎలివేటర్‌ను పెద్ద టెయిల్‌ప్లేన్ యొక్క తోక అంచుకు అతుక్కొని, వింగ్‌టిప్స్ యొక్క వెనుకంజలో ఉన్న అంచుల నుండి అతుక్కొని ఉన్న రోంబాయిడల్ ఐలెరన్లు మరియు టెయిల్ ప్లేన్ పైన మరియు క్రింద రెండు త్రిభుజాకార రడ్డర్లు. రెనే డెమనెస్ట్‌కు పంపిణీ చేయబడిన, ఆంటోని"&amp;"ట్టే V ఎగరడం సులభం మరియు కొంత విజయాన్ని ఆస్వాదించింది. [1] [1] సాధారణ లక్షణాల నుండి డేటా పనితీరు సంబంధిత అభివృద్ధి")</f>
        <v>ఆంటోనెట్ V ఒక ప్రారంభ ఫ్రెంచ్ విమానం, ఇది మొట్టమొదట 20 డిసెంబర్ 1908 న ఎగిరింది. లెవావాస్సీర్ ప్రవేశపెట్టిన విజేత సూత్రాన్ని అనుసరించి, ఆంటోనిట్టే V సవరించిన అండర్ క్యారేజీని ప్రవేశపెట్టింది, క్యారేజ్/స్కిడ్ వెనుక భాగంలో దగ్గరగా ఉన్న మెయిన్‌వీల్స్‌తో పాటు ఇది ప్రొపెల్లర్ యొక్క ముందుకు విస్తరించింది, దిగువ ఫిన్ ఫ్రేమ్‌వర్క్‌కు అనుసంధానించబడిన తోక-స్కిడ్ తోక విభాగానికి నష్టాన్ని నిరోధించింది. భూమిపై పార్శ్వ స్థిరత్వం సగం-స్పాన్ వద్ద వైర్-బ్రాస్డ్ ఫ్రేమ్‌వర్క్ చేత మద్దతు ఇవ్వబడిన అవుట్‌రిగ్గర్ వీల్స్ ద్వారా అందించబడింది. ఆంటోనిట్టే IV యొక్క అభివృద్ధి, తక్కువ ఫిన్ ఫ్రేమ్‌వర్క్‌ను కప్పి ఉంచే ఫాబ్రిక్ లేకుండా ఎగువ నిలువు తోక ప్రాంతాన్ని పెంచడంలో ఆంటోనిట్టే V కొంత భిన్నంగా ఉంది. ఫ్యూజ్‌లేజ్ ఫాబ్రిక్‌తో కప్పబడిన త్రిభుజాకార విభాగం యొక్క చెక్క చట్రాన్ని కలిగి ఉంది, కాక్‌పిట్ ప్రాంతంలో తప్ప రెక్కల వెనుకంజలో ఉన్న అంచున ఉంటుంది. రెక్కలు ఇదే పద్ధతిలో నిర్మించబడ్డాయి మరియు ఫాబ్రిక్‌లో కూడా ఉన్నాయి. రోల్ మరియు పిచ్ కోసం పైలట్ సీటుకు ఇరువైపులా చక్రాల ద్వారా నియంత్రణ ప్రభావితమైంది మరియు యా కోసం చుక్కాని బార్. పైలట్ ఒక త్రిభుజాకార ఎలివేటర్‌ను పెద్ద టెయిల్‌ప్లేన్ యొక్క తోక అంచుకు అతుక్కొని, వింగ్‌టిప్స్ యొక్క వెనుకంజలో ఉన్న అంచుల నుండి అతుక్కొని ఉన్న రోంబాయిడల్ ఐలెరన్లు మరియు టెయిల్ ప్లేన్ పైన మరియు క్రింద రెండు త్రిభుజాకార రడ్డర్లు. రెనే డెమనెస్ట్‌కు పంపిణీ చేయబడిన, ఆంటోనిట్టే V ఎగరడం సులభం మరియు కొంత విజయాన్ని ఆస్వాదించింది. [1] [1] సాధారణ లక్షణాల నుండి డేటా పనితీరు సంబంధిత అభివృద్ధి</v>
      </c>
      <c r="E96" s="1" t="s">
        <v>1595</v>
      </c>
      <c r="F96" s="1" t="s">
        <v>1586</v>
      </c>
      <c r="G96" s="1" t="str">
        <f>IFERROR(__xludf.DUMMYFUNCTION("GOOGLETRANSLATE(F:F, ""en"", ""te"")"),"పయనీర్ విమానం")</f>
        <v>పయనీర్ విమానం</v>
      </c>
      <c r="I96" s="1" t="s">
        <v>646</v>
      </c>
      <c r="J96" s="1" t="str">
        <f>IFERROR(__xludf.DUMMYFUNCTION("GOOGLETRANSLATE(I:I, ""en"", ""te"")"),"ఫ్రాన్స్")</f>
        <v>ఫ్రాన్స్</v>
      </c>
      <c r="K96" s="3" t="s">
        <v>647</v>
      </c>
      <c r="L96" s="1" t="s">
        <v>1587</v>
      </c>
      <c r="M96" s="1" t="str">
        <f>IFERROR(__xludf.DUMMYFUNCTION("GOOGLETRANSLATE(L:L, ""en"", ""te"")"),"అంటోనిట్టే")</f>
        <v>అంటోనిట్టే</v>
      </c>
      <c r="N96" s="3" t="s">
        <v>1588</v>
      </c>
      <c r="Q96" s="1">
        <v>1.0</v>
      </c>
      <c r="R96" s="1" t="s">
        <v>1596</v>
      </c>
      <c r="S96" s="1">
        <v>1.0</v>
      </c>
      <c r="U96" s="1" t="s">
        <v>1597</v>
      </c>
      <c r="V96" s="1" t="s">
        <v>1598</v>
      </c>
      <c r="W96" s="1" t="s">
        <v>1599</v>
      </c>
      <c r="Y96" s="1" t="s">
        <v>1600</v>
      </c>
      <c r="AA96" s="1" t="s">
        <v>1601</v>
      </c>
      <c r="AB96" s="1" t="s">
        <v>1602</v>
      </c>
      <c r="AH96" s="1" t="s">
        <v>1589</v>
      </c>
      <c r="AI96" s="1" t="s">
        <v>1590</v>
      </c>
      <c r="AJ96" s="1" t="s">
        <v>1603</v>
      </c>
      <c r="AP96" s="1" t="s">
        <v>1604</v>
      </c>
      <c r="AT96" s="1" t="s">
        <v>1605</v>
      </c>
      <c r="AU96" s="1" t="s">
        <v>1606</v>
      </c>
      <c r="BP96" s="1" t="s">
        <v>1607</v>
      </c>
    </row>
    <row r="97">
      <c r="A97" s="1" t="s">
        <v>1608</v>
      </c>
      <c r="B97" s="1" t="str">
        <f>IFERROR(__xludf.DUMMYFUNCTION("GOOGLETRANSLATE(A:A, ""en"", ""te"")"),"బాణం మోడల్ f")</f>
        <v>బాణం మోడల్ f</v>
      </c>
      <c r="C97" s="1" t="s">
        <v>1609</v>
      </c>
      <c r="D97" s="1" t="str">
        <f>IFERROR(__xludf.DUMMYFUNCTION("GOOGLETRANSLATE(C:C, ""en"", ""te"")"),"బాణం మోడల్ ఎఫ్ లేదా బాణం స్పోర్ట్ వి -8 అనేది 1934 మరియు 1938 మధ్య యునైటెడ్ స్టేట్స్లో నిర్మించిన రెండు-సీట్ల తక్కువ-వింగ్ బ్రేస్డ్ మోనోప్లేన్ విమానం. ఇది వాస్తవానికి సాధ్యమయ్యేవారిని పరిశోధించడానికి యుఎస్ బ్యూరో ఆఫ్ ఎయిర్ కామర్స్ చేసిన అభ్యర్థనకు మొదట ని"&amp;"ర్మించబడింది. శక్తి విమానాలకు ఆటోమొబైల్ ఇంజిన్లను ఉపయోగించడం. దీని ప్రకారం, మోడల్ ఎఫ్ సవరించిన ఫోర్డ్ వి 8 ఇంజిన్‌తో అమర్చబడింది. దీనికి ముందు బాణం క్రీడ వలె, మోడల్ ఎఫ్ దాని పైలట్ మరియు ప్రయాణీకుడిని ఓపెన్ కాక్‌పిట్‌లో పక్కపక్కనే కూర్చుని $ 1500 కు విక్రయ"&amp;"ించబడింది. [1] బాణం స్పోర్ట్ ఎఫ్ ప్రత్యేకంగా తక్కువ ఖర్చుతో కూడిన, ఇంకా భారీ బాణం ఎఫ్ వి -8 ఇంజిన్‌కు అనుగుణంగా నిర్మించబడింది, ఇది ఫోర్డ్ వి -8 యొక్క విమాన మార్పు. ఈ ఇంజిన్‌ను ఫోర్డ్ ఇంజనీర్ డేవిడ్ ఇ. ఆండర్సన్ అల్యూమినియం ఆయిల్ పాన్, అల్యూమినియం సిలిండర్"&amp;"లు మరియు 2: 1 గేర్ తగ్గింపుతో రూపొందించబడింది, ఇది సహేతుకమైన RPM శ్రేణుల వద్ద ఆసరాను నడపడానికి. ఇంజిన్ 85 HP VRS కోసం 402 ​​పౌండ్లు బరువు కలిగి ఉంది, సమానమైన ఖండాంతర విమాన ఇంజిన్ కోసం 182 పౌండ్లు. [2] 1938 కోసం అమెరికన్ విమానాలు మరియు ఇంజిన్ల నుండి డేటా ["&amp;"9] సాధారణ లక్షణాల పనితీరు")</f>
        <v>బాణం మోడల్ ఎఫ్ లేదా బాణం స్పోర్ట్ వి -8 అనేది 1934 మరియు 1938 మధ్య యునైటెడ్ స్టేట్స్లో నిర్మించిన రెండు-సీట్ల తక్కువ-వింగ్ బ్రేస్డ్ మోనోప్లేన్ విమానం. ఇది వాస్తవానికి సాధ్యమయ్యేవారిని పరిశోధించడానికి యుఎస్ బ్యూరో ఆఫ్ ఎయిర్ కామర్స్ చేసిన అభ్యర్థనకు మొదట నిర్మించబడింది. శక్తి విమానాలకు ఆటోమొబైల్ ఇంజిన్లను ఉపయోగించడం. దీని ప్రకారం, మోడల్ ఎఫ్ సవరించిన ఫోర్డ్ వి 8 ఇంజిన్‌తో అమర్చబడింది. దీనికి ముందు బాణం క్రీడ వలె, మోడల్ ఎఫ్ దాని పైలట్ మరియు ప్రయాణీకుడిని ఓపెన్ కాక్‌పిట్‌లో పక్కపక్కనే కూర్చుని $ 1500 కు విక్రయించబడింది. [1] బాణం స్పోర్ట్ ఎఫ్ ప్రత్యేకంగా తక్కువ ఖర్చుతో కూడిన, ఇంకా భారీ బాణం ఎఫ్ వి -8 ఇంజిన్‌కు అనుగుణంగా నిర్మించబడింది, ఇది ఫోర్డ్ వి -8 యొక్క విమాన మార్పు. ఈ ఇంజిన్‌ను ఫోర్డ్ ఇంజనీర్ డేవిడ్ ఇ. ఆండర్సన్ అల్యూమినియం ఆయిల్ పాన్, అల్యూమినియం సిలిండర్లు మరియు 2: 1 గేర్ తగ్గింపుతో రూపొందించబడింది, ఇది సహేతుకమైన RPM శ్రేణుల వద్ద ఆసరాను నడపడానికి. ఇంజిన్ 85 HP VRS కోసం 402 ​​పౌండ్లు బరువు కలిగి ఉంది, సమానమైన ఖండాంతర విమాన ఇంజిన్ కోసం 182 పౌండ్లు. [2] 1938 కోసం అమెరికన్ విమానాలు మరియు ఇంజిన్ల నుండి డేటా [9] సాధారణ లక్షణాల పనితీరు</v>
      </c>
      <c r="E97" s="1" t="s">
        <v>1610</v>
      </c>
      <c r="F97" s="1" t="s">
        <v>1611</v>
      </c>
      <c r="G97" s="1" t="str">
        <f>IFERROR(__xludf.DUMMYFUNCTION("GOOGLETRANSLATE(F:F, ""en"", ""te"")"),"వినోద విమానం")</f>
        <v>వినోద విమానం</v>
      </c>
      <c r="L97" s="1" t="s">
        <v>1612</v>
      </c>
      <c r="M97" s="1" t="str">
        <f>IFERROR(__xludf.DUMMYFUNCTION("GOOGLETRANSLATE(L:L, ""en"", ""te"")"),"బాణం విమానం మరియు మోటార్ కార్పొరేషన్")</f>
        <v>బాణం విమానం మరియు మోటార్ కార్పొరేషన్</v>
      </c>
      <c r="N97" s="1" t="s">
        <v>1613</v>
      </c>
      <c r="Q97" s="1">
        <v>103.0</v>
      </c>
      <c r="R97" s="1" t="s">
        <v>132</v>
      </c>
      <c r="S97" s="1">
        <v>1.0</v>
      </c>
      <c r="T97" s="1" t="s">
        <v>1310</v>
      </c>
      <c r="U97" s="1" t="s">
        <v>1614</v>
      </c>
      <c r="V97" s="1" t="s">
        <v>1615</v>
      </c>
      <c r="W97" s="1" t="s">
        <v>1616</v>
      </c>
      <c r="X97" s="1" t="s">
        <v>1617</v>
      </c>
      <c r="Y97" s="1" t="s">
        <v>1618</v>
      </c>
      <c r="Z97" s="1" t="s">
        <v>1619</v>
      </c>
      <c r="AA97" s="1" t="s">
        <v>1620</v>
      </c>
      <c r="AC97" s="1" t="s">
        <v>1621</v>
      </c>
      <c r="AD97" s="1" t="s">
        <v>1622</v>
      </c>
      <c r="AE97" s="1" t="s">
        <v>423</v>
      </c>
      <c r="AF97" s="1" t="s">
        <v>1623</v>
      </c>
      <c r="AJ97" s="1">
        <v>1934.0</v>
      </c>
      <c r="AM97" s="1" t="s">
        <v>1624</v>
      </c>
      <c r="AP97" s="1" t="s">
        <v>1625</v>
      </c>
      <c r="AR97" s="1" t="s">
        <v>1626</v>
      </c>
    </row>
    <row r="98">
      <c r="A98" s="1" t="s">
        <v>1627</v>
      </c>
      <c r="B98" s="1" t="str">
        <f>IFERROR(__xludf.DUMMYFUNCTION("GOOGLETRANSLATE(A:A, ""en"", ""te"")"),"ఆస్ట్రా సి")</f>
        <v>ఆస్ట్రా సి</v>
      </c>
      <c r="C98" s="1" t="s">
        <v>1628</v>
      </c>
      <c r="D98" s="1" t="str">
        <f>IFERROR(__xludf.DUMMYFUNCTION("GOOGLETRANSLATE(C:C, ""en"", ""te"")"),"ఆస్ట్రా సి 1912 ఫ్రెంచ్ సింగిల్ ఇంజిన్ బిప్‌లేన్, దీనిని విల్లాకౌబ్లేలో సోషియాట్ ఆస్ట్రా తయారు చేసింది. 1913 లో, ఆస్ట్రా సిఎం హైడ్రో-ఏవియన్ త్రీ-సీట్ల ఫ్లోట్‌ప్లేన్ వెర్షన్ ప్రపంచంలో మొట్టమొదటి షెడ్యూల్ చేసిన ప్రయాణీకుల మోగిన విమానాలను రూపొందించడానికి ఉపయ"&amp;"ోగించబడింది. ఆస్ట్రా సి ప్రారంభంలో ఒకే సీటు బైప్‌లేన్‌గా రూపొందించబడింది, ఇది ట్రాక్టర్ కాన్ఫిగరేషన్‌లో ఒకే 50 హెచ్‌పి రెనాల్ట్ ఇంజిన్‌తో శక్తినిస్తుంది. ఇది ప్రధానంగా చెక్క ఫ్రేమ్‌వర్క్ విభాగాలుగా నిర్మించబడింది, వీటిని కాన్వాస్ మరియు వైర్-బ్రేస్డ్ లో కప"&amp;"్పారు. ఫ్యూజ్‌లేజ్ త్రిభుజాకార క్రాస్ సెక్షన్, చక్రాల ప్రధాన అండర్ క్యారేజ్ ప్లస్ ముక్కు స్కిడ్ మరియు తోక స్కిడ్. రెక్కలు అసమానమైనవి, మరియు రోల్ నియంత్రణ కోసం రెక్క-వార్పింగ్ ఉపయోగించాయి. [1] ఆస్ట్రా సిఎమ్ ఆస్ట్రా సి నుండి అభివృద్ధి చేయబడింది, మరింత శక్తి"&amp;"వంతమైన ఇంజిన్ మరియు ఇద్దరు పరిశీలకులకు, సైనిక నిఘా కోసం అదనపు వసతి. [1] [2] [3] ఆస్ట్రా హైడ్రో, (ఒక ఆస్ట్రా సిఎమ్ 'హైడ్రో-ఏవియన్' (సీప్లేన్)), 1913 లో మరో అభివృద్ధి, 75 కిలోవాట్ల (100 హెచ్‌పి) రెనాల్ట్ వి -12 ఇంజిన్ మరియు 3 టెల్లియర్ ఫ్లోట్లు (2 మెయిన్ ఫ్"&amp;"లోట్లు 4.5 మీ × 1.15 M (14.8 అడుగులు × 3.8 అడుగులు), మరియు ఒక చిన్న తోక ఫ్లోట్). చెక్క ఫ్రేమ్ ఎలిమెంట్స్ ఎక్కువగా ఉక్కు గొట్టాలతో భర్తీ చేయబడ్డాయి, మరియు రెక్కల పక్కటెముకలు మరియు ఫ్లోట్లు ప్రధానమైన చెక్క భాగాలు. [4] కనీసం రెండు నిర్మించబడ్డాయి మరియు రాయల్"&amp;" నేవీ (RN) నుండి రెండు కోసం ఒక ఆర్డర్, 106 మరియు 107 సీరియల్డ్, పూర్తి కాలేదు. [5] సెయింట్ మాలో రేసుల సమయంలో, 14-26 ఆగస్టు 1912, మొదటి సిఎం హైడ్రోను లాబోరేట్ మొదటి స్థానానికి తరలించింది. రెండవ సిఎం హైడ్రో, అడ్డంగా అమర్చిన 82 కిలోవాట్ల (110 హెచ్‌పి) సాల్మ్"&amp;"సన్ M.9 వాటర్-కూల్డ్ రేడియల్ ఇంజన్, మొనాకో వద్ద ఎగిరింది, కాని క్రాష్ అయ్యింది. 22 మార్చి 1913 న, కనీసం ఒక ఆస్ట్రా సిఎం హైడ్రో-అవెన్ష్‌ను ఉపయోగించి, ఫ్రెంచ్ ఆపరేటర్ కంపాగ్నీ గెనెరాల్ ట్రాన్స్‌యారియన్ ప్రపంచంలోని మొట్టమొదటి షెడ్యూల్ చేసిన ప్రయాణీకుల మోసే వ"&amp;"ిమానాలను ప్రారంభించాడు, కేన్స్ నుండి నైస్ వరకు పనిచేశాడు. ఇద్దరు ప్రయాణీకులను తీసుకెళ్లవచ్చు. 29 మార్చి 1913 న, ఈ సేవను మోంటే కార్లోకు విస్తరించారు. [6] [7] సాధారణ లక్షణాల పనితీరు")</f>
        <v>ఆస్ట్రా సి 1912 ఫ్రెంచ్ సింగిల్ ఇంజిన్ బిప్‌లేన్, దీనిని విల్లాకౌబ్లేలో సోషియాట్ ఆస్ట్రా తయారు చేసింది. 1913 లో, ఆస్ట్రా సిఎం హైడ్రో-ఏవియన్ త్రీ-సీట్ల ఫ్లోట్‌ప్లేన్ వెర్షన్ ప్రపంచంలో మొట్టమొదటి షెడ్యూల్ చేసిన ప్రయాణీకుల మోగిన విమానాలను రూపొందించడానికి ఉపయోగించబడింది. ఆస్ట్రా సి ప్రారంభంలో ఒకే సీటు బైప్‌లేన్‌గా రూపొందించబడింది, ఇది ట్రాక్టర్ కాన్ఫిగరేషన్‌లో ఒకే 50 హెచ్‌పి రెనాల్ట్ ఇంజిన్‌తో శక్తినిస్తుంది. ఇది ప్రధానంగా చెక్క ఫ్రేమ్‌వర్క్ విభాగాలుగా నిర్మించబడింది, వీటిని కాన్వాస్ మరియు వైర్-బ్రేస్డ్ లో కప్పారు. ఫ్యూజ్‌లేజ్ త్రిభుజాకార క్రాస్ సెక్షన్, చక్రాల ప్రధాన అండర్ క్యారేజ్ ప్లస్ ముక్కు స్కిడ్ మరియు తోక స్కిడ్. రెక్కలు అసమానమైనవి, మరియు రోల్ నియంత్రణ కోసం రెక్క-వార్పింగ్ ఉపయోగించాయి. [1] ఆస్ట్రా సిఎమ్ ఆస్ట్రా సి నుండి అభివృద్ధి చేయబడింది, మరింత శక్తివంతమైన ఇంజిన్ మరియు ఇద్దరు పరిశీలకులకు, సైనిక నిఘా కోసం అదనపు వసతి. [1] [2] [3] ఆస్ట్రా హైడ్రో, (ఒక ఆస్ట్రా సిఎమ్ 'హైడ్రో-ఏవియన్' (సీప్లేన్)), 1913 లో మరో అభివృద్ధి, 75 కిలోవాట్ల (100 హెచ్‌పి) రెనాల్ట్ వి -12 ఇంజిన్ మరియు 3 టెల్లియర్ ఫ్లోట్లు (2 మెయిన్ ఫ్లోట్లు 4.5 మీ × 1.15 M (14.8 అడుగులు × 3.8 అడుగులు), మరియు ఒక చిన్న తోక ఫ్లోట్). చెక్క ఫ్రేమ్ ఎలిమెంట్స్ ఎక్కువగా ఉక్కు గొట్టాలతో భర్తీ చేయబడ్డాయి, మరియు రెక్కల పక్కటెముకలు మరియు ఫ్లోట్లు ప్రధానమైన చెక్క భాగాలు. [4] కనీసం రెండు నిర్మించబడ్డాయి మరియు రాయల్ నేవీ (RN) నుండి రెండు కోసం ఒక ఆర్డర్, 106 మరియు 107 సీరియల్డ్, పూర్తి కాలేదు. [5] సెయింట్ మాలో రేసుల సమయంలో, 14-26 ఆగస్టు 1912, మొదటి సిఎం హైడ్రోను లాబోరేట్ మొదటి స్థానానికి తరలించింది. రెండవ సిఎం హైడ్రో, అడ్డంగా అమర్చిన 82 కిలోవాట్ల (110 హెచ్‌పి) సాల్మ్సన్ M.9 వాటర్-కూల్డ్ రేడియల్ ఇంజన్, మొనాకో వద్ద ఎగిరింది, కాని క్రాష్ అయ్యింది. 22 మార్చి 1913 న, కనీసం ఒక ఆస్ట్రా సిఎం హైడ్రో-అవెన్ష్‌ను ఉపయోగించి, ఫ్రెంచ్ ఆపరేటర్ కంపాగ్నీ గెనెరాల్ ట్రాన్స్‌యారియన్ ప్రపంచంలోని మొట్టమొదటి షెడ్యూల్ చేసిన ప్రయాణీకుల మోసే విమానాలను ప్రారంభించాడు, కేన్స్ నుండి నైస్ వరకు పనిచేశాడు. ఇద్దరు ప్రయాణీకులను తీసుకెళ్లవచ్చు. 29 మార్చి 1913 న, ఈ సేవను మోంటే కార్లోకు విస్తరించారు. [6] [7] సాధారణ లక్షణాల పనితీరు</v>
      </c>
      <c r="E98" s="1" t="s">
        <v>1629</v>
      </c>
      <c r="F98" s="1" t="s">
        <v>1630</v>
      </c>
      <c r="G98" s="1" t="str">
        <f>IFERROR(__xludf.DUMMYFUNCTION("GOOGLETRANSLATE(F:F, ""en"", ""te"")"),"స్పోర్ట్స్ విమానం మరియు పరిశీలన విమానం")</f>
        <v>స్పోర్ట్స్ విమానం మరియు పరిశీలన విమానం</v>
      </c>
      <c r="L98" s="1" t="s">
        <v>1631</v>
      </c>
      <c r="M98" s="1" t="str">
        <f>IFERROR(__xludf.DUMMYFUNCTION("GOOGLETRANSLATE(L:L, ""en"", ""te"")"),"Société ఆస్ట్రా")</f>
        <v>Société ఆస్ట్రా</v>
      </c>
      <c r="N98" s="1" t="s">
        <v>1632</v>
      </c>
      <c r="R98" s="1" t="s">
        <v>132</v>
      </c>
      <c r="S98" s="1" t="s">
        <v>1633</v>
      </c>
      <c r="T98" s="1" t="s">
        <v>1634</v>
      </c>
      <c r="U98" s="1" t="s">
        <v>1635</v>
      </c>
      <c r="V98" s="1" t="s">
        <v>1636</v>
      </c>
      <c r="W98" s="1" t="s">
        <v>1637</v>
      </c>
      <c r="X98" s="1" t="s">
        <v>1638</v>
      </c>
      <c r="Y98" s="1" t="s">
        <v>1639</v>
      </c>
      <c r="AA98" s="1" t="s">
        <v>1640</v>
      </c>
      <c r="AJ98" s="1">
        <v>1912.0</v>
      </c>
      <c r="AP98" s="1" t="s">
        <v>915</v>
      </c>
    </row>
    <row r="99">
      <c r="A99" s="1" t="s">
        <v>1641</v>
      </c>
      <c r="B99" s="1" t="str">
        <f>IFERROR(__xludf.DUMMYFUNCTION("GOOGLETRANSLATE(A:A, ""en"", ""te"")"),"ఆస్టర్ డి .6")</f>
        <v>ఆస్టర్ డి .6</v>
      </c>
      <c r="C99" s="1" t="s">
        <v>1642</v>
      </c>
      <c r="D99" s="1" t="str">
        <f>IFERROR(__xludf.DUMMYFUNCTION("GOOGLETRANSLATE(C:C, ""en"", ""te"")"),"ఆస్టర్ డి .6 నాలుగు సీట్ల బ్రిటిష్ లైట్ విమానం, ఇది అడ్డంగా వ్యతిరేకించిన ఇంజిన్‌తో ఆస్టర్ ఆటోకార్ యొక్క అభివృద్ధి. ఇది రెండు ఇంజిన్ల ఎంపికతో లభించింది, 160 HP లైమింగ్ O-320 లేదా 180 HP లైమింగ్ O-360. సెప్టెంబర్ 1960 లో ఆస్టర్‌ను బీగల్ ఎయిర్‌క్రాఫ్ట్ స్వా"&amp;"ధీనం చేసుకున్నప్పుడు, D.6 యొక్క అభివృద్ధిని తొలగించగా, D.4 మరియు D.5 పరిమిత ఉత్పత్తిలో కొనసాగాయి. నాలుగు D.6 విమానాలు మాత్రమే పూర్తయ్యాయి, ఒకటి D.6/160 (తరువాత D.6/180 ప్రమాణంగా మార్చబడింది) మరియు మూడు D.6/180 గా. [1] ఐదవ ఎయిర్‌ఫ్రేమ్ ఎప్పుడూ పూర్తి కాలేద"&amp;"ు మరియు తరువాత కార్ ఫార్మ్, నెవార్క్ (2003) లో నిల్వ చేయబడింది. [2] సాధారణ లక్షణాలు")</f>
        <v>ఆస్టర్ డి .6 నాలుగు సీట్ల బ్రిటిష్ లైట్ విమానం, ఇది అడ్డంగా వ్యతిరేకించిన ఇంజిన్‌తో ఆస్టర్ ఆటోకార్ యొక్క అభివృద్ధి. ఇది రెండు ఇంజిన్ల ఎంపికతో లభించింది, 160 HP లైమింగ్ O-320 లేదా 180 HP లైమింగ్ O-360. సెప్టెంబర్ 1960 లో ఆస్టర్‌ను బీగల్ ఎయిర్‌క్రాఫ్ట్ స్వాధీనం చేసుకున్నప్పుడు, D.6 యొక్క అభివృద్ధిని తొలగించగా, D.4 మరియు D.5 పరిమిత ఉత్పత్తిలో కొనసాగాయి. నాలుగు D.6 విమానాలు మాత్రమే పూర్తయ్యాయి, ఒకటి D.6/160 (తరువాత D.6/180 ప్రమాణంగా మార్చబడింది) మరియు మూడు D.6/180 గా. [1] ఐదవ ఎయిర్‌ఫ్రేమ్ ఎప్పుడూ పూర్తి కాలేదు మరియు తరువాత కార్ ఫార్మ్, నెవార్క్ (2003) లో నిల్వ చేయబడింది. [2] సాధారణ లక్షణాలు</v>
      </c>
      <c r="E99" s="1" t="s">
        <v>1643</v>
      </c>
      <c r="F99" s="1" t="s">
        <v>1409</v>
      </c>
      <c r="G99" s="1" t="str">
        <f>IFERROR(__xludf.DUMMYFUNCTION("GOOGLETRANSLATE(F:F, ""en"", ""te"")"),"యుటిలిటీ విమానం")</f>
        <v>యుటిలిటీ విమానం</v>
      </c>
      <c r="L99" s="1" t="s">
        <v>1644</v>
      </c>
      <c r="M99" s="1" t="str">
        <f>IFERROR(__xludf.DUMMYFUNCTION("GOOGLETRANSLATE(L:L, ""en"", ""te"")"),"ఆస్టర్, బీగల్ విమానం")</f>
        <v>ఆస్టర్, బీగల్ విమానం</v>
      </c>
      <c r="N99" s="1" t="s">
        <v>1645</v>
      </c>
      <c r="Q99" s="1">
        <v>4.0</v>
      </c>
      <c r="S99" s="1" t="s">
        <v>1633</v>
      </c>
      <c r="T99" s="1" t="s">
        <v>1646</v>
      </c>
      <c r="V99" s="1" t="s">
        <v>1461</v>
      </c>
      <c r="AA99" s="1" t="s">
        <v>1647</v>
      </c>
      <c r="AJ99" s="5">
        <v>22045.0</v>
      </c>
      <c r="AT99" s="1" t="s">
        <v>1648</v>
      </c>
      <c r="AU99" s="1" t="s">
        <v>1649</v>
      </c>
      <c r="CG99" s="1" t="s">
        <v>1650</v>
      </c>
    </row>
    <row r="100">
      <c r="A100" s="1" t="s">
        <v>1651</v>
      </c>
      <c r="B100" s="1" t="str">
        <f>IFERROR(__xludf.DUMMYFUNCTION("GOOGLETRANSLATE(A:A, ""en"", ""te"")"),"అవ్రో అట్లాంటిక్")</f>
        <v>అవ్రో అట్లాంటిక్</v>
      </c>
      <c r="C100" s="1" t="s">
        <v>1652</v>
      </c>
      <c r="D100" s="1" t="str">
        <f>IFERROR(__xludf.DUMMYFUNCTION("GOOGLETRANSLATE(C:C, ""en"", ""te"")"),"అవ్రో అట్లాంటిక్ (అవ్రో 722) బ్రిటిష్ అవ్రో వల్కాన్ స్ట్రాటజిక్ బాంబర్ యొక్క ప్రతిపాదిత పౌర విమాన వెర్షన్. సైనిక మరియు పౌర సుదూర పాత్రలకు అనువైన కొత్త విమానాలకు 1952 UK సరఫరా అవసరం. విక్కర్స్ వాలియంట్ మరియు హ్యాండ్లీ పేజ్ విక్టర్ వి-బాంబర్స్ యొక్క పౌర నమూ"&amp;"నాలు కూడా అదే ఒప్పందం కోసం ప్రణాళిక చేయబడ్డాయి. విక్కర్స్ వి -1000 అట్లాంటిక్‌పై పోటీలో గెలిచింది, కాని చివరికి ఈ నమూనాలు ఏవీ నిర్మించబడవు. జూన్ 1953 ప్రారంభంలో, సర్ రాయ్ డాబ్సన్ C.B.E., అప్పుడు A.V. యొక్క మేనేజింగ్ డైరెక్టర్. రో మరియు కంపెనీ, వల్కాన్ ఆధా"&amp;"రంగా 100-టన్నుల విమానంలో కంపెనీ ఒక ప్రాజెక్ట్ కోసం పనిచేస్తున్నట్లు వెల్లడించింది. ఈ విమానం expected హించినట్లుగా, ఐదుగురు (పైలట్, కో-పైలట్, నావిగేటర్ మరియు ఇద్దరు ఇంజనీరింగ్ ఆఫీసర్లు) విమాన సిబ్బందితో పాటు 76 మరియు 113 మంది ప్రయాణీకులను మూడు వేర్వేరు కాన"&amp;"్ఫిగరేషన్లలో (లగ్జరీ, బేసిక్ మరియు టూరిస్ట్) వేగంతో కలిగి ఉంటుంది 45,000 అడుగుల (14,000 మీ) వద్ద 8,000 అడుగుల (2,400 మీ) సమానమైన ఎత్తుతో ఒత్తిడితో కూడిన క్యాబిన్‌లో 600 mph (520 kn; 970 km/h) లేదా మాక్ 0.9. [2] ఆ సమయంలో అవ్రో యొక్క చీఫ్ డిజైనర్, రాయ్ చాడ్"&amp;"విక్ మరణం తరువాత, స్టువర్ట్ డేవిస్. [3] అట్లాంటిక్ బ్రిస్టల్ ఒలింపస్ లేదా రోల్స్ రాయిస్ కాన్వే ఇంజిన్ల ద్వారా శక్తినిచ్చేది. ఆ సమయంలో కళాకారుల దృష్టాంతాలు ప్రయాణీకులను 12 అడుగుల 6 అంగుళాల (3.81 మీ) వ్యాసం కలిగిన ఫ్యూజ్‌లేజ్‌లో రెండు వరుసలలో కూర్చుని, రెండ"&amp;"ు-అబ్రిస్ట్, ఒకే సెంట్రల్ నడవతో, భద్రతా కారణాల వల్ల విమానం వెనుక వైపు సీట్లు ఎదురుగా ఉన్నాయి. 2] ఈ విమానం మొదట్లో దృష్టాంతాలు మరియు 1/24-స్కేల్ మోడళ్లలో అసలు వల్కాన్ వింగ్ ప్లాన్‌ఫార్మ్‌ను సరళరేఖతో, తుడిచిపెట్టిన ప్రముఖ అంచుతో చిత్రీకరించబడింది, అయితే 195"&amp;"5 డిజైన్ పునర్విమర్శ బఫేట్‌ను అధిగమించడానికి తరువాతి దశ 2 'కింక్డ్' ప్రముఖ అంచుని చూపించింది. ఫ్లైట్. 1958 నాటికి అట్లాంటిక్ పూర్తవుతుందని was హించబడింది మరియు ప్రతిపాదన యొక్క సాధ్యతకు సంబంధించి బ్రిటిష్ ఓవర్సీస్ ఎయిర్‌వేస్ కార్పొరేషన్ (BOAC) తో ప్రారంభ చ"&amp;"ర్చలు జరిగాయి. అవ్రో 1954–55లో వల్కాన్ యొక్క పౌర సంస్కరణను 'అనివార్యమైనది' గా భావించినట్లు నివేదించబడింది మరియు ఉత్పత్తిని ప్రారంభించడానికి ముందు కనీసం 25 విమానాల ప్రారంభ క్రమం కోసం పట్టుబట్టారు; ఈ ఆదేశాలు రాబోయేవి కావు.")</f>
        <v>అవ్రో అట్లాంటిక్ (అవ్రో 722) బ్రిటిష్ అవ్రో వల్కాన్ స్ట్రాటజిక్ బాంబర్ యొక్క ప్రతిపాదిత పౌర విమాన వెర్షన్. సైనిక మరియు పౌర సుదూర పాత్రలకు అనువైన కొత్త విమానాలకు 1952 UK సరఫరా అవసరం. విక్కర్స్ వాలియంట్ మరియు హ్యాండ్లీ పేజ్ విక్టర్ వి-బాంబర్స్ యొక్క పౌర నమూనాలు కూడా అదే ఒప్పందం కోసం ప్రణాళిక చేయబడ్డాయి. విక్కర్స్ వి -1000 అట్లాంటిక్‌పై పోటీలో గెలిచింది, కాని చివరికి ఈ నమూనాలు ఏవీ నిర్మించబడవు. జూన్ 1953 ప్రారంభంలో, సర్ రాయ్ డాబ్సన్ C.B.E., అప్పుడు A.V. యొక్క మేనేజింగ్ డైరెక్టర్. రో మరియు కంపెనీ, వల్కాన్ ఆధారంగా 100-టన్నుల విమానంలో కంపెనీ ఒక ప్రాజెక్ట్ కోసం పనిచేస్తున్నట్లు వెల్లడించింది. ఈ విమానం expected హించినట్లుగా, ఐదుగురు (పైలట్, కో-పైలట్, నావిగేటర్ మరియు ఇద్దరు ఇంజనీరింగ్ ఆఫీసర్లు) విమాన సిబ్బందితో పాటు 76 మరియు 113 మంది ప్రయాణీకులను మూడు వేర్వేరు కాన్ఫిగరేషన్లలో (లగ్జరీ, బేసిక్ మరియు టూరిస్ట్) వేగంతో కలిగి ఉంటుంది 45,000 అడుగుల (14,000 మీ) వద్ద 8,000 అడుగుల (2,400 మీ) సమానమైన ఎత్తుతో ఒత్తిడితో కూడిన క్యాబిన్‌లో 600 mph (520 kn; 970 km/h) లేదా మాక్ 0.9. [2] ఆ సమయంలో అవ్రో యొక్క చీఫ్ డిజైనర్, రాయ్ చాడ్విక్ మరణం తరువాత, స్టువర్ట్ డేవిస్. [3] అట్లాంటిక్ బ్రిస్టల్ ఒలింపస్ లేదా రోల్స్ రాయిస్ కాన్వే ఇంజిన్ల ద్వారా శక్తినిచ్చేది. ఆ సమయంలో కళాకారుల దృష్టాంతాలు ప్రయాణీకులను 12 అడుగుల 6 అంగుళాల (3.81 మీ) వ్యాసం కలిగిన ఫ్యూజ్‌లేజ్‌లో రెండు వరుసలలో కూర్చుని, రెండు-అబ్రిస్ట్, ఒకే సెంట్రల్ నడవతో, భద్రతా కారణాల వల్ల విమానం వెనుక వైపు సీట్లు ఎదురుగా ఉన్నాయి. 2] ఈ విమానం మొదట్లో దృష్టాంతాలు మరియు 1/24-స్కేల్ మోడళ్లలో అసలు వల్కాన్ వింగ్ ప్లాన్‌ఫార్మ్‌ను సరళరేఖతో, తుడిచిపెట్టిన ప్రముఖ అంచుతో చిత్రీకరించబడింది, అయితే 1955 డిజైన్ పునర్విమర్శ బఫేట్‌ను అధిగమించడానికి తరువాతి దశ 2 'కింక్డ్' ప్రముఖ అంచుని చూపించింది. ఫ్లైట్. 1958 నాటికి అట్లాంటిక్ పూర్తవుతుందని was హించబడింది మరియు ప్రతిపాదన యొక్క సాధ్యతకు సంబంధించి బ్రిటిష్ ఓవర్సీస్ ఎయిర్‌వేస్ కార్పొరేషన్ (BOAC) తో ప్రారంభ చర్చలు జరిగాయి. అవ్రో 1954–55లో వల్కాన్ యొక్క పౌర సంస్కరణను 'అనివార్యమైనది' గా భావించినట్లు నివేదించబడింది మరియు ఉత్పత్తిని ప్రారంభించడానికి ముందు కనీసం 25 విమానాల ప్రారంభ క్రమం కోసం పట్టుబట్టారు; ఈ ఆదేశాలు రాబోయేవి కావు.</v>
      </c>
      <c r="F100" s="1" t="s">
        <v>1653</v>
      </c>
      <c r="G100" s="1" t="str">
        <f>IFERROR(__xludf.DUMMYFUNCTION("GOOGLETRANSLATE(F:F, ""en"", ""te"")"),"విమానాల")</f>
        <v>విమానాల</v>
      </c>
      <c r="I100" s="1" t="s">
        <v>357</v>
      </c>
      <c r="J100" s="1" t="str">
        <f>IFERROR(__xludf.DUMMYFUNCTION("GOOGLETRANSLATE(I:I, ""en"", ""te"")"),"యునైటెడ్ కింగ్‌డమ్")</f>
        <v>యునైటెడ్ కింగ్‌డమ్</v>
      </c>
      <c r="K100" s="1" t="s">
        <v>1344</v>
      </c>
      <c r="L100" s="1" t="s">
        <v>1525</v>
      </c>
      <c r="M100" s="1" t="str">
        <f>IFERROR(__xludf.DUMMYFUNCTION("GOOGLETRANSLATE(L:L, ""en"", ""te"")"),"అవ్రో")</f>
        <v>అవ్రో</v>
      </c>
      <c r="N100" s="3" t="s">
        <v>1526</v>
      </c>
      <c r="AT100" s="1" t="s">
        <v>1654</v>
      </c>
      <c r="AU100" s="1" t="s">
        <v>1655</v>
      </c>
    </row>
    <row r="101">
      <c r="A101" s="1" t="s">
        <v>1656</v>
      </c>
      <c r="B101" s="1" t="str">
        <f>IFERROR(__xludf.DUMMYFUNCTION("GOOGLETRANSLATE(A:A, ""en"", ""te"")"),"అజ్క్రేట్ O-E-1")</f>
        <v>అజ్క్రేట్ O-E-1</v>
      </c>
      <c r="C101" s="1" t="s">
        <v>1657</v>
      </c>
      <c r="D101" s="1" t="str">
        <f>IFERROR(__xludf.DUMMYFUNCTION("GOOGLETRANSLATE(C:C, ""en"", ""te"")"),"అజ్క్రేట్ O-E-1 1920 ల చివరలో మెక్సికోలో అభివృద్ధి చేయబడిన నిఘా-బాంబర్ విమానం. దీనిని జనరల్ బ్రిగేడియర్ జువాన్ ఫ్రాన్సిస్కో అజ్క్రేట్ రూపొందించారు మరియు మెక్సికో నగరానికి సమీపంలో ఉన్న టిఎన్‌సిఎ వర్క్‌షాప్‌లలో నిర్మించారు. ట్రైనర్ వెర్షన్, అజ్క్రేట్ ఇ -1 ("&amp;"ఎస్క్యూలా కోసం) కూడా నిర్మించబడింది. ఇది టెయిల్‌స్కిడ్ అండర్ క్యారేజీతో సాంప్రదాయిక కాన్ఫిగరేషన్ యొక్క సెస్క్విప్లేన్, మరియు సిబ్బందిని సమిష్టిగా, ఓపెన్ కాక్‌పిట్స్‌లో కూర్చోవడం. రకాలను కొన్నిసార్లు సమిష్టిగా ""అజ్క్రేట్ సెస్క్విప్లేన్"" (స్పానిష్ భాషలో స"&amp;"ెస్క్విప్లానో) అని పిలుస్తారు. 30 సెప్టెంబర్ 1928 న, పైలట్ గుస్టావో లియోన్ మరియు సబ్‌టెనెంటె మరియు మెకానిక్ రికార్డో గొంజాలెజ్ O-E-1 లో మెక్సికో యొక్క వైమానిక ప్రదక్షిణకు బయలుదేరారు. 58 కాళ్ళలో నిర్వహించిన వారు డిసెంబర్ 18 న తమ 10,986 కిమీ (6,826 మైళ్ళు) "&amp;"విమానాలను పూర్తి చేశారు. సాధారణ లక్షణాల పనితీరు")</f>
        <v>అజ్క్రేట్ O-E-1 1920 ల చివరలో మెక్సికోలో అభివృద్ధి చేయబడిన నిఘా-బాంబర్ విమానం. దీనిని జనరల్ బ్రిగేడియర్ జువాన్ ఫ్రాన్సిస్కో అజ్క్రేట్ రూపొందించారు మరియు మెక్సికో నగరానికి సమీపంలో ఉన్న టిఎన్‌సిఎ వర్క్‌షాప్‌లలో నిర్మించారు. ట్రైనర్ వెర్షన్, అజ్క్రేట్ ఇ -1 (ఎస్క్యూలా కోసం) కూడా నిర్మించబడింది. ఇది టెయిల్‌స్కిడ్ అండర్ క్యారేజీతో సాంప్రదాయిక కాన్ఫిగరేషన్ యొక్క సెస్క్విప్లేన్, మరియు సిబ్బందిని సమిష్టిగా, ఓపెన్ కాక్‌పిట్స్‌లో కూర్చోవడం. రకాలను కొన్నిసార్లు సమిష్టిగా "అజ్క్రేట్ సెస్క్విప్లేన్" (స్పానిష్ భాషలో సెస్క్విప్లానో) అని పిలుస్తారు. 30 సెప్టెంబర్ 1928 న, పైలట్ గుస్టావో లియోన్ మరియు సబ్‌టెనెంటె మరియు మెకానిక్ రికార్డో గొంజాలెజ్ O-E-1 లో మెక్సికో యొక్క వైమానిక ప్రదక్షిణకు బయలుదేరారు. 58 కాళ్ళలో నిర్వహించిన వారు డిసెంబర్ 18 న తమ 10,986 కిమీ (6,826 మైళ్ళు) విమానాలను పూర్తి చేశారు. సాధారణ లక్షణాల పనితీరు</v>
      </c>
      <c r="E101" s="1" t="s">
        <v>1658</v>
      </c>
      <c r="F101" s="1" t="s">
        <v>1659</v>
      </c>
      <c r="G101" s="1" t="str">
        <f>IFERROR(__xludf.DUMMYFUNCTION("GOOGLETRANSLATE(F:F, ""en"", ""te"")"),"నిఘా బాంబర్")</f>
        <v>నిఘా బాంబర్</v>
      </c>
      <c r="L101" s="1" t="s">
        <v>1660</v>
      </c>
      <c r="M101" s="1" t="str">
        <f>IFERROR(__xludf.DUMMYFUNCTION("GOOGLETRANSLATE(L:L, ""en"", ""te"")"),"TNCA")</f>
        <v>TNCA</v>
      </c>
      <c r="N101" s="3" t="s">
        <v>1661</v>
      </c>
      <c r="Q101" s="1">
        <v>1.0</v>
      </c>
      <c r="S101" s="1" t="s">
        <v>1662</v>
      </c>
      <c r="U101" s="1" t="s">
        <v>1663</v>
      </c>
      <c r="V101" s="1" t="s">
        <v>1664</v>
      </c>
      <c r="W101" s="1" t="s">
        <v>1665</v>
      </c>
      <c r="X101" s="1" t="s">
        <v>1666</v>
      </c>
      <c r="AA101" s="1" t="s">
        <v>1667</v>
      </c>
      <c r="AH101" s="1" t="s">
        <v>1668</v>
      </c>
      <c r="AI101" s="1" t="s">
        <v>1669</v>
      </c>
      <c r="AJ101" s="1">
        <v>1928.0</v>
      </c>
      <c r="AM101" s="1" t="s">
        <v>1670</v>
      </c>
      <c r="AP101" s="1" t="s">
        <v>1671</v>
      </c>
      <c r="AQ101" s="1" t="s">
        <v>1672</v>
      </c>
      <c r="AR101" s="1" t="s">
        <v>1673</v>
      </c>
      <c r="CG101" s="3" t="s">
        <v>1674</v>
      </c>
    </row>
    <row r="102">
      <c r="A102" s="1" t="s">
        <v>1675</v>
      </c>
      <c r="B102" s="1" t="str">
        <f>IFERROR(__xludf.DUMMYFUNCTION("GOOGLETRANSLATE(A:A, ""en"", ""te"")"),"ఏరో సర్వీసెస్ గుపార్డ్ గుపార్డ్ 912")</f>
        <v>ఏరో సర్వీసెస్ గుపార్డ్ గుపార్డ్ 912</v>
      </c>
      <c r="C102" s="1" t="s">
        <v>1676</v>
      </c>
      <c r="D102" s="1" t="str">
        <f>IFERROR(__xludf.DUMMYFUNCTION("GOOGLETRANSLATE(C:C, ""en"", ""te"")"),"ఏరో సర్వీసెస్ గుపార్డ్ గుపార్డ్ 912 (ఇంగ్లీష్: చిరుత) అనేది ఫ్రెంచ్ రెండు-సీట్ల మైక్రోలైట్ క్యాబిన్ మోనోప్లేన్, ఇది FAI మైక్రోలైట్ ప్రమాణాన్ని తీర్చడానికి ఏరో సర్వీసెస్ గుపార్డ్ రూపొందించింది మరియు నిర్మించబడింది, ఇది te త్సాహిక నిర్మాణానికి భాగాల కిట్‌గా"&amp;" కూడా విక్రయించబడింది. [1] నీరీ గుపార్డ్ 912 అనేది బ్రేస్డ్ హై-మౌంటెడ్ వింగ్ ఉన్న క్యాబిన్ మోనోప్లేన్, ఇది స్థిర ట్రైసైకిల్ ల్యాండింగ్ గేర్ మరియు పక్కపక్కనే కాన్ఫిగరేషన్‌లో కూర్చున్న రెండు కోసం పరివేష్టిత క్యాబిన్ కలిగి ఉంది. [1] గౌపార్డ్ వెల్డెడ్ స్టీల్ "&amp;"ట్యూబ్ నుండి విమాన ఫాబ్రిక్ కవరింగ్‌తో నిర్మించబడింది, కానీ రివర్టెడ్ స్టీల్ కవరింగ్‌తో కూడా లభిస్తుంది. [1] 65 నుండి 100 హెచ్‌పి (48 నుండి 75 కిలోవాట్) 80 హెచ్‌పి (60 కిలోవాట్) రోటాక్స్ 912 లేదా 100 హెచ్‌పి (75 కిలోవాట్) రోటాక్స్ 912 లు సాధారణంగా ఉపయోగిం"&amp;"చబడుతున్నాయి. [1] [2] [1] [2 నటించు వరల్డ్ డైరెక్టరీ ఆఫ్ లీజర్ ఏవియేషన్ 2005/2006 మరియు 2015/16 నుండి డేటా [1] [3] సాధారణ లక్షణాల పనితీరు")</f>
        <v>ఏరో సర్వీసెస్ గుపార్డ్ గుపార్డ్ 912 (ఇంగ్లీష్: చిరుత) అనేది ఫ్రెంచ్ రెండు-సీట్ల మైక్రోలైట్ క్యాబిన్ మోనోప్లేన్, ఇది FAI మైక్రోలైట్ ప్రమాణాన్ని తీర్చడానికి ఏరో సర్వీసెస్ గుపార్డ్ రూపొందించింది మరియు నిర్మించబడింది, ఇది te త్సాహిక నిర్మాణానికి భాగాల కిట్‌గా కూడా విక్రయించబడింది. [1] నీరీ గుపార్డ్ 912 అనేది బ్రేస్డ్ హై-మౌంటెడ్ వింగ్ ఉన్న క్యాబిన్ మోనోప్లేన్, ఇది స్థిర ట్రైసైకిల్ ల్యాండింగ్ గేర్ మరియు పక్కపక్కనే కాన్ఫిగరేషన్‌లో కూర్చున్న రెండు కోసం పరివేష్టిత క్యాబిన్ కలిగి ఉంది. [1] గౌపార్డ్ వెల్డెడ్ స్టీల్ ట్యూబ్ నుండి విమాన ఫాబ్రిక్ కవరింగ్‌తో నిర్మించబడింది, కానీ రివర్టెడ్ స్టీల్ కవరింగ్‌తో కూడా లభిస్తుంది. [1] 65 నుండి 100 హెచ్‌పి (48 నుండి 75 కిలోవాట్) 80 హెచ్‌పి (60 కిలోవాట్) రోటాక్స్ 912 లేదా 100 హెచ్‌పి (75 కిలోవాట్) రోటాక్స్ 912 లు సాధారణంగా ఉపయోగించబడుతున్నాయి. [1] [2] [1] [2 నటించు వరల్డ్ డైరెక్టరీ ఆఫ్ లీజర్ ఏవియేషన్ 2005/2006 మరియు 2015/16 నుండి డేటా [1] [3] సాధారణ లక్షణాల పనితీరు</v>
      </c>
      <c r="E102" s="1" t="s">
        <v>1677</v>
      </c>
      <c r="F102" s="1" t="s">
        <v>1397</v>
      </c>
      <c r="G102" s="1" t="str">
        <f>IFERROR(__xludf.DUMMYFUNCTION("GOOGLETRANSLATE(F:F, ""en"", ""te"")"),"మైక్రోలైట్ క్యాబిన్ మోనోప్లేన్")</f>
        <v>మైక్రోలైట్ క్యాబిన్ మోనోప్లేన్</v>
      </c>
      <c r="H102" s="1" t="s">
        <v>1398</v>
      </c>
      <c r="I102" s="1" t="s">
        <v>646</v>
      </c>
      <c r="J102" s="1" t="str">
        <f>IFERROR(__xludf.DUMMYFUNCTION("GOOGLETRANSLATE(I:I, ""en"", ""te"")"),"ఫ్రాన్స్")</f>
        <v>ఫ్రాన్స్</v>
      </c>
      <c r="L102" s="1" t="s">
        <v>1399</v>
      </c>
      <c r="M102" s="1" t="str">
        <f>IFERROR(__xludf.DUMMYFUNCTION("GOOGLETRANSLATE(L:L, ""en"", ""te"")"),"ఏరో సర్వీసెస్ గుపార్డ్")</f>
        <v>ఏరో సర్వీసెస్ గుపార్డ్</v>
      </c>
      <c r="N102" s="1" t="s">
        <v>1400</v>
      </c>
      <c r="S102" s="1" t="s">
        <v>133</v>
      </c>
      <c r="T102" s="1" t="s">
        <v>134</v>
      </c>
      <c r="V102" s="1" t="s">
        <v>1678</v>
      </c>
      <c r="W102" s="1" t="s">
        <v>1679</v>
      </c>
      <c r="X102" s="1" t="s">
        <v>1680</v>
      </c>
      <c r="Z102" s="1" t="s">
        <v>1681</v>
      </c>
      <c r="AA102" s="1" t="s">
        <v>1682</v>
      </c>
      <c r="AB102" s="1" t="s">
        <v>1683</v>
      </c>
      <c r="AC102" s="1" t="s">
        <v>1405</v>
      </c>
      <c r="AD102" s="1" t="s">
        <v>193</v>
      </c>
      <c r="AF102" s="1" t="s">
        <v>529</v>
      </c>
      <c r="AN102" s="1" t="s">
        <v>1406</v>
      </c>
      <c r="AP102" s="1" t="s">
        <v>235</v>
      </c>
    </row>
    <row r="103">
      <c r="A103" s="1" t="s">
        <v>1684</v>
      </c>
      <c r="B103" s="1" t="str">
        <f>IFERROR(__xludf.DUMMYFUNCTION("GOOGLETRANSLATE(A:A, ""en"", ""te"")"),"BRM అర్గోస్")</f>
        <v>BRM అర్గోస్</v>
      </c>
      <c r="C103" s="1" t="s">
        <v>1685</v>
      </c>
      <c r="D103" s="1" t="str">
        <f>IFERROR(__xludf.DUMMYFUNCTION("GOOGLETRANSLATE(C:C, ""en"", ""te"")"),"BRM అర్గోస్ అనేది పోర్చుగీస్ అల్ట్రాలైట్ విమానం, ఇది BRM COSTRUYES ఏరోనాటికాస్ చేత రూపొందించబడింది మరియు ఉత్పత్తి చేయబడింది. ఈ విమానం te త్సాహిక నిర్మాణానికి కిట్‌గా సరఫరా చేయబడుతుంది. [1] [2] అర్గోస్ ఫెడెరేషన్ ఏరోనటిక్ ఇంటర్నేషనల్ మైక్రోలైట్ నిబంధనలకు అన"&amp;"ుగుణంగా రూపొందించబడింది. ఇది కాంటిలివర్ లో-వింగ్, రెండు-సీట్ల-సైడ్-సైడ్-సైడ్ కాన్ఫిగరేషన్ పరివేష్టిత కాక్‌పిట్, స్థిర ట్రైసైకిల్ ల్యాండింగ్ గేర్ మరియు ట్రాక్టర్ కాన్ఫిగరేషన్‌లో ఒకే ఇంజిన్ కలిగి ఉంది. [1] [2] ఈ విమానం 6061-టి 6 అల్యూమినియం షీట్ నుండి తయారు"&amp;" చేయబడింది, దాని కాక్‌పిట్ స్టీల్ రోల్-ఓవర్ రక్షణతో బలోపేతం అవుతుంది. దాని 8.4 మీ (27.6 అడుగులు) స్పాన్ వింగ్ 11.6 మీ 2 (125 చదరపు అడుగులు) మరియు విద్యుత్ యాక్చుయేటెడ్ ఫ్లాప్‌లను కలిగి ఉంది. ప్రామాణిక ఇంజన్లు 100 హెచ్‌పి (75 కిలోవాట్ల) రోటాక్స్ 912లు, 85 "&amp;"హెచ్‌పి (63 కిలోవాట్) జబిరు 2200 మరియు 120 హెచ్‌పి (89 కిలోవాట్) జబిరు 3300 నాలుగు-స్ట్రోక్ పవర్‌ప్లాంట్లు. కాక్‌పిట్ యాక్సెస్ రెండు గల్-రెక్కల తలుపుల ద్వారా [1] [2] బేయర్ల్ మరియు BRM COSTRUYES ఏరోనెటికాస్, [1] [3] సాధారణ లక్షణాల పనితీరు")</f>
        <v>BRM అర్గోస్ అనేది పోర్చుగీస్ అల్ట్రాలైట్ విమానం, ఇది BRM COSTRUYES ఏరోనాటికాస్ చేత రూపొందించబడింది మరియు ఉత్పత్తి చేయబడింది. ఈ విమానం te త్సాహిక నిర్మాణానికి కిట్‌గా సరఫరా చేయబడుతుంది. [1] [2] అర్గోస్ ఫెడెరేషన్ ఏరోనటిక్ ఇంటర్నేషనల్ మైక్రోలైట్ నిబంధనలకు అనుగుణంగా రూపొందించబడింది. ఇది కాంటిలివర్ లో-వింగ్, రెండు-సీట్ల-సైడ్-సైడ్-సైడ్ కాన్ఫిగరేషన్ పరివేష్టిత కాక్‌పిట్, స్థిర ట్రైసైకిల్ ల్యాండింగ్ గేర్ మరియు ట్రాక్టర్ కాన్ఫిగరేషన్‌లో ఒకే ఇంజిన్ కలిగి ఉంది. [1] [2] ఈ విమానం 6061-టి 6 అల్యూమినియం షీట్ నుండి తయారు చేయబడింది, దాని కాక్‌పిట్ స్టీల్ రోల్-ఓవర్ రక్షణతో బలోపేతం అవుతుంది. దాని 8.4 మీ (27.6 అడుగులు) స్పాన్ వింగ్ 11.6 మీ 2 (125 చదరపు అడుగులు) మరియు విద్యుత్ యాక్చుయేటెడ్ ఫ్లాప్‌లను కలిగి ఉంది. ప్రామాణిక ఇంజన్లు 100 హెచ్‌పి (75 కిలోవాట్ల) రోటాక్స్ 912లు, 85 హెచ్‌పి (63 కిలోవాట్) జబిరు 2200 మరియు 120 హెచ్‌పి (89 కిలోవాట్) జబిరు 3300 నాలుగు-స్ట్రోక్ పవర్‌ప్లాంట్లు. కాక్‌పిట్ యాక్సెస్ రెండు గల్-రెక్కల తలుపుల ద్వారా [1] [2] బేయర్ల్ మరియు BRM COSTRUYES ఏరోనెటికాస్, [1] [3] సాధారణ లక్షణాల పనితీరు</v>
      </c>
      <c r="F103" s="1" t="s">
        <v>1133</v>
      </c>
      <c r="G103" s="1" t="str">
        <f>IFERROR(__xludf.DUMMYFUNCTION("GOOGLETRANSLATE(F:F, ""en"", ""te"")"),"అల్ట్రాలైట్ విమానం")</f>
        <v>అల్ట్రాలైట్ విమానం</v>
      </c>
      <c r="H103" s="1" t="s">
        <v>1134</v>
      </c>
      <c r="I103" s="1" t="s">
        <v>1686</v>
      </c>
      <c r="J103" s="1" t="str">
        <f>IFERROR(__xludf.DUMMYFUNCTION("GOOGLETRANSLATE(I:I, ""en"", ""te"")"),"పోర్చుగల్")</f>
        <v>పోర్చుగల్</v>
      </c>
      <c r="K103" s="3" t="s">
        <v>1687</v>
      </c>
      <c r="L103" s="1" t="s">
        <v>1688</v>
      </c>
      <c r="M103" s="1" t="str">
        <f>IFERROR(__xludf.DUMMYFUNCTION("GOOGLETRANSLATE(L:L, ""en"", ""te"")"),"BRM COSTRUYSEES ఏరోనెటికాస్")</f>
        <v>BRM COSTRUYSEES ఏరోనెటికాస్</v>
      </c>
      <c r="N103" s="1" t="s">
        <v>1689</v>
      </c>
      <c r="O103" s="1" t="s">
        <v>885</v>
      </c>
      <c r="P103" s="1" t="str">
        <f>IFERROR(__xludf.DUMMYFUNCTION("GOOGLETRANSLATE(O:O, ""en"", ""te"")"),"ఉత్పత్తిలో (2015)")</f>
        <v>ఉత్పత్తిలో (2015)</v>
      </c>
      <c r="S103" s="1" t="s">
        <v>133</v>
      </c>
      <c r="T103" s="1" t="s">
        <v>134</v>
      </c>
      <c r="U103" s="1" t="s">
        <v>1690</v>
      </c>
      <c r="V103" s="1" t="s">
        <v>579</v>
      </c>
      <c r="W103" s="1" t="s">
        <v>1691</v>
      </c>
      <c r="Y103" s="1" t="s">
        <v>252</v>
      </c>
      <c r="Z103" s="1" t="s">
        <v>527</v>
      </c>
      <c r="AA103" s="1" t="s">
        <v>1692</v>
      </c>
      <c r="AC103" s="1" t="s">
        <v>235</v>
      </c>
      <c r="AD103" s="1" t="s">
        <v>257</v>
      </c>
      <c r="AM103" s="1" t="s">
        <v>1290</v>
      </c>
      <c r="AP103" s="1" t="s">
        <v>397</v>
      </c>
      <c r="AR103" s="1" t="s">
        <v>1693</v>
      </c>
      <c r="AX103" s="1" t="s">
        <v>1451</v>
      </c>
    </row>
    <row r="104">
      <c r="A104" s="1" t="s">
        <v>1596</v>
      </c>
      <c r="B104" s="1" t="str">
        <f>IFERROR(__xludf.DUMMYFUNCTION("GOOGLETRANSLATE(A:A, ""en"", ""te"")"),"ఆంటోనిట్టే VI")</f>
        <v>ఆంటోనిట్టే VI</v>
      </c>
      <c r="C104" s="1" t="s">
        <v>1694</v>
      </c>
      <c r="D104" s="1" t="str">
        <f>IFERROR(__xludf.DUMMYFUNCTION("GOOGLETRANSLATE(C:C, ""en"", ""te"")"),"ఆంటోనిట్టే VI ఒక ప్రారంభ ఫ్రెంచ్ విమానం, ఇది 1909 లో విరిగింది. ఇది ఆంటోనిట్టే IV యొక్క అభివృద్ధి, దీని ప్రధాన సాంకేతిక పురోగతి ఇది నిజమైన ఐలెరాన్‌లతో అమర్చబడి ఉంది, అయితే పూర్వ విమానం వెనుకంజలో ఉన్న అంచులలో ప్రత్యేక ఉపరితలాలుగా అమర్చబడి ఉంది రెక్కలు. ఏదే"&amp;"మైనా, లెవావాస్సీర్ ఈ ఆవిష్కరణతో సంతృప్తి చెందలేదు మరియు తరువాత ఆంటోనిట్టే వి.")</f>
        <v>ఆంటోనిట్టే VI ఒక ప్రారంభ ఫ్రెంచ్ విమానం, ఇది 1909 లో విరిగింది. ఇది ఆంటోనిట్టే IV యొక్క అభివృద్ధి, దీని ప్రధాన సాంకేతిక పురోగతి ఇది నిజమైన ఐలెరాన్‌లతో అమర్చబడి ఉంది, అయితే పూర్వ విమానం వెనుకంజలో ఉన్న అంచులలో ప్రత్యేక ఉపరితలాలుగా అమర్చబడి ఉంది రెక్కలు. ఏదేమైనా, లెవావాస్సీర్ ఈ ఆవిష్కరణతో సంతృప్తి చెందలేదు మరియు తరువాత ఆంటోనిట్టే వి.</v>
      </c>
      <c r="F104" s="1" t="s">
        <v>430</v>
      </c>
      <c r="G104" s="1" t="str">
        <f>IFERROR(__xludf.DUMMYFUNCTION("GOOGLETRANSLATE(F:F, ""en"", ""te"")"),"ప్రయోగాత్మక విమానం")</f>
        <v>ప్రయోగాత్మక విమానం</v>
      </c>
      <c r="L104" s="1" t="s">
        <v>1587</v>
      </c>
      <c r="M104" s="1" t="str">
        <f>IFERROR(__xludf.DUMMYFUNCTION("GOOGLETRANSLATE(L:L, ""en"", ""te"")"),"అంటోనిట్టే")</f>
        <v>అంటోనిట్టే</v>
      </c>
      <c r="N104" s="3" t="s">
        <v>1588</v>
      </c>
      <c r="AH104" s="1" t="s">
        <v>1589</v>
      </c>
      <c r="AI104" s="1" t="s">
        <v>1590</v>
      </c>
      <c r="AJ104" s="1">
        <v>1909.0</v>
      </c>
    </row>
    <row r="105">
      <c r="A105" s="1" t="s">
        <v>1695</v>
      </c>
      <c r="B105" s="1" t="str">
        <f>IFERROR(__xludf.DUMMYFUNCTION("GOOGLETRANSLATE(A:A, ""en"", ""te"")"),"ఆస్టర్ ఐగ్లెట్ ట్రైనర్")</f>
        <v>ఆస్టర్ ఐగ్లెట్ ట్రైనర్</v>
      </c>
      <c r="C105" s="1" t="s">
        <v>1696</v>
      </c>
      <c r="D105" s="1" t="str">
        <f>IFERROR(__xludf.DUMMYFUNCTION("GOOGLETRANSLATE(C:C, ""en"", ""te"")"),"ఆస్టర్ J/5 ఐగ్లెట్ ట్రైనర్ 1950 ల బ్రిటిష్ సింగిల్-ఇంజిన్ నాలుగు-సీట్ల హై-వింగ్ ట్రైనింగ్ మరియు టూరింగ్ మోనోప్లేన్, లీసెస్టర్షైర్లోని రియర్స్బై వద్ద ఆస్టర్ ఎయిర్క్రాఫ్ట్ లిమిటెడ్ నిర్మించారు. దాని పేరు ఉన్నప్పటికీ, విమాన రకానికి ఆస్టర్ జె/1 బి ఐగ్లెట్‌తో "&amp;"సంబంధం లేదు, ఇది ఆస్టర్ జె/5 ఆటోకార్ యొక్క ఏరోబాటిక్ అభివృద్ధి. ఐగ్లెట్ ట్రైనర్ కొత్త రెక్కలతో J/5 ఫ్యూజ్‌లేజ్ ఆధారంగా మరియు ఏరోబాటిక్స్ కోసం నొక్కిచెప్పారు. ఈ నమూనా మొదట 2 జూన్ 1951 న ప్రయాణించింది. చాలా మంది ఐగ్లెట్ శిక్షకులను ప్రైవేట్ పైలట్లు మరియు ఫ్ల"&amp;"యింగ్ క్లబ్‌లు కొనుగోలు చేశారు, కాని 15 మంది పాకిస్తాన్ వైమానిక దళానికి, 14 ఇరాన్ సివిల్ ఏవియేషన్ క్లబ్‌కు మరియు రెండు లెబనీస్ వైమానిక దళానికి వెళ్ళారు. [1] జోర్డాన్ డేటా జేన్ యొక్క ఆల్ ది వరల్డ్ విమానాల నుండి 1955–56 [4] వికీమీడియా కామన్స్ వద్ద ఆస్టర్ ఐగ"&amp;"్లెట్ ట్రైనర్‌కు సంబంధించిన సాధారణ లక్షణాల పనితీరు మీడియా")</f>
        <v>ఆస్టర్ J/5 ఐగ్లెట్ ట్రైనర్ 1950 ల బ్రిటిష్ సింగిల్-ఇంజిన్ నాలుగు-సీట్ల హై-వింగ్ ట్రైనింగ్ మరియు టూరింగ్ మోనోప్లేన్, లీసెస్టర్షైర్లోని రియర్స్బై వద్ద ఆస్టర్ ఎయిర్క్రాఫ్ట్ లిమిటెడ్ నిర్మించారు. దాని పేరు ఉన్నప్పటికీ, విమాన రకానికి ఆస్టర్ జె/1 బి ఐగ్లెట్‌తో సంబంధం లేదు, ఇది ఆస్టర్ జె/5 ఆటోకార్ యొక్క ఏరోబాటిక్ అభివృద్ధి. ఐగ్లెట్ ట్రైనర్ కొత్త రెక్కలతో J/5 ఫ్యూజ్‌లేజ్ ఆధారంగా మరియు ఏరోబాటిక్స్ కోసం నొక్కిచెప్పారు. ఈ నమూనా మొదట 2 జూన్ 1951 న ప్రయాణించింది. చాలా మంది ఐగ్లెట్ శిక్షకులను ప్రైవేట్ పైలట్లు మరియు ఫ్లయింగ్ క్లబ్‌లు కొనుగోలు చేశారు, కాని 15 మంది పాకిస్తాన్ వైమానిక దళానికి, 14 ఇరాన్ సివిల్ ఏవియేషన్ క్లబ్‌కు మరియు రెండు లెబనీస్ వైమానిక దళానికి వెళ్ళారు. [1] జోర్డాన్ డేటా జేన్ యొక్క ఆల్ ది వరల్డ్ విమానాల నుండి 1955–56 [4] వికీమీడియా కామన్స్ వద్ద ఆస్టర్ ఐగ్లెట్ ట్రైనర్‌కు సంబంధించిన సాధారణ లక్షణాల పనితీరు మీడియా</v>
      </c>
      <c r="E105" s="1" t="s">
        <v>1697</v>
      </c>
      <c r="F105" s="1" t="s">
        <v>1698</v>
      </c>
      <c r="G105" s="1" t="str">
        <f>IFERROR(__xludf.DUMMYFUNCTION("GOOGLETRANSLATE(F:F, ""en"", ""te"")"),"వాయు తట్టు")</f>
        <v>వాయు తట్టు</v>
      </c>
      <c r="L105" s="1" t="s">
        <v>1456</v>
      </c>
      <c r="M105" s="1" t="str">
        <f>IFERROR(__xludf.DUMMYFUNCTION("GOOGLETRANSLATE(L:L, ""en"", ""te"")"),"ఆస్టర్ ఎయిర్క్రాఫ్ట్ లిమిటెడ్")</f>
        <v>ఆస్టర్ ఎయిర్క్రాఫ్ట్ లిమిటెడ్</v>
      </c>
      <c r="N105" s="1" t="s">
        <v>1457</v>
      </c>
      <c r="Q105" s="1">
        <v>77.0</v>
      </c>
      <c r="R105" s="1" t="s">
        <v>1699</v>
      </c>
      <c r="S105" s="1" t="s">
        <v>342</v>
      </c>
      <c r="U105" s="1" t="s">
        <v>1700</v>
      </c>
      <c r="V105" s="1" t="s">
        <v>1701</v>
      </c>
      <c r="W105" s="1" t="s">
        <v>1702</v>
      </c>
      <c r="X105" s="1" t="s">
        <v>1703</v>
      </c>
      <c r="AA105" s="1" t="s">
        <v>1704</v>
      </c>
      <c r="AC105" s="1" t="s">
        <v>1705</v>
      </c>
      <c r="AD105" s="1" t="s">
        <v>1706</v>
      </c>
      <c r="AE105" s="1" t="s">
        <v>1707</v>
      </c>
      <c r="AF105" s="1" t="s">
        <v>1708</v>
      </c>
      <c r="AJ105" s="1">
        <v>1951.0</v>
      </c>
      <c r="AL105" s="1" t="s">
        <v>1709</v>
      </c>
      <c r="AM105" s="1" t="s">
        <v>1710</v>
      </c>
      <c r="AN105" s="1" t="s">
        <v>1711</v>
      </c>
      <c r="AP105" s="1" t="s">
        <v>1340</v>
      </c>
      <c r="AR105" s="1" t="s">
        <v>1712</v>
      </c>
      <c r="AT105" s="1" t="s">
        <v>1713</v>
      </c>
      <c r="AU105" s="1" t="s">
        <v>1714</v>
      </c>
      <c r="BP105" s="1" t="s">
        <v>1715</v>
      </c>
      <c r="CG105" s="3" t="s">
        <v>1716</v>
      </c>
      <c r="CY105" s="1" t="s">
        <v>1717</v>
      </c>
      <c r="CZ105" s="1" t="s">
        <v>1718</v>
      </c>
    </row>
    <row r="106">
      <c r="A106" s="1" t="s">
        <v>1719</v>
      </c>
      <c r="B106" s="1" t="str">
        <f>IFERROR(__xludf.DUMMYFUNCTION("GOOGLETRANSLATE(A:A, ""en"", ""te"")"),"ఆస్టర్ అణువు")</f>
        <v>ఆస్టర్ అణువు</v>
      </c>
      <c r="C106" s="1" t="s">
        <v>1720</v>
      </c>
      <c r="D106" s="1" t="str">
        <f>IFERROR(__xludf.DUMMYFUNCTION("GOOGLETRANSLATE(C:C, ""en"", ""te"")"),"ఆస్టర్ J/3 అటామ్ 1940 ల బ్రిటిష్ సింగిల్-ఇంజిన్ రెండు-సీట్ల హై-వింగ్ టూరింగ్ మోనోప్లేన్, లీసెస్టర్షైర్లోని రియర్స్బై వద్ద ఆస్టర్ ఎయిర్క్రాఫ్ట్ లిమిటెడ్ నిర్మించబడింది. అణువు అనేది J-2 బాణం యొక్క తక్కువ శక్తితో కూడిన సంస్కరణను సృష్టించే ప్రయత్నం. సవరించిన "&amp;"బాణం 65 హెచ్‌పి కాంటినెంటల్ A65-12 ఇంజిన్‌తో ఎగురవేయబడింది మరియు J/3 అణువును నియమించింది. విమానం మరింత అభివృద్ధి చేయబడనందున రిజిస్టర్డ్ జి-అహ్సీ, (సి/ఎన్ 2250) ప్రోటోటైప్ మాత్రమే నిర్మించబడింది. మరొక ఉదాహరణ G-AJIJ (C/N 2401) పూర్తి కాలేదు. ఏకైక J/3 1950 ల"&amp;"ో రియర్‌బై వద్ద కూల్చివేయబడింది మరియు J/4 ప్రమాణానికి కొత్త రిజిస్ట్రేషన్ G-AJYX మరియు C/N 2941 తో పునర్నిర్మించబడింది. ఇది 22 ఏప్రిల్ 1951 న మెల్టన్ మౌబ్రే సమీపంలో కూలిపోయింది. [[పట్టు కుములి కాంటినెంటల్ A65 ఇంజిన్ స్థానంలో 95 HP బ్లాక్బర్న్ సిరస్ మైనర్ "&amp;"II ఉంది. ఈ విమానం అప్పటి నుండి CAA చేత నియంత్రించబడింది. సాధారణ లక్షణాల పనితీరు")</f>
        <v>ఆస్టర్ J/3 అటామ్ 1940 ల బ్రిటిష్ సింగిల్-ఇంజిన్ రెండు-సీట్ల హై-వింగ్ టూరింగ్ మోనోప్లేన్, లీసెస్టర్షైర్లోని రియర్స్బై వద్ద ఆస్టర్ ఎయిర్క్రాఫ్ట్ లిమిటెడ్ నిర్మించబడింది. అణువు అనేది J-2 బాణం యొక్క తక్కువ శక్తితో కూడిన సంస్కరణను సృష్టించే ప్రయత్నం. సవరించిన బాణం 65 హెచ్‌పి కాంటినెంటల్ A65-12 ఇంజిన్‌తో ఎగురవేయబడింది మరియు J/3 అణువును నియమించింది. విమానం మరింత అభివృద్ధి చేయబడనందున రిజిస్టర్డ్ జి-అహ్సీ, (సి/ఎన్ 2250) ప్రోటోటైప్ మాత్రమే నిర్మించబడింది. మరొక ఉదాహరణ G-AJIJ (C/N 2401) పూర్తి కాలేదు. ఏకైక J/3 1950 లో రియర్‌బై వద్ద కూల్చివేయబడింది మరియు J/4 ప్రమాణానికి కొత్త రిజిస్ట్రేషన్ G-AJYX మరియు C/N 2941 తో పునర్నిర్మించబడింది. ఇది 22 ఏప్రిల్ 1951 న మెల్టన్ మౌబ్రే సమీపంలో కూలిపోయింది. [[పట్టు కుములి కాంటినెంటల్ A65 ఇంజిన్ స్థానంలో 95 HP బ్లాక్బర్న్ సిరస్ మైనర్ II ఉంది. ఈ విమానం అప్పటి నుండి CAA చేత నియంత్రించబడింది. సాధారణ లక్షణాల పనితీరు</v>
      </c>
      <c r="F106" s="1" t="s">
        <v>1478</v>
      </c>
      <c r="G106" s="1" t="str">
        <f>IFERROR(__xludf.DUMMYFUNCTION("GOOGLETRANSLATE(F:F, ""en"", ""te"")"),"పర్యటన విమానం")</f>
        <v>పర్యటన విమానం</v>
      </c>
      <c r="L106" s="1" t="s">
        <v>1456</v>
      </c>
      <c r="M106" s="1" t="str">
        <f>IFERROR(__xludf.DUMMYFUNCTION("GOOGLETRANSLATE(L:L, ""en"", ""te"")"),"ఆస్టర్ ఎయిర్క్రాఫ్ట్ లిమిటెడ్")</f>
        <v>ఆస్టర్ ఎయిర్క్రాఫ్ట్ లిమిటెడ్</v>
      </c>
      <c r="N106" s="1" t="s">
        <v>1457</v>
      </c>
      <c r="Q106" s="1">
        <v>1.0</v>
      </c>
      <c r="S106" s="1">
        <v>1.0</v>
      </c>
      <c r="T106" s="1" t="s">
        <v>1721</v>
      </c>
      <c r="U106" s="1" t="s">
        <v>1722</v>
      </c>
      <c r="V106" s="1" t="s">
        <v>1202</v>
      </c>
      <c r="W106" s="1" t="s">
        <v>1413</v>
      </c>
      <c r="AA106" s="1" t="s">
        <v>1723</v>
      </c>
      <c r="AJ106" s="1">
        <v>1946.0</v>
      </c>
      <c r="AM106" s="1" t="s">
        <v>1468</v>
      </c>
      <c r="AN106" s="1" t="s">
        <v>1724</v>
      </c>
      <c r="AT106" s="1" t="s">
        <v>1725</v>
      </c>
      <c r="AU106" s="1" t="s">
        <v>1726</v>
      </c>
    </row>
    <row r="107">
      <c r="A107" s="1" t="s">
        <v>1727</v>
      </c>
      <c r="B107" s="1" t="str">
        <f>IFERROR(__xludf.DUMMYFUNCTION("GOOGLETRANSLATE(A:A, ""en"", ""te"")"),"ఆస్టర్ డి .4")</f>
        <v>ఆస్టర్ డి .4</v>
      </c>
      <c r="C107" s="1" t="s">
        <v>1728</v>
      </c>
      <c r="D107" s="1" t="str">
        <f>IFERROR(__xludf.DUMMYFUNCTION("GOOGLETRANSLATE(C:C, ""en"", ""te"")"),"ఆస్టర్ డి .4 రెండు-సీట్ల బ్రిటిష్ లైట్ విమానం, ఇది అడ్డంగా వ్యతిరేకించిన లైమింగ్ ఇంజిన్‌తో ఆస్టర్ బాణం యొక్క అభివృద్ధి, ఇది ఒక అనుసంధాన/శిక్షణా విమానానికి పోర్చుగీస్ వైమానిక దళం అవసరం నుండి ఉద్భవించింది. [1] ఆరు ఆస్టర్ విమానాలచే నిర్మించబడ్డాయి, లీసెస్టర్"&amp;"షైర్, ఫ్యాక్టరీ, వీటిలో ఐదుగురు పోర్చుగల్కు వెళ్ళాయి, మరియు మరో తొమ్మిది మంది పోర్చుగల్‌లో లైసెన్స్ కింద ఓఫసినాస్ గెరైస్ డి మెటెయల్ ఏరోనాటికో ఓగ్మా ఆస్టర్ నిర్మించిన మరియు రియర్‌బై నుండి రవాణా చేయబడిన భాగాల నుండి నిర్మించబడ్డాయి. [[(చేర్చుట అసలు ఒప్పందం 2"&amp;"5 సెట్ల భాగాల కోసం, కానీ ఇది అదనపు ఆస్టర్ D5/160 సెట్ల సంఖ్యకు అనుకూలంగా తగ్గించబడింది. [1] చాలా డి 4 విమానాలను పోర్చుగల్‌లో ప్రభుత్వ ప్రాయోజిత సమూహాలు నిర్వహిస్తున్నాయి. ఒక ఉదాహరణ UK ఆధారిత ప్రైవేట్ పైలట్ యజమాని యాజమాన్యంలోని ఇప్పటికీ చురుకుగా ఉంది (2018"&amp;"). 1919 నుండి బ్రిటిష్ సివిల్ ఎయిర్క్రాఫ్ట్ నుండి డేటా: వాల్యూమ్ I. [3] సాధారణ లక్షణాల పనితీరు")</f>
        <v>ఆస్టర్ డి .4 రెండు-సీట్ల బ్రిటిష్ లైట్ విమానం, ఇది అడ్డంగా వ్యతిరేకించిన లైమింగ్ ఇంజిన్‌తో ఆస్టర్ బాణం యొక్క అభివృద్ధి, ఇది ఒక అనుసంధాన/శిక్షణా విమానానికి పోర్చుగీస్ వైమానిక దళం అవసరం నుండి ఉద్భవించింది. [1] ఆరు ఆస్టర్ విమానాలచే నిర్మించబడ్డాయి, లీసెస్టర్షైర్, ఫ్యాక్టరీ, వీటిలో ఐదుగురు పోర్చుగల్కు వెళ్ళాయి, మరియు మరో తొమ్మిది మంది పోర్చుగల్‌లో లైసెన్స్ కింద ఓఫసినాస్ గెరైస్ డి మెటెయల్ ఏరోనాటికో ఓగ్మా ఆస్టర్ నిర్మించిన మరియు రియర్‌బై నుండి రవాణా చేయబడిన భాగాల నుండి నిర్మించబడ్డాయి. [[(చేర్చుట అసలు ఒప్పందం 25 సెట్ల భాగాల కోసం, కానీ ఇది అదనపు ఆస్టర్ D5/160 సెట్ల సంఖ్యకు అనుకూలంగా తగ్గించబడింది. [1] చాలా డి 4 విమానాలను పోర్చుగల్‌లో ప్రభుత్వ ప్రాయోజిత సమూహాలు నిర్వహిస్తున్నాయి. ఒక ఉదాహరణ UK ఆధారిత ప్రైవేట్ పైలట్ యజమాని యాజమాన్యంలోని ఇప్పటికీ చురుకుగా ఉంది (2018). 1919 నుండి బ్రిటిష్ సివిల్ ఎయిర్క్రాఫ్ట్ నుండి డేటా: వాల్యూమ్ I. [3] సాధారణ లక్షణాల పనితీరు</v>
      </c>
      <c r="E107" s="1" t="s">
        <v>1729</v>
      </c>
      <c r="F107" s="1" t="s">
        <v>1409</v>
      </c>
      <c r="G107" s="1" t="str">
        <f>IFERROR(__xludf.DUMMYFUNCTION("GOOGLETRANSLATE(F:F, ""en"", ""te"")"),"యుటిలిటీ విమానం")</f>
        <v>యుటిలిటీ విమానం</v>
      </c>
      <c r="L107" s="1" t="s">
        <v>1730</v>
      </c>
      <c r="M107" s="1" t="str">
        <f>IFERROR(__xludf.DUMMYFUNCTION("GOOGLETRANSLATE(L:L, ""en"", ""te"")"),"ఆస్టర్, ఓగ్మా")</f>
        <v>ఆస్టర్, ఓగ్మా</v>
      </c>
      <c r="N107" s="1" t="s">
        <v>1731</v>
      </c>
      <c r="O107" s="1" t="s">
        <v>1732</v>
      </c>
      <c r="P107" s="1" t="str">
        <f>IFERROR(__xludf.DUMMYFUNCTION("GOOGLETRANSLATE(O:O, ""en"", ""te"")"),"ఒక ఉదాహరణ 2018 లో UK లో ఇప్పటికీ చురుకుగా ఉంది")</f>
        <v>ఒక ఉదాహరణ 2018 లో UK లో ఇప్పటికీ చురుకుగా ఉంది</v>
      </c>
      <c r="Q107" s="1">
        <v>15.0</v>
      </c>
      <c r="S107" s="1">
        <v>1.0</v>
      </c>
      <c r="T107" s="1" t="s">
        <v>1733</v>
      </c>
      <c r="U107" s="1" t="s">
        <v>1734</v>
      </c>
      <c r="V107" s="1" t="s">
        <v>1461</v>
      </c>
      <c r="W107" s="1" t="s">
        <v>1413</v>
      </c>
      <c r="X107" s="1" t="s">
        <v>1735</v>
      </c>
      <c r="Y107" s="1" t="s">
        <v>1736</v>
      </c>
      <c r="AA107" s="1" t="s">
        <v>1737</v>
      </c>
      <c r="AC107" s="1" t="s">
        <v>1738</v>
      </c>
      <c r="AE107" s="1" t="s">
        <v>1739</v>
      </c>
      <c r="AF107" s="1" t="s">
        <v>1740</v>
      </c>
      <c r="AJ107" s="5">
        <v>21958.0</v>
      </c>
      <c r="AK107" s="1">
        <v>1960.0</v>
      </c>
      <c r="AM107" s="1" t="s">
        <v>1741</v>
      </c>
      <c r="AP107" s="1" t="s">
        <v>1705</v>
      </c>
      <c r="AR107" s="1" t="s">
        <v>1742</v>
      </c>
      <c r="AT107" s="1" t="s">
        <v>1475</v>
      </c>
      <c r="AU107" s="1" t="s">
        <v>1743</v>
      </c>
      <c r="BH107" s="1" t="s">
        <v>1744</v>
      </c>
      <c r="CG107" s="1" t="s">
        <v>1745</v>
      </c>
    </row>
    <row r="108">
      <c r="A108" s="1" t="s">
        <v>1605</v>
      </c>
      <c r="B108" s="1" t="str">
        <f>IFERROR(__xludf.DUMMYFUNCTION("GOOGLETRANSLATE(A:A, ""en"", ""te"")"),"అంటోనిట్టే IV")</f>
        <v>అంటోనిట్టే IV</v>
      </c>
      <c r="C108" s="1" t="s">
        <v>1746</v>
      </c>
      <c r="D108" s="1" t="str">
        <f>IFERROR(__xludf.DUMMYFUNCTION("GOOGLETRANSLATE(C:C, ""en"", ""te"")"),"ఆంటోనిట్టే IV ప్రారంభ ఫ్రెంచ్ మోనోప్లేన్. ఇది చాలా ఇరుకైన త్రిభుజాకార క్రాస్-సెక్షన్ మరియు క్రూసిఫార్మ్ తోకతో కూడిన అధిక-వింగ్ విమానం. తెడ్డు-బ్లేడెడ్ ట్రాక్టర్ ప్రొపెల్లర్‌ను నడుపుతున్న లియోన్ లెవావాస్సీర్ యొక్క సొంత డిజైన్ యొక్క V8 ఇంజిన్ ద్వారా శక్తిని"&amp;" అందించారు. పార్శ్వ నియంత్రణ మొదట పెద్ద త్రిభుజాకారంతో ప్రభావితమైంది, మరియు కొంతకాలం తరువాత ట్రాపెజోయిడల్-ప్లాన్‌ఫార్మ్ ఐలెరన్లు రెక్కల వెనుకంజలో ఉన్న అంచుకు అతుక్కొని ఉన్నాయి, అయినప్పటికీ వింగ్-వార్పింగ్ విమాన ట్రయల్స్‌లో ప్రారంభ దశలో ప్రత్యామ్నాయం చేయబడ"&amp;"ింది మరియు ఈ రకంలో మరింత ప్రభావవంతంగా నిరూపించబడింది. 1909 ఫిబ్రవరి 19 న, ఆంటోనెట్ IV మౌర్మెలోన్-లే-గ్రాండ్ వద్ద 5 కి.మీ (3.1 మైళ్ళు) ప్రయాణించింది, మరియు జూలై 19 న, హుబెర్ట్ లాథమ్ దానిలోని ఇంగ్లీష్ ఛానల్ను దాటడానికి ప్రయత్నించాడు, తయారు చేయడానికి ముందు స"&amp;"ంగట్టే నుండి 11 కిలోమీటర్ల (6.8 మైళ్ళు) కవర్ చేశాడు. ఇంజిన్ వైఫల్యం కారణంగా బలవంతపు నీటి ల్యాండింగ్. [1] [2] [3] [4] 3 అక్టోబర్ 1910 న, ఫ్రెంచ్ వ్యక్తి రెనే థామస్, ఆంటోనిట్టే IV ను ఎగురుతూ, బ్రిటిష్ ఆర్మీ కెప్టెన్ బెర్ట్రామ్ డిక్సన్ తో ided ీకొట్టింది, వె"&amp;"నుక భాగంలో తన ఫార్మాన్ III బిప్లేన్ను కొట్టడం ద్వారా. [5] పైలట్లు ఇద్దరూ ప్రాణాలతో బయటపడ్డారు, కాని డిక్సన్ చాలా తీవ్రంగా గాయపడ్డాడు, అతను మరలా ఎగరలేదు. [6] [7] [8] సాధారణ లక్షణాలు")</f>
        <v>ఆంటోనిట్టే IV ప్రారంభ ఫ్రెంచ్ మోనోప్లేన్. ఇది చాలా ఇరుకైన త్రిభుజాకార క్రాస్-సెక్షన్ మరియు క్రూసిఫార్మ్ తోకతో కూడిన అధిక-వింగ్ విమానం. తెడ్డు-బ్లేడెడ్ ట్రాక్టర్ ప్రొపెల్లర్‌ను నడుపుతున్న లియోన్ లెవావాస్సీర్ యొక్క సొంత డిజైన్ యొక్క V8 ఇంజిన్ ద్వారా శక్తిని అందించారు. పార్శ్వ నియంత్రణ మొదట పెద్ద త్రిభుజాకారంతో ప్రభావితమైంది, మరియు కొంతకాలం తరువాత ట్రాపెజోయిడల్-ప్లాన్‌ఫార్మ్ ఐలెరన్లు రెక్కల వెనుకంజలో ఉన్న అంచుకు అతుక్కొని ఉన్నాయి, అయినప్పటికీ వింగ్-వార్పింగ్ విమాన ట్రయల్స్‌లో ప్రారంభ దశలో ప్రత్యామ్నాయం చేయబడింది మరియు ఈ రకంలో మరింత ప్రభావవంతంగా నిరూపించబడింది. 1909 ఫిబ్రవరి 19 న, ఆంటోనెట్ IV మౌర్మెలోన్-లే-గ్రాండ్ వద్ద 5 కి.మీ (3.1 మైళ్ళు) ప్రయాణించింది, మరియు జూలై 19 న, హుబెర్ట్ లాథమ్ దానిలోని ఇంగ్లీష్ ఛానల్ను దాటడానికి ప్రయత్నించాడు, తయారు చేయడానికి ముందు సంగట్టే నుండి 11 కిలోమీటర్ల (6.8 మైళ్ళు) కవర్ చేశాడు. ఇంజిన్ వైఫల్యం కారణంగా బలవంతపు నీటి ల్యాండింగ్. [1] [2] [3] [4] 3 అక్టోబర్ 1910 న, ఫ్రెంచ్ వ్యక్తి రెనే థామస్, ఆంటోనిట్టే IV ను ఎగురుతూ, బ్రిటిష్ ఆర్మీ కెప్టెన్ బెర్ట్రామ్ డిక్సన్ తో ided ీకొట్టింది, వెనుక భాగంలో తన ఫార్మాన్ III బిప్లేన్ను కొట్టడం ద్వారా. [5] పైలట్లు ఇద్దరూ ప్రాణాలతో బయటపడ్డారు, కాని డిక్సన్ చాలా తీవ్రంగా గాయపడ్డాడు, అతను మరలా ఎగరలేదు. [6] [7] [8] సాధారణ లక్షణాలు</v>
      </c>
      <c r="E108" s="1" t="s">
        <v>1747</v>
      </c>
      <c r="F108" s="1" t="s">
        <v>430</v>
      </c>
      <c r="G108" s="1" t="str">
        <f>IFERROR(__xludf.DUMMYFUNCTION("GOOGLETRANSLATE(F:F, ""en"", ""te"")"),"ప్రయోగాత్మక విమానం")</f>
        <v>ప్రయోగాత్మక విమానం</v>
      </c>
      <c r="L108" s="1" t="s">
        <v>1587</v>
      </c>
      <c r="M108" s="1" t="str">
        <f>IFERROR(__xludf.DUMMYFUNCTION("GOOGLETRANSLATE(L:L, ""en"", ""te"")"),"అంటోనిట్టే")</f>
        <v>అంటోనిట్టే</v>
      </c>
      <c r="N108" s="3" t="s">
        <v>1588</v>
      </c>
      <c r="O108" s="1" t="s">
        <v>1748</v>
      </c>
      <c r="P108" s="1" t="str">
        <f>IFERROR(__xludf.DUMMYFUNCTION("GOOGLETRANSLATE(O:O, ""en"", ""te"")"),"ధ్వంసమైంది")</f>
        <v>ధ్వంసమైంది</v>
      </c>
      <c r="Q108" s="1">
        <v>1.0</v>
      </c>
      <c r="S108" s="1" t="s">
        <v>1749</v>
      </c>
      <c r="U108" s="1" t="s">
        <v>1750</v>
      </c>
      <c r="V108" s="1" t="s">
        <v>1751</v>
      </c>
      <c r="W108" s="1" t="s">
        <v>1752</v>
      </c>
      <c r="X108" s="1" t="s">
        <v>1753</v>
      </c>
      <c r="AA108" s="1" t="s">
        <v>1754</v>
      </c>
      <c r="AH108" s="1" t="s">
        <v>1589</v>
      </c>
      <c r="AI108" s="1" t="s">
        <v>1590</v>
      </c>
      <c r="AJ108" s="1" t="s">
        <v>1755</v>
      </c>
    </row>
    <row r="109">
      <c r="A109" s="1" t="s">
        <v>1756</v>
      </c>
      <c r="B109" s="1" t="str">
        <f>IFERROR(__xludf.DUMMYFUNCTION("GOOGLETRANSLATE(A:A, ""en"", ""te"")"),"అవ్రో క్లబ్ క్యాడెట్")</f>
        <v>అవ్రో క్లబ్ క్యాడెట్</v>
      </c>
      <c r="C109" s="1" t="s">
        <v>1757</v>
      </c>
      <c r="D109" s="1" t="str">
        <f>IFERROR(__xludf.DUMMYFUNCTION("GOOGLETRANSLATE(C:C, ""en"", ""te"")"),"అవ్రో క్లబ్ క్యాడెట్ 1930 ల సింగిల్-ఇంజిన్ బ్రిటిష్ బిప్‌లేన్ ట్రైనర్ విమానం, ఇది మునుపటి క్యాడెట్ అభివృద్ధిగా అవ్రో చేత రూపొందించబడింది మరియు నిర్మించబడింది. ఇది ప్రైవేట్ మరియు క్లబ్ ఉపయోగం కోసం ప్రణాళిక చేయబడింది మరియు క్యాడెట్ మాదిరిగా కాకుండా, మడత రెక"&amp;"్కలతో అమర్చబడింది. అవ్రో 638 క్లబ్ క్యాడెట్ అవ్రో క్యాడెట్ యొక్క సవరించిన వెర్షన్, అదేవిధంగా ప్రైవేట్ మరియు క్లబ్ ఉపయోగం కోసం ఉద్దేశించబడింది. క్లబ్ క్యాడెట్ అన్‌స్టాగర్డ్ రెక్కలతో అమర్చబడింది, ఇది హ్యాంగర్ స్థలాన్ని ఆదా చేయడంలో సహాయపడటానికి ముడుచుకోవచ్చు"&amp;"; మునుపటి క్యాడెట్ యొక్క అస్థిర బిప్‌లేన్ రెక్కలు మడతకు అనుగుణంగా ఉండటానికి అనుచితమైనవి. ఈ ప్రోటోటైప్ మే 1933 లో ఎగిరింది, ఆర్మ్‌స్ట్రాంగ్ సిడ్లీ జెనెట్ మేజర్ రేడియల్ పిస్టన్ ఇంజిన్ చేత శక్తినిస్తుంది, మరో 16 నిర్మించబడ్డాయి మరియు ఉత్పత్తి 1935 లో పూర్తయి"&amp;"ంది. [1] పరివేష్టిత మూడు-సీట్ల క్యాబిన్ వెర్షన్ యొక్క ఒకే నమూనా, AVRO 639 క్యాబిన్ క్యాడెట్ నిర్మించబడింది మరియు మొదట 1933 లో ఎగిరింది, [2] కానీ ఉత్పత్తిలోకి ప్రవేశించలేదు. రెండవ మూడు-సీట్ల సంస్కరణ, అవ్రో 640 క్యాడెట్, జాయ్-రైడింగ్ వర్క్ కోసం ఉత్పత్తి చేయ"&amp;"బడింది, పైలట్ ముందు ఇద్దరు ప్రయాణీకులకు పక్కపక్కనే ఓపెన్ కాక్‌పిట్‌ను కలిగి ఉన్న విస్తృత ఫ్యూజ్‌లేజ్ ఉంది. వీటిలో తొమ్మిది నిర్మించబడ్డాయి, మొదటి నాలుగు 140 హెచ్‌పి (104 కిలోవాట్ చాలా క్లబ్ క్యాడెట్లు ఎగిరే పాఠశాలలచే ఉపయోగించబడ్డాయి, అయినప్పటికీ ప్రైవేట్ "&amp;"మరియు క్లబ్ ఉపయోగం కోసం ఉద్దేశించినప్పటికీ, ఐదుగురు క్లబ్ క్యాడెట్లను నిర్వహిస్తున్న అతిపెద్ద వినియోగదారు ఎయిర్ వర్క్. తరువాత వీటిని 130 హెచ్‌పి (100 కిలోవాట్) డి హవిలాండ్ జిప్సీ ప్రధాన ఇంజిన్లతో తిరిగి ఇంజిన్ చేశారు; ఎయిర్-కూల్డ్ ఇన్-లైన్ విలోమ ఇంజన్లు డ"&amp;"్రాగ్‌ను తగ్గించాయి మరియు మెరుగైన ఇంధన వినియోగాన్ని ఇచ్చాయి. [1] 1908 నుండి అవ్రో విమానం నుండి డేటా [1] సాధారణ లక్షణాలు పనితీరు సంబంధిత అభివృద్ధి")</f>
        <v>అవ్రో క్లబ్ క్యాడెట్ 1930 ల సింగిల్-ఇంజిన్ బ్రిటిష్ బిప్‌లేన్ ట్రైనర్ విమానం, ఇది మునుపటి క్యాడెట్ అభివృద్ధిగా అవ్రో చేత రూపొందించబడింది మరియు నిర్మించబడింది. ఇది ప్రైవేట్ మరియు క్లబ్ ఉపయోగం కోసం ప్రణాళిక చేయబడింది మరియు క్యాడెట్ మాదిరిగా కాకుండా, మడత రెక్కలతో అమర్చబడింది. అవ్రో 638 క్లబ్ క్యాడెట్ అవ్రో క్యాడెట్ యొక్క సవరించిన వెర్షన్, అదేవిధంగా ప్రైవేట్ మరియు క్లబ్ ఉపయోగం కోసం ఉద్దేశించబడింది. క్లబ్ క్యాడెట్ అన్‌స్టాగర్డ్ రెక్కలతో అమర్చబడింది, ఇది హ్యాంగర్ స్థలాన్ని ఆదా చేయడంలో సహాయపడటానికి ముడుచుకోవచ్చు; మునుపటి క్యాడెట్ యొక్క అస్థిర బిప్‌లేన్ రెక్కలు మడతకు అనుగుణంగా ఉండటానికి అనుచితమైనవి. ఈ ప్రోటోటైప్ మే 1933 లో ఎగిరింది, ఆర్మ్‌స్ట్రాంగ్ సిడ్లీ జెనెట్ మేజర్ రేడియల్ పిస్టన్ ఇంజిన్ చేత శక్తినిస్తుంది, మరో 16 నిర్మించబడ్డాయి మరియు ఉత్పత్తి 1935 లో పూర్తయింది. [1] పరివేష్టిత మూడు-సీట్ల క్యాబిన్ వెర్షన్ యొక్క ఒకే నమూనా, AVRO 639 క్యాబిన్ క్యాడెట్ నిర్మించబడింది మరియు మొదట 1933 లో ఎగిరింది, [2] కానీ ఉత్పత్తిలోకి ప్రవేశించలేదు. రెండవ మూడు-సీట్ల సంస్కరణ, అవ్రో 640 క్యాడెట్, జాయ్-రైడింగ్ వర్క్ కోసం ఉత్పత్తి చేయబడింది, పైలట్ ముందు ఇద్దరు ప్రయాణీకులకు పక్కపక్కనే ఓపెన్ కాక్‌పిట్‌ను కలిగి ఉన్న విస్తృత ఫ్యూజ్‌లేజ్ ఉంది. వీటిలో తొమ్మిది నిర్మించబడ్డాయి, మొదటి నాలుగు 140 హెచ్‌పి (104 కిలోవాట్ చాలా క్లబ్ క్యాడెట్లు ఎగిరే పాఠశాలలచే ఉపయోగించబడ్డాయి, అయినప్పటికీ ప్రైవేట్ మరియు క్లబ్ ఉపయోగం కోసం ఉద్దేశించినప్పటికీ, ఐదుగురు క్లబ్ క్యాడెట్లను నిర్వహిస్తున్న అతిపెద్ద వినియోగదారు ఎయిర్ వర్క్. తరువాత వీటిని 130 హెచ్‌పి (100 కిలోవాట్) డి హవిలాండ్ జిప్సీ ప్రధాన ఇంజిన్లతో తిరిగి ఇంజిన్ చేశారు; ఎయిర్-కూల్డ్ ఇన్-లైన్ విలోమ ఇంజన్లు డ్రాగ్‌ను తగ్గించాయి మరియు మెరుగైన ఇంధన వినియోగాన్ని ఇచ్చాయి. [1] 1908 నుండి అవ్రో విమానం నుండి డేటా [1] సాధారణ లక్షణాలు పనితీరు సంబంధిత అభివృద్ధి</v>
      </c>
      <c r="E109" s="1" t="s">
        <v>1758</v>
      </c>
      <c r="F109" s="1" t="s">
        <v>1759</v>
      </c>
      <c r="G109" s="1" t="str">
        <f>IFERROR(__xludf.DUMMYFUNCTION("GOOGLETRANSLATE(F:F, ""en"", ""te"")"),"శిక్షకుడు")</f>
        <v>శిక్షకుడు</v>
      </c>
      <c r="L109" s="1" t="s">
        <v>1525</v>
      </c>
      <c r="M109" s="1" t="str">
        <f>IFERROR(__xludf.DUMMYFUNCTION("GOOGLETRANSLATE(L:L, ""en"", ""te"")"),"అవ్రో")</f>
        <v>అవ్రో</v>
      </c>
      <c r="N109" s="3" t="s">
        <v>1526</v>
      </c>
      <c r="Q109" s="1" t="s">
        <v>1760</v>
      </c>
      <c r="R109" s="1" t="s">
        <v>132</v>
      </c>
      <c r="S109" s="1">
        <v>2.0</v>
      </c>
      <c r="U109" s="1" t="s">
        <v>1761</v>
      </c>
      <c r="V109" s="1" t="s">
        <v>1762</v>
      </c>
      <c r="W109" s="1" t="s">
        <v>1763</v>
      </c>
      <c r="X109" s="1" t="s">
        <v>1764</v>
      </c>
      <c r="Y109" s="1" t="s">
        <v>1765</v>
      </c>
      <c r="AA109" s="1" t="s">
        <v>1766</v>
      </c>
      <c r="AB109" s="1" t="s">
        <v>366</v>
      </c>
      <c r="AC109" s="1" t="s">
        <v>1319</v>
      </c>
      <c r="AE109" s="1" t="s">
        <v>1767</v>
      </c>
      <c r="AG109" s="1" t="s">
        <v>1768</v>
      </c>
      <c r="AJ109" s="2">
        <v>12175.0</v>
      </c>
      <c r="AK109" s="1">
        <v>1933.0</v>
      </c>
      <c r="AL109" s="1" t="s">
        <v>1769</v>
      </c>
      <c r="AM109" s="1" t="s">
        <v>1770</v>
      </c>
      <c r="AP109" s="1" t="s">
        <v>1028</v>
      </c>
      <c r="AT109" s="1" t="s">
        <v>1771</v>
      </c>
      <c r="AU109" s="1" t="s">
        <v>1772</v>
      </c>
      <c r="AY109" s="1" t="s">
        <v>1773</v>
      </c>
      <c r="CG109" s="1" t="s">
        <v>1774</v>
      </c>
      <c r="DA109" s="1" t="s">
        <v>1775</v>
      </c>
    </row>
    <row r="110">
      <c r="A110" s="1" t="s">
        <v>1776</v>
      </c>
      <c r="B110" s="1" t="str">
        <f>IFERROR(__xludf.DUMMYFUNCTION("GOOGLETRANSLATE(A:A, ""en"", ""te"")"),"ఏరో సర్వీసెస్ గుపార్డ్ గుప్ గైప్")</f>
        <v>ఏరో సర్వీసెస్ గుపార్డ్ గుప్ గైప్</v>
      </c>
      <c r="C110" s="1" t="s">
        <v>1777</v>
      </c>
      <c r="D110" s="1" t="str">
        <f>IFERROR(__xludf.DUMMYFUNCTION("GOOGLETRANSLATE(C:C, ""en"", ""te"")"),"ఏరో సర్వీసెస్ గుపార్డ్ గుప్ గుప్ (కొన్నిసార్లు లా గుప్ అని పిలుస్తారు; [1] ఇంగ్లీష్: కందిరీగ) ఒక ఫ్రెంచ్ అల్ట్రాలైట్ విమానం, దీనిని ఏరో సర్వీసెస్ గుపార్డ్ రూపొందించారు మరియు నిర్మించారు. విమానం పూర్తిగా సమావేశమవుతుంది. [2] [3] ఈ విమానం ఫెడెరేషన్ ఏరోనటిక్ "&amp;"ఇంటర్నేషనల్ మైక్రోలైట్ నిబంధనలకు అనుగుణంగా రూపొందించబడింది. ఇది V- స్ట్రట్-బ్రేస్డ్ హై-వింగ్, టెన్డం ఓపెన్ కాక్‌పిట్‌లో రెండు సీట్లు, సాంప్రదాయిక ల్యాండింగ్ గేర్ మరియు పషర్ కాన్ఫిగరేషన్‌లో ఒకే ఇంజిన్ కలిగి ఉంది. [2] [3] ఈ విమానం బోల్ట్-కలిసి అల్యూమినియం గ"&amp;"ొట్టాల నుండి తయారవుతుంది, ఒకే ట్యూబ్ కీల్ ట్యూబ్ వలె పనిచేస్తుంది. ఒక చిన్న కాక్‌పిట్ ఫెయిరింగ్ మరియు విండ్‌షీల్డ్ ఐచ్ఛికం. దాని 8.6 మీ (28.2 అడుగులు) స్పాన్ వింగ్ దాని ఎగిరే ఉపరితలాలతో డోప్డ్ ఎయిర్క్రాఫ్ట్ ఫాబ్రిక్‌లో కప్పబడి అల్యూమినియం నిర్మాణాన్ని కలి"&amp;"గి ఉంది. ప్రామాణిక ఇంజన్లు అందుబాటులో ఉన్నాయి 64 హెచ్‌పి (48 కిలోవాట్) రోటాక్స్ 582 టూ-స్ట్రోక్ మరియు 60 హెచ్‌పి (45 కిలోవాట్ బేయర్ల్ నుండి డేటా [2] సాధారణ లక్షణాల పనితీరు")</f>
        <v>ఏరో సర్వీసెస్ గుపార్డ్ గుప్ గుప్ (కొన్నిసార్లు లా గుప్ అని పిలుస్తారు; [1] ఇంగ్లీష్: కందిరీగ) ఒక ఫ్రెంచ్ అల్ట్రాలైట్ విమానం, దీనిని ఏరో సర్వీసెస్ గుపార్డ్ రూపొందించారు మరియు నిర్మించారు. విమానం పూర్తిగా సమావేశమవుతుంది. [2] [3] ఈ విమానం ఫెడెరేషన్ ఏరోనటిక్ ఇంటర్నేషనల్ మైక్రోలైట్ నిబంధనలకు అనుగుణంగా రూపొందించబడింది. ఇది V- స్ట్రట్-బ్రేస్డ్ హై-వింగ్, టెన్డం ఓపెన్ కాక్‌పిట్‌లో రెండు సీట్లు, సాంప్రదాయిక ల్యాండింగ్ గేర్ మరియు పషర్ కాన్ఫిగరేషన్‌లో ఒకే ఇంజిన్ కలిగి ఉంది. [2] [3] ఈ విమానం బోల్ట్-కలిసి అల్యూమినియం గొట్టాల నుండి తయారవుతుంది, ఒకే ట్యూబ్ కీల్ ట్యూబ్ వలె పనిచేస్తుంది. ఒక చిన్న కాక్‌పిట్ ఫెయిరింగ్ మరియు విండ్‌షీల్డ్ ఐచ్ఛికం. దాని 8.6 మీ (28.2 అడుగులు) స్పాన్ వింగ్ దాని ఎగిరే ఉపరితలాలతో డోప్డ్ ఎయిర్క్రాఫ్ట్ ఫాబ్రిక్‌లో కప్పబడి అల్యూమినియం నిర్మాణాన్ని కలిగి ఉంది. ప్రామాణిక ఇంజన్లు అందుబాటులో ఉన్నాయి 64 హెచ్‌పి (48 కిలోవాట్) రోటాక్స్ 582 టూ-స్ట్రోక్ మరియు 60 హెచ్‌పి (45 కిలోవాట్ బేయర్ల్ నుండి డేటా [2] సాధారణ లక్షణాల పనితీరు</v>
      </c>
      <c r="F110" s="1" t="s">
        <v>1133</v>
      </c>
      <c r="G110" s="1" t="str">
        <f>IFERROR(__xludf.DUMMYFUNCTION("GOOGLETRANSLATE(F:F, ""en"", ""te"")"),"అల్ట్రాలైట్ విమానం")</f>
        <v>అల్ట్రాలైట్ విమానం</v>
      </c>
      <c r="H110" s="1" t="s">
        <v>1134</v>
      </c>
      <c r="I110" s="1" t="s">
        <v>646</v>
      </c>
      <c r="J110" s="1" t="str">
        <f>IFERROR(__xludf.DUMMYFUNCTION("GOOGLETRANSLATE(I:I, ""en"", ""te"")"),"ఫ్రాన్స్")</f>
        <v>ఫ్రాన్స్</v>
      </c>
      <c r="K110" s="3" t="s">
        <v>647</v>
      </c>
      <c r="L110" s="1" t="s">
        <v>1399</v>
      </c>
      <c r="M110" s="1" t="str">
        <f>IFERROR(__xludf.DUMMYFUNCTION("GOOGLETRANSLATE(L:L, ""en"", ""te"")"),"ఏరో సర్వీసెస్ గుపార్డ్")</f>
        <v>ఏరో సర్వీసెస్ గుపార్డ్</v>
      </c>
      <c r="N110" s="1" t="s">
        <v>1400</v>
      </c>
      <c r="O110" s="1" t="s">
        <v>179</v>
      </c>
      <c r="P110" s="1" t="str">
        <f>IFERROR(__xludf.DUMMYFUNCTION("GOOGLETRANSLATE(O:O, ""en"", ""te"")"),"ఉత్పత్తిలో")</f>
        <v>ఉత్పత్తిలో</v>
      </c>
      <c r="S110" s="1" t="s">
        <v>133</v>
      </c>
      <c r="T110" s="1" t="s">
        <v>134</v>
      </c>
      <c r="V110" s="1" t="s">
        <v>802</v>
      </c>
      <c r="W110" s="1" t="s">
        <v>436</v>
      </c>
      <c r="X110" s="1" t="s">
        <v>1778</v>
      </c>
      <c r="Z110" s="1" t="s">
        <v>1255</v>
      </c>
      <c r="AA110" s="1" t="s">
        <v>1779</v>
      </c>
      <c r="AB110" s="1" t="s">
        <v>1780</v>
      </c>
      <c r="AC110" s="1" t="s">
        <v>548</v>
      </c>
      <c r="AD110" s="1" t="s">
        <v>193</v>
      </c>
      <c r="AF110" s="1" t="s">
        <v>1781</v>
      </c>
      <c r="AP110" s="1" t="s">
        <v>1447</v>
      </c>
    </row>
    <row r="111">
      <c r="A111" s="1" t="s">
        <v>1782</v>
      </c>
      <c r="B111" s="1" t="str">
        <f>IFERROR(__xludf.DUMMYFUNCTION("GOOGLETRANSLATE(A:A, ""en"", ""te"")"),"BAAER BA-5 గురి")</f>
        <v>BAAER BA-5 గురి</v>
      </c>
      <c r="C111" s="1" t="s">
        <v>1783</v>
      </c>
      <c r="D111" s="1" t="str">
        <f>IFERROR(__xludf.DUMMYFUNCTION("GOOGLETRANSLATE(C:C, ""en"", ""te"")"),"బేయర్ గురి అనేది అర్జెంటీనా అల్ట్రాలైట్ విమానం, ఇది బ్యూనస్ ఎయిర్స్ యొక్క BAAER (BA-AEROPLANOS) చేత రూపొందించబడింది మరియు ఉత్పత్తి చేయబడింది. ఇది అందుబాటులో ఉన్నప్పుడు విమానం te త్సాహిక నిర్మాణానికి కిట్‌గా సరఫరా చేయబడింది. [1] [2] గురిని ఫెడెరేషన్ ఏరోనటి"&amp;"క్ ఇంటర్నేషనల్ మైక్రోలైట్ నిబంధనలకు అనుగుణంగా సరళమైన, తక్కువ ఖర్చుతో కూడిన విమానంగా రూపొందించబడింది. ఇది స్ట్రట్-బ్రేస్డ్ హై-వింగ్, రెండు-సీట్ల-సైడ్-సైడ్-సైడ్ కాన్ఫిగరేషన్ సెమీ-కప్పబడిన కాక్‌పిట్, స్థిర సాంప్రదాయ ల్యాండింగ్ గేర్ మరియు ట్రాక్టర్ కాన్ఫిగరేష"&amp;"న్‌లో ఒకే ఇంజిన్ కలిగి ఉంది. [1] [2] ఈ విమానం అల్యూమినియం గొట్టాలు మరియు ఫైబర్‌గ్లాస్ మిశ్రమం నుండి తయారు చేయబడింది, దాని ఎగిరే ఉపరితలాలు డాక్రాన్ సెయిల్‌క్లాత్‌లో కప్పబడి ఉంటాయి. దాని 10 మీ (32.8 అడుగులు) స్పాన్ వింగ్ వి-స్ట్రట్స్ మరియు జ్యూరీ స్ట్రట్‌లన"&amp;"ు ఉపయోగిస్తుంది. ఉపయోగించిన ప్రామాణిక ఇంజన్లు 50 హెచ్‌పి (37 కిలోవాట్) రోటాక్స్ 503, 64 హెచ్‌పి (48 కిలోవాట్ పవర్ ప్లాంట్. [1] [2] బేయర్ల్ మరియు BAAER నుండి డేటా [1] [3] సాధారణ లక్షణాల పనితీరు 1990 ల విమానంలో ఈ వ్యాసం ఒక స్టబ్. వికీపీడియా విస్తరించడం ద్వా"&amp;"రా మీరు సహాయపడవచ్చు.")</f>
        <v>బేయర్ గురి అనేది అర్జెంటీనా అల్ట్రాలైట్ విమానం, ఇది బ్యూనస్ ఎయిర్స్ యొక్క BAAER (BA-AEROPLANOS) చేత రూపొందించబడింది మరియు ఉత్పత్తి చేయబడింది. ఇది అందుబాటులో ఉన్నప్పుడు విమానం te త్సాహిక నిర్మాణానికి కిట్‌గా సరఫరా చేయబడింది. [1] [2] గురిని ఫెడెరేషన్ ఏరోనటిక్ ఇంటర్నేషనల్ మైక్రోలైట్ నిబంధనలకు అనుగుణంగా సరళమైన, తక్కువ ఖర్చుతో కూడిన విమానంగా రూపొందించబడింది. ఇది స్ట్రట్-బ్రేస్డ్ హై-వింగ్, రెండు-సీట్ల-సైడ్-సైడ్-సైడ్ కాన్ఫిగరేషన్ సెమీ-కప్పబడిన కాక్‌పిట్, స్థిర సాంప్రదాయ ల్యాండింగ్ గేర్ మరియు ట్రాక్టర్ కాన్ఫిగరేషన్‌లో ఒకే ఇంజిన్ కలిగి ఉంది. [1] [2] ఈ విమానం అల్యూమినియం గొట్టాలు మరియు ఫైబర్‌గ్లాస్ మిశ్రమం నుండి తయారు చేయబడింది, దాని ఎగిరే ఉపరితలాలు డాక్రాన్ సెయిల్‌క్లాత్‌లో కప్పబడి ఉంటాయి. దాని 10 మీ (32.8 అడుగులు) స్పాన్ వింగ్ వి-స్ట్రట్స్ మరియు జ్యూరీ స్ట్రట్‌లను ఉపయోగిస్తుంది. ఉపయోగించిన ప్రామాణిక ఇంజన్లు 50 హెచ్‌పి (37 కిలోవాట్) రోటాక్స్ 503, 64 హెచ్‌పి (48 కిలోవాట్ పవర్ ప్లాంట్. [1] [2] బేయర్ల్ మరియు BAAER నుండి డేటా [1] [3] సాధారణ లక్షణాల పనితీరు 1990 ల విమానంలో ఈ వ్యాసం ఒక స్టబ్. వికీపీడియా విస్తరించడం ద్వారా మీరు సహాయపడవచ్చు.</v>
      </c>
      <c r="F111" s="1" t="s">
        <v>1133</v>
      </c>
      <c r="G111" s="1" t="str">
        <f>IFERROR(__xludf.DUMMYFUNCTION("GOOGLETRANSLATE(F:F, ""en"", ""te"")"),"అల్ట్రాలైట్ విమానం")</f>
        <v>అల్ట్రాలైట్ విమానం</v>
      </c>
      <c r="H111" s="1" t="s">
        <v>1134</v>
      </c>
      <c r="I111" s="1" t="s">
        <v>1784</v>
      </c>
      <c r="J111" s="1" t="str">
        <f>IFERROR(__xludf.DUMMYFUNCTION("GOOGLETRANSLATE(I:I, ""en"", ""te"")"),"అర్జెంటీనా")</f>
        <v>అర్జెంటీనా</v>
      </c>
      <c r="K111" s="3" t="s">
        <v>1785</v>
      </c>
      <c r="L111" s="1" t="s">
        <v>1786</v>
      </c>
      <c r="M111" s="1" t="str">
        <f>IFERROR(__xludf.DUMMYFUNCTION("GOOGLETRANSLATE(L:L, ""en"", ""te"")"),"Baaer")</f>
        <v>Baaer</v>
      </c>
      <c r="N111" s="3" t="s">
        <v>1787</v>
      </c>
      <c r="O111" s="1" t="s">
        <v>155</v>
      </c>
      <c r="P111" s="1" t="str">
        <f>IFERROR(__xludf.DUMMYFUNCTION("GOOGLETRANSLATE(O:O, ""en"", ""te"")"),"ఉత్పత్తి పూర్తయింది")</f>
        <v>ఉత్పత్తి పూర్తయింది</v>
      </c>
      <c r="S111" s="1" t="s">
        <v>133</v>
      </c>
      <c r="T111" s="1" t="s">
        <v>134</v>
      </c>
      <c r="U111" s="1" t="s">
        <v>1788</v>
      </c>
      <c r="V111" s="1" t="s">
        <v>562</v>
      </c>
      <c r="W111" s="1" t="s">
        <v>563</v>
      </c>
      <c r="X111" s="1" t="s">
        <v>1789</v>
      </c>
      <c r="Y111" s="1" t="s">
        <v>252</v>
      </c>
      <c r="Z111" s="1" t="s">
        <v>527</v>
      </c>
      <c r="AA111" s="1" t="s">
        <v>1790</v>
      </c>
      <c r="AB111" s="1" t="s">
        <v>207</v>
      </c>
      <c r="AC111" s="1" t="s">
        <v>548</v>
      </c>
      <c r="AD111" s="1" t="s">
        <v>1791</v>
      </c>
      <c r="AE111" s="1" t="s">
        <v>1792</v>
      </c>
      <c r="AF111" s="1" t="s">
        <v>658</v>
      </c>
      <c r="AG111" s="1" t="s">
        <v>1793</v>
      </c>
      <c r="AP111" s="1" t="s">
        <v>256</v>
      </c>
    </row>
    <row r="112">
      <c r="A112" s="1" t="s">
        <v>1794</v>
      </c>
      <c r="B112" s="1" t="str">
        <f>IFERROR(__xludf.DUMMYFUNCTION("GOOGLETRANSLATE(A:A, ""en"", ""te"")"),"బార్ 6")</f>
        <v>బార్ 6</v>
      </c>
      <c r="C112" s="1" t="s">
        <v>1795</v>
      </c>
      <c r="D112" s="1" t="str">
        <f>IFERROR(__xludf.DUMMYFUNCTION("GOOGLETRANSLATE(C:C, ""en"", ""te"")"),"బార్ 6, బార్ సిక్స్, బార్ 06 మరియు ఇటీవల మోరిసన్ 6 అని కూడా పిలుస్తారు, ఇది ఒక అమెరికన్ te త్సాహిక-నిర్మిత విమానం, దీనిని మొదట పెన్సిల్వేనియాలోని విలియమ్స్పోర్ట్ యొక్క బార్ ఎయిర్క్రాఫ్ట్ మరియు ఇప్పుడు ఆస్ట్రేలియాలోని క్వీన్స్లాండ్లోని నాంబోర్ యొక్క మోరిసన"&amp;"్ విమానం చేత ఉత్పత్తి చేయబడింది. ఈ విమానం te త్సాహిక నిర్మాణానికి కిట్‌గా సరఫరా చేయబడుతుంది. [1] [2] [3] [4] బార్ 6 యొక్క అభివృద్ధిని 1989 లో పెన్సిల్వేనియాలోని విలియమ్స్పోర్ట్ యొక్క ఏరోనాటికల్ ఇంజనీర్ జిమ్ బార్ ప్రారంభించింది, పోల్చదగిన సర్టిఫైడ్ విమానాల"&amp;" కంటే కొనడానికి మరియు పనిచేయడానికి ఖర్చులో తక్కువగా ఉండే కిట్ విమానాన్ని ఉత్పత్తి చేయాలనే లక్ష్యంతో. అతను తన 17 సంవత్సరాల అభివృద్ధి సమయంలో తన సొంత నిధులను US $ 2 మిలియన్లకు పైగా ఈ ప్రాజెక్టులో పెట్టుబడి పెట్టాడు. డిజైన్ లక్ష్యం సెస్నా 207 పరిమాణం మరియు లే"&amp;"అవుట్‌తో పోల్చదగిన స్టోల్ విమానం మరియు ఫలితంగా వచ్చే విమానం మిశ్రమ పదార్థాల నుండి తయారైన సెస్నా 207 ను చాలా పోలి ఉంటుంది. [3] డిజైన్ పని చేయడానికి పెన్సిల్వేనియాలోని లాక్ హెవెన్ కేంద్రంగా ఉన్న ఇంజనీరింగ్ కన్సల్టింగ్ సంస్థ గాట్స్‌ను బార్ ప్రారంభంలో బారిన్స"&amp;"్ చేశాడు. మొదటి నాలుగు నమూనాలు, బార్ 1 అయితే 4 అయితే, ఫైబర్గ్లాస్ చర్మంతో కప్పబడిన ఫ్యూజ్‌లేజ్ కోసం వెల్డెడ్ 4130 స్టీల్ గొట్టాలను ఉపయోగించింది. ఫలితాలు ఆమోదయోగ్యం కావు మరియు బార్ ఐదవ రూపకల్పనతో ముందుకు సాగాడు, ఫ్యూజ్‌లేజ్‌తో ప్రీ-ప్రెగ్ ఇ-గ్లాస్ శాండ్‌వి"&amp;"చ్‌లతో తయారు చేయబడింది. ఇది ఆశాజనకంగా నిరూపించబడింది మరియు ఆరవ రూపకల్పన దీనిని నిర్మాణాత్మక 0.097 (2.464 మిమీ) గ్రాఫైట్ రాడ్లలో వాడకంతో కలిపి, 5,000 అడుగుల (1,524 మీ) రాడ్లను ఉపయోగించుకునే ముగింపు రూపకల్పన. ప్రోటోటైప్ విమానం, N83W 2003 లో నమోదు చేయబడింది "&amp;"మరియు ఇది 2004 నాటికి ఎగురుతున్నట్లు గుర్తించబడింది. [3] [5] ఫైనల్ కిట్ డిజైన్‌లో స్ట్రట్-బ్రేస్డ్ హై-వింగ్, పరివేష్టిత క్యాబిన్లో ఆరు సీట్లు ఉన్నాయి, క్లబ్ సీటింగ్‌లో ప్రయాణీకులు (రెండు సీట్లు ముందుకు ఎదురుగా మరియు రెండు వెనుకకు ఎదురుగా ఉన్నాయి), స్థిర ట"&amp;"్రైసైకిల్ ల్యాండింగ్ గేర్ లేదా ఐచ్ఛికంగా సాంప్రదాయిక ల్యాండింగ్ గేర్ మరియు సింగిల్ ఉన్నాయి ట్రాక్టర్ కాన్ఫిగరేషన్‌లో ఇంజిన్. క్యాబిన్ ప్రత్యేక పైలట్ తలుపుతో కుడి వెనుక ఫ్యూజ్‌లేజ్‌లోని క్లామ్‌షెల్ తలుపుల ద్వారా యాక్సెస్ చేయబడుతుంది. [1] [2] ఈ విమానం వివిధ"&amp;" రకాలైన మిశ్రమాల మిశ్రమం నుండి తయారు చేయబడింది, వీటిలో 7781 ఇ-గ్లాస్ ప్రీ-ప్రెగ్ 36-38% ఎపోక్సీ రెసిన్ మరియు స్ట్రక్చరల్ గ్రాఫైట్ రాడ్లతో సహా. దీని 35.9 అడుగుల (10.9 మీ) స్పాన్ వింగ్ NACA 2412 మోడ్ ఎయిర్‌ఫాయిల్‌ను ఉపయోగిస్తుంది, ఇది 174 చదరపు అడుగుల (16.2"&amp;" మీ 2) మరియు పెద్ద ఫ్లాప్‌లను కలిగి ఉంది. సిఫార్సు చేయబడిన ప్రామాణిక ఇంజిన్ 400 హెచ్‌పి (298 కిలోవాట్ అసోసియేటెడ్ లిఫ్ట్ రింగులు, మంచు కార్యకలాపాల కోసం స్కిస్, టెయిల్‌డ్రాగర్ ల్యాండింగ్ గేర్, ఆక్సిజన్ మరియు వీల్ ప్యాంటులతో నీటి కార్యకలాపాల కోసం EDO కార్పొ"&amp;"రేషన్ 4930 ఫ్లోట్‌లతో సహా అనేక ఎంపికలను వ్యవస్థాపించడానికి ఎయిర్‌క్రాఫ్ట్ కిట్ అనుమతిస్తుంది. మోరిసన్ అల్లిసన్ 250 టర్బోప్రాప్ పవర్‌ప్లాంట్‌ను వ్యవస్థాపించడంలో అభివృద్ధి పనిని కూడా చేసాడు. [3] [7] 1998 లో కిట్ US $ 41,000 ఖర్చు అవుతుందని అంచనా వేయబడింది. "&amp;"2004 నాటికి కిట్ US $ 89,900 ఖర్చు అవుతుంది, శీఘ్ర-బిల్డ్ ఎంపిక ఆ ధరకి US $ 69,000 ను జోడిస్తుంది, ఇందులో ఫ్యాక్టరీ బిల్డర్ సహాయం మరియు ఒక సంవత్సరంలో విమానం పూర్తయ్యే హామీ ఉన్నాయి. లైమింగ్ IO-720-A1BD ఇంజిన్‌తో పూర్తి విమానం 2004 లో US $ 215,000 ఖర్చు అవు"&amp;"తుందని అంచనా. [3] [4] కిట్ ఉత్పత్తిని సాధించడానికి ముందు డిజైన్ మరియు పదవీ విరమణ చేయాలని బార్ నిర్ణయించుకుంది, ""నేను జూన్ 2006 లో 62 ఏళ్లు మరియు కస్టమర్ల కోసం కిట్ల తయారీని ఏర్పాటు చేయడానికి నాకు ఒకప్పుడు ఉన్న శక్తి లేదు. బార్ 6 తయారీ యొక్క ఆస్తులు నేను "&amp;"దీన్ని నేనే చేయలేనందున అమ్ముడయ్యాను. ""[8] ఆస్ట్రేలియాలోని క్వీన్స్‌లాండ్‌లోని నాంబోర్‌లో ఉన్న మోరిసన్ విమానానికి చెందిన స్టీవ్ మోరిసన్, 15 నవంబర్ 2006 న ఆస్తుల ఆస్తులను కొనుగోలు చేసింది మరియు ఆస్ట్రేలియాకు రవాణా చేయబడిన భాగాలు, జిగ్స్ మరియు పరికరాలను కలి"&amp;"గి ఉంది . యుఎస్ ఫెడరల్ ఏవియేషన్ అడ్మినిస్ట్రేషన్ రిజిస్ట్రీ 2003 లో నమోదు చేయబడిన ఒక విమానం, అసలు ప్రోటోటైప్, అసలు ప్రోటోటైప్. [5] 2004 లో ప్రోటోటైప్‌ను అంచనా వేయడంలో, పైలట్ బిల్ మెక్‌క్లియరీ ఇలా అన్నాడు, ""బార్ 6 బీచ్ బొనాంజా లేదా పైపర్ లాన్స్ లాంటిది కా"&amp;"దు, కానీ 4500 పౌండ్ల స్థూల బరువు మరియు పెద్ద క్యాబిన్ కలిగిన పెద్ద యుటిలిటీ విమానం. ఇది సెస్నా 210 తో ఎగురుతుంది 400 హెచ్‌పి, మరియు టేకాఫ్, క్లైంబ్ మరియు క్రూయిజ్ ఫ్లైట్ శ్రేణులపై అధిక శక్తిని కలిగి ఉంది. సెస్నా 172 లేదా స్కైలేన్ శీఘ్ర పర్యటనల కోసం ఎగరడాన"&amp;"ికి చాలా సులభమైన రకం మరియు పెద్ద క్యాబిన్ ఉపయోగకరమైన లోడ్ లేదా అధిక వేగం అవసరం లేదు. బార్ 6 ఖచ్చితంగా స్వయంగా నిలుస్తుంది. ""[3] బేయర్ల్, టాక్ మరియు మోరిసన్ నుండి డేటా [1] [2] [6] సాధారణ లక్షణాల పనితీరు")</f>
        <v>బార్ 6, బార్ సిక్స్, బార్ 06 మరియు ఇటీవల మోరిసన్ 6 అని కూడా పిలుస్తారు, ఇది ఒక అమెరికన్ te త్సాహిక-నిర్మిత విమానం, దీనిని మొదట పెన్సిల్వేనియాలోని విలియమ్స్పోర్ట్ యొక్క బార్ ఎయిర్క్రాఫ్ట్ మరియు ఇప్పుడు ఆస్ట్రేలియాలోని క్వీన్స్లాండ్లోని నాంబోర్ యొక్క మోరిసన్ విమానం చేత ఉత్పత్తి చేయబడింది. ఈ విమానం te త్సాహిక నిర్మాణానికి కిట్‌గా సరఫరా చేయబడుతుంది. [1] [2] [3] [4] బార్ 6 యొక్క అభివృద్ధిని 1989 లో పెన్సిల్వేనియాలోని విలియమ్స్పోర్ట్ యొక్క ఏరోనాటికల్ ఇంజనీర్ జిమ్ బార్ ప్రారంభించింది, పోల్చదగిన సర్టిఫైడ్ విమానాల కంటే కొనడానికి మరియు పనిచేయడానికి ఖర్చులో తక్కువగా ఉండే కిట్ విమానాన్ని ఉత్పత్తి చేయాలనే లక్ష్యంతో. అతను తన 17 సంవత్సరాల అభివృద్ధి సమయంలో తన సొంత నిధులను US $ 2 మిలియన్లకు పైగా ఈ ప్రాజెక్టులో పెట్టుబడి పెట్టాడు. డిజైన్ లక్ష్యం సెస్నా 207 పరిమాణం మరియు లేఅవుట్‌తో పోల్చదగిన స్టోల్ విమానం మరియు ఫలితంగా వచ్చే విమానం మిశ్రమ పదార్థాల నుండి తయారైన సెస్నా 207 ను చాలా పోలి ఉంటుంది. [3] డిజైన్ పని చేయడానికి పెన్సిల్వేనియాలోని లాక్ హెవెన్ కేంద్రంగా ఉన్న ఇంజనీరింగ్ కన్సల్టింగ్ సంస్థ గాట్స్‌ను బార్ ప్రారంభంలో బారిన్స్ చేశాడు. మొదటి నాలుగు నమూనాలు, బార్ 1 అయితే 4 అయితే, ఫైబర్గ్లాస్ చర్మంతో కప్పబడిన ఫ్యూజ్‌లేజ్ కోసం వెల్డెడ్ 4130 స్టీల్ గొట్టాలను ఉపయోగించింది. ఫలితాలు ఆమోదయోగ్యం కావు మరియు బార్ ఐదవ రూపకల్పనతో ముందుకు సాగాడు, ఫ్యూజ్‌లేజ్‌తో ప్రీ-ప్రెగ్ ఇ-గ్లాస్ శాండ్‌విచ్‌లతో తయారు చేయబడింది. ఇది ఆశాజనకంగా నిరూపించబడింది మరియు ఆరవ రూపకల్పన దీనిని నిర్మాణాత్మక 0.097 (2.464 మిమీ) గ్రాఫైట్ రాడ్లలో వాడకంతో కలిపి, 5,000 అడుగుల (1,524 మీ) రాడ్లను ఉపయోగించుకునే ముగింపు రూపకల్పన. ప్రోటోటైప్ విమానం, N83W 2003 లో నమోదు చేయబడింది మరియు ఇది 2004 నాటికి ఎగురుతున్నట్లు గుర్తించబడింది. [3] [5] ఫైనల్ కిట్ డిజైన్‌లో స్ట్రట్-బ్రేస్డ్ హై-వింగ్, పరివేష్టిత క్యాబిన్లో ఆరు సీట్లు ఉన్నాయి, క్లబ్ సీటింగ్‌లో ప్రయాణీకులు (రెండు సీట్లు ముందుకు ఎదురుగా మరియు రెండు వెనుకకు ఎదురుగా ఉన్నాయి), స్థిర ట్రైసైకిల్ ల్యాండింగ్ గేర్ లేదా ఐచ్ఛికంగా సాంప్రదాయిక ల్యాండింగ్ గేర్ మరియు సింగిల్ ఉన్నాయి ట్రాక్టర్ కాన్ఫిగరేషన్‌లో ఇంజిన్. క్యాబిన్ ప్రత్యేక పైలట్ తలుపుతో కుడి వెనుక ఫ్యూజ్‌లేజ్‌లోని క్లామ్‌షెల్ తలుపుల ద్వారా యాక్సెస్ చేయబడుతుంది. [1] [2] ఈ విమానం వివిధ రకాలైన మిశ్రమాల మిశ్రమం నుండి తయారు చేయబడింది, వీటిలో 7781 ఇ-గ్లాస్ ప్రీ-ప్రెగ్ 36-38% ఎపోక్సీ రెసిన్ మరియు స్ట్రక్చరల్ గ్రాఫైట్ రాడ్లతో సహా. దీని 35.9 అడుగుల (10.9 మీ) స్పాన్ వింగ్ NACA 2412 మోడ్ ఎయిర్‌ఫాయిల్‌ను ఉపయోగిస్తుంది, ఇది 174 చదరపు అడుగుల (16.2 మీ 2) మరియు పెద్ద ఫ్లాప్‌లను కలిగి ఉంది. సిఫార్సు చేయబడిన ప్రామాణిక ఇంజిన్ 400 హెచ్‌పి (298 కిలోవాట్ అసోసియేటెడ్ లిఫ్ట్ రింగులు, మంచు కార్యకలాపాల కోసం స్కిస్, టెయిల్‌డ్రాగర్ ల్యాండింగ్ గేర్, ఆక్సిజన్ మరియు వీల్ ప్యాంటులతో నీటి కార్యకలాపాల కోసం EDO కార్పొరేషన్ 4930 ఫ్లోట్‌లతో సహా అనేక ఎంపికలను వ్యవస్థాపించడానికి ఎయిర్‌క్రాఫ్ట్ కిట్ అనుమతిస్తుంది. మోరిసన్ అల్లిసన్ 250 టర్బోప్రాప్ పవర్‌ప్లాంట్‌ను వ్యవస్థాపించడంలో అభివృద్ధి పనిని కూడా చేసాడు. [3] [7] 1998 లో కిట్ US $ 41,000 ఖర్చు అవుతుందని అంచనా వేయబడింది. 2004 నాటికి కిట్ US $ 89,900 ఖర్చు అవుతుంది, శీఘ్ర-బిల్డ్ ఎంపిక ఆ ధరకి US $ 69,000 ను జోడిస్తుంది, ఇందులో ఫ్యాక్టరీ బిల్డర్ సహాయం మరియు ఒక సంవత్సరంలో విమానం పూర్తయ్యే హామీ ఉన్నాయి. లైమింగ్ IO-720-A1BD ఇంజిన్‌తో పూర్తి విమానం 2004 లో US $ 215,000 ఖర్చు అవుతుందని అంచనా. [3] [4] కిట్ ఉత్పత్తిని సాధించడానికి ముందు డిజైన్ మరియు పదవీ విరమణ చేయాలని బార్ నిర్ణయించుకుంది, "నేను జూన్ 2006 లో 62 ఏళ్లు మరియు కస్టమర్ల కోసం కిట్ల తయారీని ఏర్పాటు చేయడానికి నాకు ఒకప్పుడు ఉన్న శక్తి లేదు. బార్ 6 తయారీ యొక్క ఆస్తులు నేను దీన్ని నేనే చేయలేనందున అమ్ముడయ్యాను. "[8] ఆస్ట్రేలియాలోని క్వీన్స్‌లాండ్‌లోని నాంబోర్‌లో ఉన్న మోరిసన్ విమానానికి చెందిన స్టీవ్ మోరిసన్, 15 నవంబర్ 2006 న ఆస్తుల ఆస్తులను కొనుగోలు చేసింది మరియు ఆస్ట్రేలియాకు రవాణా చేయబడిన భాగాలు, జిగ్స్ మరియు పరికరాలను కలిగి ఉంది . యుఎస్ ఫెడరల్ ఏవియేషన్ అడ్మినిస్ట్రేషన్ రిజిస్ట్రీ 2003 లో నమోదు చేయబడిన ఒక విమానం, అసలు ప్రోటోటైప్, అసలు ప్రోటోటైప్. [5] 2004 లో ప్రోటోటైప్‌ను అంచనా వేయడంలో, పైలట్ బిల్ మెక్‌క్లియరీ ఇలా అన్నాడు, "బార్ 6 బీచ్ బొనాంజా లేదా పైపర్ లాన్స్ లాంటిది కాదు, కానీ 4500 పౌండ్ల స్థూల బరువు మరియు పెద్ద క్యాబిన్ కలిగిన పెద్ద యుటిలిటీ విమానం. ఇది సెస్నా 210 తో ఎగురుతుంది 400 హెచ్‌పి, మరియు టేకాఫ్, క్లైంబ్ మరియు క్రూయిజ్ ఫ్లైట్ శ్రేణులపై అధిక శక్తిని కలిగి ఉంది. సెస్నా 172 లేదా స్కైలేన్ శీఘ్ర పర్యటనల కోసం ఎగరడానికి చాలా సులభమైన రకం మరియు పెద్ద క్యాబిన్ ఉపయోగకరమైన లోడ్ లేదా అధిక వేగం అవసరం లేదు. బార్ 6 ఖచ్చితంగా స్వయంగా నిలుస్తుంది. "[3] బేయర్ల్, టాక్ మరియు మోరిసన్ నుండి డేటా [1] [2] [6] సాధారణ లక్షణాల పనితీరు</v>
      </c>
      <c r="F112" s="1" t="s">
        <v>125</v>
      </c>
      <c r="G112" s="1" t="str">
        <f>IFERROR(__xludf.DUMMYFUNCTION("GOOGLETRANSLATE(F:F, ""en"", ""te"")"),"Te త్సాహిక నిర్మించిన విమానం")</f>
        <v>Te త్సాహిక నిర్మించిన విమానం</v>
      </c>
      <c r="H112" s="1" t="s">
        <v>126</v>
      </c>
      <c r="I112" s="1" t="s">
        <v>127</v>
      </c>
      <c r="J112" s="1" t="str">
        <f>IFERROR(__xludf.DUMMYFUNCTION("GOOGLETRANSLATE(I:I, ""en"", ""te"")"),"సంయుక్త రాష్ట్రాలు")</f>
        <v>సంయుక్త రాష్ట్రాలు</v>
      </c>
      <c r="K112" s="1" t="s">
        <v>128</v>
      </c>
      <c r="L112" s="1" t="s">
        <v>1796</v>
      </c>
      <c r="M112" s="1" t="str">
        <f>IFERROR(__xludf.DUMMYFUNCTION("GOOGLETRANSLATE(L:L, ""en"", ""te"")"),"బార్ విమానం (1989-2006) మోరిసన్ విమానం (2006-ప్రస్తుతం)")</f>
        <v>బార్ విమానం (1989-2006) మోరిసన్ విమానం (2006-ప్రస్తుతం)</v>
      </c>
      <c r="N112" s="1" t="s">
        <v>1797</v>
      </c>
      <c r="O112" s="1" t="s">
        <v>1798</v>
      </c>
      <c r="P112" s="1" t="str">
        <f>IFERROR(__xludf.DUMMYFUNCTION("GOOGLETRANSLATE(O:O, ""en"", ""te"")"),"ఉత్పత్తిలో (2012)")</f>
        <v>ఉత్పత్తిలో (2012)</v>
      </c>
      <c r="Q112" s="1" t="s">
        <v>511</v>
      </c>
      <c r="S112" s="1" t="s">
        <v>133</v>
      </c>
      <c r="T112" s="1" t="s">
        <v>1799</v>
      </c>
      <c r="U112" s="1" t="s">
        <v>1800</v>
      </c>
      <c r="V112" s="1" t="s">
        <v>1801</v>
      </c>
      <c r="W112" s="1" t="s">
        <v>1802</v>
      </c>
      <c r="X112" s="1" t="s">
        <v>1803</v>
      </c>
      <c r="Y112" s="1" t="s">
        <v>1804</v>
      </c>
      <c r="Z112" s="1" t="s">
        <v>1805</v>
      </c>
      <c r="AA112" s="1" t="s">
        <v>1806</v>
      </c>
      <c r="AB112" s="1" t="s">
        <v>1807</v>
      </c>
      <c r="AC112" s="1" t="s">
        <v>1808</v>
      </c>
      <c r="AD112" s="1" t="s">
        <v>1809</v>
      </c>
      <c r="AF112" s="1" t="s">
        <v>211</v>
      </c>
      <c r="AG112" s="1" t="s">
        <v>1810</v>
      </c>
      <c r="AJ112" s="1" t="s">
        <v>1811</v>
      </c>
      <c r="AK112" s="1">
        <v>2003.0</v>
      </c>
      <c r="AM112" s="1" t="s">
        <v>1812</v>
      </c>
      <c r="AS112" s="1">
        <v>7.63</v>
      </c>
      <c r="AW112" s="1" t="s">
        <v>1813</v>
      </c>
      <c r="BD112" s="1" t="s">
        <v>1814</v>
      </c>
    </row>
    <row r="113">
      <c r="A113" s="1" t="s">
        <v>1815</v>
      </c>
      <c r="B113" s="1" t="str">
        <f>IFERROR(__xludf.DUMMYFUNCTION("GOOGLETRANSLATE(A:A, ""en"", ""te"")"),"బీగల్ హస్కీ")</f>
        <v>బీగల్ హస్కీ</v>
      </c>
      <c r="C113" s="1" t="s">
        <v>1816</v>
      </c>
      <c r="D113" s="1" t="str">
        <f>IFERROR(__xludf.DUMMYFUNCTION("GOOGLETRANSLATE(C:C, ""en"", ""te"")"),"బీగల్ హస్కీ (వాస్తవానికి, ఆస్టర్ డి 5 మరియు మొదట్లో ఆస్టర్ జె/1y ను నియమించారు) 1960 లలో నిర్మించిన మూడు సీట్ల బ్రిటిష్ లైట్ విమానం, ఇది ఒక అనుసంధాన/శిక్షణా విమానం కోసం పోర్చుగీస్ వైమానిక దళం నుండి ఉద్భవించింది, [1] ఆస్టర్ ఆల్ఫా యొక్క అభివృద్ధి. ఇది మొదట "&amp;"జనవరి 1960 లో ఆస్టర్ డిజైన్‌గా ఎగిరింది, కాని ఆ సంస్థను ఆ సంవత్సరం సెప్టెంబర్‌లో బీగల్ ఎయిర్‌క్రాఫ్ట్ స్వాధీనం చేసుకుంది. ఇది మొదట 160 హెచ్‌పి లైమింగ్ ఓ -320 ఇంజిన్‌తో ఆస్టర్ డి 5/160 గా లభించింది. ఇరవై రెండు D5/160 ను పోర్చుగల్ కోసం ఆస్టర్ విమానాల ద్వారా"&amp;" వారి రియర్‌బై, లీసెస్టర్షైర్, ఫ్యాక్టరీ, ఒకే D5/180 తో పాటు నిర్మించారు (అటువంటి మొదటి విమానం, 180 HP లైమింగ్ O-360 ఇంజిన్‌తో). D5/160 లకు 141 సెట్ల భాగాలు ఆస్టర్ చేత నిర్మించబడ్డాయి మరియు లైసెన్స్ కింద ఒఫసినాస్ గెరైస్ డి మెటీరియల్ ఏరోనాటికో ఓగ్మా చేత అస"&amp;"ెంబ్లీ కోసం రియర్స్బై నుండి పోర్చుగల్‌కు రవాణా చేయబడ్డాయి మరియు D5/160 నుండి D5/180 ప్రమాణాలను తీసుకురావడానికి 5 సవరణ వస్తు సామగ్రి కూడా పంపబడ్డాయి. [[(చేర్చుట OGMA పూర్తి చేసిన విమానాల యొక్క ఖచ్చితమైన సంఖ్య వివాదం [1] [3] [2] కానీ 138 D.5 విమానాలు పూర్తయ"&amp;"ినట్లు ఒక కిట్ ఒక పరీక్ష ఎయిర్‌ఫ్రేమ్‌గా మరియు రెండు కిట్‌లు విడిభాగాల మూలంగా మిగిలిపోయాయి . [[ పోర్చుగీస్ ఎయిర్ మ్యూజియం రెండు సంరక్షిస్తుంది; ఎగిరే స్థితిలో ఒకటి. [4] మరో మూడు ఆస్టర్ D5/160 ను కాంగోకు విక్రయించారు. తదనంతరం, బీగల్ 180 హెచ్‌పి లైమింగ్ ఓ -"&amp;"360 ఇంజిన్‌తో ""బీగల్ డి 5/180 హస్కీ"" గా డి 5/160 ను అభివృద్ధి చేసింది, మొదటిది 1962 లో జి-ఎఎస్‌బివి మొదట ఎగిరింది. 1967 లో ఉత్పత్తి నిలిపివేయబడటానికి ముందు 15 హస్కీలు మాత్రమే తయారు చేయబడ్డాయి. [[(చేర్చుట ప్రతి విమానం ప్రతి కస్టమర్ యొక్క స్పెసిఫికేషన్‌కు"&amp;" ఆర్డర్ చేయడానికి తయారు చేయబడింది మరియు బీగల్ హస్కీ యొక్క ప్రామాణిక రూపకల్పన లేదు కాబట్టి, ఉత్పత్తి తదనుగుణంగా ఆర్థికంగా ఉంది. [6] [7] ప్రతి హస్కీ ఖర్చు, 6,045 అని అంచనా వేయబడింది, ఇది UK మార్కెట్ ధర కంటే 7 1,747 ఎక్కువ. [8] చివరి [9] హస్కీ, OE-DEW (C/N 3"&amp;"691), ఆస్టర్/బీగల్ చేత ఉత్పత్తి చేయబడిన ఆస్టర్ లైన్‌లోని సుమారు 3868 విమానాలలో [10] చివరిది; ఈ విమానం ఇప్పుడు తిరిగి UK లో ఉంది, రిజిస్టర్డ్ జి-ఆక్స్బిఎఫ్ మరియు ఇప్పటికీ ఎయిర్ విలువైనది (2018). తరువాత వివిధ రకాల ఆస్టర్ మోడళ్ల యొక్క మరికొన్ని ఎయిర్‌ఫ్రేమ్‌"&amp;"లు విడి ఫ్యూజ్‌లేజ్‌ల నుండి పూర్తయ్యాయి లేదా ప్రైవేట్‌గా మార్చబడ్డాయి. ""A.113"" అనే హోదా డిజైన్ సంఖ్య మాత్రమే మరియు ప్రచార సామగ్రిలో లేదా సివిల్ ఏవియేషన్ అథారిటీతో విమాన రిజిస్ట్రేషన్లలో ఉపయోగించబడలేదు, ఇక్కడ 'D5/180' అనే పదానికి ప్రాధాన్యత ఇవ్వబడింది. అ"&amp;"దనంగా, హస్కీ అనే పేరు ఈ సంస్కరణకు మాత్రమే ఇవ్వబడింది మరియు D5/160 కి కాదు. 1919 నుండి బ్రిటిష్ సివిల్ ఎయిర్క్రాఫ్ట్ నుండి డేటా: వాల్యూమ్ I [12] సాధారణ లక్షణాలు పనితీరు సంబంధిత అభివృద్ధి")</f>
        <v>బీగల్ హస్కీ (వాస్తవానికి, ఆస్టర్ డి 5 మరియు మొదట్లో ఆస్టర్ జె/1y ను నియమించారు) 1960 లలో నిర్మించిన మూడు సీట్ల బ్రిటిష్ లైట్ విమానం, ఇది ఒక అనుసంధాన/శిక్షణా విమానం కోసం పోర్చుగీస్ వైమానిక దళం నుండి ఉద్భవించింది, [1] ఆస్టర్ ఆల్ఫా యొక్క అభివృద్ధి. ఇది మొదట జనవరి 1960 లో ఆస్టర్ డిజైన్‌గా ఎగిరింది, కాని ఆ సంస్థను ఆ సంవత్సరం సెప్టెంబర్‌లో బీగల్ ఎయిర్‌క్రాఫ్ట్ స్వాధీనం చేసుకుంది. ఇది మొదట 160 హెచ్‌పి లైమింగ్ ఓ -320 ఇంజిన్‌తో ఆస్టర్ డి 5/160 గా లభించింది. ఇరవై రెండు D5/160 ను పోర్చుగల్ కోసం ఆస్టర్ విమానాల ద్వారా వారి రియర్‌బై, లీసెస్టర్షైర్, ఫ్యాక్టరీ, ఒకే D5/180 తో పాటు నిర్మించారు (అటువంటి మొదటి విమానం, 180 HP లైమింగ్ O-360 ఇంజిన్‌తో). D5/160 లకు 141 సెట్ల భాగాలు ఆస్టర్ చేత నిర్మించబడ్డాయి మరియు లైసెన్స్ కింద ఒఫసినాస్ గెరైస్ డి మెటీరియల్ ఏరోనాటికో ఓగ్మా చేత అసెంబ్లీ కోసం రియర్స్బై నుండి పోర్చుగల్‌కు రవాణా చేయబడ్డాయి మరియు D5/160 నుండి D5/180 ప్రమాణాలను తీసుకురావడానికి 5 సవరణ వస్తు సామగ్రి కూడా పంపబడ్డాయి. [[(చేర్చుట OGMA పూర్తి చేసిన విమానాల యొక్క ఖచ్చితమైన సంఖ్య వివాదం [1] [3] [2] కానీ 138 D.5 విమానాలు పూర్తయినట్లు ఒక కిట్ ఒక పరీక్ష ఎయిర్‌ఫ్రేమ్‌గా మరియు రెండు కిట్‌లు విడిభాగాల మూలంగా మిగిలిపోయాయి . [[ పోర్చుగీస్ ఎయిర్ మ్యూజియం రెండు సంరక్షిస్తుంది; ఎగిరే స్థితిలో ఒకటి. [4] మరో మూడు ఆస్టర్ D5/160 ను కాంగోకు విక్రయించారు. తదనంతరం, బీగల్ 180 హెచ్‌పి లైమింగ్ ఓ -360 ఇంజిన్‌తో "బీగల్ డి 5/180 హస్కీ" గా డి 5/160 ను అభివృద్ధి చేసింది, మొదటిది 1962 లో జి-ఎఎస్‌బివి మొదట ఎగిరింది. 1967 లో ఉత్పత్తి నిలిపివేయబడటానికి ముందు 15 హస్కీలు మాత్రమే తయారు చేయబడ్డాయి. [[(చేర్చుట ప్రతి విమానం ప్రతి కస్టమర్ యొక్క స్పెసిఫికేషన్‌కు ఆర్డర్ చేయడానికి తయారు చేయబడింది మరియు బీగల్ హస్కీ యొక్క ప్రామాణిక రూపకల్పన లేదు కాబట్టి, ఉత్పత్తి తదనుగుణంగా ఆర్థికంగా ఉంది. [6] [7] ప్రతి హస్కీ ఖర్చు, 6,045 అని అంచనా వేయబడింది, ఇది UK మార్కెట్ ధర కంటే 7 1,747 ఎక్కువ. [8] చివరి [9] హస్కీ, OE-DEW (C/N 3691), ఆస్టర్/బీగల్ చేత ఉత్పత్తి చేయబడిన ఆస్టర్ లైన్‌లోని సుమారు 3868 విమానాలలో [10] చివరిది; ఈ విమానం ఇప్పుడు తిరిగి UK లో ఉంది, రిజిస్టర్డ్ జి-ఆక్స్బిఎఫ్ మరియు ఇప్పటికీ ఎయిర్ విలువైనది (2018). తరువాత వివిధ రకాల ఆస్టర్ మోడళ్ల యొక్క మరికొన్ని ఎయిర్‌ఫ్రేమ్‌లు విడి ఫ్యూజ్‌లేజ్‌ల నుండి పూర్తయ్యాయి లేదా ప్రైవేట్‌గా మార్చబడ్డాయి. "A.113" అనే హోదా డిజైన్ సంఖ్య మాత్రమే మరియు ప్రచార సామగ్రిలో లేదా సివిల్ ఏవియేషన్ అథారిటీతో విమాన రిజిస్ట్రేషన్లలో ఉపయోగించబడలేదు, ఇక్కడ 'D5/180' అనే పదానికి ప్రాధాన్యత ఇవ్వబడింది. అదనంగా, హస్కీ అనే పేరు ఈ సంస్కరణకు మాత్రమే ఇవ్వబడింది మరియు D5/160 కి కాదు. 1919 నుండి బ్రిటిష్ సివిల్ ఎయిర్క్రాఫ్ట్ నుండి డేటా: వాల్యూమ్ I [12] సాధారణ లక్షణాలు పనితీరు సంబంధిత అభివృద్ధి</v>
      </c>
      <c r="E113" s="1" t="s">
        <v>1817</v>
      </c>
      <c r="F113" s="1" t="s">
        <v>1409</v>
      </c>
      <c r="G113" s="1" t="str">
        <f>IFERROR(__xludf.DUMMYFUNCTION("GOOGLETRANSLATE(F:F, ""en"", ""te"")"),"యుటిలిటీ విమానం")</f>
        <v>యుటిలిటీ విమానం</v>
      </c>
      <c r="L113" s="1" t="s">
        <v>1818</v>
      </c>
      <c r="M113" s="1" t="str">
        <f>IFERROR(__xludf.DUMMYFUNCTION("GOOGLETRANSLATE(L:L, ""en"", ""te"")"),"ఆస్టర్, బీగల్ విమానం, ఓగ్మా")</f>
        <v>ఆస్టర్, బీగల్ విమానం, ఓగ్మా</v>
      </c>
      <c r="N113" s="1" t="s">
        <v>1819</v>
      </c>
      <c r="Q113" s="1">
        <v>179.0</v>
      </c>
      <c r="S113" s="1">
        <v>1.0</v>
      </c>
      <c r="T113" s="1" t="s">
        <v>1733</v>
      </c>
      <c r="U113" s="1" t="s">
        <v>1734</v>
      </c>
      <c r="V113" s="1" t="s">
        <v>1461</v>
      </c>
      <c r="W113" s="1" t="s">
        <v>1413</v>
      </c>
      <c r="X113" s="1" t="s">
        <v>1483</v>
      </c>
      <c r="Y113" s="1" t="s">
        <v>1820</v>
      </c>
      <c r="AA113" s="1" t="s">
        <v>1821</v>
      </c>
      <c r="AC113" s="1" t="s">
        <v>1822</v>
      </c>
      <c r="AE113" s="1" t="s">
        <v>1466</v>
      </c>
      <c r="AF113" s="1" t="s">
        <v>1823</v>
      </c>
      <c r="AJ113" s="5">
        <v>21925.0</v>
      </c>
      <c r="AM113" s="1" t="s">
        <v>1741</v>
      </c>
      <c r="AP113" s="1" t="s">
        <v>1824</v>
      </c>
      <c r="AR113" s="1" t="s">
        <v>1825</v>
      </c>
      <c r="AT113" s="1" t="s">
        <v>1826</v>
      </c>
      <c r="AU113" s="1" t="s">
        <v>1827</v>
      </c>
    </row>
    <row r="114">
      <c r="A114" s="1" t="s">
        <v>1828</v>
      </c>
      <c r="B114" s="1" t="str">
        <f>IFERROR(__xludf.DUMMYFUNCTION("GOOGLETRANSLATE(A:A, ""en"", ""te"")"),"బెలిట్ ఎయిర్క్రాఫ్ట్ సూపర్లైట్")</f>
        <v>బెలిట్ ఎయిర్క్రాఫ్ట్ సూపర్లైట్</v>
      </c>
      <c r="C114" s="1" t="s">
        <v>1829</v>
      </c>
      <c r="D114" s="1" t="str">
        <f>IFERROR(__xludf.DUMMYFUNCTION("GOOGLETRANSLATE(C:C, ""en"", ""te"")"),"బెలిట్ సూపర్లైట్ అనేది సింగిల్-సీట్, హై-వింగ్, సింగిల్-ఇంజిన్ అల్ట్రాలైట్ విమానం, ముఖ్యంగా యునైటెడ్ స్టేట్స్ కోసం కిట్‌ఫాక్స్ లైట్ విమానం నుండి అభివృద్ధి చేయబడింది. డిజైనర్ జేమ్స్ వైబ్ స్కైస్టార్ నుండి కిట్‌ఫాక్స్ లైట్ యొక్క ఆస్తులు మరియు సాధనాన్ని కొనుగో"&amp;"లు చేశాడు. అతను ఫార్ 103 నిబంధనలను తీర్చడానికి ప్రోటోటైప్ కిట్‌ఫాక్స్ లైట్‌ను సవరించాడు, అల్ట్రాలైట్ విమానం 254 ఎల్బి (115 కిలోల) కంటే తక్కువ ఖాళీ బరువు కలిగి ఉండాలి. [1] [2] [4] ఫ్యూజ్‌లేజ్ 4130 స్టీల్ గొట్టాల నుండి తయారవుతుంది. రోల్ కంట్రోల్ మరియు తక్కు"&amp;"వ స్పీడ్ ఫ్లైట్ కోసం ఫ్లాపెరాన్లు మరియు వోర్టెక్స్ జనరేటర్లను ఉపయోగిస్తారు. రెక్కలు నిల్వ కోసం మడతపెట్టవచ్చు. [1] [2] కిట్‌ఫాక్స్ లైట్ కంటే విమానాన్ని తేలికగా చేయడానికి అంశాలను కార్బన్-ఫైబర్-రీన్ఫోర్స్డ్ పాలిమర్‌తో ప్రత్యామ్నాయం చేశారు. ఇందులో టెయిల్‌వీల్"&amp;" లీఫ్ స్ప్రింగ్, వింగ్ స్పార్స్, వింగ్ రిబ్స్ (తరువాత కిట్‌లపై అల్యూమినియం), లిఫ్ట్ స్ట్రట్స్, ఫైర్‌వాల్, ఎలివేటర్ మరియు ఇంధన ట్యాంక్ ఉన్నాయి. [4] హిర్త్ ఎఫ్ 33, హిర్త్ ఎఫ్ -23, జాన్జోటెరా ఎంజెడ్ 34, 1/2 వోక్స్వ్యాగన్ ఎయిర్-కూల్డ్ ఇంజిన్ మరియు జాన్జోటెరా "&amp;"ఎంజెడ్ 201. [1] [2] స్పోర్ట్ ఏవియేషన్ జనరల్ క్యారెక్టరిస్ట్స్ పెర్ఫార్మెన్స్ ఏవియానిక్స్ నుండి డేటా షో మిత్ బస్టర్స్ ఎపిసోడ్ 174 - డక్ట్ టేప్ ప్లేన్ లో బెలిట్ విమానం ఉపయోగించబడింది. వెనుక ఫ్యూజ్‌లేజ్ మరియు నిలువు స్టెబిలైజర్ యొక్క ఫాబ్రిక్ చర్మానికి పరిమి"&amp;"తం చేయబడిన ఒక కృత్రిమ ఎలుగుబంటి పంజా ద్వారా ఒక బెలిట్ ""మౌల్"" చేయబడింది. విధ్వంసం సమయంలో నియంత్రణ ఉపరితలాలు దెబ్బతినలేదు. అప్పుడు ఈ విమానం డక్ట్-టేప్‌తో మరమ్మతులు చేయబడింది మరియు విజయవంతంగా ఎగిరింది. [6] గమనిక: ఇది స్పీడ్ టేప్‌తో గందరగోళం చెందకూడదు.")</f>
        <v>బెలిట్ సూపర్లైట్ అనేది సింగిల్-సీట్, హై-వింగ్, సింగిల్-ఇంజిన్ అల్ట్రాలైట్ విమానం, ముఖ్యంగా యునైటెడ్ స్టేట్స్ కోసం కిట్‌ఫాక్స్ లైట్ విమానం నుండి అభివృద్ధి చేయబడింది. డిజైనర్ జేమ్స్ వైబ్ స్కైస్టార్ నుండి కిట్‌ఫాక్స్ లైట్ యొక్క ఆస్తులు మరియు సాధనాన్ని కొనుగోలు చేశాడు. అతను ఫార్ 103 నిబంధనలను తీర్చడానికి ప్రోటోటైప్ కిట్‌ఫాక్స్ లైట్‌ను సవరించాడు, అల్ట్రాలైట్ విమానం 254 ఎల్బి (115 కిలోల) కంటే తక్కువ ఖాళీ బరువు కలిగి ఉండాలి. [1] [2] [4] ఫ్యూజ్‌లేజ్ 4130 స్టీల్ గొట్టాల నుండి తయారవుతుంది. రోల్ కంట్రోల్ మరియు తక్కువ స్పీడ్ ఫ్లైట్ కోసం ఫ్లాపెరాన్లు మరియు వోర్టెక్స్ జనరేటర్లను ఉపయోగిస్తారు. రెక్కలు నిల్వ కోసం మడతపెట్టవచ్చు. [1] [2] కిట్‌ఫాక్స్ లైట్ కంటే విమానాన్ని తేలికగా చేయడానికి అంశాలను కార్బన్-ఫైబర్-రీన్ఫోర్స్డ్ పాలిమర్‌తో ప్రత్యామ్నాయం చేశారు. ఇందులో టెయిల్‌వీల్ లీఫ్ స్ప్రింగ్, వింగ్ స్పార్స్, వింగ్ రిబ్స్ (తరువాత కిట్‌లపై అల్యూమినియం), లిఫ్ట్ స్ట్రట్స్, ఫైర్‌వాల్, ఎలివేటర్ మరియు ఇంధన ట్యాంక్ ఉన్నాయి. [4] హిర్త్ ఎఫ్ 33, హిర్త్ ఎఫ్ -23, జాన్జోటెరా ఎంజెడ్ 34, 1/2 వోక్స్వ్యాగన్ ఎయిర్-కూల్డ్ ఇంజిన్ మరియు జాన్జోటెరా ఎంజెడ్ 201. [1] [2] స్పోర్ట్ ఏవియేషన్ జనరల్ క్యారెక్టరిస్ట్స్ పెర్ఫార్మెన్స్ ఏవియానిక్స్ నుండి డేటా షో మిత్ బస్టర్స్ ఎపిసోడ్ 174 - డక్ట్ టేప్ ప్లేన్ లో బెలిట్ విమానం ఉపయోగించబడింది. వెనుక ఫ్యూజ్‌లేజ్ మరియు నిలువు స్టెబిలైజర్ యొక్క ఫాబ్రిక్ చర్మానికి పరిమితం చేయబడిన ఒక కృత్రిమ ఎలుగుబంటి పంజా ద్వారా ఒక బెలిట్ "మౌల్" చేయబడింది. విధ్వంసం సమయంలో నియంత్రణ ఉపరితలాలు దెబ్బతినలేదు. అప్పుడు ఈ విమానం డక్ట్-టేప్‌తో మరమ్మతులు చేయబడింది మరియు విజయవంతంగా ఎగిరింది. [6] గమనిక: ఇది స్పీడ్ టేప్‌తో గందరగోళం చెందకూడదు.</v>
      </c>
      <c r="E114" s="1" t="s">
        <v>1830</v>
      </c>
      <c r="F114" s="1" t="s">
        <v>1133</v>
      </c>
      <c r="G114" s="1" t="str">
        <f>IFERROR(__xludf.DUMMYFUNCTION("GOOGLETRANSLATE(F:F, ""en"", ""te"")"),"అల్ట్రాలైట్ విమానం")</f>
        <v>అల్ట్రాలైట్ విమానం</v>
      </c>
      <c r="H114" s="1" t="s">
        <v>1134</v>
      </c>
      <c r="I114" s="1" t="s">
        <v>1831</v>
      </c>
      <c r="J114" s="1" t="str">
        <f>IFERROR(__xludf.DUMMYFUNCTION("GOOGLETRANSLATE(I:I, ""en"", ""te"")"),"అమెరికా సంయుక్త రాష్ట్రాలు")</f>
        <v>అమెరికా సంయుక్త రాష్ట్రాలు</v>
      </c>
      <c r="K114" s="1" t="s">
        <v>1832</v>
      </c>
      <c r="L114" s="1" t="s">
        <v>1833</v>
      </c>
      <c r="M114" s="1" t="str">
        <f>IFERROR(__xludf.DUMMYFUNCTION("GOOGLETRANSLATE(L:L, ""en"", ""te"")"),"బెలిట్ విమానం")</f>
        <v>బెలిట్ విమానం</v>
      </c>
      <c r="N114" s="1" t="s">
        <v>1834</v>
      </c>
      <c r="Q114" s="1" t="s">
        <v>1835</v>
      </c>
      <c r="R114" s="1" t="s">
        <v>132</v>
      </c>
      <c r="T114" s="1">
        <v>1.0</v>
      </c>
      <c r="V114" s="1" t="s">
        <v>1836</v>
      </c>
      <c r="X114" s="1" t="s">
        <v>1143</v>
      </c>
      <c r="Y114" s="1" t="s">
        <v>1837</v>
      </c>
      <c r="Z114" s="1" t="s">
        <v>1838</v>
      </c>
      <c r="AA114" s="1" t="s">
        <v>1839</v>
      </c>
      <c r="AB114" s="1" t="s">
        <v>440</v>
      </c>
      <c r="AC114" s="1" t="s">
        <v>1840</v>
      </c>
      <c r="AD114" s="1" t="s">
        <v>1841</v>
      </c>
      <c r="AF114" s="1" t="s">
        <v>1842</v>
      </c>
      <c r="AG114" s="1" t="s">
        <v>1843</v>
      </c>
      <c r="AH114" s="1" t="s">
        <v>1844</v>
      </c>
      <c r="AI114" s="1" t="s">
        <v>1845</v>
      </c>
      <c r="AT114" s="1" t="s">
        <v>1846</v>
      </c>
      <c r="AU114" s="1" t="s">
        <v>1847</v>
      </c>
      <c r="DB114" s="1" t="s">
        <v>1848</v>
      </c>
    </row>
    <row r="115">
      <c r="A115" s="1" t="s">
        <v>1849</v>
      </c>
      <c r="B115" s="1" t="str">
        <f>IFERROR(__xludf.DUMMYFUNCTION("GOOGLETRANSLATE(A:A, ""en"", ""te"")"),"BRM ల్యాండ్ ఆఫ్రికా")</f>
        <v>BRM ల్యాండ్ ఆఫ్రికా</v>
      </c>
      <c r="C115" s="1" t="s">
        <v>1850</v>
      </c>
      <c r="D115" s="1" t="str">
        <f>IFERROR(__xludf.DUMMYFUNCTION("GOOGLETRANSLATE(C:C, ""en"", ""te"")"),"BRM ల్యాండ్ ఆఫ్రికా అనేది పోర్చుగీస్ అల్ట్రాలైట్ విమానం, దీనిని BRM COSTRUIES ఏరోనాటికాస్ రూపొందించి ఉత్పత్తి చేస్తుంది. ఈ విమానం te త్సాహిక నిర్మాణానికి కిట్‌గా లేదా పూర్తి రెడీ-టు-ఫ్లై-ఎయిర్‌క్రాఫ్ట్‌గా సరఫరా చేయబడుతుంది. [1] [2] [3] జెనిత్ స్టోల్ సిహెచ"&amp;"్ 701 యొక్క డిజైనర్ క్రిస్ హీంట్జ్, భూమి ఆఫ్రికాను సిహెచ్ 701 యొక్క అనధికార కాపీగా భావిస్తాడు. భూమి ఆఫ్రికా సిహెచ్ 701 నుండి విస్తృత మరియు పొడవైన కాక్‌పిట్ కలిగి ఉంటుంది. [1] [3] [4] ఈ విమానం ఫెడెరేషన్ ఏరోనటిక్ ఇంటర్నేషనల్ మైక్రోలైట్ నిబంధనలకు అనుగుణంగా ర"&amp;"ూపొందించబడింది. ఇది స్ట్రట్-బ్రేస్డ్ హై-వింగ్, రెండు-సీట్ల-సైడ్-సైడ్ కాన్ఫిగరేషన్ పరివేష్టిత కాక్‌పిట్, స్థిర ట్రైసైకిల్ ల్యాండింగ్ గేర్ మరియు ట్రాక్టర్ కాన్ఫిగరేషన్‌లో ఒకే ఇంజిన్ కలిగి ఉంది. [1] [3] విమానం అల్యూమినియం షీట్ నుండి తయారు చేయబడింది. దాని 8.6"&amp;"3 మీ (28.3 అడుగులు) స్పాన్ వింగ్ 18.08 మీ 2 (194.6 చదరపు అడుగులు) విస్తీర్ణంలో ఉంది మరియు పెద్ద ఫ్లాప్‌లను మరియు ప్రముఖ ఎడ్జ్ స్లాట్‌లను కలిగి ఉంది. ప్రామాణిక ఇంజన్లు 80 హెచ్‌పి (60 కిలోవాట్ల) రోటాక్స్ 912UL మరియు 100 హెచ్‌పి (75 కిలోవాట్ 2009 లో కొత్త వే"&amp;"గవంతమైన వింగ్ ఎంపికను ప్రవేశపెట్టారు, ఇది అగ్ర వేగాన్ని గంటకు 25 కిమీ (16 mph) పెంచుతుంది, అదే తక్కువ స్టాల్ వేగాన్ని నిలుపుకుంటుంది. [3] భూమి ఆఫ్రికా మునుపటి BRM ఓకావాంగోను ఉత్పత్తిలో భర్తీ చేసింది. [3] బేయర్లాండ్ మరియు BRM COSTRUASEES ఏరోనెటికాస్ నుండి "&amp;"డేటా [1] [5] సాధారణ లక్షణాల పనితీరు")</f>
        <v>BRM ల్యాండ్ ఆఫ్రికా అనేది పోర్చుగీస్ అల్ట్రాలైట్ విమానం, దీనిని BRM COSTRUIES ఏరోనాటికాస్ రూపొందించి ఉత్పత్తి చేస్తుంది. ఈ విమానం te త్సాహిక నిర్మాణానికి కిట్‌గా లేదా పూర్తి రెడీ-టు-ఫ్లై-ఎయిర్‌క్రాఫ్ట్‌గా సరఫరా చేయబడుతుంది. [1] [2] [3] జెనిత్ స్టోల్ సిహెచ్ 701 యొక్క డిజైనర్ క్రిస్ హీంట్జ్, భూమి ఆఫ్రికాను సిహెచ్ 701 యొక్క అనధికార కాపీగా భావిస్తాడు. భూమి ఆఫ్రికా సిహెచ్ 701 నుండి విస్తృత మరియు పొడవైన కాక్‌పిట్ కలిగి ఉంటుంది. [1] [3] [4] ఈ విమానం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[3] విమానం అల్యూమినియం షీట్ నుండి తయారు చేయబడింది. దాని 8.63 మీ (28.3 అడుగులు) స్పాన్ వింగ్ 18.08 మీ 2 (194.6 చదరపు అడుగులు) విస్తీర్ణంలో ఉంది మరియు పెద్ద ఫ్లాప్‌లను మరియు ప్రముఖ ఎడ్జ్ స్లాట్‌లను కలిగి ఉంది. ప్రామాణిక ఇంజన్లు 80 హెచ్‌పి (60 కిలోవాట్ల) రోటాక్స్ 912UL మరియు 100 హెచ్‌పి (75 కిలోవాట్ 2009 లో కొత్త వేగవంతమైన వింగ్ ఎంపికను ప్రవేశపెట్టారు, ఇది అగ్ర వేగాన్ని గంటకు 25 కిమీ (16 mph) పెంచుతుంది, అదే తక్కువ స్టాల్ వేగాన్ని నిలుపుకుంటుంది. [3] భూమి ఆఫ్రికా మునుపటి BRM ఓకావాంగోను ఉత్పత్తిలో భర్తీ చేసింది. [3] బేయర్లాండ్ మరియు BRM COSTRUASEES ఏరోనెటికాస్ నుండి డేటా [1] [5] సాధారణ లక్షణాల పనితీరు</v>
      </c>
      <c r="E115" s="1" t="s">
        <v>1851</v>
      </c>
      <c r="F115" s="1" t="s">
        <v>1133</v>
      </c>
      <c r="G115" s="1" t="str">
        <f>IFERROR(__xludf.DUMMYFUNCTION("GOOGLETRANSLATE(F:F, ""en"", ""te"")"),"అల్ట్రాలైట్ విమానం")</f>
        <v>అల్ట్రాలైట్ విమానం</v>
      </c>
      <c r="H115" s="1" t="s">
        <v>1134</v>
      </c>
      <c r="I115" s="1" t="s">
        <v>1686</v>
      </c>
      <c r="J115" s="1" t="str">
        <f>IFERROR(__xludf.DUMMYFUNCTION("GOOGLETRANSLATE(I:I, ""en"", ""te"")"),"పోర్చుగల్")</f>
        <v>పోర్చుగల్</v>
      </c>
      <c r="K115" s="3" t="s">
        <v>1687</v>
      </c>
      <c r="L115" s="1" t="s">
        <v>1688</v>
      </c>
      <c r="M115" s="1" t="str">
        <f>IFERROR(__xludf.DUMMYFUNCTION("GOOGLETRANSLATE(L:L, ""en"", ""te"")"),"BRM COSTRUYSEES ఏరోనెటికాస్")</f>
        <v>BRM COSTRUYSEES ఏరోనెటికాస్</v>
      </c>
      <c r="N115" s="1" t="s">
        <v>1689</v>
      </c>
      <c r="O115" s="1" t="s">
        <v>179</v>
      </c>
      <c r="P115" s="1" t="str">
        <f>IFERROR(__xludf.DUMMYFUNCTION("GOOGLETRANSLATE(O:O, ""en"", ""te"")"),"ఉత్పత్తిలో")</f>
        <v>ఉత్పత్తిలో</v>
      </c>
      <c r="S115" s="1" t="s">
        <v>133</v>
      </c>
      <c r="T115" s="1" t="s">
        <v>134</v>
      </c>
      <c r="V115" s="1" t="s">
        <v>1852</v>
      </c>
      <c r="W115" s="1" t="s">
        <v>1853</v>
      </c>
      <c r="X115" s="1" t="s">
        <v>1854</v>
      </c>
      <c r="Y115" s="1" t="s">
        <v>252</v>
      </c>
      <c r="Z115" s="1" t="s">
        <v>1855</v>
      </c>
      <c r="AA115" s="1" t="s">
        <v>1692</v>
      </c>
      <c r="AC115" s="1" t="s">
        <v>260</v>
      </c>
      <c r="AD115" s="1" t="s">
        <v>161</v>
      </c>
      <c r="AT115" s="1" t="s">
        <v>1856</v>
      </c>
      <c r="AU115" s="1" t="s">
        <v>1857</v>
      </c>
      <c r="AW115" s="1" t="s">
        <v>260</v>
      </c>
      <c r="AX115" s="1" t="s">
        <v>1451</v>
      </c>
    </row>
    <row r="116">
      <c r="A116" s="1" t="s">
        <v>1858</v>
      </c>
      <c r="B116" s="1" t="str">
        <f>IFERROR(__xludf.DUMMYFUNCTION("GOOGLETRANSLATE(A:A, ""en"", ""te"")"),"బ్యాక్‌కంట్రీ సూపర్ కబ్స్ మాకీ SQ2")</f>
        <v>బ్యాక్‌కంట్రీ సూపర్ కబ్స్ మాకీ SQ2</v>
      </c>
      <c r="C116" s="1" t="s">
        <v>1859</v>
      </c>
      <c r="D116" s="1" t="str">
        <f>IFERROR(__xludf.DUMMYFUNCTION("GOOGLETRANSLATE(C:C, ""en"", ""te"")"),"బ్యాక్‌కంట్రీ సూపర్ కబ్స్ మాకీ SQ2 అనేది ఒక అమెరికన్ స్టోల్ te త్సాహిక-నిర్మిత విమానం, ఇది వ్యోమింగ్‌లోని డగ్లస్ యొక్క బ్యాక్‌కంట్రీ సూపర్ కబ్స్ రూపొందించింది మరియు ఉత్పత్తి చేసింది. ఈ విమానం పైపర్ PA-18 సూపర్ కబ్ రూపకల్పనపై ఆధారపడి ఉంటుంది మరియు ఇది te త"&amp;"్సాహిక నిర్మాణానికి కిట్‌గా సరఫరా చేయబడుతుంది. [1] మాకీ SQ2 లో స్ట్రట్-బ్రేస్డ్ హై-వింగ్, రెండు-సీట్ల-టెన్డం పరివేష్టిత కాక్‌పిట్ ఉంది, ఇది 30 అంగుళాలు (76 సెం.మీ) వెడల్పు, స్థిర సాంప్రదాయ ల్యాండింగ్ గేర్ మరియు ట్రాక్టర్ కాన్ఫిగరేషన్‌లో ఒకే ఇంజిన్. [1] వి"&amp;"మానం ఫ్యూజ్‌లేజ్ వెల్డెడ్ స్టీల్ గొట్టాల నుండి తయారవుతుంది, రెక్కలు అల్యూమినియం షీట్‌తో నిర్మించబడ్డాయి, అన్నీ డోప్డ్ ఎయిర్‌క్రాఫ్ట్ ఫాబ్రిక్‌లో కప్పబడి ఉంటాయి. దీని 36.9 అడుగుల (11.2 మీ) స్పాన్ వింగ్ 170 చదరపు అడుగుల (16 మీ 2) విస్తీర్ణంలో ఉంది, జ్యూరీ స"&amp;"్ట్రట్స్ మరియు మౌంట్స్ ఫ్లాప్స్ మరియు ప్రముఖ ఎడ్జ్ స్లాట్లతో ""వి"" స్ట్రట్స్ మద్దతు ఇస్తుంది. విమానం యొక్క సిఫార్సు చేసిన ఇంజిన్ శక్తి శ్రేణి 180 నుండి 240 హెచ్‌పి (134 నుండి 179 కిలోవాట్) మరియు ఉపయోగించిన ప్రామాణిక ఇంజన్లు 180 హెచ్‌పి (134 కిలోవాట్) లైమ"&amp;"ింగ్ ఓ -360 ఫోర్-స్ట్రోక్ పవర్‌ప్లాంట్. మృదువైన లేదా కఠినమైన ఉపరితలాలపై కార్యకలాపాల కోసం ఈ విమానం టండ్రా టైర్లతో అమర్చవచ్చు. సరఫరా చేసిన కిట్ నుండి నిర్మాణ సమయం 1200 గంటలు. [1] డిసెంబర్ 2011 నాటికి ఏడు ఉదాహరణలు పూర్తయినట్లు మరియు ఎగిరినట్లు నివేదించబడ్డాయ"&amp;"ి. [1] కిట్‌ప్లాన్‌ల నుండి డేటా [1] సాధారణ లక్షణాల పనితీరు")</f>
        <v>బ్యాక్‌కంట్రీ సూపర్ కబ్స్ మాకీ SQ2 అనేది ఒక అమెరికన్ స్టోల్ te త్సాహిక-నిర్మిత విమానం, ఇది వ్యోమింగ్‌లోని డగ్లస్ యొక్క బ్యాక్‌కంట్రీ సూపర్ కబ్స్ రూపొందించింది మరియు ఉత్పత్తి చేసింది. ఈ విమానం పైపర్ PA-18 సూపర్ కబ్ రూపకల్పనపై ఆధారపడి ఉంటుంది మరియు ఇది te త్సాహిక నిర్మాణానికి కిట్‌గా సరఫరా చేయబడుతుంది. [1] మాకీ SQ2 లో స్ట్రట్-బ్రేస్డ్ హై-వింగ్, రెండు-సీట్ల-టెన్డం పరివేష్టిత కాక్‌పిట్ ఉంది, ఇది 30 అంగుళాలు (76 సెం.మీ) వెడల్పు, స్థిర సాంప్రదాయ ల్యాండింగ్ గేర్ మరియు ట్రాక్టర్ కాన్ఫిగరేషన్‌లో ఒకే ఇంజిన్. [1] విమానం ఫ్యూజ్‌లేజ్ వెల్డెడ్ స్టీల్ గొట్టాల నుండి తయారవుతుంది, రెక్కలు అల్యూమినియం షీట్‌తో నిర్మించబడ్డాయి, అన్నీ డోప్డ్ ఎయిర్‌క్రాఫ్ట్ ఫాబ్రిక్‌లో కప్పబడి ఉంటాయి. దీని 36.9 అడుగుల (11.2 మీ) స్పాన్ వింగ్ 170 చదరపు అడుగుల (16 మీ 2) విస్తీర్ణంలో ఉంది, జ్యూరీ స్ట్రట్స్ మరియు మౌంట్స్ ఫ్లాప్స్ మరియు ప్రముఖ ఎడ్జ్ స్లాట్లతో "వి" స్ట్రట్స్ మద్దతు ఇస్తుంది. విమానం యొక్క సిఫార్సు చేసిన ఇంజిన్ శక్తి శ్రేణి 180 నుండి 240 హెచ్‌పి (134 నుండి 179 కిలోవాట్) మరియు ఉపయోగించిన ప్రామాణిక ఇంజన్లు 180 హెచ్‌పి (134 కిలోవాట్) లైమింగ్ ఓ -360 ఫోర్-స్ట్రోక్ పవర్‌ప్లాంట్. మృదువైన లేదా కఠినమైన ఉపరితలాలపై కార్యకలాపాల కోసం ఈ విమానం టండ్రా టైర్లతో అమర్చవచ్చు. సరఫరా చేసిన కిట్ నుండి నిర్మాణ సమయం 1200 గంటలు. [1] డిసెంబర్ 2011 నాటికి ఏడు ఉదాహరణలు పూర్తయినట్లు మరియు ఎగిరినట్లు నివేదించబడ్డాయి. [1] కిట్‌ప్లాన్‌ల నుండి డేటా [1] సాధారణ లక్షణాల పనితీరు</v>
      </c>
      <c r="E116" s="1" t="s">
        <v>1860</v>
      </c>
      <c r="F116" s="1" t="s">
        <v>125</v>
      </c>
      <c r="G116" s="1" t="str">
        <f>IFERROR(__xludf.DUMMYFUNCTION("GOOGLETRANSLATE(F:F, ""en"", ""te"")"),"Te త్సాహిక నిర్మించిన విమానం")</f>
        <v>Te త్సాహిక నిర్మించిన విమానం</v>
      </c>
      <c r="H116" s="1" t="s">
        <v>126</v>
      </c>
      <c r="I116" s="1" t="s">
        <v>127</v>
      </c>
      <c r="J116" s="1" t="str">
        <f>IFERROR(__xludf.DUMMYFUNCTION("GOOGLETRANSLATE(I:I, ""en"", ""te"")"),"సంయుక్త రాష్ట్రాలు")</f>
        <v>సంయుక్త రాష్ట్రాలు</v>
      </c>
      <c r="K116" s="1" t="s">
        <v>128</v>
      </c>
      <c r="L116" s="1" t="s">
        <v>1861</v>
      </c>
      <c r="M116" s="1" t="str">
        <f>IFERROR(__xludf.DUMMYFUNCTION("GOOGLETRANSLATE(L:L, ""en"", ""te"")"),"బ్యాక్‌కంట్రీ సూపర్ కబ్స్")</f>
        <v>బ్యాక్‌కంట్రీ సూపర్ కబ్స్</v>
      </c>
      <c r="N116" s="1" t="s">
        <v>1862</v>
      </c>
      <c r="O116" s="1" t="s">
        <v>1798</v>
      </c>
      <c r="P116" s="1" t="str">
        <f>IFERROR(__xludf.DUMMYFUNCTION("GOOGLETRANSLATE(O:O, ""en"", ""te"")"),"ఉత్పత్తిలో (2012)")</f>
        <v>ఉత్పత్తిలో (2012)</v>
      </c>
      <c r="Q116" s="1">
        <v>7.0</v>
      </c>
      <c r="S116" s="1" t="s">
        <v>133</v>
      </c>
      <c r="T116" s="1" t="s">
        <v>134</v>
      </c>
      <c r="U116" s="1" t="s">
        <v>1863</v>
      </c>
      <c r="V116" s="1" t="s">
        <v>1864</v>
      </c>
      <c r="W116" s="1" t="s">
        <v>1865</v>
      </c>
      <c r="X116" s="1" t="s">
        <v>1866</v>
      </c>
      <c r="Y116" s="1" t="s">
        <v>1567</v>
      </c>
      <c r="Z116" s="1" t="s">
        <v>1867</v>
      </c>
      <c r="AA116" s="1" t="s">
        <v>1868</v>
      </c>
      <c r="AB116" s="1" t="s">
        <v>1869</v>
      </c>
      <c r="AC116" s="1" t="s">
        <v>1028</v>
      </c>
      <c r="AD116" s="1" t="s">
        <v>1870</v>
      </c>
      <c r="AE116" s="1" t="s">
        <v>1871</v>
      </c>
      <c r="AF116" s="1" t="s">
        <v>1872</v>
      </c>
      <c r="AG116" s="1" t="s">
        <v>1873</v>
      </c>
      <c r="AT116" s="1" t="s">
        <v>1874</v>
      </c>
      <c r="AU116" s="1" t="s">
        <v>1875</v>
      </c>
    </row>
    <row r="117">
      <c r="A117" s="1" t="s">
        <v>1876</v>
      </c>
      <c r="B117" s="1" t="str">
        <f>IFERROR(__xludf.DUMMYFUNCTION("GOOGLETRANSLATE(A:A, ""en"", ""te"")"),"బేకర్ MB-1 డెల్టా పిల్లి")</f>
        <v>బేకర్ MB-1 డెల్టా పిల్లి</v>
      </c>
      <c r="C117" s="1" t="s">
        <v>1877</v>
      </c>
      <c r="D117" s="1" t="str">
        <f>IFERROR(__xludf.DUMMYFUNCTION("GOOGLETRANSLATE(C:C, ""en"", ""te"")"),"బేకర్ MB-1 అనేది 45 డిగ్రీల డెల్టా రెక్కల ప్రయోగాత్మక విమానం, దాని 85 HP (63 kW) ఇంజిన్ వాడకాన్ని పెంచడానికి మరియు డెల్టా-రెక్కల రూపకల్పనతో ప్రయోగాలు. [1] ఈ నమూనా దాని ఇంజిన్, ప్రొపెల్లర్ మరియు చక్రాలను ఉపయోగించి శిధిలమైన సెస్నా 140 యొక్క అవశేషాల చుట్టూ న"&amp;"ిర్మించబడింది. [2] ల్యాండింగ్ గేర్ ట్రక్ స్ప్రింగ్స్ నుండి రూపొందించబడింది. నియంత్రణలు డెల్టా యొక్క వెనుకంజలో ఉన్న ఎడ్జ్ మధ్యలో ఎలివేటర్‌తో మరియు పుష్-పుల్ ట్యూబ్‌లచే నిర్వహించబడుతున్న ఐలెరాన్స్ అవుట్‌బోర్డ్. [3] ఇంట్లో నిర్మించిన నిర్మాణానికి విమానం కోసం"&amp;" ప్రణాళికలు అందుబాటులో ఉన్నాయి. [4] స్పోర్ట్ ఏవియేషన్ నుండి డేటా జనవరి 1962 పోల్చదగిన పాత్ర, కాన్ఫిగరేషన్ మరియు ERA యొక్క పనితీరు విమానం సాధారణ లక్షణాలు")</f>
        <v>బేకర్ MB-1 అనేది 45 డిగ్రీల డెల్టా రెక్కల ప్రయోగాత్మక విమానం, దాని 85 HP (63 kW) ఇంజిన్ వాడకాన్ని పెంచడానికి మరియు డెల్టా-రెక్కల రూపకల్పనతో ప్రయోగాలు. [1] ఈ నమూనా దాని ఇంజిన్, ప్రొపెల్లర్ మరియు చక్రాలను ఉపయోగించి శిధిలమైన సెస్నా 140 యొక్క అవశేషాల చుట్టూ నిర్మించబడింది. [2] ల్యాండింగ్ గేర్ ట్రక్ స్ప్రింగ్స్ నుండి రూపొందించబడింది. నియంత్రణలు డెల్టా యొక్క వెనుకంజలో ఉన్న ఎడ్జ్ మధ్యలో ఎలివేటర్‌తో మరియు పుష్-పుల్ ట్యూబ్‌లచే నిర్వహించబడుతున్న ఐలెరాన్స్ అవుట్‌బోర్డ్. [3] ఇంట్లో నిర్మించిన నిర్మాణానికి విమానం కోసం ప్రణాళికలు అందుబాటులో ఉన్నాయి. [4] స్పోర్ట్ ఏవియేషన్ నుండి డేటా జనవరి 1962 పోల్చదగిన పాత్ర, కాన్ఫిగరేషన్ మరియు ERA యొక్క పనితీరు విమానం సాధారణ లక్షణాలు</v>
      </c>
      <c r="E117" s="1" t="s">
        <v>1878</v>
      </c>
      <c r="F117" s="1" t="s">
        <v>430</v>
      </c>
      <c r="G117" s="1" t="str">
        <f>IFERROR(__xludf.DUMMYFUNCTION("GOOGLETRANSLATE(F:F, ""en"", ""te"")"),"ప్రయోగాత్మక విమానం")</f>
        <v>ప్రయోగాత్మక విమానం</v>
      </c>
      <c r="H117" s="1" t="s">
        <v>1879</v>
      </c>
      <c r="I117" s="1" t="s">
        <v>127</v>
      </c>
      <c r="J117" s="1" t="str">
        <f>IFERROR(__xludf.DUMMYFUNCTION("GOOGLETRANSLATE(I:I, ""en"", ""te"")"),"సంయుక్త రాష్ట్రాలు")</f>
        <v>సంయుక్త రాష్ట్రాలు</v>
      </c>
      <c r="K117" s="1" t="s">
        <v>128</v>
      </c>
      <c r="L117" s="1" t="s">
        <v>1880</v>
      </c>
      <c r="M117" s="1" t="str">
        <f>IFERROR(__xludf.DUMMYFUNCTION("GOOGLETRANSLATE(L:L, ""en"", ""te"")"),"బేకర్ ఎయిర్ రీసెర్చ్")</f>
        <v>బేకర్ ఎయిర్ రీసెర్చ్</v>
      </c>
      <c r="S117" s="1" t="s">
        <v>133</v>
      </c>
      <c r="U117" s="1" t="s">
        <v>1881</v>
      </c>
      <c r="V117" s="1" t="s">
        <v>1882</v>
      </c>
      <c r="W117" s="1" t="s">
        <v>1883</v>
      </c>
      <c r="X117" s="1" t="s">
        <v>1884</v>
      </c>
      <c r="AA117" s="1" t="s">
        <v>1885</v>
      </c>
      <c r="AB117" s="1" t="s">
        <v>440</v>
      </c>
      <c r="AC117" s="1" t="s">
        <v>1886</v>
      </c>
      <c r="AH117" s="1" t="s">
        <v>1887</v>
      </c>
      <c r="AJ117" s="1">
        <v>1960.0</v>
      </c>
      <c r="AM117" s="1" t="s">
        <v>1888</v>
      </c>
      <c r="AN117" s="1" t="s">
        <v>1889</v>
      </c>
      <c r="AP117" s="1" t="s">
        <v>1890</v>
      </c>
      <c r="AR117" s="1" t="s">
        <v>1626</v>
      </c>
    </row>
    <row r="118">
      <c r="A118" s="1" t="s">
        <v>1891</v>
      </c>
      <c r="B118" s="1" t="str">
        <f>IFERROR(__xludf.DUMMYFUNCTION("GOOGLETRANSLATE(A:A, ""en"", ""te"")"),"బార్టెల్ BM 1")</f>
        <v>బార్టెల్ BM 1</v>
      </c>
      <c r="C118" s="1" t="s">
        <v>1892</v>
      </c>
      <c r="D118" s="1" t="str">
        <f>IFERROR(__xludf.DUMMYFUNCTION("GOOGLETRANSLATE(C:C, ""en"", ""te"")"),"బార్టెల్ BM 1 మేరీలా, మొదట బార్టెల్ M.1 అనేది పోలిష్ మిలిటరీ కోసం ఒక యుద్ధ విమాన రూపకల్పన, ఇది డిజైన్ దశకు మించి ముందుకు రాలేదు. ఇది 1925 లో పోలిష్ యుద్ధ మంత్రిత్వ శాఖ పోటీకి ప్రతిస్పందనగా రూపొందించబడింది మరియు మూడవ స్థానంలో నిలిచింది, బార్టెల్ ఎ Zł 1,000"&amp;" బహుమతిని నెట్టింది. మేరీలా బార్టెల్ భార్య పేరు. ఈ డిజైన్ యుగం యొక్క న్యూపోర్ట్-డిలేజ్ సెస్క్విప్లేన్లకు కాన్ఫిగరేషన్‌లో ఒకే-సీటు పారాసోల్-వింగ్ మోనోప్లేన్. విలక్షణమైన లక్షణం Y- ఆకారపు స్ట్రట్స్ అండర్ క్యారేజీతో వింగ్‌లో చేరడం. ఇది నిర్మించబడలేదు. [1] పోల"&amp;"ిష్ విమానం నుండి డేటా 1893-1939 [1] బార్టెల్ BM-1 ""మేరీలా"", 1925 [2] సాధారణ లక్షణాల పనితీరు ఆయుధాలు")</f>
        <v>బార్టెల్ BM 1 మేరీలా, మొదట బార్టెల్ M.1 అనేది పోలిష్ మిలిటరీ కోసం ఒక యుద్ధ విమాన రూపకల్పన, ఇది డిజైన్ దశకు మించి ముందుకు రాలేదు. ఇది 1925 లో పోలిష్ యుద్ధ మంత్రిత్వ శాఖ పోటీకి ప్రతిస్పందనగా రూపొందించబడింది మరియు మూడవ స్థానంలో నిలిచింది, బార్టెల్ ఎ Zł 1,000 బహుమతిని నెట్టింది. మేరీలా బార్టెల్ భార్య పేరు. ఈ డిజైన్ యుగం యొక్క న్యూపోర్ట్-డిలేజ్ సెస్క్విప్లేన్లకు కాన్ఫిగరేషన్‌లో ఒకే-సీటు పారాసోల్-వింగ్ మోనోప్లేన్. విలక్షణమైన లక్షణం Y- ఆకారపు స్ట్రట్స్ అండర్ క్యారేజీతో వింగ్‌లో చేరడం. ఇది నిర్మించబడలేదు. [1] పోలిష్ విమానం నుండి డేటా 1893-1939 [1] బార్టెల్ BM-1 "మేరీలా", 1925 [2] సాధారణ లక్షణాల పనితీరు ఆయుధాలు</v>
      </c>
      <c r="F118" s="1" t="s">
        <v>356</v>
      </c>
      <c r="G118" s="1" t="str">
        <f>IFERROR(__xludf.DUMMYFUNCTION("GOOGLETRANSLATE(F:F, ""en"", ""te"")"),"యుద్ధ")</f>
        <v>యుద్ధ</v>
      </c>
      <c r="O118" s="1" t="s">
        <v>1893</v>
      </c>
      <c r="P118" s="1" t="str">
        <f>IFERROR(__xludf.DUMMYFUNCTION("GOOGLETRANSLATE(O:O, ""en"", ""te"")"),"డిజైన్ మాత్రమే - ఎప్పుడూ నిర్మించబడలేదు")</f>
        <v>డిజైన్ మాత్రమే - ఎప్పుడూ నిర్మించబడలేదు</v>
      </c>
      <c r="S118" s="1">
        <v>1.0</v>
      </c>
      <c r="U118" s="1" t="s">
        <v>1894</v>
      </c>
      <c r="V118" s="1" t="s">
        <v>897</v>
      </c>
      <c r="W118" s="1" t="s">
        <v>1895</v>
      </c>
      <c r="X118" s="1" t="s">
        <v>1896</v>
      </c>
      <c r="Y118" s="1" t="s">
        <v>1897</v>
      </c>
      <c r="AA118" s="1" t="s">
        <v>1898</v>
      </c>
      <c r="AH118" s="1" t="s">
        <v>1899</v>
      </c>
      <c r="AI118" s="1" t="s">
        <v>1900</v>
      </c>
      <c r="AM118" s="1" t="s">
        <v>1901</v>
      </c>
      <c r="AP118" s="1" t="s">
        <v>1902</v>
      </c>
      <c r="BD118" s="1" t="s">
        <v>1903</v>
      </c>
    </row>
    <row r="119">
      <c r="A119" s="1" t="s">
        <v>1904</v>
      </c>
      <c r="B119" s="1" t="str">
        <f>IFERROR(__xludf.DUMMYFUNCTION("GOOGLETRANSLATE(A:A, ""en"", ""te"")"),"బార్ట్‌లెట్ జెఫిర్")</f>
        <v>బార్ట్‌లెట్ జెఫిర్</v>
      </c>
      <c r="C119" s="1" t="s">
        <v>1905</v>
      </c>
      <c r="D119" s="1" t="str">
        <f>IFERROR(__xludf.DUMMYFUNCTION("GOOGLETRANSLATE(C:C, ""en"", ""te"")"),"బార్ట్‌లెట్ LC-13A జెఫిర్ 150 1940 లలో నిర్మించిన యునైటెడ్ స్టేట్స్ లైట్ సివిల్ విమానం. ఇది సాంప్రదాయిక రూపకల్పన యొక్క మిడ్-వింగ్ బ్రేస్డ్ మోనోప్లేన్, రెండు మరియు స్థిర, టెయిల్‌వీల్ అండర్ క్యారేజీకి పక్కపక్కనే సీటింగ్. దీనిని మొదట బాబ్‌కాక్ ఎల్‌సి -13 గా "&amp;"దాని అసలు తయారీదారుగా విక్రయించింది, తరువాత టౌబ్మాన్ ఎల్‌సి -13 గా బాబ్‌కాక్ ఎయిర్‌ప్లేన్ కార్పొరేషన్‌ను టౌబ్మాన్ ఎయిర్‌క్రాఫ్ట్ కొనుగోలు చేసినప్పుడు. ఈ హక్కులను చివరకు 1941 లో బార్ట్‌లెట్ విమానం కొనుగోలు చేసింది, కాని రెండవ ప్రపంచ యుద్ధం వ్యాప్తి చెందడం "&amp;"వల్ల దీనిని భారీగా ఉత్పత్తి చేసే ప్రణాళికలు ఆగిపోయాయి. యుద్ధం చివరిలో డిజైన్‌ను పునరుద్ధరించడానికి క్లుప్త ప్రయత్నం జరిగింది, కానీ దీని గురించి ఏమీ రాలేదు. జేన్ యొక్క అన్ని ప్రపంచ విమానాల నుండి డేటా 1947 [1] సాధారణ లక్షణాలు పనితీరు ఫోటో: [1]")</f>
        <v>బార్ట్‌లెట్ LC-13A జెఫిర్ 150 1940 లలో నిర్మించిన యునైటెడ్ స్టేట్స్ లైట్ సివిల్ విమానం. ఇది సాంప్రదాయిక రూపకల్పన యొక్క మిడ్-వింగ్ బ్రేస్డ్ మోనోప్లేన్, రెండు మరియు స్థిర, టెయిల్‌వీల్ అండర్ క్యారేజీకి పక్కపక్కనే సీటింగ్. దీనిని మొదట బాబ్‌కాక్ ఎల్‌సి -13 గా దాని అసలు తయారీదారుగా విక్రయించింది, తరువాత టౌబ్మాన్ ఎల్‌సి -13 గా బాబ్‌కాక్ ఎయిర్‌ప్లేన్ కార్పొరేషన్‌ను టౌబ్మాన్ ఎయిర్‌క్రాఫ్ట్ కొనుగోలు చేసినప్పుడు. ఈ హక్కులను చివరకు 1941 లో బార్ట్‌లెట్ విమానం కొనుగోలు చేసింది, కాని రెండవ ప్రపంచ యుద్ధం వ్యాప్తి చెందడం వల్ల దీనిని భారీగా ఉత్పత్తి చేసే ప్రణాళికలు ఆగిపోయాయి. యుద్ధం చివరిలో డిజైన్‌ను పునరుద్ధరించడానికి క్లుప్త ప్రయత్నం జరిగింది, కానీ దీని గురించి ఏమీ రాలేదు. జేన్ యొక్క అన్ని ప్రపంచ విమానాల నుండి డేటా 1947 [1] సాధారణ లక్షణాలు పనితీరు ఫోటో: [1]</v>
      </c>
      <c r="E119" s="1" t="s">
        <v>1906</v>
      </c>
      <c r="L119" s="1" t="s">
        <v>1907</v>
      </c>
      <c r="M119" s="1" t="str">
        <f>IFERROR(__xludf.DUMMYFUNCTION("GOOGLETRANSLATE(L:L, ""en"", ""te"")"),"బార్ట్‌లెట్ విమానం")</f>
        <v>బార్ట్‌లెట్ విమానం</v>
      </c>
      <c r="N119" s="1" t="s">
        <v>1908</v>
      </c>
      <c r="Q119" s="1" t="s">
        <v>1909</v>
      </c>
      <c r="S119" s="1">
        <v>2.0</v>
      </c>
      <c r="U119" s="1" t="s">
        <v>1910</v>
      </c>
      <c r="V119" s="1" t="s">
        <v>1911</v>
      </c>
      <c r="W119" s="1" t="s">
        <v>1912</v>
      </c>
      <c r="X119" s="1" t="s">
        <v>1913</v>
      </c>
      <c r="Y119" s="1" t="s">
        <v>1914</v>
      </c>
      <c r="Z119" s="1" t="s">
        <v>1915</v>
      </c>
      <c r="AA119" s="1" t="s">
        <v>1916</v>
      </c>
      <c r="AB119" s="1" t="s">
        <v>1917</v>
      </c>
      <c r="AC119" s="1" t="s">
        <v>1918</v>
      </c>
      <c r="AD119" s="1" t="s">
        <v>290</v>
      </c>
      <c r="AE119" s="1" t="s">
        <v>1739</v>
      </c>
      <c r="AF119" s="1" t="s">
        <v>1919</v>
      </c>
      <c r="AG119" s="1" t="s">
        <v>1920</v>
      </c>
      <c r="AH119" s="1" t="s">
        <v>1921</v>
      </c>
      <c r="AI119" s="1" t="s">
        <v>1922</v>
      </c>
      <c r="AM119" s="1" t="s">
        <v>1923</v>
      </c>
      <c r="AP119" s="1" t="s">
        <v>1924</v>
      </c>
      <c r="AR119" s="1" t="s">
        <v>1538</v>
      </c>
      <c r="AY119" s="1" t="s">
        <v>1925</v>
      </c>
      <c r="CU119" s="1" t="s">
        <v>1926</v>
      </c>
    </row>
    <row r="120">
      <c r="A120" s="1" t="s">
        <v>1927</v>
      </c>
      <c r="B120" s="1" t="str">
        <f>IFERROR(__xludf.DUMMYFUNCTION("GOOGLETRANSLATE(A:A, ""en"", ""te"")"),"బెల్ పి -76")</f>
        <v>బెల్ పి -76</v>
      </c>
      <c r="C120" s="1" t="s">
        <v>1928</v>
      </c>
      <c r="D120" s="1" t="str">
        <f>IFERROR(__xludf.DUMMYFUNCTION("GOOGLETRANSLATE(C:C, ""en"", ""te"")"),"బెల్ పి -76 రెండవ ప్రపంచ యుద్ధం యొక్క సింగిల్-ఇంజిన్ అమెరికన్ ఫైటర్ ఎయిర్క్రాఫ్ట్ ప్రోటోటైప్ అయిన XP-39E యొక్క ప్రొడక్షన్ మోడల్ ఉత్పన్నం కోసం ప్రతిపాదిత హోదా. 26 ఫిబ్రవరి 1941 న, యునైటెడ్ స్టేట్స్ ఆర్మీ ఎయిర్ కార్ప్స్ (యుఎస్‌ఎఎసి) బెల్ తో ఒక ఒప్పందాన్ని ఉ"&amp;"ంచింది, రెండు XP-39ES (41-19501 మరియు 41-19502) ను కొనుగోలు చేయడానికి అనుమతించింది, ఇవి P-39D సిరీస్‌లో పెద్ద మెరుగుదలగా భావించబడ్డాయి. . ప్రతిపాదించిన మార్పుల సంఖ్య కారణంగా ఉత్పత్తి నమూనాను బెల్ పి -76 అని పిలవాలి. బెల్ పి -76 పి -39 ఎయిరాకోబ్రా యొక్క పే"&amp;"లవమైన అధిక-ఎత్తు పనితీరును పరిష్కరించడానికి ప్రతిపాదించబడింది, కొత్త మరియు మందమైన వింగ్‌ను సుష్ట ఎయిర్‌ఫాయిల్‌తో చేర్చడం ద్వారా; ఎంచుకున్న విభాగం చిట్కా వద్ద NACA 23009 కు వింగ్-రూట్ టేపింగ్ వద్ద NACA 0018. కొత్త రెక్కను తరచుగా లామినార్ ప్రవాహ రకంగా సూచిం"&amp;"చినప్పటికీ, ఇది అలా కాదు. [1] రెక్కల వ్యవధిని 35 అడుగుల 10 (10.9 మీ) మరియు ఈ ప్రాంతం 236 అడుగుల (21.9 m²) కు పెంచారు, మందమైన రెక్క 150 US గ్యాలన్లకు (568 L) ఇంధన సామర్థ్యాన్ని పెంచడానికి అనుమతిస్తుంది. [2] కొత్త అల్లిసన్ V-1710-E9 రూపకల్పన కూడా జరుగుతోంది"&amp;". V-1710-47 యొక్క సైనిక హోదాను కలిగి ఉన్న ఈ వెర్షన్, ఇంజిన్ శక్తిని ఎత్తులో పెంచడానికి రెండు-దశల మెకానికల్ సూపర్ఛార్జర్‌ను ఉపయోగించింది. ఏదేమైనా, ఈ ఇంజిన్ చాలా డిజైన్ మార్పుల ద్వారా వెళ్ళింది, ఇది XP-63A లో అమర్చబడిన తరువాత V-1710-93 కు దాదాపు సమానంగా ఉంద"&amp;"ి. [2] మరొక మార్పు ఏమిటంటే, V-1710 కు బదులుగా మరింత శక్తివంతమైన ఇంజిన్‌ను అంగీకరించడానికి ఇంజిన్ బే సవరించబడింది. దాని మూలాలు 1941 ప్రాజెక్టులో మూడు P-39D (41-19501, 41-19502 మరియు 42-7164) ను ఖండాంతర V-1430-1 లిక్విడ్-కూల్డ్ సూపర్ఛార్జ్డ్ ఇంజిన్‌తో సన్నద"&amp;"్ధం చేశాయి. ఫలిత XP-39E లో చదరపు వింగ్‌టిప్స్‌తో సుష్ట ఎయిర్‌ఫాయిల్ వింగ్, పెద్ద ఇంజిన్‌కు అనుగుణంగా పొడుగుచేసిన ఫ్యూజ్‌లేజ్ మరియు సవరించిన గాలి తీసుకోవడం మరియు రేడియేటర్లను కలిగి ఉంది. మూడు ప్రోటోటైప్‌లు ఒక్కొక్కటి వేరే టెయిల్‌ఫిన్ కలిగి ఉన్నాయి. రోల్అవు"&amp;"ట్ వద్ద కాంటినెంటల్ ఇంజిన్ అందుబాటులో లేనందున, ప్రోటోటైప్స్ అల్లిసన్ V-1710-47 ఇంజిన్లతో ప్రయాణించాయి. 1942 లో, XP-39E ను పున es రూపకల్పన చేశారు. 4,000 విమానాలను మొదట్లో ఆదేశించినప్పటికీ, బోయింగ్ నుండి లైసెన్స్ కింద బి -29 సూపర్‌ఫోర్ట్రెస్ బాంబర్ విమానాలన"&amp;"ు తయారు చేయడానికి బెల్ ఫ్యాక్టరీని అనుమతించమని ఈ ఉత్తర్వు రద్దు చేయబడింది. పి -76 లో నేర్చుకున్న అనేక పాఠాలు తరువాతి పి -63 కింగ్‌కోబ్రాలో అమలు చేయబడ్డాయి. సాధారణ లక్షణాలు పనితీరు ఆయుధ సంబంధిత అభివృద్ధి సంబంధిత జాబితాలు")</f>
        <v>బెల్ పి -76 రెండవ ప్రపంచ యుద్ధం యొక్క సింగిల్-ఇంజిన్ అమెరికన్ ఫైటర్ ఎయిర్క్రాఫ్ట్ ప్రోటోటైప్ అయిన XP-39E యొక్క ప్రొడక్షన్ మోడల్ ఉత్పన్నం కోసం ప్రతిపాదిత హోదా. 26 ఫిబ్రవరి 1941 న, యునైటెడ్ స్టేట్స్ ఆర్మీ ఎయిర్ కార్ప్స్ (యుఎస్‌ఎఎసి) బెల్ తో ఒక ఒప్పందాన్ని ఉంచింది, రెండు XP-39ES (41-19501 మరియు 41-19502) ను కొనుగోలు చేయడానికి అనుమతించింది, ఇవి P-39D సిరీస్‌లో పెద్ద మెరుగుదలగా భావించబడ్డాయి. . ప్రతిపాదించిన మార్పుల సంఖ్య కారణంగా ఉత్పత్తి నమూనాను బెల్ పి -76 అని పిలవాలి. బెల్ పి -76 పి -39 ఎయిరాకోబ్రా యొక్క పేలవమైన అధిక-ఎత్తు పనితీరును పరిష్కరించడానికి ప్రతిపాదించబడింది, కొత్త మరియు మందమైన వింగ్‌ను సుష్ట ఎయిర్‌ఫాయిల్‌తో చేర్చడం ద్వారా; ఎంచుకున్న విభాగం చిట్కా వద్ద NACA 23009 కు వింగ్-రూట్ టేపింగ్ వద్ద NACA 0018. కొత్త రెక్కను తరచుగా లామినార్ ప్రవాహ రకంగా సూచించినప్పటికీ, ఇది అలా కాదు. [1] రెక్కల వ్యవధిని 35 అడుగుల 10 (10.9 మీ) మరియు ఈ ప్రాంతం 236 అడుగుల (21.9 m²) కు పెంచారు, మందమైన రెక్క 150 US గ్యాలన్లకు (568 L) ఇంధన సామర్థ్యాన్ని పెంచడానికి అనుమతిస్తుంది. [2] కొత్త అల్లిసన్ V-1710-E9 రూపకల్పన కూడా జరుగుతోంది. V-1710-47 యొక్క సైనిక హోదాను కలిగి ఉన్న ఈ వెర్షన్, ఇంజిన్ శక్తిని ఎత్తులో పెంచడానికి రెండు-దశల మెకానికల్ సూపర్ఛార్జర్‌ను ఉపయోగించింది. ఏదేమైనా, ఈ ఇంజిన్ చాలా డిజైన్ మార్పుల ద్వారా వెళ్ళింది, ఇది XP-63A లో అమర్చబడిన తరువాత V-1710-93 కు దాదాపు సమానంగా ఉంది. [2] మరొక మార్పు ఏమిటంటే, V-1710 కు బదులుగా మరింత శక్తివంతమైన ఇంజిన్‌ను అంగీకరించడానికి ఇంజిన్ బే సవరించబడింది. దాని మూలాలు 1941 ప్రాజెక్టులో మూడు P-39D (41-19501, 41-19502 మరియు 42-7164) ను ఖండాంతర V-1430-1 లిక్విడ్-కూల్డ్ సూపర్ఛార్జ్డ్ ఇంజిన్‌తో సన్నద్ధం చేశాయి. ఫలిత XP-39E లో చదరపు వింగ్‌టిప్స్‌తో సుష్ట ఎయిర్‌ఫాయిల్ వింగ్, పెద్ద ఇంజిన్‌కు అనుగుణంగా పొడుగుచేసిన ఫ్యూజ్‌లేజ్ మరియు సవరించిన గాలి తీసుకోవడం మరియు రేడియేటర్లను కలిగి ఉంది. మూడు ప్రోటోటైప్‌లు ఒక్కొక్కటి వేరే టెయిల్‌ఫిన్ కలిగి ఉన్నాయి. రోల్అవుట్ వద్ద కాంటినెంటల్ ఇంజిన్ అందుబాటులో లేనందున, ప్రోటోటైప్స్ అల్లిసన్ V-1710-47 ఇంజిన్లతో ప్రయాణించాయి. 1942 లో, XP-39E ను పున es రూపకల్పన చేశారు. 4,000 విమానాలను మొదట్లో ఆదేశించినప్పటికీ, బోయింగ్ నుండి లైసెన్స్ కింద బి -29 సూపర్‌ఫోర్ట్రెస్ బాంబర్ విమానాలను తయారు చేయడానికి బెల్ ఫ్యాక్టరీని అనుమతించమని ఈ ఉత్తర్వు రద్దు చేయబడింది. పి -76 లో నేర్చుకున్న అనేక పాఠాలు తరువాతి పి -63 కింగ్‌కోబ్రాలో అమలు చేయబడ్డాయి. సాధారణ లక్షణాలు పనితీరు ఆయుధ సంబంధిత అభివృద్ధి సంబంధిత జాబితాలు</v>
      </c>
      <c r="E120" s="1" t="s">
        <v>1929</v>
      </c>
      <c r="F120" s="1" t="s">
        <v>1930</v>
      </c>
      <c r="G120" s="1" t="str">
        <f>IFERROR(__xludf.DUMMYFUNCTION("GOOGLETRANSLATE(F:F, ""en"", ""te"")"),"ఫైటర్ విమానం")</f>
        <v>ఫైటర్ విమానం</v>
      </c>
      <c r="H120" s="1" t="s">
        <v>1931</v>
      </c>
      <c r="L120" s="1" t="s">
        <v>1932</v>
      </c>
      <c r="M120" s="1" t="str">
        <f>IFERROR(__xludf.DUMMYFUNCTION("GOOGLETRANSLATE(L:L, ""en"", ""te"")"),"బెల్ ఎయిర్క్రాఫ్ట్ కార్పొరేషన్")</f>
        <v>బెల్ ఎయిర్క్రాఫ్ట్ కార్పొరేషన్</v>
      </c>
      <c r="N120" s="1" t="s">
        <v>1933</v>
      </c>
      <c r="O120" s="1" t="s">
        <v>1934</v>
      </c>
      <c r="P120" s="1" t="str">
        <f>IFERROR(__xludf.DUMMYFUNCTION("GOOGLETRANSLATE(O:O, ""en"", ""te"")"),"సామూహిక ఉత్పత్తిలోకి ప్రవేశించలేదు")</f>
        <v>సామూహిక ఉత్పత్తిలోకి ప్రవేశించలేదు</v>
      </c>
      <c r="Q120" s="1" t="s">
        <v>1935</v>
      </c>
      <c r="S120" s="1">
        <v>1.0</v>
      </c>
      <c r="U120" s="1" t="s">
        <v>1936</v>
      </c>
      <c r="V120" s="1" t="s">
        <v>1937</v>
      </c>
      <c r="W120" s="1" t="s">
        <v>1938</v>
      </c>
      <c r="X120" s="1" t="s">
        <v>1939</v>
      </c>
      <c r="AA120" s="1" t="s">
        <v>1940</v>
      </c>
      <c r="AF120" s="1" t="s">
        <v>1941</v>
      </c>
      <c r="AJ120" s="1">
        <v>1942.0</v>
      </c>
      <c r="AN120" s="1" t="s">
        <v>1942</v>
      </c>
      <c r="AP120" s="1" t="s">
        <v>1943</v>
      </c>
      <c r="AT120" s="1" t="s">
        <v>1944</v>
      </c>
      <c r="AU120" s="1" t="s">
        <v>1945</v>
      </c>
      <c r="AZ120" s="1" t="s">
        <v>1946</v>
      </c>
      <c r="BH120" s="1" t="s">
        <v>989</v>
      </c>
      <c r="BI120" s="1" t="s">
        <v>990</v>
      </c>
      <c r="DC120" s="1" t="s">
        <v>1947</v>
      </c>
    </row>
    <row r="121">
      <c r="A121" s="1" t="s">
        <v>1948</v>
      </c>
      <c r="B121" s="1" t="str">
        <f>IFERROR(__xludf.DUMMYFUNCTION("GOOGLETRANSLATE(A:A, ""en"", ""te"")"),"బెల్లాంకా 14-13")</f>
        <v>బెల్లాంకా 14-13</v>
      </c>
      <c r="C121" s="1" t="s">
        <v>1949</v>
      </c>
      <c r="D121" s="1" t="str">
        <f>IFERROR(__xludf.DUMMYFUNCTION("GOOGLETRANSLATE(C:C, ""en"", ""te"")"),"బెల్లాంకా 14-13 క్రూయిసేర్ సీనియర్ మరియు దాని వారసులు రెండవ ప్రపంచ యుద్ధం తరువాత యునైటెడ్ స్టేట్స్లో ఏవియాబెల్లంకా విమానం చేత తయారు చేయబడిన తేలికపాటి విమానాల కుటుంబం. వారు ప్రీవార్ బెల్లాంకా 14-7 మరియు దాని ఉత్పన్నాలను అనుసరించారు. 14-13 బెల్లాంకా 14-7 యొ"&amp;"క్క ప్రాథమిక రూపకల్పనను నిలుపుకుంది, కాని విస్తరించిన క్యాబిన్‌ను కలిగి ఉంది, ఇది అడ్డంగా వ్యతిరేకించిన ఫ్రాంక్లిన్ 6A4-335-B3 150 HP (112 kW) ఇంజిన్, మునుపటి మోడళ్ల లే బ్లోండ్ రేడియల్ స్థానంలో మరియు ఓవల్ నిలువు ప్రతి క్షితిజ సమాంతర స్టెబిలైజర్‌లో ఎండ్‌ప్"&amp;"లేట్. ఈ తరువాతి లక్షణం ""కార్డ్బోర్డ్ కాన్స్టెలేషన్"" అనే ప్రేమగల మారుపేరును పొందింది, ఎందుకంటే ఈ అమరిక సమకాలీన లాక్హీడ్ కాన్స్టెలేషన్ విమానాల మాదిరిగానే ఉంటుంది. [1] చదరపు అడుగులలోని వింగ్ ప్రాంతం నుండి సిరీస్‌ను గుర్తించే బెల్లాంకా సంప్రదాయం నుండి దాని "&amp;"పేరును తీసుకొని, చివరి అంకెను వదులుకుంది, రెండవ సంఖ్య విమానం యొక్క హార్స్‌పవర్, మళ్ళీ చివరి అంకెను వదులుతూ, 14-13 నామకరణ సమావేశానికి సరిపోలేదు . బెల్లాంకా 14-13 వింగ్ కలపతో నిర్మించబడింది, అయితే ఫ్యూజ్‌లేజ్ స్టీల్-ట్యూబ్ ఫ్రేమ్‌వర్క్‌ను ఫాబ్రిక్ కవరింగ్‌త"&amp;"ో వెల్డింగ్ చేసింది. [1] 14-13 1946 లో ప్రవేశపెట్టబడింది; దాని మెరుగైన 14-13-3 సంస్కరణలో ఈ విమానం 1956 వరకు ఉత్పత్తిలో ఉంది. [1] అధిక-పనితీరు రూపకల్పన పునర్విమర్శకు సెప్టెంబర్ 26, 1949 న 14-19 క్రూయిస్‌మాస్టర్‌గా FAA ఆమోదం లభించింది. [2] కొత్త మోడల్‌లో ని"&amp;"ర్మాణాత్మక నవీకరణలు, 190 హెచ్‌పి (142 కిలోవాట్ల) లైమింగ్ ఓ 435-ఎ ఇంజిన్, స్థూల బరువు 2,600 ఎల్బి (1,179 కిలోలు), హైడ్రాలిక్ ఆపరేటెడ్ ల్యాండింగ్ గేర్ మరియు ఫ్లాప్‌లు మరియు డీలక్స్ ఇంటీరియర్. వీటిలో 99 విమానాలు 1949 మరియు 1951 మధ్య ఉత్పత్తి చేయబడ్డాయి. బాహ్"&amp;"యంగా, మునుపటి మోడళ్లకు దగ్గరగా ఉన్నది, ఈ సంస్కరణ దాని పెద్ద, ఓవల్ ఆకారపు ఎండ్‌ప్లేట్‌ల ద్వారా వేరు చేయబడింది. [3] బెల్లాంకా తన కార్యకలాపాలను పెంచుకోవడంతో 1956 లో అన్ని ఉత్పత్తి ఆగిపోయింది. 14-19 రూపకల్పనను నార్తర్న్ ఎయిర్క్రాఫ్ట్ పునరుద్ధరించింది మరియు జన"&amp;"వరి 7, 1957 న 14-19-2 క్రూయిజ్‌మాస్టర్‌గా FAA ఆమోదం మంజూరు చేసింది. కొత్త మోడల్‌లో 230 హెచ్‌పి (172 కిలోవాట్ల) కాంటినెంటల్ ఓ -470 కె ఇంజిన్, 2,700 పౌండ్ల స్థూల బరువు పెరిగింది, [2] నవీకరించబడిన ఇన్స్ట్రుమెంట్ ప్యానెల్ అలాగే కొత్త పెయింట్ మరియు అప్హోల్స్టర"&amp;"ీ పథకాలు. [4] ఈ విమానంలో మొత్తం 104 1957 మరియు 1958 మధ్య ఉత్పత్తి చేయబడ్డాయి. [3] ఈ సంస్థకు 1959 లో డౌనర్ విమానం అని పేరు మార్చబడింది. ఇంటర్-ఎయిర్ 1962 లో ఉత్పత్తి హక్కులను కొనుగోలు చేసింది మరియు మిల్లెర్ ఫ్లయింగ్ సర్వీస్ యొక్క అనుబంధ సంస్థ బెల్లాంకా సేల్"&amp;"స్ కంపెనీగా పేరు మార్చబడింది. [1] ఇంటర్-ఎయిర్ చేత డిజైన్ యొక్క మరింత అభివృద్ధి ఫలితంగా 1962 లో ప్రవేశపెట్టిన ఆధునికీకరించిన వైకింగ్ సిరీస్. [5] రెండవ ప్రపంచ యుద్ధానంతర యుగంలో రూపకల్పన మరియు ఉత్పత్తి చేయబడిన బెల్లాంకా 14-13 క్రూయిజర్ సీనియర్ ఒక సాధారణ విమా"&amp;"నయాన మార్కెట్‌ను లక్ష్యంగా చేసుకున్నారు. పైలట్/యజమానులకు పనితీరు, తక్కువ ఇంజిన్ శక్తి మరియు నిరాడంబరమైన ధరల కలయిక ఇవ్వబడింది. దీని పనితీరు మరియు నిర్మాణ బలం కూడా యుటిలిటీ పని కోసం ఆకర్షణీయంగా నిలిచింది, కానీ అనేక విధాలుగా బెల్లాంకా డిజైన్ ఒక అనాక్రోనిజం, "&amp;"సాంప్రదాయిక ల్యాండింగ్ గేర్ కాన్ఫిగరేషన్ మరియు కలప-మరియు-ఫాబ్రిక్ నిర్మాణంపై ఆధారపడింది, ఇది మునుపటి యుగానికి తిరిగి వచ్చింది. యుద్ధానంతర ఆర్థిక శాస్త్రం పాటు మిగులు సైనిక విమానం యొక్క గ్లూట్ భారీ అమ్మకాలను నిరోధించింది, అయితే సుమారు 600 మంది ఉత్పత్తి చేయ"&amp;"బడ్డారు. [5] ప్రైవేట్ విమాన అమ్మకాలు స్తబ్దుగా ఉన్న కాలంలో ప్రవేశపెట్టినప్పటికీ, ఈ విమానం దాని అవతారాలన్నిటిలోనూ ప్రాచుర్యం పొందింది మరియు నేడు క్లాసిక్ క్యాబిన్ మోనోప్లేన్‌గా పరిగణించబడుతుంది మరియు చాలా డిమాండ్ ఉంది. [6] జేన్ యొక్క అన్ని ప్రపంచ విమానాల న"&amp;"ుండి డేటా 1947 [8] సాధారణ లక్షణాలు పనితీరు సంబంధిత అభివృద్ధి విమానం పోల్చదగిన పాత్ర, కాన్ఫిగరేషన్ మరియు ERA")</f>
        <v>బెల్లాంకా 14-13 క్రూయిసేర్ సీనియర్ మరియు దాని వారసులు రెండవ ప్రపంచ యుద్ధం తరువాత యునైటెడ్ స్టేట్స్లో ఏవియాబెల్లంకా విమానం చేత తయారు చేయబడిన తేలికపాటి విమానాల కుటుంబం. వారు ప్రీవార్ బెల్లాంకా 14-7 మరియు దాని ఉత్పన్నాలను అనుసరించారు. 14-13 బెల్లాంకా 14-7 యొక్క ప్రాథమిక రూపకల్పనను నిలుపుకుంది, కాని విస్తరించిన క్యాబిన్‌ను కలిగి ఉంది, ఇది అడ్డంగా వ్యతిరేకించిన ఫ్రాంక్లిన్ 6A4-335-B3 150 HP (112 kW) ఇంజిన్, మునుపటి మోడళ్ల లే బ్లోండ్ రేడియల్ స్థానంలో మరియు ఓవల్ నిలువు ప్రతి క్షితిజ సమాంతర స్టెబిలైజర్‌లో ఎండ్‌ప్లేట్. ఈ తరువాతి లక్షణం "కార్డ్బోర్డ్ కాన్స్టెలేషన్" అనే ప్రేమగల మారుపేరును పొందింది, ఎందుకంటే ఈ అమరిక సమకాలీన లాక్హీడ్ కాన్స్టెలేషన్ విమానాల మాదిరిగానే ఉంటుంది. [1] చదరపు అడుగులలోని వింగ్ ప్రాంతం నుండి సిరీస్‌ను గుర్తించే బెల్లాంకా సంప్రదాయం నుండి దాని పేరును తీసుకొని, చివరి అంకెను వదులుకుంది, రెండవ సంఖ్య విమానం యొక్క హార్స్‌పవర్, మళ్ళీ చివరి అంకెను వదులుతూ, 14-13 నామకరణ సమావేశానికి సరిపోలేదు . బెల్లాంకా 14-13 వింగ్ కలపతో నిర్మించబడింది, అయితే ఫ్యూజ్‌లేజ్ స్టీల్-ట్యూబ్ ఫ్రేమ్‌వర్క్‌ను ఫాబ్రిక్ కవరింగ్‌తో వెల్డింగ్ చేసింది. [1] 14-13 1946 లో ప్రవేశపెట్టబడింది; దాని మెరుగైన 14-13-3 సంస్కరణలో ఈ విమానం 1956 వరకు ఉత్పత్తిలో ఉంది. [1] అధిక-పనితీరు రూపకల్పన పునర్విమర్శకు సెప్టెంబర్ 26, 1949 న 14-19 క్రూయిస్‌మాస్టర్‌గా FAA ఆమోదం లభించింది. [2] కొత్త మోడల్‌లో నిర్మాణాత్మక నవీకరణలు, 190 హెచ్‌పి (142 కిలోవాట్ల) లైమింగ్ ఓ 435-ఎ ఇంజిన్, స్థూల బరువు 2,600 ఎల్బి (1,179 కిలోలు), హైడ్రాలిక్ ఆపరేటెడ్ ల్యాండింగ్ గేర్ మరియు ఫ్లాప్‌లు మరియు డీలక్స్ ఇంటీరియర్. వీటిలో 99 విమానాలు 1949 మరియు 1951 మధ్య ఉత్పత్తి చేయబడ్డాయి. బాహ్యంగా, మునుపటి మోడళ్లకు దగ్గరగా ఉన్నది, ఈ సంస్కరణ దాని పెద్ద, ఓవల్ ఆకారపు ఎండ్‌ప్లేట్‌ల ద్వారా వేరు చేయబడింది. [3] బెల్లాంకా తన కార్యకలాపాలను పెంచుకోవడంతో 1956 లో అన్ని ఉత్పత్తి ఆగిపోయింది. 14-19 రూపకల్పనను నార్తర్న్ ఎయిర్క్రాఫ్ట్ పునరుద్ధరించింది మరియు జనవరి 7, 1957 న 14-19-2 క్రూయిజ్‌మాస్టర్‌గా FAA ఆమోదం మంజూరు చేసింది. కొత్త మోడల్‌లో 230 హెచ్‌పి (172 కిలోవాట్ల) కాంటినెంటల్ ఓ -470 కె ఇంజిన్, 2,700 పౌండ్ల స్థూల బరువు పెరిగింది, [2] నవీకరించబడిన ఇన్స్ట్రుమెంట్ ప్యానెల్ అలాగే కొత్త పెయింట్ మరియు అప్హోల్స్టరీ పథకాలు. [4] ఈ విమానంలో మొత్తం 104 1957 మరియు 1958 మధ్య ఉత్పత్తి చేయబడ్డాయి. [3] ఈ సంస్థకు 1959 లో డౌనర్ విమానం అని పేరు మార్చబడింది. ఇంటర్-ఎయిర్ 1962 లో ఉత్పత్తి హక్కులను కొనుగోలు చేసింది మరియు మిల్లెర్ ఫ్లయింగ్ సర్వీస్ యొక్క అనుబంధ సంస్థ బెల్లాంకా సేల్స్ కంపెనీగా పేరు మార్చబడింది. [1] ఇంటర్-ఎయిర్ చేత డిజైన్ యొక్క మరింత అభివృద్ధి ఫలితంగా 1962 లో ప్రవేశపెట్టిన ఆధునికీకరించిన వైకింగ్ సిరీస్. [5] రెండవ ప్రపంచ యుద్ధానంతర యుగంలో రూపకల్పన మరియు ఉత్పత్తి చేయబడిన బెల్లాంకా 14-13 క్రూయిజర్ సీనియర్ ఒక సాధారణ విమానయాన మార్కెట్‌ను లక్ష్యంగా చేసుకున్నారు. పైలట్/యజమానులకు పనితీరు, తక్కువ ఇంజిన్ శక్తి మరియు నిరాడంబరమైన ధరల కలయిక ఇవ్వబడింది. దీని పనితీరు మరియు నిర్మాణ బలం కూడా యుటిలిటీ పని కోసం ఆకర్షణీయంగా నిలిచింది, కానీ అనేక విధాలుగా బెల్లాంకా డిజైన్ ఒక అనాక్రోనిజం, సాంప్రదాయిక ల్యాండింగ్ గేర్ కాన్ఫిగరేషన్ మరియు కలప-మరియు-ఫాబ్రిక్ నిర్మాణంపై ఆధారపడింది, ఇది మునుపటి యుగానికి తిరిగి వచ్చింది. యుద్ధానంతర ఆర్థిక శాస్త్రం పాటు మిగులు సైనిక విమానం యొక్క గ్లూట్ భారీ అమ్మకాలను నిరోధించింది, అయితే సుమారు 600 మంది ఉత్పత్తి చేయబడ్డారు. [5] ప్రైవేట్ విమాన అమ్మకాలు స్తబ్దుగా ఉన్న కాలంలో ప్రవేశపెట్టినప్పటికీ, ఈ విమానం దాని అవతారాలన్నిటిలోనూ ప్రాచుర్యం పొందింది మరియు నేడు క్లాసిక్ క్యాబిన్ మోనోప్లేన్‌గా పరిగణించబడుతుంది మరియు చాలా డిమాండ్ ఉంది. [6] జేన్ యొక్క అన్ని ప్రపంచ విమానాల నుండి డేటా 1947 [8] సాధారణ లక్షణాలు పనితీరు సంబంధిత అభివృద్ధి విమానం పోల్చదగిన పాత్ర, కాన్ఫిగరేషన్ మరియు ERA</v>
      </c>
      <c r="E121" s="1" t="s">
        <v>1950</v>
      </c>
      <c r="F121" s="1" t="s">
        <v>1951</v>
      </c>
      <c r="G121" s="1" t="str">
        <f>IFERROR(__xludf.DUMMYFUNCTION("GOOGLETRANSLATE(F:F, ""en"", ""te"")"),"సివిల్ యుటిలిటీ విమానం")</f>
        <v>సివిల్ యుటిలిటీ విమానం</v>
      </c>
      <c r="L121" s="1" t="s">
        <v>1952</v>
      </c>
      <c r="M121" s="1" t="str">
        <f>IFERROR(__xludf.DUMMYFUNCTION("GOOGLETRANSLATE(L:L, ""en"", ""te"")"),"బెల్లాంకా")</f>
        <v>బెల్లాంకా</v>
      </c>
      <c r="N121" s="3" t="s">
        <v>1953</v>
      </c>
      <c r="Q121" s="1" t="s">
        <v>1954</v>
      </c>
      <c r="R121" s="1" t="s">
        <v>132</v>
      </c>
      <c r="S121" s="1">
        <v>1.0</v>
      </c>
      <c r="T121" s="1" t="s">
        <v>1410</v>
      </c>
      <c r="U121" s="1" t="s">
        <v>1955</v>
      </c>
      <c r="V121" s="1" t="s">
        <v>1956</v>
      </c>
      <c r="W121" s="1" t="s">
        <v>1957</v>
      </c>
      <c r="X121" s="1" t="s">
        <v>1866</v>
      </c>
      <c r="Y121" s="1" t="s">
        <v>1958</v>
      </c>
      <c r="Z121" s="1" t="s">
        <v>1959</v>
      </c>
      <c r="AA121" s="1" t="s">
        <v>1960</v>
      </c>
      <c r="AB121" s="1" t="s">
        <v>1961</v>
      </c>
      <c r="AC121" s="1" t="s">
        <v>1962</v>
      </c>
      <c r="AD121" s="1" t="s">
        <v>1963</v>
      </c>
      <c r="AF121" s="1" t="s">
        <v>1964</v>
      </c>
      <c r="AG121" s="1" t="s">
        <v>1965</v>
      </c>
      <c r="AJ121" s="6">
        <v>16754.0</v>
      </c>
      <c r="AM121" s="1" t="s">
        <v>1966</v>
      </c>
      <c r="AP121" s="1" t="s">
        <v>1967</v>
      </c>
      <c r="AT121" s="1" t="s">
        <v>1968</v>
      </c>
      <c r="AU121" s="1" t="s">
        <v>1969</v>
      </c>
      <c r="AY121" s="1" t="s">
        <v>1970</v>
      </c>
      <c r="BD121" s="1" t="s">
        <v>1971</v>
      </c>
      <c r="BK121" s="1" t="s">
        <v>1972</v>
      </c>
      <c r="BP121" s="1" t="s">
        <v>1973</v>
      </c>
      <c r="CG121" s="1" t="s">
        <v>1974</v>
      </c>
    </row>
    <row r="122">
      <c r="A122" s="1" t="s">
        <v>1975</v>
      </c>
      <c r="B122" s="1" t="str">
        <f>IFERROR(__xludf.DUMMYFUNCTION("GOOGLETRANSLATE(A:A, ""en"", ""te"")"),"బెల్లాంకా సిహెచ్ -300 పేస్‌మేకర్")</f>
        <v>బెల్లాంకా సిహెచ్ -300 పేస్‌మేకర్</v>
      </c>
      <c r="C122" s="1" t="s">
        <v>1976</v>
      </c>
      <c r="D122" s="1" t="str">
        <f>IFERROR(__xludf.DUMMYFUNCTION("GOOGLETRANSLATE(C:C, ""en"", ""te"")"),"బెల్లాంకా సిహెచ్ -300 పేస్‌మేకర్ ఆరు సీట్ల యుటిలిటీ విమానం, ఇది ప్రధానంగా 1920 మరియు 1930 లలో యునైటెడ్ స్టేట్స్‌లో నిర్మించబడింది. ఇది బెల్లాంకా సిహెచ్ -200 యొక్క అభివృద్ధి, ఇది మరింత శక్తివంతమైన ఇంజిన్‌తో అమర్చబడి ఉంది మరియు సిహెచ్ -200 మాదిరిగా, త్వరలోన"&amp;"ే సుదూర ఓర్పు కోసం ప్రసిద్ధి చెందింది. సిహెచ్ -300 పేస్‌మేకర్‌ను రూపొందించడానికి బెల్లాంకా మునుపటి సిహెచ్ -200 ను మరింత అభివృద్ధి చేసింది. CH-300 అనేది సాంప్రదాయిక, హై-వింగ్ బ్రాస్డ్ మోనోప్లేన్, ఇది స్థిర టెయిల్‌వీల్ అండర్ క్యారేజీ. ఈ కాలం యొక్క ఇతర బెల్ల"&amp;"ాంకా విమానాల మాదిరిగానే, ఇది ""ఫ్లయింగ్ స్ట్రట్స్"" ను కలిగి ఉంది. [N 1] CH-200 220 HP రైట్ J-5 ఇంజన్లతో శక్తిని కలిగి ఉండగా, CH-300 సిరీస్ పేస్‌మేకర్స్ 300 HP రైట్ J-6S చేత శక్తిని పొందారు . ఈ ధారావాహికలో, కొన్ని -300 లను 420 హెచ్‌పి ప్రాట్ &amp; విట్నీ కంది"&amp;"రీగలతో అమర్చారు, ఇది సిహెచ్ -400 స్కైరాకెట్ సిరీస్‌కు దారితీసింది. పేస్‌మేకర్స్ వారి సుదూర సామర్థ్యాలతో పాటు విశ్వసనీయత మరియు బరువు-ఎత్తిన లక్షణాలకు ప్రసిద్ధి చెందారు, ఇది ప్రపంచవ్యాప్తంగా వారి విజయవంతమైన ఆపరేషన్‌కు దోహదపడింది. 1929 లో, జార్జ్ హల్డెమాన్ న"&amp;"్యూయార్క్ నుండి క్యూబాకు 12 గంటలు, 56 నిమిషాల్లో మొదటి నాన్‌స్టాప్ ఫ్లైట్‌ను పూర్తి చేశాడు, ప్రారంభ CH-300 (సి. 1,310 మైళ్ళు, 101.3 mph). 1931 లో, వాల్టర్ లీస్ మరియు ఫ్రెడరిక్ బ్రోస్సీ చేత పైలట్ చేయబడిన ప్యాకర్డ్ DR-980 డీజిల్‌తో బెల్లాంకా అమర్చారు, ఇంధనం"&amp;" నింపకుండా 84 గంటలు 33 నిమిషాలు పైకి ఉండటానికి రికార్డు సృష్టించింది. 55 సంవత్సరాల తరువాత ఈ రికార్డు విచ్ఛిన్నం కాలేదు. అలాస్కా మరియు కెనడియన్ బుష్‌లో, బెల్లాంకాస్ బాగా ప్రాచుర్యం పొందింది. కెనడియన్-ఆపరేటెడ్ బెల్లాంకాస్ మొదట్లో యునైటెడ్ స్టేట్స్ నుండి దిగ"&amp;"ుమతి చేయబడ్డాయి, కాని తరువాత, ఆరు మాంట్రియల్‌లో కెనడియన్ విక్కర్స్ చేత నిర్మించబడ్డాయి మరియు RCAF కి పంపిణీ చేయబడ్డాయి (1929 లో తయారు చేసిన 29 యొక్క మొదటి ఆర్డర్‌కు జోడించబడ్డాయి), ఇది వాటిని ప్రధానంగా వైమానిక ఫోటోగ్రఫీ కోసం ఉపయోగించింది. మే 1964 లో, కెప్"&amp;"టెన్ A.G.K. విమానం పొందారు. ఎడ్వర్డ్ జనరల్ ఎయిర్‌వేస్ కోసం పేస్‌మేకర్ ఫ్లోట్‌ప్లేన్ యొక్క ఇదే విధమైన నమూనాను జూన్ 1935 నుండి తన బుష్‌ఫ్లైంగ్ రోజుల్లో ప్రారంభించారు. అతను మరియు మోల్సన్ దీనిని మే 30, 1964 న మ్యూజియంలోని చివరి విశ్రాంతి స్థలానికి అందించారు, "&amp;"ఐదు రోజులు మరియు కేవలం 30 గంటల విమాన సమయం తీసుకున్న పర్యటన తరువాత. జూన్ 1938 లో జరిగిన ప్రమాదంలో అసలు రిజిస్టర్డ్ ఎ/సి నాశనం కావడంతో ఈ విమానం సిఎఫ్-ఎట్ఎన్‌ను తిరిగి మార్చారు. బెల్లాంకా సిహెచ్ -300 సిరీస్ విమానం సృష్టించిన మొదటి రికార్డులలో ఒకటి జూలై 28-30"&amp;", 1931 న, రస్సెల్ నార్టన్ బోర్డ్‌మన్ . -975-శక్తితో కూడిన సిహెచ్ -300, బెల్లాంకా ""స్పెషల్ జె -300"" హై-వింగ్ మోనోప్లేన్ కేప్ కాడ్, రిజిస్ట్రేషన్ ఎన్ఆర్ 761 డబ్ల్యూ , విమానయాన చరిత్రలో మొట్టమొదటి నాన్‌స్టాప్ రికార్డ్ ఫ్లైట్, దీని దూరం ఇంగ్లీష్ (5,000 మైళ్"&amp;"ళు) లేదా మెట్రిక్ (8,000 కిమీ) మార్కును అధిగమించింది. [1] జూన్ 3, 1932 న, స్టానిస్లాస్ ఎఫ్. అతను సముద్రంలో బలవంతంగా ల్యాండింగ్ చేసినప్పుడు ఈ ప్రయత్నం విఫలమైంది; అతన్ని ఎనిమిది రోజుల తరువాత బ్రిటిష్ ట్యాంకర్ రక్షించారు. [2] జూలై 15, 1933 6:24 న, ఇద్దరు లిథ"&amp;"ువేనియన్ పైలట్లు స్టెపోనాస్ డారియస్ ఇర్ స్టాసిస్ గిరానాస్ భారీగా సవరించిన సిహెచ్ -300 ను ఎగురుతూ లిటునికా ఫ్లాయిడ్ బెన్నెట్ ఫీల్డ్ నుండి ఎత్తివేయబడింది, నాన్ స్టాప్ అట్లాంటిక్ ఫ్లైట్ కోసం ప్రయత్నించారు. వారు అట్లాంటిక్ విజయవంతంగా దాటారు, అయితే పోలాండ్‌లోన"&amp;"ి పిఎస్‌జ్‌జెల్నిక్ సమీపంలో అడవిలో కూలిపోయారు. విమానం యొక్క ఫ్లయింగ్ ప్రతిరూపం లిథువేనియన్ మ్యూజియం ఆఫ్ ఏవియేషన్‌లో ప్రదర్శనలో ఉంది, అసలు శిధిలాలను లిథువేనియాలోని కౌనాస్‌లోని వైటాటాస్ మాగ్నస్ వార్ మ్యూజియంలో ఉంచారు. సాధారణ లక్షణాలు పనితీరు సంబంధిత అభివృద్"&amp;"ధి సంబంధిత జాబితాలు")</f>
        <v>బెల్లాంకా సిహెచ్ -300 పేస్‌మేకర్ ఆరు సీట్ల యుటిలిటీ విమానం, ఇది ప్రధానంగా 1920 మరియు 1930 లలో యునైటెడ్ స్టేట్స్‌లో నిర్మించబడింది. ఇది బెల్లాంకా సిహెచ్ -200 యొక్క అభివృద్ధి, ఇది మరింత శక్తివంతమైన ఇంజిన్‌తో అమర్చబడి ఉంది మరియు సిహెచ్ -200 మాదిరిగా, త్వరలోనే సుదూర ఓర్పు కోసం ప్రసిద్ధి చెందింది. సిహెచ్ -300 పేస్‌మేకర్‌ను రూపొందించడానికి బెల్లాంకా మునుపటి సిహెచ్ -200 ను మరింత అభివృద్ధి చేసింది. CH-300 అనేది సాంప్రదాయిక, హై-వింగ్ బ్రాస్డ్ మోనోప్లేన్, ఇది స్థిర టెయిల్‌వీల్ అండర్ క్యారేజీ. ఈ కాలం యొక్క ఇతర బెల్లాంకా విమానాల మాదిరిగానే, ఇది "ఫ్లయింగ్ స్ట్రట్స్" ను కలిగి ఉంది. [N 1] CH-200 220 HP రైట్ J-5 ఇంజన్లతో శక్తిని కలిగి ఉండగా, CH-300 సిరీస్ పేస్‌మేకర్స్ 300 HP రైట్ J-6S చేత శక్తిని పొందారు . ఈ ధారావాహికలో, కొన్ని -300 లను 420 హెచ్‌పి ప్రాట్ &amp; విట్నీ కందిరీగలతో అమర్చారు, ఇది సిహెచ్ -400 స్కైరాకెట్ సిరీస్‌కు దారితీసింది. పేస్‌మేకర్స్ వారి సుదూర సామర్థ్యాలతో పాటు విశ్వసనీయత మరియు బరువు-ఎత్తిన లక్షణాలకు ప్రసిద్ధి చెందారు, ఇది ప్రపంచవ్యాప్తంగా వారి విజయవంతమైన ఆపరేషన్‌కు దోహదపడింది. 1929 లో, జార్జ్ హల్డెమాన్ న్యూయార్క్ నుండి క్యూబాకు 12 గంటలు, 56 నిమిషాల్లో మొదటి నాన్‌స్టాప్ ఫ్లైట్‌ను పూర్తి చేశాడు, ప్రారంభ CH-300 (సి. 1,310 మైళ్ళు, 101.3 mph). 1931 లో, వాల్టర్ లీస్ మరియు ఫ్రెడరిక్ బ్రోస్సీ చేత పైలట్ చేయబడిన ప్యాకర్డ్ DR-980 డీజిల్‌తో బెల్లాంకా అమర్చారు, ఇంధనం నింపకుండా 84 గంటలు 33 నిమిషాలు పైకి ఉండటానికి రికార్డు సృష్టించింది. 55 సంవత్సరాల తరువాత ఈ రికార్డు విచ్ఛిన్నం కాలేదు. అలాస్కా మరియు కెనడియన్ బుష్‌లో, బెల్లాంకాస్ బాగా ప్రాచుర్యం పొందింది. కెనడియన్-ఆపరేటెడ్ బెల్లాంకాస్ మొదట్లో యునైటెడ్ స్టేట్స్ నుండి దిగుమతి చేయబడ్డాయి, కాని తరువాత, ఆరు మాంట్రియల్‌లో కెనడియన్ విక్కర్స్ చేత నిర్మించబడ్డాయి మరియు RCAF కి పంపిణీ చేయబడ్డాయి (1929 లో తయారు చేసిన 29 యొక్క మొదటి ఆర్డర్‌కు జోడించబడ్డాయి), ఇది వాటిని ప్రధానంగా వైమానిక ఫోటోగ్రఫీ కోసం ఉపయోగించింది. మే 1964 లో, కెప్టెన్ A.G.K. విమానం పొందారు. ఎడ్వర్డ్ జనరల్ ఎయిర్‌వేస్ కోసం పేస్‌మేకర్ ఫ్లోట్‌ప్లేన్ యొక్క ఇదే విధమైన నమూనాను జూన్ 1935 నుండి తన బుష్‌ఫ్లైంగ్ రోజుల్లో ప్రారంభించారు. అతను మరియు మోల్సన్ దీనిని మే 30, 1964 న మ్యూజియంలోని చివరి విశ్రాంతి స్థలానికి అందించారు, ఐదు రోజులు మరియు కేవలం 30 గంటల విమాన సమయం తీసుకున్న పర్యటన తరువాత. జూన్ 1938 లో జరిగిన ప్రమాదంలో అసలు రిజిస్టర్డ్ ఎ/సి నాశనం కావడంతో ఈ విమానం సిఎఫ్-ఎట్ఎన్‌ను తిరిగి మార్చారు. బెల్లాంకా సిహెచ్ -300 సిరీస్ విమానం సృష్టించిన మొదటి రికార్డులలో ఒకటి జూలై 28-30, 1931 న, రస్సెల్ నార్టన్ బోర్డ్‌మన్ . -975-శక్తితో కూడిన సిహెచ్ -300, బెల్లాంకా "స్పెషల్ జె -300" హై-వింగ్ మోనోప్లేన్ కేప్ కాడ్, రిజిస్ట్రేషన్ ఎన్ఆర్ 761 డబ్ల్యూ , విమానయాన చరిత్రలో మొట్టమొదటి నాన్‌స్టాప్ రికార్డ్ ఫ్లైట్, దీని దూరం ఇంగ్లీష్ (5,000 మైళ్ళు) లేదా మెట్రిక్ (8,000 కిమీ) మార్కును అధిగమించింది. [1] జూన్ 3, 1932 న, స్టానిస్లాస్ ఎఫ్. అతను సముద్రంలో బలవంతంగా ల్యాండింగ్ చేసినప్పుడు ఈ ప్రయత్నం విఫలమైంది; అతన్ని ఎనిమిది రోజుల తరువాత బ్రిటిష్ ట్యాంకర్ రక్షించారు. [2] జూలై 15, 1933 6:24 న, ఇద్దరు లిథువేనియన్ పైలట్లు స్టెపోనాస్ డారియస్ ఇర్ స్టాసిస్ గిరానాస్ భారీగా సవరించిన సిహెచ్ -300 ను ఎగురుతూ లిటునికా ఫ్లాయిడ్ బెన్నెట్ ఫీల్డ్ నుండి ఎత్తివేయబడింది, నాన్ స్టాప్ అట్లాంటిక్ ఫ్లైట్ కోసం ప్రయత్నించారు. వారు అట్లాంటిక్ విజయవంతంగా దాటారు, అయితే పోలాండ్‌లోని పిఎస్‌జ్‌జెల్నిక్ సమీపంలో అడవిలో కూలిపోయారు. విమానం యొక్క ఫ్లయింగ్ ప్రతిరూపం లిథువేనియన్ మ్యూజియం ఆఫ్ ఏవియేషన్‌లో ప్రదర్శనలో ఉంది, అసలు శిధిలాలను లిథువేనియాలోని కౌనాస్‌లోని వైటాటాస్ మాగ్నస్ వార్ మ్యూజియంలో ఉంచారు. సాధారణ లక్షణాలు పనితీరు సంబంధిత అభివృద్ధి సంబంధిత జాబితాలు</v>
      </c>
      <c r="E122" s="1" t="s">
        <v>1977</v>
      </c>
      <c r="F122" s="1" t="s">
        <v>1951</v>
      </c>
      <c r="G122" s="1" t="str">
        <f>IFERROR(__xludf.DUMMYFUNCTION("GOOGLETRANSLATE(F:F, ""en"", ""te"")"),"సివిల్ యుటిలిటీ విమానం")</f>
        <v>సివిల్ యుటిలిటీ విమానం</v>
      </c>
      <c r="L122" s="1" t="s">
        <v>1952</v>
      </c>
      <c r="M122" s="1" t="str">
        <f>IFERROR(__xludf.DUMMYFUNCTION("GOOGLETRANSLATE(L:L, ""en"", ""te"")"),"బెల్లాంకా")</f>
        <v>బెల్లాంకా</v>
      </c>
      <c r="N122" s="3" t="s">
        <v>1953</v>
      </c>
      <c r="Q122" s="1" t="s">
        <v>1978</v>
      </c>
      <c r="R122" s="1" t="s">
        <v>1979</v>
      </c>
      <c r="S122" s="1" t="s">
        <v>1633</v>
      </c>
      <c r="T122" s="1" t="s">
        <v>1799</v>
      </c>
      <c r="U122" s="1" t="s">
        <v>1980</v>
      </c>
      <c r="V122" s="1" t="s">
        <v>1981</v>
      </c>
      <c r="X122" s="1" t="s">
        <v>1982</v>
      </c>
      <c r="Y122" s="1" t="s">
        <v>1983</v>
      </c>
      <c r="AA122" s="1" t="s">
        <v>1984</v>
      </c>
      <c r="AE122" s="1" t="s">
        <v>1985</v>
      </c>
      <c r="AJ122" s="1">
        <v>1929.0</v>
      </c>
      <c r="AM122" s="1" t="s">
        <v>1986</v>
      </c>
      <c r="AP122" s="1" t="s">
        <v>1987</v>
      </c>
      <c r="AT122" s="1" t="s">
        <v>1988</v>
      </c>
      <c r="AU122" s="1" t="s">
        <v>1989</v>
      </c>
      <c r="BP122" s="1" t="s">
        <v>1990</v>
      </c>
      <c r="CG122" s="3" t="s">
        <v>1991</v>
      </c>
    </row>
    <row r="123">
      <c r="A123" s="1" t="s">
        <v>1992</v>
      </c>
      <c r="B123" s="1" t="str">
        <f>IFERROR(__xludf.DUMMYFUNCTION("GOOGLETRANSLATE(A:A, ""en"", ""te"")"),"బ్యాక్‌కంట్రీ సూపర్ కబ్స్ సూపర్ క్రూయిజర్")</f>
        <v>బ్యాక్‌కంట్రీ సూపర్ కబ్స్ సూపర్ క్రూయిజర్</v>
      </c>
      <c r="C123" s="1" t="s">
        <v>1993</v>
      </c>
      <c r="D123" s="1" t="str">
        <f>IFERROR(__xludf.DUMMYFUNCTION("GOOGLETRANSLATE(C:C, ""en"", ""te"")"),"బ్యాక్‌కంట్రీ సూపర్ కబ్స్ సూపర్ క్రూయిజర్ అనేది ఒక అమెరికన్ te త్సాహిక-నిర్మిత విమానం, ఇది వ్యోమింగ్‌లోని డగ్లస్ యొక్క బ్యాక్‌కంట్రీ సూపర్ కబ్స్ రూపొందించింది మరియు ఉత్పత్తి చేస్తుంది. ఈ విమానం పైపర్ PA-12 సూపర్ క్రూయిజర్ రూపకల్పనపై ఆధారపడి ఉంటుంది మరియు "&amp;"te త్సాహిక నిర్మాణానికి కిట్‌గా సరఫరా చేయబడుతుంది. [1] సూపర్ క్రూయిజర్‌లో స్ట్రట్-బ్రేస్డ్ హై వింగ్, మూడు-సీట్ల 36 (91 సెం.మీ) వెడల్పు గల కాక్‌పిట్, స్థిర సాంప్రదాయ ల్యాండింగ్ గేర్ మరియు ట్రాక్టర్ కాన్ఫిగరేషన్‌లో ఒకే ఇంజిన్ ఉన్నాయి. విమానం ముందు పైలట్ మరి"&amp;"యు వెనుక భాగంలో ఇద్దరు ప్రయాణీకులను బెంచ్ సీటుపై కూర్చుంటుంది. [1] విమానం ఫ్యూజ్‌లేజ్ వెల్డెడ్ స్టీల్ గొట్టాల నుండి తయారవుతుంది, రెక్కలు అల్యూమినియం షీట్‌తో నిర్మించబడ్డాయి, అన్నీ డోప్డ్ ఎయిర్‌క్రాఫ్ట్ ఫాబ్రిక్‌లో కప్పబడి ఉంటాయి. దీని 38.1 అడుగుల (11.6 మీ"&amp;") స్పాన్ వింగ్ 170 చదరపు అడుగుల (16 మీ 2) విస్తీర్ణంలో ఉంది, జ్యూరీ స్ట్రట్స్ మరియు మౌంట్స్ ఫ్లాప్‌లతో ""వి"" స్ట్రట్స్ మద్దతు ఇస్తుంది. విమానం యొక్క సిఫార్సు చేసిన ఇంజిన్ శక్తి శ్రేణి 180 నుండి 240 హెచ్‌పి (134 నుండి 179 కిలోవాట్) మరియు ఉపయోగించిన ప్రామా"&amp;"ణిక ఇంజన్లు 180 హెచ్‌పి (134 కిలోవాట్) లైమింగ్ ఓ -360 ఫోర్-స్ట్రోక్ పవర్‌ప్లాంట్. సరఫరా చేసిన కిట్ నుండి నిర్మాణ సమయం 1200 గంటలు. [1] డిసెంబర్ 2011 నాటికి, 140 ఉదాహరణలు పూర్తయినట్లు మరియు ఎగిరినట్లు నివేదించబడ్డాయి. [1] కిట్‌ప్లాన్‌ల నుండి డేటా [1] సాధారణ"&amp;" లక్షణాల పనితీరు")</f>
        <v>బ్యాక్‌కంట్రీ సూపర్ కబ్స్ సూపర్ క్రూయిజర్ అనేది ఒక అమెరికన్ te త్సాహిక-నిర్మిత విమానం, ఇది వ్యోమింగ్‌లోని డగ్లస్ యొక్క బ్యాక్‌కంట్రీ సూపర్ కబ్స్ రూపొందించింది మరియు ఉత్పత్తి చేస్తుంది. ఈ విమానం పైపర్ PA-12 సూపర్ క్రూయిజర్ రూపకల్పనపై ఆధారపడి ఉంటుంది మరియు te త్సాహిక నిర్మాణానికి కిట్‌గా సరఫరా చేయబడుతుంది. [1] సూపర్ క్రూయిజర్‌లో స్ట్రట్-బ్రేస్డ్ హై వింగ్, మూడు-సీట్ల 36 (91 సెం.మీ) వెడల్పు గల కాక్‌పిట్, స్థిర సాంప్రదాయ ల్యాండింగ్ గేర్ మరియు ట్రాక్టర్ కాన్ఫిగరేషన్‌లో ఒకే ఇంజిన్ ఉన్నాయి. విమానం ముందు పైలట్ మరియు వెనుక భాగంలో ఇద్దరు ప్రయాణీకులను బెంచ్ సీటుపై కూర్చుంటుంది. [1] విమానం ఫ్యూజ్‌లేజ్ వెల్డెడ్ స్టీల్ గొట్టాల నుండి తయారవుతుంది, రెక్కలు అల్యూమినియం షీట్‌తో నిర్మించబడ్డాయి, అన్నీ డోప్డ్ ఎయిర్‌క్రాఫ్ట్ ఫాబ్రిక్‌లో కప్పబడి ఉంటాయి. దీని 38.1 అడుగుల (11.6 మీ) స్పాన్ వింగ్ 170 చదరపు అడుగుల (16 మీ 2) విస్తీర్ణంలో ఉంది, జ్యూరీ స్ట్రట్స్ మరియు మౌంట్స్ ఫ్లాప్‌లతో "వి" స్ట్రట్స్ మద్దతు ఇస్తుంది. విమానం యొక్క సిఫార్సు చేసిన ఇంజిన్ శక్తి శ్రేణి 180 నుండి 240 హెచ్‌పి (134 నుండి 179 కిలోవాట్) మరియు ఉపయోగించిన ప్రామాణిక ఇంజన్లు 180 హెచ్‌పి (134 కిలోవాట్) లైమింగ్ ఓ -360 ఫోర్-స్ట్రోక్ పవర్‌ప్లాంట్. సరఫరా చేసిన కిట్ నుండి నిర్మాణ సమయం 1200 గంటలు. [1] డిసెంబర్ 2011 నాటికి, 140 ఉదాహరణలు పూర్తయినట్లు మరియు ఎగిరినట్లు నివేదించబడ్డాయి. [1] కిట్‌ప్లాన్‌ల నుండి డేటా [1] సాధారణ లక్షణాల పనితీరు</v>
      </c>
      <c r="F123" s="1" t="s">
        <v>125</v>
      </c>
      <c r="G123" s="1" t="str">
        <f>IFERROR(__xludf.DUMMYFUNCTION("GOOGLETRANSLATE(F:F, ""en"", ""te"")"),"Te త్సాహిక నిర్మించిన విమానం")</f>
        <v>Te త్సాహిక నిర్మించిన విమానం</v>
      </c>
      <c r="H123" s="1" t="s">
        <v>126</v>
      </c>
      <c r="I123" s="1" t="s">
        <v>127</v>
      </c>
      <c r="J123" s="1" t="str">
        <f>IFERROR(__xludf.DUMMYFUNCTION("GOOGLETRANSLATE(I:I, ""en"", ""te"")"),"సంయుక్త రాష్ట్రాలు")</f>
        <v>సంయుక్త రాష్ట్రాలు</v>
      </c>
      <c r="K123" s="1" t="s">
        <v>128</v>
      </c>
      <c r="L123" s="1" t="s">
        <v>1861</v>
      </c>
      <c r="M123" s="1" t="str">
        <f>IFERROR(__xludf.DUMMYFUNCTION("GOOGLETRANSLATE(L:L, ""en"", ""te"")"),"బ్యాక్‌కంట్రీ సూపర్ కబ్స్")</f>
        <v>బ్యాక్‌కంట్రీ సూపర్ కబ్స్</v>
      </c>
      <c r="N123" s="1" t="s">
        <v>1862</v>
      </c>
      <c r="O123" s="1" t="s">
        <v>1798</v>
      </c>
      <c r="P123" s="1" t="str">
        <f>IFERROR(__xludf.DUMMYFUNCTION("GOOGLETRANSLATE(O:O, ""en"", ""te"")"),"ఉత్పత్తిలో (2012)")</f>
        <v>ఉత్పత్తిలో (2012)</v>
      </c>
      <c r="Q123" s="1">
        <v>140.0</v>
      </c>
      <c r="S123" s="1" t="s">
        <v>133</v>
      </c>
      <c r="T123" s="1" t="s">
        <v>1994</v>
      </c>
      <c r="U123" s="1" t="s">
        <v>1863</v>
      </c>
      <c r="V123" s="1" t="s">
        <v>1995</v>
      </c>
      <c r="W123" s="1" t="s">
        <v>1865</v>
      </c>
      <c r="X123" s="1" t="s">
        <v>1866</v>
      </c>
      <c r="Y123" s="1" t="s">
        <v>1581</v>
      </c>
      <c r="Z123" s="1" t="s">
        <v>1867</v>
      </c>
      <c r="AA123" s="1" t="s">
        <v>1868</v>
      </c>
      <c r="AB123" s="1" t="s">
        <v>1869</v>
      </c>
      <c r="AC123" s="1" t="s">
        <v>1028</v>
      </c>
      <c r="AD123" s="1" t="s">
        <v>306</v>
      </c>
      <c r="AE123" s="1" t="s">
        <v>1996</v>
      </c>
      <c r="AF123" s="1" t="s">
        <v>1872</v>
      </c>
      <c r="AG123" s="1" t="s">
        <v>1997</v>
      </c>
      <c r="AT123" s="1" t="s">
        <v>1998</v>
      </c>
      <c r="AU123" s="1" t="s">
        <v>1999</v>
      </c>
    </row>
    <row r="124">
      <c r="A124" s="1" t="s">
        <v>2000</v>
      </c>
      <c r="B124" s="1" t="str">
        <f>IFERROR(__xludf.DUMMYFUNCTION("GOOGLETRANSLATE(A:A, ""en"", ""te"")"),"బాయర్ బాడ్ -12 గైరోట్రెయినర్")</f>
        <v>బాయర్ బాడ్ -12 గైరోట్రెయినర్</v>
      </c>
      <c r="C124" s="1" t="s">
        <v>2001</v>
      </c>
      <c r="D124" s="1" t="str">
        <f>IFERROR(__xludf.DUMMYFUNCTION("GOOGLETRANSLATE(C:C, ""en"", ""te"")"),"బాయర్ బాడ్ -12 గైరోట్రెయినర్ ఒక చెక్ ఆటోజయోరో, ఇది ప్రేగ్ యొక్క బాయర్ ఏవియన్ చేత రూపొందించబడింది మరియు నిర్మించింది. విమానం పూర్తి రెడీ-టు-ఫ్లై-ఎయిర్‌క్రాఫ్ట్‌గా సరఫరా చేయబడుతుంది. [1] బాడ్ -12 గైరోటైనర్‌లో సింగిల్ మెయిన్ రోటర్, విండ్‌షీల్డ్‌తో టెన్డం ఓపె"&amp;"న్ కాక్‌పిట్‌లో రెండు సీట్లు, వీల్ ప్యాంటుతో ట్రైసైకిల్ ల్యాండింగ్ గేర్, ట్రిపుల్ తోక మరియు నాలుగు సిలిండర్, గాలి మరియు ద్రవ-కూల్డ్, నాలుగు-స్ట్రోక్, డ్యూయల్- ఉన్నాయి ఇగ్నిషన్ 100 హెచ్‌పి (75 కిలోవాట్ల) రోటాక్స్ 912లు ఇంజిన్ పషర్ కాన్ఫిగరేషన్‌లో. టర్బోచార"&amp;"్జ్డ్ 115 హెచ్‌పి (86 kW) రోటాక్స్ 914 మరియు సుబారు EJ22 ఐచ్ఛిక ఇంజన్లు. [1] విమానం ఫ్యూజ్‌లేజ్ గొట్టాల నుండి తయారవుతుంది, కాక్‌పిట్ ఫెయిరింగ్ మిశ్రమంగా ఉంటుంది. ప్రధాన రోటర్ దాని 8.70 మీ (28.5 అడుగులు) వ్యాసం కలిగి ఉంది. BAD-12 ఖాళీ బరువు 284 కిలోల (626 "&amp;"పౌండ్లు) మరియు స్థూల బరువు 450 కిలోలు (990 పౌండ్లు), ఇది 166 కిలోల (366 పౌండ్లు) ఉపయోగకరమైన లోడ్‌ను ఇస్తుంది. టేకాఫ్‌లో తోకను లాగకుండా ఉండటానికి ట్రైసైకిల్ ల్యాండింగ్ గేర్ చిన్న టెయిల్‌వీల్‌తో భర్తీ చేయబడుతుంది. పెద్ద మరియు సమర్థవంతమైన ప్రొపెల్లర్ల వ్యవస్"&amp;"థాపనను అనుమతించడానికి టెయిల్‌బూమ్ దానిలో ఒక బెండ్ కలిగి ఉంది. [1] బేయర్ల్ నుండి డేటా [1] సాధారణ లక్షణాల పనితీరు")</f>
        <v>బాయర్ బాడ్ -12 గైరోట్రెయినర్ ఒక చెక్ ఆటోజయోరో, ఇది ప్రేగ్ యొక్క బాయర్ ఏవియన్ చేత రూపొందించబడింది మరియు నిర్మించింది. విమానం పూర్తి రెడీ-టు-ఫ్లై-ఎయిర్‌క్రాఫ్ట్‌గా సరఫరా చేయబడుతుంది. [1] బాడ్ -12 గైరోటైనర్‌లో సింగిల్ మెయిన్ రోటర్, విండ్‌షీల్డ్‌తో టెన్డం ఓపెన్ కాక్‌పిట్‌లో రెండు సీట్లు, వీల్ ప్యాంటుతో ట్రైసైకిల్ ల్యాండింగ్ గేర్, ట్రిపుల్ తోక మరియు నాలుగు సిలిండర్, గాలి మరియు ద్రవ-కూల్డ్, నాలుగు-స్ట్రోక్, డ్యూయల్- ఉన్నాయి ఇగ్నిషన్ 100 హెచ్‌పి (75 కిలోవాట్ల) రోటాక్స్ 912లు ఇంజిన్ పషర్ కాన్ఫిగరేషన్‌లో. టర్బోచార్జ్డ్ 115 హెచ్‌పి (86 kW) రోటాక్స్ 914 మరియు సుబారు EJ22 ఐచ్ఛిక ఇంజన్లు. [1] విమానం ఫ్యూజ్‌లేజ్ గొట్టాల నుండి తయారవుతుంది, కాక్‌పిట్ ఫెయిరింగ్ మిశ్రమంగా ఉంటుంది. ప్రధాన రోటర్ దాని 8.70 మీ (28.5 అడుగులు) వ్యాసం కలిగి ఉంది. BAD-12 ఖాళీ బరువు 284 కిలోల (626 పౌండ్లు) మరియు స్థూల బరువు 450 కిలోలు (990 పౌండ్లు), ఇది 166 కిలోల (366 పౌండ్లు) ఉపయోగకరమైన లోడ్‌ను ఇస్తుంది. టేకాఫ్‌లో తోకను లాగకుండా ఉండటానికి ట్రైసైకిల్ ల్యాండింగ్ గేర్ చిన్న టెయిల్‌వీల్‌తో భర్తీ చేయబడుతుంది. పెద్ద మరియు సమర్థవంతమైన ప్రొపెల్లర్ల వ్యవస్థాపనను అనుమతించడానికి టెయిల్‌బూమ్ దానిలో ఒక బెండ్ కలిగి ఉంది. [1] బేయర్ల్ నుండి డేటా [1] సాధారణ లక్షణాల పనితీరు</v>
      </c>
      <c r="F124" s="1" t="s">
        <v>266</v>
      </c>
      <c r="G124" s="1" t="str">
        <f>IFERROR(__xludf.DUMMYFUNCTION("GOOGLETRANSLATE(F:F, ""en"", ""te"")"),"ఆటోజీరో")</f>
        <v>ఆటోజీరో</v>
      </c>
      <c r="H124" s="3" t="s">
        <v>267</v>
      </c>
      <c r="I124" s="1" t="s">
        <v>2002</v>
      </c>
      <c r="J124" s="1" t="str">
        <f>IFERROR(__xludf.DUMMYFUNCTION("GOOGLETRANSLATE(I:I, ""en"", ""te"")"),"చెక్ రిపబ్లిక్")</f>
        <v>చెక్ రిపబ్లిక్</v>
      </c>
      <c r="K124" s="1" t="s">
        <v>2003</v>
      </c>
      <c r="L124" s="1" t="s">
        <v>2004</v>
      </c>
      <c r="M124" s="1" t="str">
        <f>IFERROR(__xludf.DUMMYFUNCTION("GOOGLETRANSLATE(L:L, ""en"", ""te"")"),"బాయర్ ఏవియన్")</f>
        <v>బాయర్ ఏవియన్</v>
      </c>
      <c r="N124" s="1" t="s">
        <v>2005</v>
      </c>
      <c r="O124" s="1" t="s">
        <v>1798</v>
      </c>
      <c r="P124" s="1" t="str">
        <f>IFERROR(__xludf.DUMMYFUNCTION("GOOGLETRANSLATE(O:O, ""en"", ""te"")"),"ఉత్పత్తిలో (2012)")</f>
        <v>ఉత్పత్తిలో (2012)</v>
      </c>
      <c r="R124" s="1" t="s">
        <v>132</v>
      </c>
      <c r="S124" s="1" t="s">
        <v>133</v>
      </c>
      <c r="T124" s="1" t="s">
        <v>134</v>
      </c>
      <c r="X124" s="1" t="s">
        <v>2006</v>
      </c>
      <c r="Y124" s="1" t="s">
        <v>252</v>
      </c>
      <c r="Z124" s="1" t="s">
        <v>2007</v>
      </c>
      <c r="AA124" s="1" t="s">
        <v>2008</v>
      </c>
      <c r="AB124" s="1" t="s">
        <v>2009</v>
      </c>
      <c r="AC124" s="1" t="s">
        <v>921</v>
      </c>
      <c r="AF124" s="1" t="s">
        <v>2010</v>
      </c>
      <c r="AO124" s="1" t="s">
        <v>2011</v>
      </c>
      <c r="AP124" s="1" t="s">
        <v>1447</v>
      </c>
    </row>
    <row r="125">
      <c r="A125" s="1" t="s">
        <v>1968</v>
      </c>
      <c r="B125" s="1" t="str">
        <f>IFERROR(__xludf.DUMMYFUNCTION("GOOGLETRANSLATE(A:A, ""en"", ""te"")"),"బెల్లాంకా 14-7")</f>
        <v>బెల్లాంకా 14-7</v>
      </c>
      <c r="C125" s="1" t="s">
        <v>2012</v>
      </c>
      <c r="D125" s="1" t="str">
        <f>IFERROR(__xludf.DUMMYFUNCTION("GOOGLETRANSLATE(C:C, ""en"", ""te"")"),"బెల్లాంకా 14-7 మరియు దాని వారసులు రెండవ ప్రపంచ యుద్ధానికి ముందు యునైటెడ్ స్టేట్స్లో తయారు చేయబడిన తేలికపాటి విమానాల కుటుంబం. [1] బెల్లాంకా అప్పటికే 6–8 సీట్ల పరిమాణంలో విమానంలో మార్కెట్లో స్థిరపడింది, అయితే ఇది చిన్న (3–4 సీట్లు) విమానాలను విజయవంతంగా విక్"&amp;"రయించగలదని నమ్ముతారు. మొదటి ఉదాహరణ 1937 లో ప్రయాణించింది. [2] 14-7 ఒక ఆధునిక, తక్కువ-వింగ్ కాంటిలివర్ మోనోప్లేన్, ఇది డిజైన్‌కు లిఫ్ట్‌ను అందించడానికి ఉద్దేశించిన ఫ్యూజ్‌లేజ్‌తో ఉంది. ప్రోటోటైప్ స్థిర టెయిల్‌వీల్ అండర్ క్యారేజ్‌తో ప్రయాణించినప్పటికీ, 14-9"&amp;" ఉత్పత్తి వెర్షన్ ముడుచుకునే అండర్ క్యారేజ్‌తో భారీగా ఉత్పత్తి చేయబడిన మొదటి యుఎస్ లైట్ విమానం; ప్రధాన చక్రాలు వెనుకకు, రెక్కలలో బావులుగా తిప్పాయి. అభివృద్ధి 1941 14-12లో ముగిసింది, ఈ సమయంలో, ఒక శిక్షకుడిగా సైనికీకరించిన సంస్కరణను మార్కెట్ చేసే ప్రయత్నం వ"&amp;"ిజయవంతం కానప్పుడు యుద్ధ కాలానికి బెల్లాంకా మిలిటరీ సబ్ కాంట్రాక్టర్‌గా బెల్లాంకా మిలిటరీ సబ్ కాంట్రాక్టర్‌గా పనిచేయడానికి అనుమతించడాన్ని నిలిపివేసింది. యుద్ధం తరువాత, బెల్లాంకా బెల్లాంకా 14-13 మరియు దాని వారసులను సృష్టించడానికి డిజైన్‌కు తిరిగి వచ్చాడు. ["&amp;"1] ఎగిరే పరికరాల నుండి డేటా: బెల్లాంకా 14-9. [3] వికీమీడియా కామన్స్ వద్ద బెల్లాంకా 14-9కి సంబంధించిన సాధారణ లక్షణాలు పనితీరు మీడియా")</f>
        <v>బెల్లాంకా 14-7 మరియు దాని వారసులు రెండవ ప్రపంచ యుద్ధానికి ముందు యునైటెడ్ స్టేట్స్లో తయారు చేయబడిన తేలికపాటి విమానాల కుటుంబం. [1] బెల్లాంకా అప్పటికే 6–8 సీట్ల పరిమాణంలో విమానంలో మార్కెట్లో స్థిరపడింది, అయితే ఇది చిన్న (3–4 సీట్లు) విమానాలను విజయవంతంగా విక్రయించగలదని నమ్ముతారు. మొదటి ఉదాహరణ 1937 లో ప్రయాణించింది. [2] 14-7 ఒక ఆధునిక, తక్కువ-వింగ్ కాంటిలివర్ మోనోప్లేన్, ఇది డిజైన్‌కు లిఫ్ట్‌ను అందించడానికి ఉద్దేశించిన ఫ్యూజ్‌లేజ్‌తో ఉంది. ప్రోటోటైప్ స్థిర టెయిల్‌వీల్ అండర్ క్యారేజ్‌తో ప్రయాణించినప్పటికీ, 14-9 ఉత్పత్తి వెర్షన్ ముడుచుకునే అండర్ క్యారేజ్‌తో భారీగా ఉత్పత్తి చేయబడిన మొదటి యుఎస్ లైట్ విమానం; ప్రధాన చక్రాలు వెనుకకు, రెక్కలలో బావులుగా తిప్పాయి. అభివృద్ధి 1941 14-12లో ముగిసింది, ఈ సమయంలో, ఒక శిక్షకుడిగా సైనికీకరించిన సంస్కరణను మార్కెట్ చేసే ప్రయత్నం విజయవంతం కానప్పుడు యుద్ధ కాలానికి బెల్లాంకా మిలిటరీ సబ్ కాంట్రాక్టర్‌గా బెల్లాంకా మిలిటరీ సబ్ కాంట్రాక్టర్‌గా పనిచేయడానికి అనుమతించడాన్ని నిలిపివేసింది. యుద్ధం తరువాత, బెల్లాంకా బెల్లాంకా 14-13 మరియు దాని వారసులను సృష్టించడానికి డిజైన్‌కు తిరిగి వచ్చాడు. [1] ఎగిరే పరికరాల నుండి డేటా: బెల్లాంకా 14-9. [3] వికీమీడియా కామన్స్ వద్ద బెల్లాంకా 14-9కి సంబంధించిన సాధారణ లక్షణాలు పనితీరు మీడియా</v>
      </c>
      <c r="E125" s="1" t="s">
        <v>2013</v>
      </c>
      <c r="F125" s="1" t="s">
        <v>1951</v>
      </c>
      <c r="G125" s="1" t="str">
        <f>IFERROR(__xludf.DUMMYFUNCTION("GOOGLETRANSLATE(F:F, ""en"", ""te"")"),"సివిల్ యుటిలిటీ విమానం")</f>
        <v>సివిల్ యుటిలిటీ విమానం</v>
      </c>
      <c r="L125" s="1" t="s">
        <v>1952</v>
      </c>
      <c r="M125" s="1" t="str">
        <f>IFERROR(__xludf.DUMMYFUNCTION("GOOGLETRANSLATE(L:L, ""en"", ""te"")"),"బెల్లాంకా")</f>
        <v>బెల్లాంకా</v>
      </c>
      <c r="N125" s="3" t="s">
        <v>1953</v>
      </c>
      <c r="Q125" s="1" t="s">
        <v>2014</v>
      </c>
      <c r="R125" s="1" t="s">
        <v>2015</v>
      </c>
      <c r="S125" s="1">
        <v>1.0</v>
      </c>
      <c r="T125" s="1" t="s">
        <v>1733</v>
      </c>
      <c r="U125" s="1" t="s">
        <v>1614</v>
      </c>
      <c r="V125" s="1" t="s">
        <v>1956</v>
      </c>
      <c r="W125" s="1" t="s">
        <v>2016</v>
      </c>
      <c r="X125" s="1" t="s">
        <v>2017</v>
      </c>
      <c r="Y125" s="1" t="s">
        <v>2018</v>
      </c>
      <c r="AA125" s="1" t="s">
        <v>2019</v>
      </c>
      <c r="AC125" s="1" t="s">
        <v>2020</v>
      </c>
      <c r="AE125" s="1" t="s">
        <v>2021</v>
      </c>
      <c r="AF125" s="1" t="s">
        <v>291</v>
      </c>
      <c r="AH125" s="1" t="s">
        <v>2022</v>
      </c>
      <c r="AI125" s="1" t="s">
        <v>2023</v>
      </c>
      <c r="AJ125" s="2">
        <v>13850.0</v>
      </c>
      <c r="AK125" s="1">
        <v>1937.0</v>
      </c>
      <c r="AM125" s="1" t="s">
        <v>2024</v>
      </c>
      <c r="AP125" s="1" t="s">
        <v>2025</v>
      </c>
      <c r="AR125" s="1" t="s">
        <v>1320</v>
      </c>
      <c r="CG125" s="1" t="s">
        <v>2026</v>
      </c>
    </row>
    <row r="126">
      <c r="A126" s="1" t="s">
        <v>2027</v>
      </c>
      <c r="B126" s="1" t="str">
        <f>IFERROR(__xludf.DUMMYFUNCTION("GOOGLETRANSLATE(A:A, ""en"", ""te"")"),"బెల్లాంకా మేషం")</f>
        <v>బెల్లాంకా మేషం</v>
      </c>
      <c r="C126" s="1" t="s">
        <v>2028</v>
      </c>
      <c r="D126" s="1" t="str">
        <f>IFERROR(__xludf.DUMMYFUNCTION("GOOGLETRANSLATE(C:C, ""en"", ""te"")"),"బెల్లాంకా టి -250 మేషం 1970 ల ప్రారంభంలో యునైటెడ్ స్టేట్స్లో నిర్మించిన తేలికపాటి విమానం, ఇది పరిమిత ఉత్పత్తిని మాత్రమే సాధించింది. మార్విన్ గ్రీన్వుడ్ చేత రూపొందించబడింది, అండర్సన్-గ్రీన్‌వుడ్ బెల్లాంకా పేరును కలిగి ఉంది, ఇది సాంప్రదాయిక తక్కువ-వింగ్ మోన"&amp;"ోప్లేన్, ముడుచుకునే ట్రైసైకిల్ అండర్ క్యారేజ్ మరియు అధిక టి-టెయిల్. ఫెడరల్ ఏవియేషన్ అడ్మినిస్ట్రేషన్ రకం ధృవీకరణ 28 జూలై 1976 న పొందబడింది. సాధారణ లక్షణాల పనితీరు")</f>
        <v>బెల్లాంకా టి -250 మేషం 1970 ల ప్రారంభంలో యునైటెడ్ స్టేట్స్లో నిర్మించిన తేలికపాటి విమానం, ఇది పరిమిత ఉత్పత్తిని మాత్రమే సాధించింది. మార్విన్ గ్రీన్వుడ్ చేత రూపొందించబడింది, అండర్సన్-గ్రీన్‌వుడ్ బెల్లాంకా పేరును కలిగి ఉంది, ఇది సాంప్రదాయిక తక్కువ-వింగ్ మోనోప్లేన్, ముడుచుకునే ట్రైసైకిల్ అండర్ క్యారేజ్ మరియు అధిక టి-టెయిల్. ఫెడరల్ ఏవియేషన్ అడ్మినిస్ట్రేషన్ రకం ధృవీకరణ 28 జూలై 1976 న పొందబడింది. సాధారణ లక్షణాల పనితీరు</v>
      </c>
      <c r="E126" s="1" t="s">
        <v>2029</v>
      </c>
      <c r="F126" s="1" t="s">
        <v>1951</v>
      </c>
      <c r="G126" s="1" t="str">
        <f>IFERROR(__xludf.DUMMYFUNCTION("GOOGLETRANSLATE(F:F, ""en"", ""te"")"),"సివిల్ యుటిలిటీ విమానం")</f>
        <v>సివిల్ యుటిలిటీ విమానం</v>
      </c>
      <c r="L126" s="1" t="s">
        <v>1952</v>
      </c>
      <c r="M126" s="1" t="str">
        <f>IFERROR(__xludf.DUMMYFUNCTION("GOOGLETRANSLATE(L:L, ""en"", ""te"")"),"బెల్లాంకా")</f>
        <v>బెల్లాంకా</v>
      </c>
      <c r="N126" s="3" t="s">
        <v>1953</v>
      </c>
      <c r="Q126" s="1">
        <v>5.0</v>
      </c>
      <c r="R126" s="1" t="s">
        <v>132</v>
      </c>
      <c r="S126" s="1" t="s">
        <v>1633</v>
      </c>
      <c r="T126" s="1" t="s">
        <v>2030</v>
      </c>
      <c r="U126" s="1" t="s">
        <v>2031</v>
      </c>
      <c r="V126" s="1" t="s">
        <v>2032</v>
      </c>
      <c r="X126" s="1" t="s">
        <v>2033</v>
      </c>
      <c r="Y126" s="1" t="s">
        <v>2034</v>
      </c>
      <c r="AA126" s="1" t="s">
        <v>2035</v>
      </c>
      <c r="AE126" s="1" t="s">
        <v>2036</v>
      </c>
      <c r="AF126" s="1" t="s">
        <v>2037</v>
      </c>
      <c r="AH126" s="1" t="s">
        <v>2038</v>
      </c>
      <c r="AI126" s="1" t="s">
        <v>2039</v>
      </c>
      <c r="AJ126" s="6">
        <v>26864.0</v>
      </c>
      <c r="AM126" s="1" t="s">
        <v>2040</v>
      </c>
      <c r="AP126" s="1" t="s">
        <v>2041</v>
      </c>
      <c r="AR126" s="1" t="s">
        <v>2042</v>
      </c>
    </row>
    <row r="127">
      <c r="A127" s="1" t="s">
        <v>2043</v>
      </c>
      <c r="B127" s="1" t="str">
        <f>IFERROR(__xludf.DUMMYFUNCTION("GOOGLETRANSLATE(A:A, ""en"", ""te"")"),"పోర్ట్ విక్టోరియా P.V.7")</f>
        <v>పోర్ట్ విక్టోరియా P.V.7</v>
      </c>
      <c r="C127" s="1" t="s">
        <v>2044</v>
      </c>
      <c r="D127" s="1" t="str">
        <f>IFERROR(__xludf.DUMMYFUNCTION("GOOGLETRANSLATE(C:C, ""en"", ""te"")"),"పోర్ట్ విక్టోరియా పి.వి. రాయల్ నేవీ డిస్ట్రాయర్లలో ప్లాట్‌ఫారమ్‌లను ఎగరడానికి ఉద్దేశించిన చాలా చిన్న మరియు తేలికపాటి బిప్‌లేన్, ఇది విజయవంతం కాలేదు, ఒకే నమూనా మాత్రమే నిర్మించబడింది. ఓడలపై ప్లాట్‌ఫారమ్‌ల నుండి ల్యాండ్ విమానాలను ఆపరేట్ చేయడంలో రాయల్ నేవీ అ"&amp;"నుభవాన్ని అనుసరించి, 1916 చివరలో, బ్రిటిష్ అడ్మిరల్టీ తేలికపాటి ఫైటర్ విమానాల ఆలోచనతో ముందుకు వచ్చింది, పెద్ద సంఖ్యలో విమానాలను అందించడానికి డిస్ట్రాయర్ల అంచనాపై చిన్న ప్లాట్‌ఫారమ్‌ల నుండి ఎగురుతుంది. జర్మన్ ఎయిర్‌షిప్‌లను అడ్డగించి నాశనం చేయగల సముద్రంలో."&amp;" అందువల్ల ఇది ఐల్ ఆఫ్ గ్రెయిన్ లోని పోర్ట్ విక్టోరియాలోని మెరైన్ ఎయిర్క్రాఫ్ట్ ప్రయోగాత్మక విభాగానికి, మరియు ఈస్ట్‌చర్చ్‌లోని ఆర్‌ఎన్‌ఏల ప్రయోగాత్మక విమానానికి ప్రతి ఒక్కరికి ఈ అవసరాన్ని తీర్చడానికి ఒక డిజైన్‌ను ఉత్పత్తి చేస్తుంది. [1] పోర్ట్ విక్టోరియా వ"&amp;"ిమానం, W.H. సేయర్స్, పి.వి .7 గా నియమించబడ్డారు. ఇది చాలా చిన్న సింగిల్ బే ట్రాక్టర్ బిప్‌లేన్, సెస్క్విప్లేన్ కాన్ఫిగరేషన్, దాని దిగువ వింగ్ దాని ఎగువ వింగ్ కంటే చాలా చిన్నది. మునుపటి పోర్ట్ విక్టోరియా విమానంలో ఉపయోగించిన అదే హై-లిఫ్ట్ విభాగాన్ని రెక్కలు"&amp;" కలిగి ఉన్నాయి మరియు ఎగువ వింగ్‌లో మాత్రమే ఐలెరాన్‌లతో అమర్చబడ్డాయి. పోటీ ఈస్ట్‌చర్చ్ డిజైన్ వలె, 45 హెచ్‌పి (34 కిలోవాట్) సన్నద్ధమైన ఎబిసి గ్నాట్ రెండు సిలిండర్ ఎయిర్-కూల్డ్ ఇంజిన్‌ను ఉపయోగించడం ఉద్దేశించబడింది. ఆయుధాలు ఎగువ వింగ్ పైన అమర్చిన ఒకే లూయిస్ "&amp;"తుపాకీ. [2] [3] పోర్ట్ విక్టోరియా డిజైన్ రూపకల్పన మరియు నిర్మించినప్పుడు, ఈస్ట్‌చర్చ్ వలె ప్రయోగాత్మక విమానానికి కమాండర్, హ్యారీ బస్టీడ్ పోర్ట్ విక్టోరియా మెరైన్ ఎయిర్‌క్రాఫ్ట్ ప్రయోగాత్మక విభాగానికి నాయకత్వం వహించాడు, ఈస్ట్‌చర్చ్ పోటీదారు యొక్క డిజైనర్‌న"&amp;"ు తీసుకున్నాడు మరియు ఈ భాగం అతనితో ఇల్లేకు ప్రోటోటైప్‌ను నిర్మించింది ధాన్యం, ఈస్ట్‌చర్చ్ డిజైన్ పోర్ట్ విక్టోరియా హోదాను పొందడంతో P.V.8. P.V.7 ధాన్యం పిల్లి పేరును P.V.8 నుండి వేరు చేయడానికి కొనుగోలు చేసింది, దీనికి ఈస్ట్‌చర్చ్ పిల్లి అని పేరు పెట్టారు. "&amp;"పి.వి .7 మొదట 22 జూన్ 1917 న ఎగిరింది, 35 హెచ్‌పి (26 కిలోవాట్) అన్‌గైర్డ్ ఎన్‌గేర్డ్ ఎన్‌గేర్ ఇంజిన్‌తో పనిచేస్తుంది, ఎందుకంటే గేర్డ్ ఇంజిన్ అందుబాటులో లేదు. [3] P.V.7 గాలిలో తోక భారీగా ఉందని మరియు భూమిపై నిర్వహించడం కష్టమని నిరూపించబడింది, దాని సెస్క్వి"&amp;"ప్లేన్ లేఅవుట్ మరియు హై లిఫ్ట్ రెక్కలు అటువంటి చిన్న విమానాలకు అనుచితమైనవిగా పరిగణించబడుతున్నాయి. గ్నాట్ ఇంజిన్ చాలా నమ్మదగనిదిగా నిరూపించబడింది, పరీక్ష విమానాలు ఎయిర్ఫీల్డ్ యొక్క గ్లైడింగ్ దూరంలోనే ఉండటానికి బలవంతం చేయబడ్డాయి. [4] P.V.8 మొదట సెప్టెంబరులో"&amp;" ప్రయాణించినప్పుడు, ఇది 35 HP గ్నాట్ చేత దెబ్బతిన్నప్పటికీ, ఇది ఉన్నతమైనది. P.V.7 సాంప్రదాయ ఏరోఫాయిల్ విభాగం యొక్క కొత్త రెక్కలు, సవరించిన తోక మరియు పరీక్షలో కనిపించే కొన్ని సమస్యలను తొలగించడానికి కొత్త అండర్ క్యారేజీతో పునర్నిర్మించబడింది. [4] అయినప్పటిక"&amp;"ీ, GNAT యొక్క తక్కువ శక్తి మరియు విశ్వసనీయత, ఉద్దేశించిన ఉపయోగానికి విమానం అనువైనదిగా నిరోధించింది మరియు పునర్నిర్మించిన తర్వాత P.V.7 ఎగురవేయబడలేదు. [5] మొదటి ప్రపంచ యుద్ధం యొక్క యుద్ధ విమానాల నుండి డేటా: వాల్యూమ్ వన్ ఫైటర్స్ [4] సాధారణ లక్షణాలు పనితీరు ఆ"&amp;"యుధాలు పోల్చదగిన పాత్ర, ఆకృతీకరణ మరియు యుగం యొక్క విమానం")</f>
        <v>పోర్ట్ విక్టోరియా పి.వి. రాయల్ నేవీ డిస్ట్రాయర్లలో ప్లాట్‌ఫారమ్‌లను ఎగరడానికి ఉద్దేశించిన చాలా చిన్న మరియు తేలికపాటి బిప్‌లేన్, ఇది విజయవంతం కాలేదు, ఒకే నమూనా మాత్రమే నిర్మించబడింది. ఓడలపై ప్లాట్‌ఫారమ్‌ల నుండి ల్యాండ్ విమానాలను ఆపరేట్ చేయడంలో రాయల్ నేవీ అనుభవాన్ని అనుసరించి, 1916 చివరలో, బ్రిటిష్ అడ్మిరల్టీ తేలికపాటి ఫైటర్ విమానాల ఆలోచనతో ముందుకు వచ్చింది, పెద్ద సంఖ్యలో విమానాలను అందించడానికి డిస్ట్రాయర్ల అంచనాపై చిన్న ప్లాట్‌ఫారమ్‌ల నుండి ఎగురుతుంది. జర్మన్ ఎయిర్‌షిప్‌లను అడ్డగించి నాశనం చేయగల సముద్రంలో. అందువల్ల ఇది ఐల్ ఆఫ్ గ్రెయిన్ లోని పోర్ట్ విక్టోరియాలోని మెరైన్ ఎయిర్క్రాఫ్ట్ ప్రయోగాత్మక విభాగానికి, మరియు ఈస్ట్‌చర్చ్‌లోని ఆర్‌ఎన్‌ఏల ప్రయోగాత్మక విమానానికి ప్రతి ఒక్కరికి ఈ అవసరాన్ని తీర్చడానికి ఒక డిజైన్‌ను ఉత్పత్తి చేస్తుంది. [1] పోర్ట్ విక్టోరియా విమానం, W.H. సేయర్స్, పి.వి .7 గా నియమించబడ్డారు. ఇది చాలా చిన్న సింగిల్ బే ట్రాక్టర్ బిప్‌లేన్, సెస్క్విప్లేన్ కాన్ఫిగరేషన్, దాని దిగువ వింగ్ దాని ఎగువ వింగ్ కంటే చాలా చిన్నది. మునుపటి పోర్ట్ విక్టోరియా విమానంలో ఉపయోగించిన అదే హై-లిఫ్ట్ విభాగాన్ని రెక్కలు కలిగి ఉన్నాయి మరియు ఎగువ వింగ్‌లో మాత్రమే ఐలెరాన్‌లతో అమర్చబడ్డాయి. పోటీ ఈస్ట్‌చర్చ్ డిజైన్ వలె, 45 హెచ్‌పి (34 కిలోవాట్) సన్నద్ధమైన ఎబిసి గ్నాట్ రెండు సిలిండర్ ఎయిర్-కూల్డ్ ఇంజిన్‌ను ఉపయోగించడం ఉద్దేశించబడింది. ఆయుధాలు ఎగువ వింగ్ పైన అమర్చిన ఒకే లూయిస్ తుపాకీ. [2] [3] పోర్ట్ విక్టోరియా డిజైన్ రూపకల్పన మరియు నిర్మించినప్పుడు, ఈస్ట్‌చర్చ్ వలె ప్రయోగాత్మక విమానానికి కమాండర్, హ్యారీ బస్టీడ్ పోర్ట్ విక్టోరియా మెరైన్ ఎయిర్‌క్రాఫ్ట్ ప్రయోగాత్మక విభాగానికి నాయకత్వం వహించాడు, ఈస్ట్‌చర్చ్ పోటీదారు యొక్క డిజైనర్‌ను తీసుకున్నాడు మరియు ఈ భాగం అతనితో ఇల్లేకు ప్రోటోటైప్‌ను నిర్మించింది ధాన్యం, ఈస్ట్‌చర్చ్ డిజైన్ పోర్ట్ విక్టోరియా హోదాను పొందడంతో P.V.8. P.V.7 ధాన్యం పిల్లి పేరును P.V.8 నుండి వేరు చేయడానికి కొనుగోలు చేసింది, దీనికి ఈస్ట్‌చర్చ్ పిల్లి అని పేరు పెట్టారు. పి.వి .7 మొదట 22 జూన్ 1917 న ఎగిరింది, 35 హెచ్‌పి (26 కిలోవాట్) అన్‌గైర్డ్ ఎన్‌గేర్డ్ ఎన్‌గేర్ ఇంజిన్‌తో పనిచేస్తుంది, ఎందుకంటే గేర్డ్ ఇంజిన్ అందుబాటులో లేదు. [3] P.V.7 గాలిలో తోక భారీగా ఉందని మరియు భూమిపై నిర్వహించడం కష్టమని నిరూపించబడింది, దాని సెస్క్విప్లేన్ లేఅవుట్ మరియు హై లిఫ్ట్ రెక్కలు అటువంటి చిన్న విమానాలకు అనుచితమైనవిగా పరిగణించబడుతున్నాయి. గ్నాట్ ఇంజిన్ చాలా నమ్మదగనిదిగా నిరూపించబడింది, పరీక్ష విమానాలు ఎయిర్ఫీల్డ్ యొక్క గ్లైడింగ్ దూరంలోనే ఉండటానికి బలవంతం చేయబడ్డాయి. [4] P.V.8 మొదట సెప్టెంబరులో ప్రయాణించినప్పుడు, ఇది 35 HP గ్నాట్ చేత దెబ్బతిన్నప్పటికీ, ఇది ఉన్నతమైనది. P.V.7 సాంప్రదాయ ఏరోఫాయిల్ విభాగం యొక్క కొత్త రెక్కలు, సవరించిన తోక మరియు పరీక్షలో కనిపించే కొన్ని సమస్యలను తొలగించడానికి కొత్త అండర్ క్యారేజీతో పునర్నిర్మించబడింది. [4] అయినప్పటికీ, GNAT యొక్క తక్కువ శక్తి మరియు విశ్వసనీయత, ఉద్దేశించిన ఉపయోగానికి విమానం అనువైనదిగా నిరోధించింది మరియు పునర్నిర్మించిన తర్వాత P.V.7 ఎగురవేయబడలేదు. [5] మొదటి ప్రపంచ యుద్ధం యొక్క యుద్ధ విమానాల నుండి డేటా: వాల్యూమ్ వన్ ఫైటర్స్ [4] సాధారణ లక్షణాలు పనితీరు ఆయుధాలు పోల్చదగిన పాత్ర, ఆకృతీకరణ మరియు యుగం యొక్క విమానం</v>
      </c>
      <c r="F127" s="1" t="s">
        <v>356</v>
      </c>
      <c r="G127" s="1" t="str">
        <f>IFERROR(__xludf.DUMMYFUNCTION("GOOGLETRANSLATE(F:F, ""en"", ""te"")"),"యుద్ధ")</f>
        <v>యుద్ధ</v>
      </c>
      <c r="H127" s="3" t="s">
        <v>1384</v>
      </c>
      <c r="L127" s="1" t="s">
        <v>2045</v>
      </c>
      <c r="M127" s="1" t="str">
        <f>IFERROR(__xludf.DUMMYFUNCTION("GOOGLETRANSLATE(L:L, ""en"", ""te"")"),"RNAS మెరైన్ ప్రయోగాత్మక డిపో, పోర్ట్ విక్టోరియా")</f>
        <v>RNAS మెరైన్ ప్రయోగాత్మక డిపో, పోర్ట్ విక్టోరియా</v>
      </c>
      <c r="N127" s="1" t="s">
        <v>2046</v>
      </c>
      <c r="O127" s="1" t="s">
        <v>779</v>
      </c>
      <c r="P127" s="1" t="str">
        <f>IFERROR(__xludf.DUMMYFUNCTION("GOOGLETRANSLATE(O:O, ""en"", ""te"")"),"ప్రోటోటైప్")</f>
        <v>ప్రోటోటైప్</v>
      </c>
      <c r="Q127" s="1">
        <v>1.0</v>
      </c>
      <c r="S127" s="1" t="s">
        <v>433</v>
      </c>
      <c r="U127" s="1" t="s">
        <v>2047</v>
      </c>
      <c r="W127" s="1" t="s">
        <v>2048</v>
      </c>
      <c r="X127" s="1" t="s">
        <v>2049</v>
      </c>
      <c r="Y127" s="1" t="s">
        <v>2050</v>
      </c>
      <c r="AA127" s="1" t="s">
        <v>2051</v>
      </c>
      <c r="AH127" s="1" t="s">
        <v>2052</v>
      </c>
      <c r="AJ127" s="5">
        <v>6383.0</v>
      </c>
      <c r="AM127" s="1" t="s">
        <v>2053</v>
      </c>
      <c r="AP127" s="1" t="s">
        <v>2054</v>
      </c>
      <c r="AR127" s="1" t="s">
        <v>2055</v>
      </c>
      <c r="AZ127" s="1" t="s">
        <v>2056</v>
      </c>
      <c r="BJ127" s="1" t="s">
        <v>2057</v>
      </c>
      <c r="BT127" s="1" t="s">
        <v>300</v>
      </c>
      <c r="CI127" s="1" t="s">
        <v>2058</v>
      </c>
    </row>
    <row r="128">
      <c r="A128" s="1" t="s">
        <v>2059</v>
      </c>
      <c r="B128" s="1" t="str">
        <f>IFERROR(__xludf.DUMMYFUNCTION("GOOGLETRANSLATE(A:A, ""en"", ""te"")"),"పోర్ట్ విక్టోరియా పి.వి.8")</f>
        <v>పోర్ట్ విక్టోరియా పి.వి.8</v>
      </c>
      <c r="C128" s="1" t="s">
        <v>2060</v>
      </c>
      <c r="D128" s="1" t="str">
        <f>IFERROR(__xludf.DUMMYFUNCTION("GOOGLETRANSLATE(C:C, ""en"", ""te"")"),"పోర్ట్ విక్టోరియా పి.వి. ఇది చిన్న మరియు తేలికపాటి బైప్‌లేన్, ఇది చిన్న నౌకల్లో ప్లాట్‌ఫారమ్‌ల నుండి పనిచేయడానికి ఉద్దేశించిన సాంప్రదాయిక చక్రాల అండర్ క్యారేజీతో, కానీ దీనికి మంచి నిర్వహణ ఉన్నప్పటికీ, నమ్మదగని మరియు తక్కువ శక్తి లేని ఇంజిన్ అంటే విమానం ఉత"&amp;"్పత్తిలోకి ప్రవేశించలేదు, ఒకే ఒక ప్రోటోటైప్ పూర్తయింది. 1916 లో, బ్రిటిష్ అడ్మిరల్టీ ఒక చిన్న సింగిల్ సీటర్ ఫైటర్ ల్యాండ్‌ప్లేన్ కోసం ఒక అవసరాన్ని రూపొందించింది, ఇది రాయల్ నేవీ యొక్క డిస్ట్రాయర్లు మరియు ఇతర చిన్న నౌకల అంచనాపై చిన్న ప్లాట్‌ఫారమ్‌లను ఎగరడాన"&amp;"ికి ఉద్దేశించబడింది, విస్తృతంగా పంపిణీ చేయబడిన ఎయిర్‌షిప్ ఇంటర్‌సెప్టర్‌ను అందించింది. ఈస్ట్‌చర్చ్‌లోని ఆర్‌ఎన్‌ఏల ప్రయోగాత్మక విమానంతో మరియు పోర్ట్ విక్టోరియాలోని మెరైన్ ఎయిర్‌క్రాఫ్ట్ ప్రయోగాత్మక విభాగంతో ఐల్ ఆఫ్ ధాన్యం వద్ద సింగిల్ ప్రోటోటైప్‌ల కోసం ఈ "&amp;"అవసరాన్ని తీర్చడానికి ఆర్డర్లు ఇవ్వబడ్డాయి. [1] జి.హెచ్. ఈస్ట్‌చర్చ్ ఫ్లైట్ యొక్క చీఫ్ టెక్నికల్ ఆఫీసర్ మిల్లర్, ఈస్ట్‌చర్చ్ పిల్లికి చిన్న, కోణీయ, సింగిల్-బే బైప్‌లేన్‌ను రూపొందించారు, దీనికి అవసరమైన 45 హెచ్‌పి (34 కిలోవాట్) ఎబిసి గ్నాట్ ఇంజిన్ చేత ఆధారి"&amp;"తం. ఇది ఐల్ ఆఫ్ గ్రెయిన్ డిజైన్ కంటే పెద్దది మరియు భారీగా ఉంది, ఈక్వి-స్పాన్ ఎగువ మరియు దిగువ రెక్కలతో, రెక్కల నుండి అండర్ క్యారేజ్ ఇరుసు ద్వారా ఎదురుగా ఉన్న రెక్కల వరకు నడిచే బ్రేసింగ్ వైర్లు ఉన్నాయి. ప్రారంభంలో దీనికి స్థిర క్షితిజ సమాంతర టెయిల్‌ప్లేన్ "&amp;"లేదు, సమతుల్య ఎలివేటర్‌తో అమర్చబడి ఉంటుంది. ఆయుధాలు టాప్ వింగ్‌కు అమర్చిన ఒకే లూయిస్ తుపాకీ. [2] ఈస్ట్‌చర్చ్ కిట్టెన్ ఈస్ట్‌చర్చ్ ప్రయోగాత్మక ఫ్లైట్ యొక్క కమాండర్ హ్యారీ బస్టీడ్‌ను సముద్ర విమాన ప్రయోగాత్మక విభాగానికి ఆజ్ఞాపించటానికి ఐల్ ఆఫ్ గ్రెయిన్‌కు పో"&amp;"స్ట్ చేయబడినప్పుడు, మిల్లర్‌ను తీసుకొని, ఈ భాగాన్ని అతనితో పోర్ట్ విక్టోరియాకు నిర్మించిన ఈ భాగాన్ని పూర్తి చేసినందుకు నిర్మించారు. . [[ ఈస్ట్‌చర్చ్ పిల్లికి పి.వి. మొదట ప్రణాళికాబద్ధమైన ఇంజిన్ అందుబాటులో లేనందున అన్‌గెర్డ్ గ్నాట్ ఇంజిన్. [4] ఈ మొదటి ఫ్లై"&amp;"ట్ తరువాత, ఇది అస్థిరంగా ఉన్నట్లు గుర్తించినప్పుడు, అది సవరించిన ఎలివేటర్లతో చిన్న స్థిర టెయిల్‌ప్లేన్‌తో అమర్చబడింది. ఈ విధంగా సవరించబడింది, ఇది ధాన్యం పిల్లికి ఉన్నతమైన పనితీరు మరియు నిర్వహణను కలిగి ఉంది, కానీ అదేవిధంగా పిశాచం యొక్క భయంకరమైన విశ్వసనీయతత"&amp;"ో బాధపడుతోంది. [5] అధికారిక పరీక్ష పైలట్ మరియు నిర్వహణ కోసం వీక్షణను ప్రశంసించింది, కాని రెగ్యులర్ ఉపయోగం కోసం విమానం చాలా పెళుసుగా భావించబడింది. [6] సోప్విత్ ఒంటె యొక్క స్వీకరించబడిన సంస్కరణలతో, విమాన వాహక నౌకల నుండి మరియు బదులుగా డిస్ట్రాయర్ల వెనుక ఉన్న"&amp;" లైటర్ల నుండి రెండింటినీ ఆపరేట్ చేస్తోంది. ఈస్ట్‌చర్చ్ పిల్లిని మూల్యాంకనం కోసం మార్చి 1918 లో యునైటెడ్ స్టేట్స్ ఆఫ్ అమెరికాకు పంపించడానికి ప్యాక్ చేయబడింది, అయితే ఇది వాస్తవానికి పంపించబడిందా అని అనిశ్చితంగా ఉంది. [7] 2014 లో, ప్రతిరూప పిల్లి - మొదట 1980"&amp;" లలో ప్రారంభమైంది - యార్క్‌షైర్ ఎయిర్ మ్యూజియంలో ts త్సాహికులు పూర్తి చేశారు. [8] మొదటి ప్రపంచ యుద్ధం యొక్క యుద్ధ విమానాల నుండి డేటా: వాల్యూమ్ వన్ ఫైటర్స్ [9] సాధారణ లక్షణాలు పనితీరు ఆయుధాలు పోల్చదగిన పాత్ర, ఆకృతీకరణ మరియు యుగం యొక్క విమానం")</f>
        <v>పోర్ట్ విక్టోరియా పి.వి. ఇది చిన్న మరియు తేలికపాటి బైప్‌లేన్, ఇది చిన్న నౌకల్లో ప్లాట్‌ఫారమ్‌ల నుండి పనిచేయడానికి ఉద్దేశించిన సాంప్రదాయిక చక్రాల అండర్ క్యారేజీతో, కానీ దీనికి మంచి నిర్వహణ ఉన్నప్పటికీ, నమ్మదగని మరియు తక్కువ శక్తి లేని ఇంజిన్ అంటే విమానం ఉత్పత్తిలోకి ప్రవేశించలేదు, ఒకే ఒక ప్రోటోటైప్ పూర్తయింది. 1916 లో, బ్రిటిష్ అడ్మిరల్టీ ఒక చిన్న సింగిల్ సీటర్ ఫైటర్ ల్యాండ్‌ప్లేన్ కోసం ఒక అవసరాన్ని రూపొందించింది, ఇది రాయల్ నేవీ యొక్క డిస్ట్రాయర్లు మరియు ఇతర చిన్న నౌకల అంచనాపై చిన్న ప్లాట్‌ఫారమ్‌లను ఎగరడానికి ఉద్దేశించబడింది, విస్తృతంగా పంపిణీ చేయబడిన ఎయిర్‌షిప్ ఇంటర్‌సెప్టర్‌ను అందించింది. ఈస్ట్‌చర్చ్‌లోని ఆర్‌ఎన్‌ఏల ప్రయోగాత్మక విమానంతో మరియు పోర్ట్ విక్టోరియాలోని మెరైన్ ఎయిర్‌క్రాఫ్ట్ ప్రయోగాత్మక విభాగంతో ఐల్ ఆఫ్ ధాన్యం వద్ద సింగిల్ ప్రోటోటైప్‌ల కోసం ఈ అవసరాన్ని తీర్చడానికి ఆర్డర్లు ఇవ్వబడ్డాయి. [1] జి.హెచ్. ఈస్ట్‌చర్చ్ ఫ్లైట్ యొక్క చీఫ్ టెక్నికల్ ఆఫీసర్ మిల్లర్, ఈస్ట్‌చర్చ్ పిల్లికి చిన్న, కోణీయ, సింగిల్-బే బైప్‌లేన్‌ను రూపొందించారు, దీనికి అవసరమైన 45 హెచ్‌పి (34 కిలోవాట్) ఎబిసి గ్నాట్ ఇంజిన్ చేత ఆధారితం. ఇది ఐల్ ఆఫ్ గ్రెయిన్ డిజైన్ కంటే పెద్దది మరియు భారీగా ఉంది, ఈక్వి-స్పాన్ ఎగువ మరియు దిగువ రెక్కలతో, రెక్కల నుండి అండర్ క్యారేజ్ ఇరుసు ద్వారా ఎదురుగా ఉన్న రెక్కల వరకు నడిచే బ్రేసింగ్ వైర్లు ఉన్నాయి. ప్రారంభంలో దీనికి స్థిర క్షితిజ సమాంతర టెయిల్‌ప్లేన్ లేదు, సమతుల్య ఎలివేటర్‌తో అమర్చబడి ఉంటుంది. ఆయుధాలు టాప్ వింగ్‌కు అమర్చిన ఒకే లూయిస్ తుపాకీ. [2] ఈస్ట్‌చర్చ్ కిట్టెన్ ఈస్ట్‌చర్చ్ ప్రయోగాత్మక ఫ్లైట్ యొక్క కమాండర్ హ్యారీ బస్టీడ్‌ను సముద్ర విమాన ప్రయోగాత్మక విభాగానికి ఆజ్ఞాపించటానికి ఐల్ ఆఫ్ గ్రెయిన్‌కు పోస్ట్ చేయబడినప్పుడు, మిల్లర్‌ను తీసుకొని, ఈ భాగాన్ని అతనితో పోర్ట్ విక్టోరియాకు నిర్మించిన ఈ భాగాన్ని పూర్తి చేసినందుకు నిర్మించారు. . [[ ఈస్ట్‌చర్చ్ పిల్లికి పి.వి. మొదట ప్రణాళికాబద్ధమైన ఇంజిన్ అందుబాటులో లేనందున అన్‌గెర్డ్ గ్నాట్ ఇంజిన్. [4] ఈ మొదటి ఫ్లైట్ తరువాత, ఇది అస్థిరంగా ఉన్నట్లు గుర్తించినప్పుడు, అది సవరించిన ఎలివేటర్లతో చిన్న స్థిర టెయిల్‌ప్లేన్‌తో అమర్చబడింది. ఈ విధంగా సవరించబడింది, ఇది ధాన్యం పిల్లికి ఉన్నతమైన పనితీరు మరియు నిర్వహణను కలిగి ఉంది, కానీ అదేవిధంగా పిశాచం యొక్క భయంకరమైన విశ్వసనీయతతో బాధపడుతోంది. [5] అధికారిక పరీక్ష పైలట్ మరియు నిర్వహణ కోసం వీక్షణను ప్రశంసించింది, కాని రెగ్యులర్ ఉపయోగం కోసం విమానం చాలా పెళుసుగా భావించబడింది. [6] సోప్విత్ ఒంటె యొక్క స్వీకరించబడిన సంస్కరణలతో, విమాన వాహక నౌకల నుండి మరియు బదులుగా డిస్ట్రాయర్ల వెనుక ఉన్న లైటర్ల నుండి రెండింటినీ ఆపరేట్ చేస్తోంది. ఈస్ట్‌చర్చ్ పిల్లిని మూల్యాంకనం కోసం మార్చి 1918 లో యునైటెడ్ స్టేట్స్ ఆఫ్ అమెరికాకు పంపించడానికి ప్యాక్ చేయబడింది, అయితే ఇది వాస్తవానికి పంపించబడిందా అని అనిశ్చితంగా ఉంది. [7] 2014 లో, ప్రతిరూప పిల్లి - మొదట 1980 లలో ప్రారంభమైంది - యార్క్‌షైర్ ఎయిర్ మ్యూజియంలో ts త్సాహికులు పూర్తి చేశారు. [8] మొదటి ప్రపంచ యుద్ధం యొక్క యుద్ధ విమానాల నుండి డేటా: వాల్యూమ్ వన్ ఫైటర్స్ [9] సాధారణ లక్షణాలు పనితీరు ఆయుధాలు పోల్చదగిన పాత్ర, ఆకృతీకరణ మరియు యుగం యొక్క విమానం</v>
      </c>
      <c r="E128" s="1" t="s">
        <v>2061</v>
      </c>
      <c r="F128" s="1" t="s">
        <v>356</v>
      </c>
      <c r="G128" s="1" t="str">
        <f>IFERROR(__xludf.DUMMYFUNCTION("GOOGLETRANSLATE(F:F, ""en"", ""te"")"),"యుద్ధ")</f>
        <v>యుద్ధ</v>
      </c>
      <c r="H128" s="3" t="s">
        <v>1384</v>
      </c>
      <c r="L128" s="1" t="s">
        <v>2062</v>
      </c>
      <c r="M128" s="1" t="str">
        <f>IFERROR(__xludf.DUMMYFUNCTION("GOOGLETRANSLATE(L:L, ""en"", ""te"")"),"RNAS మెరైన్ ప్రయోగాత్మక విమాన డిపో, పోర్ట్ విక్టోరియా")</f>
        <v>RNAS మెరైన్ ప్రయోగాత్మక విమాన డిపో, పోర్ట్ విక్టోరియా</v>
      </c>
      <c r="N128" s="1" t="s">
        <v>2063</v>
      </c>
      <c r="O128" s="1" t="s">
        <v>779</v>
      </c>
      <c r="P128" s="1" t="str">
        <f>IFERROR(__xludf.DUMMYFUNCTION("GOOGLETRANSLATE(O:O, ""en"", ""te"")"),"ప్రోటోటైప్")</f>
        <v>ప్రోటోటైప్</v>
      </c>
      <c r="Q128" s="1">
        <v>1.0</v>
      </c>
      <c r="S128" s="1" t="s">
        <v>433</v>
      </c>
      <c r="U128" s="1" t="s">
        <v>2064</v>
      </c>
      <c r="V128" s="1" t="s">
        <v>2065</v>
      </c>
      <c r="W128" s="1" t="s">
        <v>2066</v>
      </c>
      <c r="X128" s="1" t="s">
        <v>2067</v>
      </c>
      <c r="Y128" s="1" t="s">
        <v>2068</v>
      </c>
      <c r="AA128" s="1" t="s">
        <v>2051</v>
      </c>
      <c r="AH128" s="1" t="s">
        <v>2069</v>
      </c>
      <c r="AJ128" s="5">
        <v>6460.0</v>
      </c>
      <c r="AM128" s="1" t="s">
        <v>2070</v>
      </c>
      <c r="AP128" s="1" t="s">
        <v>2071</v>
      </c>
      <c r="AR128" s="1" t="s">
        <v>1210</v>
      </c>
      <c r="AZ128" s="1" t="s">
        <v>2072</v>
      </c>
      <c r="BJ128" s="1" t="s">
        <v>2073</v>
      </c>
    </row>
    <row r="129">
      <c r="A129" s="1" t="s">
        <v>2074</v>
      </c>
      <c r="B129" s="1" t="str">
        <f>IFERROR(__xludf.DUMMYFUNCTION("GOOGLETRANSLATE(A:A, ""en"", ""te"")"),"బారెల్ గ్రాల్")</f>
        <v>బారెల్ గ్రాల్</v>
      </c>
      <c r="C129" s="1" t="s">
        <v>2075</v>
      </c>
      <c r="D129" s="1" t="str">
        <f>IFERROR(__xludf.DUMMYFUNCTION("GOOGLETRANSLATE(C:C, ""en"", ""te"")"),"బారెల్ గ్రాల్ (ఇంగ్లీష్: గ్రెయిల్) ఒక ఫ్రెంచ్ మిడ్-వింగ్, టి-టెయిల్డ్ సింగిల్-సీట్ మోటార్ గ్లైడర్, దీనిని మాక్స్ బారెల్ రూపొందించారు మరియు గ్రాల్ అరో చేత పూర్తి రెడీ-టు-ఫ్లై విమానం లేదా te త్సాహిక నిర్మాణానికి కిట్‌గా ఉత్పత్తి చేయబడింది . [1] [2] [3] [4] "&amp;"[5] గ్రాల్ తక్కువ ఖర్చుతో కూడిన, స్వీయ-ప్రయోగశాల FAI 15 మీటర్ల క్లాస్ మోటర్‌గ్లైడర్‌గా రూపొందించబడింది, ఇది ఫ్రెంచ్ మరియు ఫెడెరేషన్ ఏరోనటిక్ ఇంటర్నేషనల్ అల్ట్రాలైట్ నిబంధనలకు అనుగుణంగా ఉంటుంది. అల్ట్రాలైట్ నిబంధనలచే విధించిన తక్కువ వింగ్ లోడింగ్ కారణంగా ఇ"&amp;"ది పోటీ సెయిల్ ప్లేన్ అని ఉద్దేశించబడలేదు, కానీ వినోదభరితమైన పెరుగుదలకు ఉపయోగించబడుతుంది. ఇది మొదట 2 ఫిబ్రవరి 2002 న ఎగిరింది. [1] [2] [4] [5] ఈ విమానం మిశ్రమాల నుండి తయారవుతుంది మరియు అసాధారణమైన తోక కాన్ఫిగరేషన్‌ను కలిగి ఉంటుంది. ఫ్యూజ్‌లేజ్ నిలువు స్టెబ"&amp;"ిలైజర్ పైకి సగం వరకు టి-టెయిల్‌లో కలుస్తుంది. మడత మూడు-బ్లేడెడ్ ప్రొపెల్లర్ ఫ్యూజ్‌లేజ్ వెనుక భాగంలో అమర్చబడుతుంది మరియు అందువల్ల ఫిన్ యొక్క దిగువ సగం ప్రొపెల్లర్‌ను భూమిని సంప్రదించకుండా రక్షిస్తుంది. 25 kW (34 HP) ట్విన్ సిలిండర్ RDM 200 ఇంజిన్ ఫ్యూజ్‌ల"&amp;"ేజ్ లోపల, పైలట్ వెనుక, శీతలీకరణ మరియు ఎగ్జాస్ట్ కోసం ఉచ్చు తలుపులను ఉపయోగించి అమర్చబడి ఉంటుంది. ఇంజిన్ టెయిల్-మౌంటెడ్ ప్రొపెల్లర్‌ను ఎక్స్‌టెన్షన్ షాఫ్ట్ ద్వారా నడుపుతుంది. ఏరోడైనమిక్ డ్రాగ్ కారణంగా ఇంజిన్ మూసివేయబడినప్పుడు ప్రొపెల్లర్ స్వయంచాలకంగా ముడుచు"&amp;"కుంటుంది మరియు స్పిన్ చేయడం ప్రారంభించినప్పుడు సెంట్రిఫ్యూగల్ ప్రభావం ద్వారా ఇంజిన్ ప్రారంభంలో స్వయంచాలకంగా స్వయంచాలకంగా అమలు చేస్తుంది. ఫ్యూజ్‌లేజ్ మౌంటెడ్ ఇంధన ట్యాంక్ 12 లీటర్లను కలిగి ఉంది (2.6 ఇంప్ గల్; 3.2 యుఎస్ గాల్). గ్రాల్ 15 మీ (49.2 అడుగులు) స్"&amp;"పాన్‌తో సెమీ-టేపెర్డ్ వింగ్‌ను కలిగి ఉంది, ఇందులో ఎగువ మరియు దిగువ డైవ్ బ్రేక్‌లు ఉన్నాయి, పూర్తి-స్పాన్ ఫ్లెపరన్లు మరియు ఎప్లర్ E668 ఎయిర్‌ఫాయిల్‌ను ఉపయోగిస్తాయి. ల్యాండింగ్ గేర్ ఒక ముడుచుకునే మోనోహీల్ గేర్ మరియు విమానం బాలిస్టిక్ పారాచూట్ కలిగి ఉంది. [1"&amp;"] [2] [5] గ్రాల్ విడదీయబడుతుంది మరియు తేలికపాటి ట్రైలర్‌లో రవాణా చేయబడుతుంది. [5] 2002 లో, కంపెనీ విమానానికి పూర్తి రెడీ-టు-ఫ్లై విమానానికి € 35000 మరియు శీఘ్ర-బిల్డ్ కిట్ కోసం € 21000 ఖర్చు చేసింది. [4] వరల్డ్ డైరెక్టరీ ఆఫ్ లీజర్ ఏవియేషన్ 2003-04 మరియు క"&amp;"ంపెనీ వెబ్‌సైట్ నుండి డేటా [1] [2] సాధారణ లక్షణాల పనితీరు")</f>
        <v>బారెల్ గ్రాల్ (ఇంగ్లీష్: గ్రెయిల్) ఒక ఫ్రెంచ్ మిడ్-వింగ్, టి-టెయిల్డ్ సింగిల్-సీట్ మోటార్ గ్లైడర్, దీనిని మాక్స్ బారెల్ రూపొందించారు మరియు గ్రాల్ అరో చేత పూర్తి రెడీ-టు-ఫ్లై విమానం లేదా te త్సాహిక నిర్మాణానికి కిట్‌గా ఉత్పత్తి చేయబడింది . [1] [2] [3] [4] [5] గ్రాల్ తక్కువ ఖర్చుతో కూడిన, స్వీయ-ప్రయోగశాల FAI 15 మీటర్ల క్లాస్ మోటర్‌గ్లైడర్‌గా రూపొందించబడింది, ఇది ఫ్రెంచ్ మరియు ఫెడెరేషన్ ఏరోనటిక్ ఇంటర్నేషనల్ అల్ట్రాలైట్ నిబంధనలకు అనుగుణంగా ఉంటుంది. అల్ట్రాలైట్ నిబంధనలచే విధించిన తక్కువ వింగ్ లోడింగ్ కారణంగా ఇది పోటీ సెయిల్ ప్లేన్ అని ఉద్దేశించబడలేదు, కానీ వినోదభరితమైన పెరుగుదలకు ఉపయోగించబడుతుంది. ఇది మొదట 2 ఫిబ్రవరి 2002 న ఎగిరింది. [1] [2] [4] [5] ఈ విమానం మిశ్రమాల నుండి తయారవుతుంది మరియు అసాధారణమైన తోక కాన్ఫిగరేషన్‌ను కలిగి ఉంటుంది. ఫ్యూజ్‌లేజ్ నిలువు స్టెబిలైజర్ పైకి సగం వరకు టి-టెయిల్‌లో కలుస్తుంది. మడత మూడు-బ్లేడెడ్ ప్రొపెల్లర్ ఫ్యూజ్‌లేజ్ వెనుక భాగంలో అమర్చబడుతుంది మరియు అందువల్ల ఫిన్ యొక్క దిగువ సగం ప్రొపెల్లర్‌ను భూమిని సంప్రదించకుండా రక్షిస్తుంది. 25 kW (34 HP) ట్విన్ సిలిండర్ RDM 200 ఇంజిన్ ఫ్యూజ్‌లేజ్ లోపల, పైలట్ వెనుక, శీతలీకరణ మరియు ఎగ్జాస్ట్ కోసం ఉచ్చు తలుపులను ఉపయోగించి అమర్చబడి ఉంటుంది. ఇంజిన్ టెయిల్-మౌంటెడ్ ప్రొపెల్లర్‌ను ఎక్స్‌టెన్షన్ షాఫ్ట్ ద్వారా నడుపుతుంది. ఏరోడైనమిక్ డ్రాగ్ కారణంగా ఇంజిన్ మూసివేయబడినప్పుడు ప్రొపెల్లర్ స్వయంచాలకంగా ముడుచుకుంటుంది మరియు స్పిన్ చేయడం ప్రారంభించినప్పుడు సెంట్రిఫ్యూగల్ ప్రభావం ద్వారా ఇంజిన్ ప్రారంభంలో స్వయంచాలకంగా స్వయంచాలకంగా అమలు చేస్తుంది. ఫ్యూజ్‌లేజ్ మౌంటెడ్ ఇంధన ట్యాంక్ 12 లీటర్లను కలిగి ఉంది (2.6 ఇంప్ గల్; 3.2 యుఎస్ గాల్). గ్రాల్ 15 మీ (49.2 అడుగులు) స్పాన్‌తో సెమీ-టేపెర్డ్ వింగ్‌ను కలిగి ఉంది, ఇందులో ఎగువ మరియు దిగువ డైవ్ బ్రేక్‌లు ఉన్నాయి, పూర్తి-స్పాన్ ఫ్లెపరన్లు మరియు ఎప్లర్ E668 ఎయిర్‌ఫాయిల్‌ను ఉపయోగిస్తాయి. ల్యాండింగ్ గేర్ ఒక ముడుచుకునే మోనోహీల్ గేర్ మరియు విమానం బాలిస్టిక్ పారాచూట్ కలిగి ఉంది. [1] [2] [5] గ్రాల్ విడదీయబడుతుంది మరియు తేలికపాటి ట్రైలర్‌లో రవాణా చేయబడుతుంది. [5] 2002 లో, కంపెనీ విమానానికి పూర్తి రెడీ-టు-ఫ్లై విమానానికి € 35000 మరియు శీఘ్ర-బిల్డ్ కిట్ కోసం € 21000 ఖర్చు చేసింది. [4] వరల్డ్ డైరెక్టరీ ఆఫ్ లీజర్ ఏవియేషన్ 2003-04 మరియు కంపెనీ వెబ్‌సైట్ నుండి డేటా [1] [2] సాధారణ లక్షణాల పనితీరు</v>
      </c>
      <c r="F129" s="1" t="s">
        <v>381</v>
      </c>
      <c r="G129" s="1" t="str">
        <f>IFERROR(__xludf.DUMMYFUNCTION("GOOGLETRANSLATE(F:F, ""en"", ""te"")"),"మోటార్ గ్లైడర్")</f>
        <v>మోటార్ గ్లైడర్</v>
      </c>
      <c r="H129" s="1" t="s">
        <v>382</v>
      </c>
      <c r="I129" s="1" t="s">
        <v>646</v>
      </c>
      <c r="J129" s="1" t="str">
        <f>IFERROR(__xludf.DUMMYFUNCTION("GOOGLETRANSLATE(I:I, ""en"", ""te"")"),"ఫ్రాన్స్")</f>
        <v>ఫ్రాన్స్</v>
      </c>
      <c r="L129" s="1" t="s">
        <v>2076</v>
      </c>
      <c r="M129" s="1" t="str">
        <f>IFERROR(__xludf.DUMMYFUNCTION("GOOGLETRANSLATE(L:L, ""en"", ""te"")"),"గ్రాల్ ఏరో")</f>
        <v>గ్రాల్ ఏరో</v>
      </c>
      <c r="N129" s="1" t="s">
        <v>2077</v>
      </c>
      <c r="S129" s="1" t="s">
        <v>133</v>
      </c>
      <c r="U129" s="1" t="s">
        <v>1788</v>
      </c>
      <c r="V129" s="1" t="s">
        <v>2078</v>
      </c>
      <c r="W129" s="1" t="s">
        <v>1217</v>
      </c>
      <c r="X129" s="1" t="s">
        <v>715</v>
      </c>
      <c r="Y129" s="1" t="s">
        <v>617</v>
      </c>
      <c r="Z129" s="1" t="s">
        <v>716</v>
      </c>
      <c r="AA129" s="1" t="s">
        <v>2079</v>
      </c>
      <c r="AB129" s="1" t="s">
        <v>2080</v>
      </c>
      <c r="AD129" s="1" t="s">
        <v>257</v>
      </c>
      <c r="AF129" s="1" t="s">
        <v>875</v>
      </c>
      <c r="AG129" s="1" t="s">
        <v>2081</v>
      </c>
      <c r="AH129" s="1" t="s">
        <v>2082</v>
      </c>
      <c r="AI129" s="1" t="s">
        <v>2083</v>
      </c>
      <c r="AJ129" s="5">
        <v>37289.0</v>
      </c>
      <c r="AK129" s="1">
        <v>2002.0</v>
      </c>
      <c r="AS129" s="1">
        <v>22.5</v>
      </c>
      <c r="AW129" s="1" t="s">
        <v>2084</v>
      </c>
      <c r="AX129" s="1" t="s">
        <v>2085</v>
      </c>
      <c r="BD129" s="1" t="s">
        <v>2086</v>
      </c>
      <c r="BE129" s="1">
        <v>40.0</v>
      </c>
      <c r="BF129" s="1" t="s">
        <v>2087</v>
      </c>
    </row>
    <row r="130">
      <c r="A130" s="1" t="s">
        <v>2088</v>
      </c>
      <c r="B130" s="1" t="str">
        <f>IFERROR(__xludf.DUMMYFUNCTION("GOOGLETRANSLATE(A:A, ""en"", ""te"")"),"బేడే BD-1")</f>
        <v>బేడే BD-1</v>
      </c>
      <c r="C130" s="1" t="s">
        <v>2089</v>
      </c>
      <c r="D130" s="1" t="str">
        <f>IFERROR(__xludf.DUMMYFUNCTION("GOOGLETRANSLATE(C:C, ""en"", ""te"")"),"BEDE BD-1 అనేది రెండు సీట్ల, సింగిల్-ఇంజిన్, లో-వింగ్ మోనోప్లేన్, ఇది అమెరికన్ ఏరోనాటికల్ ఇంజనీర్ జిమ్ బేడే యొక్క మొదటి రూపకల్పన. BD-1 ను 1960 లో te త్సాహిక బిల్డర్స్ హోమ్ అసెంబ్లీ కోసం ఉద్దేశించిన కిట్-నిర్మించిన విమానంగా రూపొందించారు. [2] డిజైన్ లక్ష్యా"&amp;"ల కిట్ ధర $ US 2500, పునర్నిర్మించిన 100 HP (75 kW) ఇంజిన్ మరియు 130 నాట్లు (240 కిమీ/గం) క్రూయిజ్ వేగం ఉన్నాయి. ప్రోటోటైప్ N624BD మొదట 1962 లో ప్రయాణించింది. [3] అయితే కిట్‌లు ఏవీ అమ్మబడలేదు, మరియు బేడేను సంస్థ నుండి తొలగించే వరకు మరియు డిజైన్ పునర్నిర్మ"&amp;"ించబడే వరకు - మడత వింగ్ లక్షణాన్ని తొలగించడంతో సహా - ఇది అమెరికన్ ఏవియేషన్ AA -1 గా ఉత్పత్తిలోకి ప్రవేశించింది. BD-1 ఆల్-మెటల్ నిర్మాణం యొక్క తక్కువ-వింగ్ మోనోప్లేన్, అల్యూమినియం తేనెగూడు నిర్మాణం మరియు లామినార్ ఫ్లో వింగ్ ఉపయోగించి. ఈ విమానం ప్రధానంగా రి"&amp;"వర్టెడ్, నిర్మాణం కాకుండా బంధం కలిగి ఉంది. ఇందులో స్లైడింగ్ పందిరి మరియు రెండు సీట్లు ఉన్నాయి. ఈ విమానం కారు వెనుక గ్యారేజీలో ఇంట్లో నిల్వ చేయడానికి అనుమతించటానికి రూపొందించబడింది మరియు తద్వారా హ్యాంగేజ్ ఖర్చులను తగ్గిస్తుంది. ఈ లక్ష్యాన్ని సులభతరం చేయడాన"&amp;"ికి, విమానంలో మడత రెక్కలు మరియు 8 అడుగుల (2.4 మీ) కన్నా తక్కువ క్షితిజ సమాంతర స్టెబిలైజర్ ఉన్నాయి. ఇది పూర్తిగా ఏరోబాటిక్ గా రూపొందించబడింది మరియు 9G (90 m/s²) కు నొక్కి చెప్పబడింది. [3] [4] ఉత్పత్తిని సరళీకృతం చేయడానికి BD-1 యొక్క చాలా భాగాలు పరస్పరం మార"&amp;"్చుకోగలిగాయి. ఉదాహరణకు, ఫిన్ మరియు క్షితిజ సమాంతర తోక వంటి రెక్కలు పరస్పరం మార్చుకోగలవు. ఐలెరాన్లు మరియు ఫ్లాప్‌లు పరస్పరం మార్చుకోగలిగాయి మరియు చుక్కాని మరియు ఎలివేటర్లు కూడా ఉన్నాయి. భాగాలు మరియు ట్రైలర్-సామర్థ్యం యొక్క ఈ సాధారణతను సాధించడానికి అనేక ఏరో"&amp;"డైనమిక్ మరియు హ్యాండ్లింగ్ రాజీలు జరిగాయి. [4] [5] ఈ విమానం వివిధ రకాల కొత్త లేదా పునర్నిర్మించిన ఇంజిన్‌లతో అందించడానికి ఉద్దేశించబడింది. కొనుగోలు ధరను తగ్గించడానికి పునర్నిర్మించిన ఇంజన్లు అందుబాటులో ఉన్నాయి. డిజైన్ పవర్‌ప్లాంట్లలో 65 హెచ్‌పి (48 కిలోవా"&amp;"ట్ల) యొక్క ఖండాంతర A65-8, 90 హెచ్‌పి (67 కిలోవాట్) యొక్క ఖండాంతర C90-14F, 100 HP (75 kW) యొక్క ఖండాంతర O-200A మరియు 108 HP (81 యొక్క లైమింగ్ O-235C1 ఉన్నాయి kW). [4] [6] BD-1 ఎప్పుడూ ప్రోటోటైప్ దశకు మించి అభివృద్ధి చేయబడలేదు మరియు కిట్లు ఉత్పత్తి చేయబడలేద"&amp;"ు. [2] BDE-1 కిట్‌లను ఉత్పత్తి చేయడానికి స్థాపించబడిన సంస్థ, బేడే ఏవియేషన్ కార్పొరేషన్ చివరికి అమెరికన్ విమానయానంగా మారింది మరియు వారు డిజైన్ కోసం FAR 23 కింద FAA ధృవీకరణను అభ్యసించారు, తద్వారా పూర్తి చేసిన విమానాలను విక్రయించవచ్చు. ఆర్థిక సమస్యల కారణంగా "&amp;"బేడే సంస్థ నుండి బలవంతం చేయబడ్డాడు మరియు BD-1 పున es రూపకల్పన చేయబడింది. [7] [8] [9] [10] పున es రూపకల్పన ప్రక్రియలో విమానం సవరించబడింది, తద్వారా రెక్కలు మడవబడలేదు, ఇది ధృవీకరణను సాధించడం సులభం చేస్తుంది. ఇతర మార్పులలో, ఎలివేటర్‌పై ఎలివేటర్‌పై యాంటీ-సర్వో"&amp;" టాబ్ అయిన క్లైంబర్‌ను మెరుగుపరచడానికి ఎక్కువ రెక్కలు ఉన్నాయి, ఎలివేటర్ సెంటరింగ్ స్ప్రింగ్ సిస్టమ్‌తో పాటు రేఖాంశ స్థిరత్వం మరియు స్టాల్ స్ట్రిప్స్‌ను పెంచడానికి స్టాల్ పనితీరును మెరుగుపరచడానికి. ఫలితంగా వచ్చిన విమానం 1968 చివరలో 1969 మోడల్ అమెరికన్ ఏవియ"&amp;"ేషన్ AA-1 యాంకీ క్లిప్పర్‌గా ఉత్పత్తిలోకి ప్రవేశించింది. [8] BD-1 ఎప్పుడూ ఉత్పత్తిలోకి ప్రవేశించనప్పటికీ, ఇది తేలికపాటి విమాన ఉత్పత్తిపై శాశ్వత ప్రభావాన్ని చూపింది మరియు గ్రుమ్మన్ అమెరికన్ AA-1, AA-5, మరియు గల్ఫ్‌స్ట్రీమ్ అమెరికన్ GA-7 కౌగర్‌తో సహా మొత్తం"&amp;" సంతానం డిజైన్ల శ్రేణిని సృష్టించింది. [ 9] అల్టిమేట్ డెరివేటివ్ డిజైన్, టైగర్ ఎయిర్క్రాఫ్ట్ AG-5B టైగర్, 2006 వరకు టైగర్ విమానాల ద్వారా ఉత్పత్తి చేయబడింది. జేన్ యొక్క అన్ని ప్రపంచ విమానాల నుండి డేటా 1965-66 [1] సాధారణ లక్షణాలు పనితీరు సంబంధిత అభివృద్ధి వ"&amp;"ిమానాలు పోల్చదగిన పాత్ర, కాన్ఫిగరేషన్ మరియు ERA")</f>
        <v>BEDE BD-1 అనేది రెండు సీట్ల, సింగిల్-ఇంజిన్, లో-వింగ్ మోనోప్లేన్, ఇది అమెరికన్ ఏరోనాటికల్ ఇంజనీర్ జిమ్ బేడే యొక్క మొదటి రూపకల్పన. BD-1 ను 1960 లో te త్సాహిక బిల్డర్స్ హోమ్ అసెంబ్లీ కోసం ఉద్దేశించిన కిట్-నిర్మించిన విమానంగా రూపొందించారు. [2] డిజైన్ లక్ష్యాల కిట్ ధర $ US 2500, పునర్నిర్మించిన 100 HP (75 kW) ఇంజిన్ మరియు 130 నాట్లు (240 కిమీ/గం) క్రూయిజ్ వేగం ఉన్నాయి. ప్రోటోటైప్ N624BD మొదట 1962 లో ప్రయాణించింది. [3] అయితే కిట్‌లు ఏవీ అమ్మబడలేదు, మరియు బేడేను సంస్థ నుండి తొలగించే వరకు మరియు డిజైన్ పునర్నిర్మించబడే వరకు - మడత వింగ్ లక్షణాన్ని తొలగించడంతో సహా - ఇది అమెరికన్ ఏవియేషన్ AA -1 గా ఉత్పత్తిలోకి ప్రవేశించింది. BD-1 ఆల్-మెటల్ నిర్మాణం యొక్క తక్కువ-వింగ్ మోనోప్లేన్, అల్యూమినియం తేనెగూడు నిర్మాణం మరియు లామినార్ ఫ్లో వింగ్ ఉపయోగించి. ఈ విమానం ప్రధానంగా రివర్టెడ్, నిర్మాణం కాకుండా బంధం కలిగి ఉంది. ఇందులో స్లైడింగ్ పందిరి మరియు రెండు సీట్లు ఉన్నాయి. ఈ విమానం కారు వెనుక గ్యారేజీలో ఇంట్లో నిల్వ చేయడానికి అనుమతించటానికి రూపొందించబడింది మరియు తద్వారా హ్యాంగేజ్ ఖర్చులను తగ్గిస్తుంది. ఈ లక్ష్యాన్ని సులభతరం చేయడానికి, విమానంలో మడత రెక్కలు మరియు 8 అడుగుల (2.4 మీ) కన్నా తక్కువ క్షితిజ సమాంతర స్టెబిలైజర్ ఉన్నాయి. ఇది పూర్తిగా ఏరోబాటిక్ గా రూపొందించబడింది మరియు 9G (90 m/s²) కు నొక్కి చెప్పబడింది. [3] [4] ఉత్పత్తిని సరళీకృతం చేయడానికి BD-1 యొక్క చాలా భాగాలు పరస్పరం మార్చుకోగలిగాయి. ఉదాహరణకు, ఫిన్ మరియు క్షితిజ సమాంతర తోక వంటి రెక్కలు పరస్పరం మార్చుకోగలవు. ఐలెరాన్లు మరియు ఫ్లాప్‌లు పరస్పరం మార్చుకోగలిగాయి మరియు చుక్కాని మరియు ఎలివేటర్లు కూడా ఉన్నాయి. భాగాలు మరియు ట్రైలర్-సామర్థ్యం యొక్క ఈ సాధారణతను సాధించడానికి అనేక ఏరోడైనమిక్ మరియు హ్యాండ్లింగ్ రాజీలు జరిగాయి. [4] [5] ఈ విమానం వివిధ రకాల కొత్త లేదా పునర్నిర్మించిన ఇంజిన్‌లతో అందించడానికి ఉద్దేశించబడింది. కొనుగోలు ధరను తగ్గించడానికి పునర్నిర్మించిన ఇంజన్లు అందుబాటులో ఉన్నాయి. డిజైన్ పవర్‌ప్లాంట్లలో 65 హెచ్‌పి (48 కిలోవాట్ల) యొక్క ఖండాంతర A65-8, 90 హెచ్‌పి (67 కిలోవాట్) యొక్క ఖండాంతర C90-14F, 100 HP (75 kW) యొక్క ఖండాంతర O-200A మరియు 108 HP (81 యొక్క లైమింగ్ O-235C1 ఉన్నాయి kW). [4] [6] BD-1 ఎప్పుడూ ప్రోటోటైప్ దశకు మించి అభివృద్ధి చేయబడలేదు మరియు కిట్లు ఉత్పత్తి చేయబడలేదు. [2] BDE-1 కిట్‌లను ఉత్పత్తి చేయడానికి స్థాపించబడిన సంస్థ, బేడే ఏవియేషన్ కార్పొరేషన్ చివరికి అమెరికన్ విమానయానంగా మారింది మరియు వారు డిజైన్ కోసం FAR 23 కింద FAA ధృవీకరణను అభ్యసించారు, తద్వారా పూర్తి చేసిన విమానాలను విక్రయించవచ్చు. ఆర్థిక సమస్యల కారణంగా బేడే సంస్థ నుండి బలవంతం చేయబడ్డాడు మరియు BD-1 పున es రూపకల్పన చేయబడింది. [7] [8] [9] [10] పున es రూపకల్పన ప్రక్రియలో విమానం సవరించబడింది, తద్వారా రెక్కలు మడవబడలేదు, ఇది ధృవీకరణను సాధించడం సులభం చేస్తుంది. ఇతర మార్పులలో, ఎలివేటర్‌పై ఎలివేటర్‌పై యాంటీ-సర్వో టాబ్ అయిన క్లైంబర్‌ను మెరుగుపరచడానికి ఎక్కువ రెక్కలు ఉన్నాయి, ఎలివేటర్ సెంటరింగ్ స్ప్రింగ్ సిస్టమ్‌తో పాటు రేఖాంశ స్థిరత్వం మరియు స్టాల్ స్ట్రిప్స్‌ను పెంచడానికి స్టాల్ పనితీరును మెరుగుపరచడానికి. ఫలితంగా వచ్చిన విమానం 1968 చివరలో 1969 మోడల్ అమెరికన్ ఏవియేషన్ AA-1 యాంకీ క్లిప్పర్‌గా ఉత్పత్తిలోకి ప్రవేశించింది. [8] BD-1 ఎప్పుడూ ఉత్పత్తిలోకి ప్రవేశించనప్పటికీ, ఇది తేలికపాటి విమాన ఉత్పత్తిపై శాశ్వత ప్రభావాన్ని చూపింది మరియు గ్రుమ్మన్ అమెరికన్ AA-1, AA-5, మరియు గల్ఫ్‌స్ట్రీమ్ అమెరికన్ GA-7 కౌగర్‌తో సహా మొత్తం సంతానం డిజైన్ల శ్రేణిని సృష్టించింది. [ 9] అల్టిమేట్ డెరివేటివ్ డిజైన్, టైగర్ ఎయిర్క్రాఫ్ట్ AG-5B టైగర్, 2006 వరకు టైగర్ విమానాల ద్వారా ఉత్పత్తి చేయబడింది. జేన్ యొక్క అన్ని ప్రపంచ విమానాల నుండి డేటా 1965-66 [1] సాధారణ లక్షణాలు పనితీరు సంబంధిత అభివృద్ధి విమానాలు పోల్చదగిన పాత్ర, కాన్ఫిగరేషన్ మరియు ERA</v>
      </c>
      <c r="F130" s="1" t="s">
        <v>613</v>
      </c>
      <c r="G130" s="1" t="str">
        <f>IFERROR(__xludf.DUMMYFUNCTION("GOOGLETRANSLATE(F:F, ""en"", ""te"")"),"తేలికపాటి విమానం")</f>
        <v>తేలికపాటి విమానం</v>
      </c>
      <c r="H130" s="1" t="s">
        <v>2090</v>
      </c>
      <c r="I130" s="1" t="s">
        <v>1831</v>
      </c>
      <c r="J130" s="1" t="str">
        <f>IFERROR(__xludf.DUMMYFUNCTION("GOOGLETRANSLATE(I:I, ""en"", ""te"")"),"అమెరికా సంయుక్త రాష్ట్రాలు")</f>
        <v>అమెరికా సంయుక్త రాష్ట్రాలు</v>
      </c>
      <c r="K130" s="1" t="s">
        <v>1832</v>
      </c>
      <c r="L130" s="1" t="s">
        <v>2091</v>
      </c>
      <c r="M130" s="1" t="str">
        <f>IFERROR(__xludf.DUMMYFUNCTION("GOOGLETRANSLATE(L:L, ""en"", ""te"")"),"బేడే ఏవియేషన్ కార్పొరేషన్")</f>
        <v>బేడే ఏవియేషన్ కార్పొరేషన్</v>
      </c>
      <c r="R130" s="1" t="s">
        <v>2092</v>
      </c>
      <c r="S130" s="1" t="s">
        <v>133</v>
      </c>
      <c r="T130" s="1" t="s">
        <v>134</v>
      </c>
      <c r="U130" s="1" t="s">
        <v>2093</v>
      </c>
      <c r="V130" s="1" t="s">
        <v>360</v>
      </c>
      <c r="W130" s="1" t="s">
        <v>2094</v>
      </c>
      <c r="X130" s="1" t="s">
        <v>2095</v>
      </c>
      <c r="Z130" s="1" t="s">
        <v>2096</v>
      </c>
      <c r="AA130" s="1" t="s">
        <v>2097</v>
      </c>
      <c r="AC130" s="1" t="s">
        <v>2098</v>
      </c>
      <c r="AD130" s="1" t="s">
        <v>2099</v>
      </c>
      <c r="AE130" s="1" t="s">
        <v>1871</v>
      </c>
      <c r="AF130" s="1" t="s">
        <v>2100</v>
      </c>
      <c r="AH130" s="1" t="s">
        <v>2101</v>
      </c>
      <c r="AI130" s="1" t="s">
        <v>2102</v>
      </c>
      <c r="AJ130" s="1" t="s">
        <v>2103</v>
      </c>
      <c r="AM130" s="1" t="s">
        <v>2104</v>
      </c>
      <c r="AN130" s="1" t="s">
        <v>2105</v>
      </c>
      <c r="AP130" s="1" t="s">
        <v>2106</v>
      </c>
      <c r="AR130" s="1" t="s">
        <v>1538</v>
      </c>
      <c r="AW130" s="1" t="s">
        <v>2107</v>
      </c>
      <c r="BD130" s="1" t="s">
        <v>2108</v>
      </c>
      <c r="BP130" s="1" t="s">
        <v>2109</v>
      </c>
    </row>
    <row r="131">
      <c r="A131" s="1" t="s">
        <v>2110</v>
      </c>
      <c r="B131" s="1" t="str">
        <f>IFERROR(__xludf.DUMMYFUNCTION("GOOGLETRANSLATE(A:A, ""en"", ""te"")"),"బాటాన్ 1 మరియు బాటాన్ 2")</f>
        <v>బాటాన్ 1 మరియు బాటాన్ 2</v>
      </c>
      <c r="C131" s="1" t="s">
        <v>2111</v>
      </c>
      <c r="D131" s="1" t="str">
        <f>IFERROR(__xludf.DUMMYFUNCTION("GOOGLETRANSLATE(C:C, ""en"", ""te"")"),"బాటాన్ 1 మరియు బాటాన్ 2 రెండు డెమిలిటరైజ్డ్ జపనీస్ బాంబర్/రవాణా విమానాలు, ఇవి రెండవ ప్రపంచ యుద్ధంలో జపాన్ లొంగిపోవటంలో భాగంగా జపాన్ నుండి మొదటి లొంగిపోయే ప్రతినిధులను IE షిమాకు తీసుకువెళ్లాయి. రెండు విమానాలు, ప్రత్యేకంగా ఒక మిత్సుబిషి జి 6 ఎమ్ 1-ఎల్ 2 సైన"&amp;"ిక రవాణా (బాటాన్ 1 గా పిలువబడింది) మరియు రెండవది, నిరాయుధంగా మరియు మరమ్మతులు చేసిన మిత్సుబిషి జి 4 ఎం 1 బాంబర్ (బాటాన్ 2), ప్రతినిధి బృందంలోని ఎనిమిది మంది సభ్యులను తీసుకువెళ్ళింది, ఇందులో జనరల్ టోరిషిరా కవాబే కూడా ఉన్నారు, ఆర్మీ చీఫ్ యొక్క ప్రాతినిధ్యం వ"&amp;"హిస్తున్నారు పాల్గొనడానికి నిరాకరించిన సిబ్బంది యోషిజిరా ఉమేజు. వారు చిబాకు సమీపంలో ఉన్న కిసరాజు నుండి 7:18 జపనీస్ సమయం ఆగస్టు 19 న బయలుదేరారు, అదే రోజు IE షిమాను తాకింది. [1] విమానాలు సులభంగా కనిపించే పెయింట్ పథకంలో ఎగిరిపోయాయి -రెక్కలపై (ఎగువ మరియు దిగు"&amp;"వ), ఫ్యూజ్‌లేజ్ మరియు చుక్కానిపై ఆకుపచ్చ శిలువతో మాత్రమే గుర్తించబడిన స్వచ్ఛమైన తెల్లని బేస్. విమానాలు ప్రతినిధులను మోస్తున్నాయని ధృవీకరించడానికి ఈ పథకాన్ని జనరల్ డగ్లస్ మాక్‌ఆర్థర్ ఆదేశించారు. [2] రెండు విమానాలను స్థిరమైన హెవీ యుఎస్ఎఎఫ్ ఎస్కార్ట్ దగ్గరగా"&amp;" ఉంచారు, ప్రతినిధులు కామికేజ్ మిషన్‌ను సంధి జెండా రంగులో ప్రయత్నించవచ్చనే ఆందోళనల కారణంగా. [3] అదే సమయంలో, జపనీస్ మిలిటరీలో హార్డ్ లైనర్ల నుండి వచ్చిన ప్రయత్నాలు కూడా లొంగిపోకుండా ఉండటానికి విమానాలను తగ్గించాయి. టోక్యో చుట్టూ ఉన్న నావికాదళ ఎయిర్ యూనిట్ యొ"&amp;"క్క కమాండర్ కెప్టెన్ యసునా ఓజోనో, అతని మనుష్యులలో సంకల్పం లేకపోవడం వల్ల బాటాన్ 1 మరియు బాటాన్ 2 ను నాశనం చేయలేకపోయిన తరువాత ఆత్మహత్య చేసుకున్నాడు. [4] బాటాన్ డెత్ మార్చ్ సమయంలో జపనీస్ చర్యలను గుర్తుచేస్తూ జనరల్ మాక్‌ఆర్థర్ ఆదేశాల మేరకు కాల్-సిగ్న్ ఎంపిక చ"&amp;"ేయబడినట్లు తెలిసింది. [4] ఐఇ షిమా వద్ద విమానాలు అడుగుపెట్టిన తర్వాత, మనీలాకు తమ విమానాలను పూర్తి చేయడానికి ప్రతినిధులను యుఎస్ ఆర్మీ ఎయిర్ ఫోర్సెస్ ట్రాన్స్పోర్ట్ ప్లేన్ మీద లోడ్ చేశారు. రెండు విమానాలు ప్రమాదవశాత్తు నాశనం చేయబడ్డాయి లేదా కొద్దిసేపటికే స్క్"&amp;"రాప్ చేయబడ్డాయి. [5]")</f>
        <v>బాటాన్ 1 మరియు బాటాన్ 2 రెండు డెమిలిటరైజ్డ్ జపనీస్ బాంబర్/రవాణా విమానాలు, ఇవి రెండవ ప్రపంచ యుద్ధంలో జపాన్ లొంగిపోవటంలో భాగంగా జపాన్ నుండి మొదటి లొంగిపోయే ప్రతినిధులను IE షిమాకు తీసుకువెళ్లాయి. రెండు విమానాలు, ప్రత్యేకంగా ఒక మిత్సుబిషి జి 6 ఎమ్ 1-ఎల్ 2 సైనిక రవాణా (బాటాన్ 1 గా పిలువబడింది) మరియు రెండవది, నిరాయుధంగా మరియు మరమ్మతులు చేసిన మిత్సుబిషి జి 4 ఎం 1 బాంబర్ (బాటాన్ 2), ప్రతినిధి బృందంలోని ఎనిమిది మంది సభ్యులను తీసుకువెళ్ళింది, ఇందులో జనరల్ టోరిషిరా కవాబే కూడా ఉన్నారు, ఆర్మీ చీఫ్ యొక్క ప్రాతినిధ్యం వహిస్తున్నారు పాల్గొనడానికి నిరాకరించిన సిబ్బంది యోషిజిరా ఉమేజు. వారు చిబాకు సమీపంలో ఉన్న కిసరాజు నుండి 7:18 జపనీస్ సమయం ఆగస్టు 19 న బయలుదేరారు, అదే రోజు IE షిమాను తాకింది. [1] విమానాలు సులభంగా కనిపించే పెయింట్ పథకంలో ఎగిరిపోయాయి -రెక్కలపై (ఎగువ మరియు దిగువ), ఫ్యూజ్‌లేజ్ మరియు చుక్కానిపై ఆకుపచ్చ శిలువతో మాత్రమే గుర్తించబడిన స్వచ్ఛమైన తెల్లని బేస్. విమానాలు ప్రతినిధులను మోస్తున్నాయని ధృవీకరించడానికి ఈ పథకాన్ని జనరల్ డగ్లస్ మాక్‌ఆర్థర్ ఆదేశించారు. [2] రెండు విమానాలను స్థిరమైన హెవీ యుఎస్ఎఎఫ్ ఎస్కార్ట్ దగ్గరగా ఉంచారు, ప్రతినిధులు కామికేజ్ మిషన్‌ను సంధి జెండా రంగులో ప్రయత్నించవచ్చనే ఆందోళనల కారణంగా. [3] అదే సమయంలో, జపనీస్ మిలిటరీలో హార్డ్ లైనర్ల నుండి వచ్చిన ప్రయత్నాలు కూడా లొంగిపోకుండా ఉండటానికి విమానాలను తగ్గించాయి. టోక్యో చుట్టూ ఉన్న నావికాదళ ఎయిర్ యూనిట్ యొక్క కమాండర్ కెప్టెన్ యసునా ఓజోనో, అతని మనుష్యులలో సంకల్పం లేకపోవడం వల్ల బాటాన్ 1 మరియు బాటాన్ 2 ను నాశనం చేయలేకపోయిన తరువాత ఆత్మహత్య చేసుకున్నాడు. [4] బాటాన్ డెత్ మార్చ్ సమయంలో జపనీస్ చర్యలను గుర్తుచేస్తూ జనరల్ మాక్‌ఆర్థర్ ఆదేశాల మేరకు కాల్-సిగ్న్ ఎంపిక చేయబడినట్లు తెలిసింది. [4] ఐఇ షిమా వద్ద విమానాలు అడుగుపెట్టిన తర్వాత, మనీలాకు తమ విమానాలను పూర్తి చేయడానికి ప్రతినిధులను యుఎస్ ఆర్మీ ఎయిర్ ఫోర్సెస్ ట్రాన్స్పోర్ట్ ప్లేన్ మీద లోడ్ చేశారు. రెండు విమానాలు ప్రమాదవశాత్తు నాశనం చేయబడ్డాయి లేదా కొద్దిసేపటికే స్క్రాప్ చేయబడ్డాయి. [5]</v>
      </c>
      <c r="E131" s="1" t="s">
        <v>2112</v>
      </c>
      <c r="L131" s="1" t="s">
        <v>2113</v>
      </c>
      <c r="M131" s="1" t="str">
        <f>IFERROR(__xludf.DUMMYFUNCTION("GOOGLETRANSLATE(L:L, ""en"", ""te"")"),"మిత్సుబిషి")</f>
        <v>మిత్సుబిషి</v>
      </c>
      <c r="N131" s="3" t="s">
        <v>2114</v>
      </c>
      <c r="BX131" s="1" t="s">
        <v>2115</v>
      </c>
      <c r="BY131" s="1" t="s">
        <v>2116</v>
      </c>
      <c r="CM131" s="1" t="s">
        <v>2117</v>
      </c>
      <c r="CN131" s="1" t="s">
        <v>2118</v>
      </c>
      <c r="CO131" s="5">
        <v>16668.0</v>
      </c>
      <c r="CP131" s="1" t="s">
        <v>2119</v>
      </c>
      <c r="DD131" s="1" t="s">
        <v>2120</v>
      </c>
    </row>
    <row r="132">
      <c r="A132" s="1" t="s">
        <v>2121</v>
      </c>
      <c r="B132" s="1" t="str">
        <f>IFERROR(__xludf.DUMMYFUNCTION("GOOGLETRANSLATE(A:A, ""en"", ""te"")"),"బెల్లాంకా 31-40")</f>
        <v>బెల్లాంకా 31-40</v>
      </c>
      <c r="C132" s="1" t="s">
        <v>2122</v>
      </c>
      <c r="D132" s="1" t="str">
        <f>IFERROR(__xludf.DUMMYFUNCTION("GOOGLETRANSLATE(C:C, ""en"", ""te"")"),"బెల్లాంకా 31-40 సీనియర్ పేస్‌మేకర్ మరియు దాని ఉత్పన్నాలు 1930 ల చివరలో యునైటెడ్ స్టేట్స్లో నిర్మించిన ఆరు మరియు ఎనిమిది సీట్ల యుటిలిటీ విమానాల కుటుంబం. అవి 1920 ల చివరలో రైట్-బెల్లంకా డబ్ల్యుబి -2 డిజైన్ యొక్క చివరి పునర్విమర్శ. ఈ కాలంలో బెల్లాంకా ఉపయోగిం"&amp;"చిన మోడల్ సంఖ్యలు రెక్కల ప్రాంతాన్ని (ఈ సందర్భంలో, 310 చదరపు అడుగులు) మరియు ఇంజిన్ హార్స్‌పవర్ (ఈ సిరీస్‌లో 400 మరియు అంతకంటే ఎక్కువ) ప్రతిబింబిస్తాయి, ప్రతి ఒక్కటి పది ద్వారా విభజించబడ్డాయి. వారి పూర్వీకుల మాదిరిగానే, ఇవి సాంప్రదాయిక టెయిల్‌వీల్ అండర్ క్"&amp;"యారేజీతో అధిక-వింగ్ బ్రాస్డ్ మోనోప్లేన్స్. ఒకే సీనియర్ ఆకాశాన్ని యునైటెడ్ స్టేట్స్ నేవీ 1938 లో యుటిలిటీ ట్రాన్స్‌పోర్ట్‌గా ఉపయోగించడం కోసం JE-1 గా కొనుగోలు చేసింది. రెండవ ప్రపంచ యుద్ధం తరువాత కెనడాలోని నార్త్‌వెస్ట్ ఇండస్ట్రీస్ లైసెన్స్ కింద సీనియర్ స్కై"&amp;"రోకెట్లను నిర్మించింది. 2007 లో, ఒకే ఉదాహరణ ఉంది-మొదటి కెనడియన్ నిర్మించిన విమానం (రిజిస్ట్రేషన్ CF-DCH). ఇది రేనాల్డ్స్-అల్బెర్టా మ్యూజియంలో భద్రపరచబడింది. [1] 1939 జనరల్ లక్షణాల పనితీరు కోసం అమెరికన్ విమానాలు మరియు ఇంజిన్ల నుండి డేటా")</f>
        <v>బెల్లాంకా 31-40 సీనియర్ పేస్‌మేకర్ మరియు దాని ఉత్పన్నాలు 1930 ల చివరలో యునైటెడ్ స్టేట్స్లో నిర్మించిన ఆరు మరియు ఎనిమిది సీట్ల యుటిలిటీ విమానాల కుటుంబం. అవి 1920 ల చివరలో రైట్-బెల్లంకా డబ్ల్యుబి -2 డిజైన్ యొక్క చివరి పునర్విమర్శ. ఈ కాలంలో బెల్లాంకా ఉపయోగించిన మోడల్ సంఖ్యలు రెక్కల ప్రాంతాన్ని (ఈ సందర్భంలో, 310 చదరపు అడుగులు) మరియు ఇంజిన్ హార్స్‌పవర్ (ఈ సిరీస్‌లో 400 మరియు అంతకంటే ఎక్కువ) ప్రతిబింబిస్తాయి, ప్రతి ఒక్కటి పది ద్వారా విభజించబడ్డాయి. వారి పూర్వీకుల మాదిరిగానే, ఇవి సాంప్రదాయిక టెయిల్‌వీల్ అండర్ క్యారేజీతో అధిక-వింగ్ బ్రాస్డ్ మోనోప్లేన్స్. ఒకే సీనియర్ ఆకాశాన్ని యునైటెడ్ స్టేట్స్ నేవీ 1938 లో యుటిలిటీ ట్రాన్స్‌పోర్ట్‌గా ఉపయోగించడం కోసం JE-1 గా కొనుగోలు చేసింది. రెండవ ప్రపంచ యుద్ధం తరువాత కెనడాలోని నార్త్‌వెస్ట్ ఇండస్ట్రీస్ లైసెన్స్ కింద సీనియర్ స్కైరోకెట్లను నిర్మించింది. 2007 లో, ఒకే ఉదాహరణ ఉంది-మొదటి కెనడియన్ నిర్మించిన విమానం (రిజిస్ట్రేషన్ CF-DCH). ఇది రేనాల్డ్స్-అల్బెర్టా మ్యూజియంలో భద్రపరచబడింది. [1] 1939 జనరల్ లక్షణాల పనితీరు కోసం అమెరికన్ విమానాలు మరియు ఇంజిన్ల నుండి డేటా</v>
      </c>
      <c r="E132" s="1" t="s">
        <v>2123</v>
      </c>
      <c r="F132" s="1" t="s">
        <v>1951</v>
      </c>
      <c r="G132" s="1" t="str">
        <f>IFERROR(__xludf.DUMMYFUNCTION("GOOGLETRANSLATE(F:F, ""en"", ""te"")"),"సివిల్ యుటిలిటీ విమానం")</f>
        <v>సివిల్ యుటిలిటీ విమానం</v>
      </c>
      <c r="L132" s="1" t="s">
        <v>2124</v>
      </c>
      <c r="M132" s="1" t="str">
        <f>IFERROR(__xludf.DUMMYFUNCTION("GOOGLETRANSLATE(L:L, ""en"", ""te"")"),"బెల్లాంకా, నార్త్‌వెస్ట్ ఇండస్ట్రీస్ (లైసెన్స్ కింద)")</f>
        <v>బెల్లాంకా, నార్త్‌వెస్ట్ ఇండస్ట్రీస్ (లైసెన్స్ కింద)</v>
      </c>
      <c r="N132" s="1" t="s">
        <v>2125</v>
      </c>
      <c r="Q132" s="1" t="s">
        <v>2126</v>
      </c>
      <c r="R132" s="1" t="s">
        <v>2127</v>
      </c>
      <c r="S132" s="1">
        <v>1.0</v>
      </c>
      <c r="T132" s="1" t="s">
        <v>2128</v>
      </c>
      <c r="U132" s="1" t="s">
        <v>2129</v>
      </c>
      <c r="V132" s="1" t="s">
        <v>2130</v>
      </c>
      <c r="W132" s="1" t="s">
        <v>2131</v>
      </c>
      <c r="X132" s="1" t="s">
        <v>2132</v>
      </c>
      <c r="Y132" s="1" t="s">
        <v>2133</v>
      </c>
      <c r="Z132" s="1" t="s">
        <v>2134</v>
      </c>
      <c r="AA132" s="1" t="s">
        <v>2135</v>
      </c>
      <c r="AC132" s="1" t="s">
        <v>2136</v>
      </c>
      <c r="AD132" s="1" t="s">
        <v>2137</v>
      </c>
      <c r="AE132" s="1" t="s">
        <v>1871</v>
      </c>
      <c r="AF132" s="1" t="s">
        <v>2037</v>
      </c>
      <c r="AJ132" s="1">
        <v>1935.0</v>
      </c>
      <c r="AM132" s="1" t="s">
        <v>2138</v>
      </c>
      <c r="AP132" s="1" t="s">
        <v>2139</v>
      </c>
      <c r="AR132" s="1" t="s">
        <v>2140</v>
      </c>
      <c r="CG132" s="3" t="s">
        <v>2141</v>
      </c>
    </row>
    <row r="133">
      <c r="A133" s="1" t="s">
        <v>2142</v>
      </c>
      <c r="B133" s="1" t="str">
        <f>IFERROR(__xludf.DUMMYFUNCTION("GOOGLETRANSLATE(A:A, ""en"", ""te"")"),"Xv సెట్ చేయండి")</f>
        <v>Xv సెట్ చేయండి</v>
      </c>
      <c r="C133" s="1" t="s">
        <v>2143</v>
      </c>
      <c r="D133" s="1" t="str">
        <f>IFERROR(__xludf.DUMMYFUNCTION("GOOGLETRANSLATE(C:C, ""en"", ""te"")"),"ఈ సెట్ XV 1930 ల మధ్యలో రొమేనియాలో అభివృద్ధి చేయబడిన ఫైటర్ విమానం. ఇది సాంప్రదాయిక సింగిల్-బే బైప్‌లేన్, ఇది ఎన్-స్ట్రట్స్ చేత అసమాన విస్తరణ యొక్క రెక్కలతో నిండి ఉంది. ఇది స్పాటెడ్ మెయిన్‌వీల్స్‌తో స్థిర టెయిల్‌వీల్ అండర్ క్యారేజీతో అమర్చబడింది. కాక్‌పిట్"&amp;" పూర్తిగా పరివేష్టితమైంది, మరియు ఇంజిన్‌కు నాకా కౌల్‌తో అమర్చారు. అంతటా నిర్మాణం ఫాబ్రిక్ కప్పబడిన లోహం. కొత్త ఫైటర్ కోసం రొమేనియన్ వైమానిక దళం కాంట్రాక్ట్ కోసం పోటీ చేయడానికి సెట్ XV అభివృద్ధి చేయబడింది. ఏదేమైనా, మూల్యాంకనం మరింత తీవ్రంగా ప్రారంభమయ్యే ము"&amp;"ందు, పోలిష్ PZL P.11 అప్పటికే విజేతగా ఎంపిక చేయబడింది. ఏకైక సెట్ XV ప్రోటోటైప్‌ను వదిలివేయడానికి ముందు కొంతకాలం వైమానిక దళం అంచనా వేసింది. జేన్ యొక్క ఆల్ ది వరల్డ్ విమానాల నుండి డేటా 1937, [1] రొమేనియన్ ఏరోనాటికల్ కన్స్ట్రక్షన్స్ 1905-1974 [2] సాధారణ లక్ష"&amp;"ణాలు పనితీరు ఆయుధాల ఏవియానిక్స్ 2-వే రేడియో")</f>
        <v>ఈ సెట్ XV 1930 ల మధ్యలో రొమేనియాలో అభివృద్ధి చేయబడిన ఫైటర్ విమానం. ఇది సాంప్రదాయిక సింగిల్-బే బైప్‌లేన్, ఇది ఎన్-స్ట్రట్స్ చేత అసమాన విస్తరణ యొక్క రెక్కలతో నిండి ఉంది. ఇది స్పాటెడ్ మెయిన్‌వీల్స్‌తో స్థిర టెయిల్‌వీల్ అండర్ క్యారేజీతో అమర్చబడింది. కాక్‌పిట్ పూర్తిగా పరివేష్టితమైంది, మరియు ఇంజిన్‌కు నాకా కౌల్‌తో అమర్చారు. అంతటా నిర్మాణం ఫాబ్రిక్ కప్పబడిన లోహం. కొత్త ఫైటర్ కోసం రొమేనియన్ వైమానిక దళం కాంట్రాక్ట్ కోసం పోటీ చేయడానికి సెట్ XV అభివృద్ధి చేయబడింది. ఏదేమైనా, మూల్యాంకనం మరింత తీవ్రంగా ప్రారంభమయ్యే ముందు, పోలిష్ PZL P.11 అప్పటికే విజేతగా ఎంపిక చేయబడింది. ఏకైక సెట్ XV ప్రోటోటైప్‌ను వదిలివేయడానికి ముందు కొంతకాలం వైమానిక దళం అంచనా వేసింది. జేన్ యొక్క ఆల్ ది వరల్డ్ విమానాల నుండి డేటా 1937, [1] రొమేనియన్ ఏరోనాటికల్ కన్స్ట్రక్షన్స్ 1905-1974 [2] సాధారణ లక్షణాలు పనితీరు ఆయుధాల ఏవియానిక్స్ 2-వే రేడియో</v>
      </c>
      <c r="F133" s="1" t="s">
        <v>356</v>
      </c>
      <c r="G133" s="1" t="str">
        <f>IFERROR(__xludf.DUMMYFUNCTION("GOOGLETRANSLATE(F:F, ""en"", ""te"")"),"యుద్ధ")</f>
        <v>యుద్ధ</v>
      </c>
      <c r="L133" s="1" t="s">
        <v>2144</v>
      </c>
      <c r="M133" s="1" t="str">
        <f>IFERROR(__xludf.DUMMYFUNCTION("GOOGLETRANSLATE(L:L, ""en"", ""te"")"),"సొసైటీటియా పెంట్రూ ఎక్స్‌ప్లోటారి టెక్నీస్ (సెట్)")</f>
        <v>సొసైటీటియా పెంట్రూ ఎక్స్‌ప్లోటారి టెక్నీస్ (సెట్)</v>
      </c>
      <c r="N133" s="1" t="s">
        <v>2145</v>
      </c>
      <c r="Q133" s="1">
        <v>1.0</v>
      </c>
      <c r="S133" s="1">
        <v>1.0</v>
      </c>
      <c r="U133" s="1" t="s">
        <v>1894</v>
      </c>
      <c r="W133" s="1" t="s">
        <v>2146</v>
      </c>
      <c r="X133" s="1" t="s">
        <v>2147</v>
      </c>
      <c r="Y133" s="1" t="s">
        <v>2148</v>
      </c>
      <c r="AA133" s="1" t="s">
        <v>2149</v>
      </c>
      <c r="AB133" s="1" t="s">
        <v>2150</v>
      </c>
      <c r="AD133" s="1" t="s">
        <v>277</v>
      </c>
      <c r="AE133" s="1" t="s">
        <v>2151</v>
      </c>
      <c r="AG133" s="1" t="s">
        <v>2152</v>
      </c>
      <c r="AH133" s="1" t="s">
        <v>2153</v>
      </c>
      <c r="AI133" s="1" t="s">
        <v>2154</v>
      </c>
      <c r="AJ133" s="1">
        <v>1934.0</v>
      </c>
      <c r="AM133" s="1" t="s">
        <v>1901</v>
      </c>
      <c r="AP133" s="1" t="s">
        <v>2155</v>
      </c>
      <c r="AR133" s="1" t="s">
        <v>2156</v>
      </c>
      <c r="AY133" s="1" t="s">
        <v>2157</v>
      </c>
      <c r="AZ133" s="1" t="s">
        <v>2158</v>
      </c>
      <c r="BJ133" s="1" t="s">
        <v>2159</v>
      </c>
      <c r="BT133" s="1" t="s">
        <v>1516</v>
      </c>
      <c r="CI133" s="1" t="s">
        <v>2160</v>
      </c>
    </row>
    <row r="134">
      <c r="A134" s="1" t="s">
        <v>2161</v>
      </c>
      <c r="B134" s="1" t="str">
        <f>IFERROR(__xludf.DUMMYFUNCTION("GOOGLETRANSLATE(A:A, ""en"", ""te"")"),"బీచ్‌క్రాఫ్ట్ CT-134 మస్కటీర్")</f>
        <v>బీచ్‌క్రాఫ్ట్ CT-134 మస్కటీర్</v>
      </c>
      <c r="C134" s="1" t="s">
        <v>2162</v>
      </c>
      <c r="D134" s="1" t="str">
        <f>IFERROR(__xludf.DUMMYFUNCTION("GOOGLETRANSLATE(C:C, ""en"", ""te"")"),"బీచ్‌క్రాఫ్ట్ CT-134 మస్కటీర్ అనేది కెనడియన్ సాయుధ దళాల కోసం బీచ్‌క్రాఫ్ట్ నిర్మించిన మస్కటీర్ యొక్క సైనిక శిక్షణ ఉత్పన్నం. CT-134 ఒకే ఇంజిన్, తక్కువ-వింగ్, స్థిర ల్యాండింగ్ గేర్‌తో నాలుగు-సీట్ల తేలికపాటి విమానం మరియు పరిమిత ఏరోబాటిక్ సామర్ధ్యం. 1960 ల ప్"&amp;"రారంభంలో రాయల్ కెనడియన్ వైమానిక దళం యొక్క ప్రామాణిక ప్రాథమిక శిక్షణా విమానం డి హవిలాండ్ DHC-1 చిప్‌మంక్. అప్పటి బ్రాండ్-న్యూ కెనడైర్ సిటి -114 ట్యూటర్ జెట్ జెట్ ట్రైనర్‌కు రాకముందే డిహెచ్‌సి -1 లో విద్యార్థి పైలట్లు విమాన సూచనలను పూర్తి చేశారు. DHC-1 లను "&amp;"సేవ నుండి తొలగించడానికి మరియు వాటిని భర్తీ చేయకుండా RCAF HQ ఒక నిర్ణయం తీసుకుంది, ఎందుకంటే ప్రారంభ శిక్షణ అవసరం లేదని CT-114 చాలా సులభం అని భావించారు. CT-114 విద్యార్థుల జెట్ పైలట్లలో 95% కు వాష్-అవుట్ రేటును అభివృద్ధి చేసింది మరియు ఒక ప్రాథమిక శిక్షకుడు "&amp;"అవసరమని స్పష్టమైంది. ఆ సంస్థ యొక్క ప్రతిఘటన ట్విన్-ఇంజిన్ విమానాలను నడుపుతున్నప్పుడు బీచ్‌క్రాఫ్ట్‌తో RCAF యొక్క మునుపటి కస్టమర్ సంబంధం కారణంగా, 1971 లో ఇరవై నాలుగు B23 మస్కటీర్స్ యొక్క తొందరపాటు కొనుగోలు చేయబడింది. [1] మొదటి CT-134 మార్చి 23, 1971 న CFB "&amp;"పోర్టేజ్ లా ప్రైరీ వద్దకు వచ్చింది. [2] కొత్త శిక్షకులను అప్పటి కెనడియన్ సాయుధ దళాలలో CT-134 మస్కటీర్ నియమించారు. కొనుగోలు చేసిన విమానం ప్రామాణిక మోడల్ B23 లు, 180 BHP (130 kW) యొక్క O-360-A4G ఇంజిన్‌తో కూడినవి, స్పిన్ రికవరీ పనితీరును మెరుగుపరచడానికి కౌల"&amp;"ింగ్ స్ట్రేక్, క్షితిజ సమాంతర స్టెబిలైజర్ స్ట్రేక్ మరియు వెంట్రల్ ఫిన్లను చేర్చడం ద్వారా సవరించబడింది. అవి మొదట్లో సీరియల్ 13401-13424 గా లెక్కించబడ్డాయి, కాని ఇతర CF విమానాల క్రమ సంఖ్యలతో గందరగోళాన్ని నివారించడానికి 134001-134024 ను తిరిగి సంఖ్యలో ఉంచాయి"&amp;". [1] CT-134 ల యొక్క ప్రారంభ బ్యాచ్ 1981 చివరలో ఇరవై నాలుగు విమానాల కొనుగోలుతో భర్తీ చేయబడింది. ఇవి 1982 మోడల్ బీచ్‌క్రాఫ్ట్ సి 23 సన్‌డౌనర్స్ మరియు సిఎఫ్ చేత సిటి -134 ఎ మస్కటీర్ II గా నియమించబడ్డాయి. వీటిని 134025-134048 లెక్కించారు. [1] సిటి -134 పరిమి"&amp;"త ఏరోబాటిక్స్ కోసం ఆమోదించబడింది, వీటిలో ఉచ్చులు, రోల్స్, చాండెల్లెస్ మరియు సోమరితనం ఎనిమిది [3] 3 కెనడియన్ దళాల ఫ్లయింగ్ ట్రైనింగ్ స్కూల్ మరియు సిఎఫ్‌బి పోర్టేజ్ లా ప్రైరీ మానిటోబా మరియు కెనడియన్ వద్ద కెనడియన్ ఫోర్సెస్ ఫ్లయింగ్ ఇన్‌స్ట్రక్టర్ స్కూల్‌తో ప"&amp;"నిచేసిన మస్కటీర్స్ యొక్క రెండు బ్యాచ్‌లు విన్నిపెగ్‌లోని ఫోర్సెస్ సెంట్రల్ ఫ్లయింగ్ స్కూల్ వాటిని 1992 లో బొంబార్డియర్ ఏరోస్పేస్ చేత కాంట్రాక్టు కింద పనిచేసే స్లింగ్స్‌బై ఫైర్‌ఫ్లైస్ స్థానంలో ఉన్నారు. వారి 21 సంవత్సరాల సేవలో సిటి -134 మరియు సిటి -134 ఎ ఫ్"&amp;"లీట్ 3 సిఎఫ్‌ఎఫ్‌టి వద్ద 5000 కెనడియన్ మిలిటరీ పైలట్ గ్రాడ్యుయేట్‌లకు శిక్షణ ఇచ్చింది. కార్యాచరణ సేవలో CT-134 చాలా తక్కువ ప్రమాదాలకు గురైంది. 23 మార్చి 1990 న మస్కటీర్ 134229 మానిటోబాలోని ఎరిక్సన్ వద్ద ఎరిక్సన్ మునిసిపల్ విమానాశ్రయం నుండి టేకాఫ్‌లో ఇంజిన్"&amp;" వైఫల్యం సంభవించినప్పుడు, రాయల్ కెనడియన్ ఎయిర్ క్యాడెట్లకు పరిచయ విమానాలు ఇస్తున్నప్పుడు కొన్ని తీవ్రమైన ప్రమాదాలలో ఒకటి జరిగింది. ఈ ప్రమాదం ఇంధన ఆకలితో సంభవించింది మరియు విమానం వ్రాయబడింది. [4] CT-134 విమానాల నిర్వహణ ప్రధానంగా CFB పోర్టేజ్ లా ప్రైరీ బేస్"&amp;" ఎయిర్క్రాఫ్ట్ మెయింటెనెన్స్ ఇంజనీరింగ్ సంస్థ చేత నిర్వహించబడింది, డిపో స్థాయి తనిఖీ మరియు మరమ్మత్తు (DLIR) అల్బెర్టాలోని కాల్గరీలోని కాల్గరీ అంతర్జాతీయ విమానాశ్రయంలో ఫీల్డ్ ఏవియేషన్ ద్వారా నిర్వహించబడుతోంది. [4] పదవీ విరమణ చేసిన తరువాత CT-134 లు మరియు CT"&amp;"-134A లు ఎగిరే ఉపయోగం కోసం విక్రయించబడలేదు, ఎందుకంటే వారందరూ ఏరోబాటిక్స్ నుండి ఎదుర్కొన్న నిర్మాణ సమస్యల కారణంగా. [5] బదులుగా వాటిని మ్యూజియంలకు విరాళంగా ఇచ్చారు లేదా వైమానిక దళం మరియు పౌర నిర్వహణ శిక్షణ కోసం ఉపయోగించారు. కొన్ని CT-134 లు ఇప్పటికీ ప్రస్తు"&amp;"త మరియు మాజీ కెనడియన్ ఫోర్సెస్ స్థావరాలతో పాటు రాయల్ కెనడియన్ లెజియన్ హాళ్ళలో కొన్ని స్మారక చిహ్నాలుగా పనిచేస్తాయి, ఈ తరగతిలో చాలా తక్కువ తేలికపాటి విమానాలు ఉన్న వ్యత్యాసం. [1] కెనడియన్ సైనిక సేవలో ఈ విమానాన్ని విద్యార్థి మరియు బోధకుడు పైలట్లు మస్క్రాట్ అ"&amp;"నే మారుపేరు ద్వారా సూచిస్తారు. [1] జేన్ యొక్క అన్ని ప్రపంచ విమానాల నుండి డేటా 1982-83 [7] సాధారణ లక్షణాలు పనితీరు ఏవియానిక్స్ ప్రామాణిక పరికరం రేడియోలు మరియు నావిగేషన్ పరికరాలైన VOR/LOC సంబంధిత అభివృద్ధి విమానం పోల్చదగిన పాత్ర, కాన్ఫిగరేషన్ మరియు ERA")</f>
        <v>బీచ్‌క్రాఫ్ట్ CT-134 మస్కటీర్ అనేది కెనడియన్ సాయుధ దళాల కోసం బీచ్‌క్రాఫ్ట్ నిర్మించిన మస్కటీర్ యొక్క సైనిక శిక్షణ ఉత్పన్నం. CT-134 ఒకే ఇంజిన్, తక్కువ-వింగ్, స్థిర ల్యాండింగ్ గేర్‌తో నాలుగు-సీట్ల తేలికపాటి విమానం మరియు పరిమిత ఏరోబాటిక్ సామర్ధ్యం. 1960 ల ప్రారంభంలో రాయల్ కెనడియన్ వైమానిక దళం యొక్క ప్రామాణిక ప్రాథమిక శిక్షణా విమానం డి హవిలాండ్ DHC-1 చిప్‌మంక్. అప్పటి బ్రాండ్-న్యూ కెనడైర్ సిటి -114 ట్యూటర్ జెట్ జెట్ ట్రైనర్‌కు రాకముందే డిహెచ్‌సి -1 లో విద్యార్థి పైలట్లు విమాన సూచనలను పూర్తి చేశారు. DHC-1 లను సేవ నుండి తొలగించడానికి మరియు వాటిని భర్తీ చేయకుండా RCAF HQ ఒక నిర్ణయం తీసుకుంది, ఎందుకంటే ప్రారంభ శిక్షణ అవసరం లేదని CT-114 చాలా సులభం అని భావించారు. CT-114 విద్యార్థుల జెట్ పైలట్లలో 95% కు వాష్-అవుట్ రేటును అభివృద్ధి చేసింది మరియు ఒక ప్రాథమిక శిక్షకుడు అవసరమని స్పష్టమైంది. ఆ సంస్థ యొక్క ప్రతిఘటన ట్విన్-ఇంజిన్ విమానాలను నడుపుతున్నప్పుడు బీచ్‌క్రాఫ్ట్‌తో RCAF యొక్క మునుపటి కస్టమర్ సంబంధం కారణంగా, 1971 లో ఇరవై నాలుగు B23 మస్కటీర్స్ యొక్క తొందరపాటు కొనుగోలు చేయబడింది. [1] మొదటి CT-134 మార్చి 23, 1971 న CFB పోర్టేజ్ లా ప్రైరీ వద్దకు వచ్చింది. [2] కొత్త శిక్షకులను అప్పటి కెనడియన్ సాయుధ దళాలలో CT-134 మస్కటీర్ నియమించారు. కొనుగోలు చేసిన విమానం ప్రామాణిక మోడల్ B23 లు, 180 BHP (130 kW) యొక్క O-360-A4G ఇంజిన్‌తో కూడినవి, స్పిన్ రికవరీ పనితీరును మెరుగుపరచడానికి కౌలింగ్ స్ట్రేక్, క్షితిజ సమాంతర స్టెబిలైజర్ స్ట్రేక్ మరియు వెంట్రల్ ఫిన్లను చేర్చడం ద్వారా సవరించబడింది. అవి మొదట్లో సీరియల్ 13401-13424 గా లెక్కించబడ్డాయి, కాని ఇతర CF విమానాల క్రమ సంఖ్యలతో గందరగోళాన్ని నివారించడానికి 134001-134024 ను తిరిగి సంఖ్యలో ఉంచాయి. [1] CT-134 ల యొక్క ప్రారంభ బ్యాచ్ 1981 చివరలో ఇరవై నాలుగు విమానాల కొనుగోలుతో భర్తీ చేయబడింది. ఇవి 1982 మోడల్ బీచ్‌క్రాఫ్ట్ సి 23 సన్‌డౌనర్స్ మరియు సిఎఫ్ చేత సిటి -134 ఎ మస్కటీర్ II గా నియమించబడ్డాయి. వీటిని 134025-134048 లెక్కించారు. [1] సిటి -134 పరిమిత ఏరోబాటిక్స్ కోసం ఆమోదించబడింది, వీటిలో ఉచ్చులు, రోల్స్, చాండెల్లెస్ మరియు సోమరితనం ఎనిమిది [3] 3 కెనడియన్ దళాల ఫ్లయింగ్ ట్రైనింగ్ స్కూల్ మరియు సిఎఫ్‌బి పోర్టేజ్ లా ప్రైరీ మానిటోబా మరియు కెనడియన్ వద్ద కెనడియన్ ఫోర్సెస్ ఫ్లయింగ్ ఇన్‌స్ట్రక్టర్ స్కూల్‌తో పనిచేసిన మస్కటీర్స్ యొక్క రెండు బ్యాచ్‌లు విన్నిపెగ్‌లోని ఫోర్సెస్ సెంట్రల్ ఫ్లయింగ్ స్కూల్ వాటిని 1992 లో బొంబార్డియర్ ఏరోస్పేస్ చేత కాంట్రాక్టు కింద పనిచేసే స్లింగ్స్‌బై ఫైర్‌ఫ్లైస్ స్థానంలో ఉన్నారు. వారి 21 సంవత్సరాల సేవలో సిటి -134 మరియు సిటి -134 ఎ ఫ్లీట్ 3 సిఎఫ్‌ఎఫ్‌టి వద్ద 5000 కెనడియన్ మిలిటరీ పైలట్ గ్రాడ్యుయేట్‌లకు శిక్షణ ఇచ్చింది. కార్యాచరణ సేవలో CT-134 చాలా తక్కువ ప్రమాదాలకు గురైంది. 23 మార్చి 1990 న మస్కటీర్ 134229 మానిటోబాలోని ఎరిక్సన్ వద్ద ఎరిక్సన్ మునిసిపల్ విమానాశ్రయం నుండి టేకాఫ్‌లో ఇంజిన్ వైఫల్యం సంభవించినప్పుడు, రాయల్ కెనడియన్ ఎయిర్ క్యాడెట్లకు పరిచయ విమానాలు ఇస్తున్నప్పుడు కొన్ని తీవ్రమైన ప్రమాదాలలో ఒకటి జరిగింది. ఈ ప్రమాదం ఇంధన ఆకలితో సంభవించింది మరియు విమానం వ్రాయబడింది. [4] CT-134 విమానాల నిర్వహణ ప్రధానంగా CFB పోర్టేజ్ లా ప్రైరీ బేస్ ఎయిర్క్రాఫ్ట్ మెయింటెనెన్స్ ఇంజనీరింగ్ సంస్థ చేత నిర్వహించబడింది, డిపో స్థాయి తనిఖీ మరియు మరమ్మత్తు (DLIR) అల్బెర్టాలోని కాల్గరీలోని కాల్గరీ అంతర్జాతీయ విమానాశ్రయంలో ఫీల్డ్ ఏవియేషన్ ద్వారా నిర్వహించబడుతోంది. [4] పదవీ విరమణ చేసిన తరువాత CT-134 లు మరియు CT-134A లు ఎగిరే ఉపయోగం కోసం విక్రయించబడలేదు, ఎందుకంటే వారందరూ ఏరోబాటిక్స్ నుండి ఎదుర్కొన్న నిర్మాణ సమస్యల కారణంగా. [5] బదులుగా వాటిని మ్యూజియంలకు విరాళంగా ఇచ్చారు లేదా వైమానిక దళం మరియు పౌర నిర్వహణ శిక్షణ కోసం ఉపయోగించారు. కొన్ని CT-134 లు ఇప్పటికీ ప్రస్తుత మరియు మాజీ కెనడియన్ ఫోర్సెస్ స్థావరాలతో పాటు రాయల్ కెనడియన్ లెజియన్ హాళ్ళలో కొన్ని స్మారక చిహ్నాలుగా పనిచేస్తాయి, ఈ తరగతిలో చాలా తక్కువ తేలికపాటి విమానాలు ఉన్న వ్యత్యాసం. [1] కెనడియన్ సైనిక సేవలో ఈ విమానాన్ని విద్యార్థి మరియు బోధకుడు పైలట్లు మస్క్రాట్ అనే మారుపేరు ద్వారా సూచిస్తారు. [1] జేన్ యొక్క అన్ని ప్రపంచ విమానాల నుండి డేటా 1982-83 [7] సాధారణ లక్షణాలు పనితీరు ఏవియానిక్స్ ప్రామాణిక పరికరం రేడియోలు మరియు నావిగేషన్ పరికరాలైన VOR/LOC సంబంధిత అభివృద్ధి విమానం పోల్చదగిన పాత్ర, కాన్ఫిగరేషన్ మరియు ERA</v>
      </c>
      <c r="E134" s="1" t="s">
        <v>2163</v>
      </c>
      <c r="F134" s="1" t="s">
        <v>2164</v>
      </c>
      <c r="G134" s="1" t="str">
        <f>IFERROR(__xludf.DUMMYFUNCTION("GOOGLETRANSLATE(F:F, ""en"", ""te"")"),"ప్రాథమిక శిక్షకుడు")</f>
        <v>ప్రాథమిక శిక్షకుడు</v>
      </c>
      <c r="I134" s="1" t="s">
        <v>127</v>
      </c>
      <c r="J134" s="1" t="str">
        <f>IFERROR(__xludf.DUMMYFUNCTION("GOOGLETRANSLATE(I:I, ""en"", ""te"")"),"సంయుక్త రాష్ట్రాలు")</f>
        <v>సంయుక్త రాష్ట్రాలు</v>
      </c>
      <c r="L134" s="1" t="s">
        <v>2165</v>
      </c>
      <c r="M134" s="1" t="str">
        <f>IFERROR(__xludf.DUMMYFUNCTION("GOOGLETRANSLATE(L:L, ""en"", ""te"")"),"బీచ్ ఎయిర్క్రాఫ్ట్ కార్పొరేషన్")</f>
        <v>బీచ్ ఎయిర్క్రాఫ్ట్ కార్పొరేషన్</v>
      </c>
      <c r="N134" s="1" t="s">
        <v>2166</v>
      </c>
      <c r="Q134" s="1">
        <v>48.0</v>
      </c>
      <c r="R134" s="1" t="s">
        <v>132</v>
      </c>
      <c r="S134" s="1">
        <v>2.0</v>
      </c>
      <c r="T134" s="1" t="s">
        <v>1733</v>
      </c>
      <c r="U134" s="1" t="s">
        <v>2167</v>
      </c>
      <c r="V134" s="1" t="s">
        <v>2168</v>
      </c>
      <c r="W134" s="1" t="s">
        <v>2169</v>
      </c>
      <c r="X134" s="1" t="s">
        <v>2170</v>
      </c>
      <c r="Y134" s="1" t="s">
        <v>2171</v>
      </c>
      <c r="Z134" s="1" t="s">
        <v>2172</v>
      </c>
      <c r="AA134" s="1" t="s">
        <v>2173</v>
      </c>
      <c r="AB134" s="1" t="s">
        <v>2174</v>
      </c>
      <c r="AC134" s="1" t="s">
        <v>2175</v>
      </c>
      <c r="AD134" s="1" t="s">
        <v>2176</v>
      </c>
      <c r="AE134" s="1" t="s">
        <v>2177</v>
      </c>
      <c r="AF134" s="1" t="s">
        <v>2178</v>
      </c>
      <c r="AG134" s="1" t="s">
        <v>2179</v>
      </c>
      <c r="AK134" s="1">
        <v>1971.0</v>
      </c>
      <c r="AM134" s="1" t="s">
        <v>1710</v>
      </c>
      <c r="AN134" s="1" t="s">
        <v>1820</v>
      </c>
      <c r="AP134" s="1" t="s">
        <v>2180</v>
      </c>
      <c r="AR134" s="1" t="s">
        <v>2181</v>
      </c>
      <c r="AT134" s="1" t="s">
        <v>2182</v>
      </c>
      <c r="AU134" s="1" t="s">
        <v>2183</v>
      </c>
      <c r="AY134" s="1" t="s">
        <v>2184</v>
      </c>
      <c r="BD134" s="1" t="s">
        <v>2185</v>
      </c>
      <c r="BG134" s="1">
        <v>1992.0</v>
      </c>
      <c r="BH134" s="1" t="s">
        <v>2186</v>
      </c>
      <c r="BI134" s="1" t="s">
        <v>2187</v>
      </c>
      <c r="BK134" s="1" t="s">
        <v>2188</v>
      </c>
      <c r="BL134" s="1" t="s">
        <v>2189</v>
      </c>
      <c r="DE134" s="1" t="s">
        <v>2190</v>
      </c>
      <c r="DF134" s="1" t="s">
        <v>2191</v>
      </c>
      <c r="DG134" s="1" t="s">
        <v>2192</v>
      </c>
    </row>
    <row r="135">
      <c r="A135" s="1" t="s">
        <v>2193</v>
      </c>
      <c r="B135" s="1" t="str">
        <f>IFERROR(__xludf.DUMMYFUNCTION("GOOGLETRANSLATE(A:A, ""en"", ""te"")"),"బ్యాక్‌కంట్రీ సూపర్ కబ్స్ సూపర్ కబ్")</f>
        <v>బ్యాక్‌కంట్రీ సూపర్ కబ్స్ సూపర్ కబ్</v>
      </c>
      <c r="C135" s="1" t="s">
        <v>2194</v>
      </c>
      <c r="D135" s="1" t="str">
        <f>IFERROR(__xludf.DUMMYFUNCTION("GOOGLETRANSLATE(C:C, ""en"", ""te"")"),"బ్యాక్‌కంట్రీ సూపర్ కబ్స్ సూపర్ కబ్, సూపర్ కబ్ రెప్లికా అని కూడా పిలుస్తారు, ఇది ఒక అమెరికన్ te త్సాహిక-నిర్మిత విమానం, ఇది వ్యోమింగ్‌లోని డగ్లస్ యొక్క బ్యాక్‌కంట్రీ సూపర్ కబ్స్ రూపొందించింది మరియు ఉత్పత్తి చేస్తుంది. ఈ విమానం పైపర్ PA-18 సూపర్ కబ్ రూపకల్"&amp;"పనపై ఆధారపడి ఉంటుంది మరియు ఇది te త్సాహిక నిర్మాణానికి కిట్‌గా సరఫరా చేయబడుతుంది. [1] సూపర్ కబ్‌లో స్ట్రట్-బ్రెస్డ్ హై-వింగ్, రెండు-సీట్ల-రుచిగల పరివేష్టిత కాక్‌పిట్ ఉంది, ఇది 30 అంగుళాలు (76 సెం.మీ) వెడల్పు, స్థిర సాంప్రదాయ ల్యాండింగ్ గేర్ మరియు ట్రాక్టర"&amp;"్ కాన్ఫిగరేషన్‌లో ఒకే ఇంజిన్. [1] విమానం ఫ్యూజ్‌లేజ్ వెల్డెడ్ స్టీల్ గొట్టాల నుండి తయారవుతుంది, రెక్కలు అల్యూమినియం షీట్‌తో నిర్మించబడ్డాయి, అన్నీ డోప్డ్ ఎయిర్‌క్రాఫ్ట్ ఫాబ్రిక్‌లో కప్పబడి ఉంటాయి. దాని 37.7 అడుగుల (11.5 మీ) స్పాన్ వింగ్ 170 చదరపు అడుగుల ("&amp;"16 మీ 2) విస్తీర్ణంలో ఉంది, జ్యూరీ స్ట్రట్స్ మరియు మౌంట్స్ ఫ్లాప్స్‌తో ""వి"" స్ట్రట్స్ మద్దతు ఇస్తుంది. విమానం యొక్క సిఫార్సు చేసిన ఇంజిన్ శక్తి శ్రేణి 180 నుండి 240 హెచ్‌పి (134 నుండి 179 కిలోవాట్) మరియు ఉపయోగించిన ప్రామాణిక ఇంజన్లు 180 హెచ్‌పి (134 కిల"&amp;"ోవాట్) లైమింగ్ ఓ -360 ఫోర్-స్ట్రోక్ పవర్‌ప్లాంట్. మృదువైన లేదా కఠినమైన ఉపరితలాలపై ఆపరేషన్ కోసం ఈ విమానం టండ్రా టైర్లతో అమర్చవచ్చు. సరఫరా చేసిన కిట్ నుండి నిర్మాణ సమయం 1200 గంటలు. [1] డిసెంబర్ 2011 నాటికి, 138 ఉదాహరణలు పూర్తయినట్లు మరియు ఎగిరినట్లు నివేదిం"&amp;"చబడ్డాయి. [1] కిట్‌ప్లాన్‌ల నుండి డేటా [1] సాధారణ లక్షణాల పనితీరు")</f>
        <v>బ్యాక్‌కంట్రీ సూపర్ కబ్స్ సూపర్ కబ్, సూపర్ కబ్ రెప్లికా అని కూడా పిలుస్తారు, ఇది ఒక అమెరికన్ te త్సాహిక-నిర్మిత విమానం, ఇది వ్యోమింగ్‌లోని డగ్లస్ యొక్క బ్యాక్‌కంట్రీ సూపర్ కబ్స్ రూపొందించింది మరియు ఉత్పత్తి చేస్తుంది. ఈ విమానం పైపర్ PA-18 సూపర్ కబ్ రూపకల్పనపై ఆధారపడి ఉంటుంది మరియు ఇది te త్సాహిక నిర్మాణానికి కిట్‌గా సరఫరా చేయబడుతుంది. [1] సూపర్ కబ్‌లో స్ట్రట్-బ్రెస్డ్ హై-వింగ్, రెండు-సీట్ల-రుచిగల పరివేష్టిత కాక్‌పిట్ ఉంది, ఇది 30 అంగుళాలు (76 సెం.మీ) వెడల్పు, స్థిర సాంప్రదాయ ల్యాండింగ్ గేర్ మరియు ట్రాక్టర్ కాన్ఫిగరేషన్‌లో ఒకే ఇంజిన్. [1] విమానం ఫ్యూజ్‌లేజ్ వెల్డెడ్ స్టీల్ గొట్టాల నుండి తయారవుతుంది, రెక్కలు అల్యూమినియం షీట్‌తో నిర్మించబడ్డాయి, అన్నీ డోప్డ్ ఎయిర్‌క్రాఫ్ట్ ఫాబ్రిక్‌లో కప్పబడి ఉంటాయి. దాని 37.7 అడుగుల (11.5 మీ) స్పాన్ వింగ్ 170 చదరపు అడుగుల (16 మీ 2) విస్తీర్ణంలో ఉంది, జ్యూరీ స్ట్రట్స్ మరియు మౌంట్స్ ఫ్లాప్స్‌తో "వి" స్ట్రట్స్ మద్దతు ఇస్తుంది. విమానం యొక్క సిఫార్సు చేసిన ఇంజిన్ శక్తి శ్రేణి 180 నుండి 240 హెచ్‌పి (134 నుండి 179 కిలోవాట్) మరియు ఉపయోగించిన ప్రామాణిక ఇంజన్లు 180 హెచ్‌పి (134 కిలోవాట్) లైమింగ్ ఓ -360 ఫోర్-స్ట్రోక్ పవర్‌ప్లాంట్. మృదువైన లేదా కఠినమైన ఉపరితలాలపై ఆపరేషన్ కోసం ఈ విమానం టండ్రా టైర్లతో అమర్చవచ్చు. సరఫరా చేసిన కిట్ నుండి నిర్మాణ సమయం 1200 గంటలు. [1] డిసెంబర్ 2011 నాటికి, 138 ఉదాహరణలు పూర్తయినట్లు మరియు ఎగిరినట్లు నివేదించబడ్డాయి. [1] కిట్‌ప్లాన్‌ల నుండి డేటా [1] సాధారణ లక్షణాల పనితీరు</v>
      </c>
      <c r="E135" s="1" t="s">
        <v>2195</v>
      </c>
      <c r="F135" s="1" t="s">
        <v>125</v>
      </c>
      <c r="G135" s="1" t="str">
        <f>IFERROR(__xludf.DUMMYFUNCTION("GOOGLETRANSLATE(F:F, ""en"", ""te"")"),"Te త్సాహిక నిర్మించిన విమానం")</f>
        <v>Te త్సాహిక నిర్మించిన విమానం</v>
      </c>
      <c r="H135" s="1" t="s">
        <v>126</v>
      </c>
      <c r="I135" s="1" t="s">
        <v>127</v>
      </c>
      <c r="J135" s="1" t="str">
        <f>IFERROR(__xludf.DUMMYFUNCTION("GOOGLETRANSLATE(I:I, ""en"", ""te"")"),"సంయుక్త రాష్ట్రాలు")</f>
        <v>సంయుక్త రాష్ట్రాలు</v>
      </c>
      <c r="K135" s="1" t="s">
        <v>128</v>
      </c>
      <c r="L135" s="1" t="s">
        <v>1861</v>
      </c>
      <c r="M135" s="1" t="str">
        <f>IFERROR(__xludf.DUMMYFUNCTION("GOOGLETRANSLATE(L:L, ""en"", ""te"")"),"బ్యాక్‌కంట్రీ సూపర్ కబ్స్")</f>
        <v>బ్యాక్‌కంట్రీ సూపర్ కబ్స్</v>
      </c>
      <c r="N135" s="1" t="s">
        <v>1862</v>
      </c>
      <c r="O135" s="1" t="s">
        <v>1798</v>
      </c>
      <c r="P135" s="1" t="str">
        <f>IFERROR(__xludf.DUMMYFUNCTION("GOOGLETRANSLATE(O:O, ""en"", ""te"")"),"ఉత్పత్తిలో (2012)")</f>
        <v>ఉత్పత్తిలో (2012)</v>
      </c>
      <c r="Q135" s="1">
        <v>138.0</v>
      </c>
      <c r="S135" s="1" t="s">
        <v>133</v>
      </c>
      <c r="T135" s="1" t="s">
        <v>134</v>
      </c>
      <c r="U135" s="1" t="s">
        <v>1863</v>
      </c>
      <c r="V135" s="1" t="s">
        <v>2196</v>
      </c>
      <c r="W135" s="1" t="s">
        <v>1865</v>
      </c>
      <c r="X135" s="1" t="s">
        <v>1866</v>
      </c>
      <c r="Y135" s="1" t="s">
        <v>1581</v>
      </c>
      <c r="Z135" s="1" t="s">
        <v>1867</v>
      </c>
      <c r="AA135" s="1" t="s">
        <v>1868</v>
      </c>
      <c r="AB135" s="1" t="s">
        <v>1869</v>
      </c>
      <c r="AC135" s="1" t="s">
        <v>1465</v>
      </c>
      <c r="AD135" s="1" t="s">
        <v>306</v>
      </c>
      <c r="AE135" s="1" t="s">
        <v>1996</v>
      </c>
      <c r="AF135" s="1" t="s">
        <v>1872</v>
      </c>
      <c r="AG135" s="1" t="s">
        <v>1997</v>
      </c>
      <c r="AT135" s="1" t="s">
        <v>1874</v>
      </c>
      <c r="AU135" s="1" t="s">
        <v>1875</v>
      </c>
    </row>
    <row r="136">
      <c r="A136" s="1" t="s">
        <v>2197</v>
      </c>
      <c r="B136" s="1" t="str">
        <f>IFERROR(__xludf.DUMMYFUNCTION("GOOGLETRANSLATE(A:A, ""en"", ""te"")"),"బీగల్ టెర్రియర్")</f>
        <v>బీగల్ టెర్రియర్</v>
      </c>
      <c r="C136" s="1" t="s">
        <v>2198</v>
      </c>
      <c r="D136" s="1" t="str">
        <f>IFERROR(__xludf.DUMMYFUNCTION("GOOGLETRANSLATE(C:C, ""en"", ""te"")"),"బీగల్ A.61 టెర్రియర్ బీగల్ ఎయిర్క్రాఫ్ట్ నిర్మించిన బ్రిటిష్ సింగిల్-ఇంజిన్ మోనోప్లేన్. ఆస్టర్ ఎయిర్క్రాఫ్ట్ కంపెనీ 1950 ల చివరలో పెద్ద సంఖ్యలో బ్రిటిష్ ఆర్మీ ఆస్టర్ విమానాలను కొనుగోలు చేసింది. ఇవి ఆస్టర్ AOP.6, T.7 మరియు T.10 విమానాలు, ఇవి డి హవిలాండ్ జి"&amp;"ప్సీ మేజర్ 10-1-1 ఇంజిన్లతో నవీకరించబడ్డాయి మరియు సవరించబడ్డాయి. ప్రారంభంలో రెండు వెర్షన్లు 1960 నుండి పౌర మార్కెట్లో అమ్మకానికి అందించబడ్డాయి: 1962 లో బీగల్ A.61 టెర్రియర్ 2 ను ఎక్కువ స్పాన్ టెయిల్‌ప్లేన్, వీల్ స్పాట్స్ మరియు మెటల్ ప్రొపెల్లర్‌తో ప్రవేశప"&amp;"ెట్టారు. సైన్యం కోసం కొత్త విమానాలను నిర్మించటానికి ఖర్చు చేసిన దానికంటే, ప్రతి విమానాన్ని సైనిక ఉపయోగం తరువాత పునర్నిర్మించడానికి ఎక్కువ మానవ-గంటలు గడిపినట్లు తేలింది, ఎందుకంటే ఈ టెర్రియర్ తయారీదారుకు ఆర్థిక విజయం కాదు. ఇది 1961 నాటికి, చాలా మంది పోటీ తయ"&amp;"ారీదారులు ఆల్-మెటల్‌గా ఉన్న కొత్త డిజైన్లను పరిచయం చేస్తున్నారు, ట్రైసైకిల్ అండర్ క్యారేజీలతో మరియు లైమింగ్ లేదా కాంటినెంటల్ (ఉదా. సెస్నా 150 మరియు పైపర్ చెరోకీ) వంటి ఆధునిక ఇంజిన్లచే శక్తిని పొందుతారు. అయితే పాతకాలపు తేలికపాటి విమాన యజమాని పైలట్లలో టెర్ర"&amp;"ియర్ చాలా మంది అనుచరులను కనుగొన్నారు. ఈ రకానికి ఉదాహరణలు యునైటెడ్ కింగ్‌డమ్, ఐర్, జర్మనీ, నెదర్లాండ్స్, న్యూజిలాండ్ మరియు స్వీడన్‌లలో యజమానులు కొనుగోలు చేశారు. [1] 23 టెర్రియర్స్ 2013 లో UK లో నమోదు చేయబడ్డాయి. 1919 నుండి బ్రిటిష్ పౌర విమానాల నుండి డేటా ["&amp;"4] సాధారణ లక్షణాలు పనితీరు సంబంధిత అభివృద్ధి")</f>
        <v>బీగల్ A.61 టెర్రియర్ బీగల్ ఎయిర్క్రాఫ్ట్ నిర్మించిన బ్రిటిష్ సింగిల్-ఇంజిన్ మోనోప్లేన్. ఆస్టర్ ఎయిర్క్రాఫ్ట్ కంపెనీ 1950 ల చివరలో పెద్ద సంఖ్యలో బ్రిటిష్ ఆర్మీ ఆస్టర్ విమానాలను కొనుగోలు చేసింది. ఇవి ఆస్టర్ AOP.6, T.7 మరియు T.10 విమానాలు, ఇవి డి హవిలాండ్ జిప్సీ మేజర్ 10-1-1 ఇంజిన్లతో నవీకరించబడ్డాయి మరియు సవరించబడ్డాయి. ప్రారంభంలో రెండు వెర్షన్లు 1960 నుండి పౌర మార్కెట్లో అమ్మకానికి అందించబడ్డాయి: 1962 లో బీగల్ A.61 టెర్రియర్ 2 ను ఎక్కువ స్పాన్ టెయిల్‌ప్లేన్, వీల్ స్పాట్స్ మరియు మెటల్ ప్రొపెల్లర్‌తో ప్రవేశపెట్టారు. సైన్యం కోసం కొత్త విమానాలను నిర్మించటానికి ఖర్చు చేసిన దానికంటే, ప్రతి విమానాన్ని సైనిక ఉపయోగం తరువాత పునర్నిర్మించడానికి ఎక్కువ మానవ-గంటలు గడిపినట్లు తేలింది, ఎందుకంటే ఈ టెర్రియర్ తయారీదారుకు ఆర్థిక విజయం కాదు. ఇది 1961 నాటికి, చాలా మంది పోటీ తయారీదారులు ఆల్-మెటల్‌గా ఉన్న కొత్త డిజైన్లను పరిచయం చేస్తున్నారు, ట్రైసైకిల్ అండర్ క్యారేజీలతో మరియు లైమింగ్ లేదా కాంటినెంటల్ (ఉదా. సెస్నా 150 మరియు పైపర్ చెరోకీ) వంటి ఆధునిక ఇంజిన్లచే శక్తిని పొందుతారు. అయితే పాతకాలపు తేలికపాటి విమాన యజమాని పైలట్లలో టెర్రియర్ చాలా మంది అనుచరులను కనుగొన్నారు. ఈ రకానికి ఉదాహరణలు యునైటెడ్ కింగ్‌డమ్, ఐర్, జర్మనీ, నెదర్లాండ్స్, న్యూజిలాండ్ మరియు స్వీడన్‌లలో యజమానులు కొనుగోలు చేశారు. [1] 23 టెర్రియర్స్ 2013 లో UK లో నమోదు చేయబడ్డాయి. 1919 నుండి బ్రిటిష్ పౌర విమానాల నుండి డేటా [4] సాధారణ లక్షణాలు పనితీరు సంబంధిత అభివృద్ధి</v>
      </c>
      <c r="E136" s="1" t="s">
        <v>2199</v>
      </c>
      <c r="F136" s="1" t="s">
        <v>2200</v>
      </c>
      <c r="G136" s="1" t="str">
        <f>IFERROR(__xludf.DUMMYFUNCTION("GOOGLETRANSLATE(F:F, ""en"", ""te"")"),"కాంతి రవాణా")</f>
        <v>కాంతి రవాణా</v>
      </c>
      <c r="L136" s="1" t="s">
        <v>2201</v>
      </c>
      <c r="M136" s="1" t="str">
        <f>IFERROR(__xludf.DUMMYFUNCTION("GOOGLETRANSLATE(L:L, ""en"", ""te"")"),"బీగల్ ఎయిర్క్రాఫ్ట్ లిమిటెడ్")</f>
        <v>బీగల్ ఎయిర్క్రాఫ్ట్ లిమిటెడ్</v>
      </c>
      <c r="N136" s="1" t="s">
        <v>2202</v>
      </c>
      <c r="O136" s="1" t="s">
        <v>2203</v>
      </c>
      <c r="P136" s="1" t="str">
        <f>IFERROR(__xludf.DUMMYFUNCTION("GOOGLETRANSLATE(O:O, ""en"", ""te"")"),"క్రియాశీల సేవలో")</f>
        <v>క్రియాశీల సేవలో</v>
      </c>
      <c r="S136" s="1">
        <v>1.0</v>
      </c>
      <c r="T136" s="1" t="s">
        <v>1733</v>
      </c>
      <c r="U136" s="1" t="s">
        <v>1577</v>
      </c>
      <c r="V136" s="1" t="s">
        <v>1461</v>
      </c>
      <c r="W136" s="1" t="s">
        <v>2204</v>
      </c>
      <c r="X136" s="1" t="s">
        <v>2205</v>
      </c>
      <c r="Y136" s="1" t="s">
        <v>1581</v>
      </c>
      <c r="Z136" s="1" t="s">
        <v>2206</v>
      </c>
      <c r="AA136" s="1" t="s">
        <v>2207</v>
      </c>
      <c r="AC136" s="1" t="s">
        <v>2208</v>
      </c>
      <c r="AD136" s="1" t="s">
        <v>2209</v>
      </c>
      <c r="AE136" s="1" t="s">
        <v>1486</v>
      </c>
      <c r="AF136" s="1" t="s">
        <v>2210</v>
      </c>
      <c r="AJ136" s="1">
        <v>1961.0</v>
      </c>
      <c r="AM136" s="1" t="s">
        <v>2211</v>
      </c>
      <c r="AP136" s="1" t="s">
        <v>2212</v>
      </c>
      <c r="AR136" s="1" t="s">
        <v>2213</v>
      </c>
      <c r="AS136" s="1">
        <v>7.0</v>
      </c>
      <c r="AT136" s="1" t="s">
        <v>2214</v>
      </c>
      <c r="AU136" s="1" t="s">
        <v>2215</v>
      </c>
      <c r="BD136" s="1" t="s">
        <v>2216</v>
      </c>
      <c r="BH136" s="1" t="s">
        <v>1491</v>
      </c>
      <c r="CV136" s="1" t="s">
        <v>2217</v>
      </c>
      <c r="DH136" s="1" t="s">
        <v>2218</v>
      </c>
    </row>
    <row r="137">
      <c r="A137" s="1" t="s">
        <v>2219</v>
      </c>
      <c r="B137" s="1" t="str">
        <f>IFERROR(__xludf.DUMMYFUNCTION("GOOGLETRANSLATE(A:A, ""en"", ""te"")"),"బ్యూజోన్ మాక్ .07")</f>
        <v>బ్యూజోన్ మాక్ .07</v>
      </c>
      <c r="C137" s="1" t="s">
        <v>2220</v>
      </c>
      <c r="D137" s="1" t="str">
        <f>IFERROR(__xludf.DUMMYFUNCTION("GOOGLETRANSLATE(C:C, ""en"", ""te"")"),"బ్యూజోన్ మాక్ .07 సింగిల్-సీట్, అమెరికన్ హై-వింగ్, ట్రాక్టర్ కాన్ఫిగరేషన్ అల్ట్రాలైట్ విమానం. ఈ విమానం ఓక్లహోమాలోని ఆర్డ్మోర్ యొక్క బ్యూజోన్ విమానం నుండి ప్రణాళికలుగా అందుబాటులో ఉంది. [1] [2] హెర్బర్ట్ బ్యూజోన్ రూపొందించిన, మాక్ .07 దాని టాప్ స్పీడ్ 48 mp"&amp;"h (77 km/h) కు పేరు పెట్టబడింది. బ్యూజోన్ విమానం ఈ ప్రణాళికలను మరో ఆరు డిజైన్లతో పాటు పుస్తక రూపంలో అల్ట్రాలైట్స్ ఎలా నిర్మించాలో పేరుతో ప్రచురిస్తుంది. [1] మాక్ .07 ప్రత్యేకంగా యునైటెడ్ స్టేట్స్ అల్ట్రాలైట్ కేటగిరీ మరియు దాని ఫార్ 103 అల్ట్రాలైట్ వెహికల్"&amp;"స్ నిబంధనలకు అనుగుణంగా రూపొందించబడింది, ఇందులో వర్గం యొక్క గరిష్ట 254 ఎల్బి (115 కిలోలు) ఖాళీ బరువుతో సహా. [1] [2] పేర్కొన్న 50 lb (23 kg) 250 CC జెనోహ్ G-25 22 HP (16 kW) పవర్‌ప్లాంట్‌తో విమానం ఖాళీ బరువు 160 lb (73 kg). [1] సమీక్షకుడు ఆండ్రీ క్లిచ్ ఇలా "&amp;"అంటాడు: మాక్ .07 అనేది అందంగా సరళమైన అల్ట్రాలైట్, ఇది 70 ల చివరలో అల్ట్రాలైట్ దృగ్విషయానికి దారితీసిన ప్రారంభ డిజైన్లను గుర్తు చేస్తుంది. [1] విమానం యొక్క రెక్క మరియు తోక నిర్మాణం అల్యూమినియం నుండి నిర్మించబడింది మరియు వాటిలో కప్పబడి ఉంటుంది విమాన ఫాబ్రిక"&amp;"్. రెక్క స్ట్రట్-బ్రేస్డ్. మాక్ .07 దాని నిర్మాణంలో నిర్మాణాత్మక తంతులు ఉపయోగించదు. సాంప్రదాయిక ల్యాండింగ్ గేర్‌లో చుక్కకు అనుసంధానించబడిన స్టీరబుల్ టెయిల్ వీల్ ఉంది. [1] నియంత్రణలు రెండు-అక్షం, సైడ్-స్టిక్‌తో రోల్‌ను ప్రేరేపించడానికి చుక్కాని పార్శ్వంగా "&amp;"సక్రియం చేస్తుంది మరియు ఇది పిచ్ నియంత్రణ కోసం ఎలివేటర్‌ను రేఖాంశంగా సక్రియం చేస్తుంది. చుక్కాని పెడల్స్ వ్యవస్థాపించబడలేదు మరియు ఐలెరాన్ల తొలగింపు ద్వారా రెక్కల నిర్మాణం చాలా సరళీకృతం చేయబడింది. [1] ఓపెన్ ఫ్రేమ్ ఫ్యూజ్‌లేజ్‌లో 6061 టి 6 అల్యూమినియం గొట్ట"&amp;"ాలు మరియు ఒకే ఓపెన్ పైలట్ సీటు ఉంటుంది. పవర్‌ప్లాంట్ పైలట్ పైన, విమానం టెయిల్‌బూమ్ ట్యూబ్ యొక్క ముందు చివరలో వ్యవస్థాపించబడుతుంది. ప్రామాణిక ఇంధన సామర్థ్యం 2.5 US GAL (9 L). [1] క్లిచ్ నుండి డేటా [1] పోల్చదగిన పాత్ర, కాన్ఫిగరేషన్ మరియు ERA యొక్క సాధారణ లక"&amp;"్షణాల పనితీరు విమానం")</f>
        <v>బ్యూజోన్ మాక్ .07 సింగిల్-సీట్, అమెరికన్ హై-వింగ్, ట్రాక్టర్ కాన్ఫిగరేషన్ అల్ట్రాలైట్ విమానం. ఈ విమానం ఓక్లహోమాలోని ఆర్డ్మోర్ యొక్క బ్యూజోన్ విమానం నుండి ప్రణాళికలుగా అందుబాటులో ఉంది. [1] [2] హెర్బర్ట్ బ్యూజోన్ రూపొందించిన, మాక్ .07 దాని టాప్ స్పీడ్ 48 mph (77 km/h) కు పేరు పెట్టబడింది. బ్యూజోన్ విమానం ఈ ప్రణాళికలను మరో ఆరు డిజైన్లతో పాటు పుస్తక రూపంలో అల్ట్రాలైట్స్ ఎలా నిర్మించాలో పేరుతో ప్రచురిస్తుంది. [1] మాక్ .07 ప్రత్యేకంగా యునైటెడ్ స్టేట్స్ అల్ట్రాలైట్ కేటగిరీ మరియు దాని ఫార్ 103 అల్ట్రాలైట్ వెహికల్స్ నిబంధనలకు అనుగుణంగా రూపొందించబడింది, ఇందులో వర్గం యొక్క గరిష్ట 254 ఎల్బి (115 కిలోలు) ఖాళీ బరువుతో సహా. [1] [2] పేర్కొన్న 50 lb (23 kg) 250 CC జెనోహ్ G-25 22 HP (16 kW) పవర్‌ప్లాంట్‌తో విమానం ఖాళీ బరువు 160 lb (73 kg). [1] సమీక్షకుడు ఆండ్రీ క్లిచ్ ఇలా అంటాడు: మాక్ .07 అనేది అందంగా సరళమైన అల్ట్రాలైట్, ఇది 70 ల చివరలో అల్ట్రాలైట్ దృగ్విషయానికి దారితీసిన ప్రారంభ డిజైన్లను గుర్తు చేస్తుంది. [1] విమానం యొక్క రెక్క మరియు తోక నిర్మాణం అల్యూమినియం నుండి నిర్మించబడింది మరియు వాటిలో కప్పబడి ఉంటుంది విమాన ఫాబ్రిక్. రెక్క స్ట్రట్-బ్రేస్డ్. మాక్ .07 దాని నిర్మాణంలో నిర్మాణాత్మక తంతులు ఉపయోగించదు. సాంప్రదాయిక ల్యాండింగ్ గేర్‌లో చుక్కకు అనుసంధానించబడిన స్టీరబుల్ టెయిల్ వీల్ ఉంది. [1] నియంత్రణలు రెండు-అక్షం, సైడ్-స్టిక్‌తో రోల్‌ను ప్రేరేపించడానికి చుక్కాని పార్శ్వంగా సక్రియం చేస్తుంది మరియు ఇది పిచ్ నియంత్రణ కోసం ఎలివేటర్‌ను రేఖాంశంగా సక్రియం చేస్తుంది. చుక్కాని పెడల్స్ వ్యవస్థాపించబడలేదు మరియు ఐలెరాన్ల తొలగింపు ద్వారా రెక్కల నిర్మాణం చాలా సరళీకృతం చేయబడింది. [1] ఓపెన్ ఫ్రేమ్ ఫ్యూజ్‌లేజ్‌లో 6061 టి 6 అల్యూమినియం గొట్టాలు మరియు ఒకే ఓపెన్ పైలట్ సీటు ఉంటుంది. పవర్‌ప్లాంట్ పైలట్ పైన, విమానం టెయిల్‌బూమ్ ట్యూబ్ యొక్క ముందు చివరలో వ్యవస్థాపించబడుతుంది. ప్రామాణిక ఇంధన సామర్థ్యం 2.5 US GAL (9 L). [1] క్లిచ్ నుండి డేటా [1] పోల్చదగిన పాత్ర, కాన్ఫిగరేషన్ మరియు ERA యొక్క సాధారణ లక్షణాల పనితీరు విమానం</v>
      </c>
      <c r="F137" s="1" t="s">
        <v>1133</v>
      </c>
      <c r="G137" s="1" t="str">
        <f>IFERROR(__xludf.DUMMYFUNCTION("GOOGLETRANSLATE(F:F, ""en"", ""te"")"),"అల్ట్రాలైట్ విమానం")</f>
        <v>అల్ట్రాలైట్ విమానం</v>
      </c>
      <c r="H137" s="1" t="s">
        <v>1134</v>
      </c>
      <c r="I137" s="1" t="s">
        <v>127</v>
      </c>
      <c r="J137" s="1" t="str">
        <f>IFERROR(__xludf.DUMMYFUNCTION("GOOGLETRANSLATE(I:I, ""en"", ""te"")"),"సంయుక్త రాష్ట్రాలు")</f>
        <v>సంయుక్త రాష్ట్రాలు</v>
      </c>
      <c r="K137" s="1" t="s">
        <v>128</v>
      </c>
      <c r="L137" s="1" t="s">
        <v>2221</v>
      </c>
      <c r="M137" s="1" t="str">
        <f>IFERROR(__xludf.DUMMYFUNCTION("GOOGLETRANSLATE(L:L, ""en"", ""te"")"),"బ్యూజోన్ విమానం")</f>
        <v>బ్యూజోన్ విమానం</v>
      </c>
      <c r="N137" s="1" t="s">
        <v>2222</v>
      </c>
      <c r="O137" s="1" t="s">
        <v>1137</v>
      </c>
      <c r="P137" s="1" t="str">
        <f>IFERROR(__xludf.DUMMYFUNCTION("GOOGLETRANSLATE(O:O, ""en"", ""te"")"),"ప్రణాళికలు అందుబాటులో ఉన్నాయి")</f>
        <v>ప్రణాళికలు అందుబాటులో ఉన్నాయి</v>
      </c>
      <c r="S137" s="1" t="s">
        <v>133</v>
      </c>
      <c r="T137" s="1" t="s">
        <v>2223</v>
      </c>
      <c r="X137" s="1" t="s">
        <v>2224</v>
      </c>
      <c r="AA137" s="1" t="s">
        <v>2225</v>
      </c>
      <c r="AC137" s="1" t="s">
        <v>2226</v>
      </c>
      <c r="AD137" s="1" t="s">
        <v>1870</v>
      </c>
      <c r="AF137" s="1" t="s">
        <v>2227</v>
      </c>
      <c r="AH137" s="1" t="s">
        <v>2228</v>
      </c>
      <c r="AN137" s="1" t="s">
        <v>2229</v>
      </c>
      <c r="AP137" s="1" t="s">
        <v>2230</v>
      </c>
      <c r="AY137" s="1" t="s">
        <v>2231</v>
      </c>
    </row>
    <row r="138">
      <c r="A138" s="1" t="s">
        <v>2232</v>
      </c>
      <c r="B138" s="1" t="str">
        <f>IFERROR(__xludf.DUMMYFUNCTION("GOOGLETRANSLATE(A:A, ""en"", ""te"")"),"బీచ్‌క్రాఫ్ట్ మోడల్ 16")</f>
        <v>బీచ్‌క్రాఫ్ట్ మోడల్ 16</v>
      </c>
      <c r="C138" s="1" t="s">
        <v>2233</v>
      </c>
      <c r="D138" s="1" t="str">
        <f>IFERROR(__xludf.DUMMYFUNCTION("GOOGLETRANSLATE(C:C, ""en"", ""te"")"),"బీచ్‌క్రాఫ్ట్ మోడల్ 16 అనేది ప్రయోగాత్మక అమెరికన్ ఆల్-మెటల్ లో-వింగ్ ట్రైనింగ్ మోనోప్లేన్, ఇది బీచ్‌క్రాఫ్ట్ రూపొందించి నిర్మించబడింది. [1] రిజిస్టర్డ్ N9716Q, మొదట జూన్ 12, 1970 న ఎగిరింది మరియు ఇది నిర్మించబడింది. [1] 1970 ల విమానంలో ఈ వ్యాసం ఒక స్టబ్. "&amp;"వికీపీడియా విస్తరించడం ద్వారా మీరు సహాయపడవచ్చు.")</f>
        <v>బీచ్‌క్రాఫ్ట్ మోడల్ 16 అనేది ప్రయోగాత్మక అమెరికన్ ఆల్-మెటల్ లో-వింగ్ ట్రైనింగ్ మోనోప్లేన్, ఇది బీచ్‌క్రాఫ్ట్ రూపొందించి నిర్మించబడింది. [1] రిజిస్టర్డ్ N9716Q, మొదట జూన్ 12, 1970 న ఎగిరింది మరియు ఇది నిర్మించబడింది. [1] 1970 ల విమానంలో ఈ వ్యాసం ఒక స్టబ్. వికీపీడియా విస్తరించడం ద్వారా మీరు సహాయపడవచ్చు.</v>
      </c>
      <c r="F138" s="1" t="s">
        <v>2234</v>
      </c>
      <c r="G138" s="1" t="str">
        <f>IFERROR(__xludf.DUMMYFUNCTION("GOOGLETRANSLATE(F:F, ""en"", ""te"")"),"సివిల్ ట్రైనింగ్ మోనోప్లేన్")</f>
        <v>సివిల్ ట్రైనింగ్ మోనోప్లేన్</v>
      </c>
      <c r="H138" s="1" t="s">
        <v>2235</v>
      </c>
      <c r="I138" s="1" t="s">
        <v>127</v>
      </c>
      <c r="J138" s="1" t="str">
        <f>IFERROR(__xludf.DUMMYFUNCTION("GOOGLETRANSLATE(I:I, ""en"", ""te"")"),"సంయుక్త రాష్ట్రాలు")</f>
        <v>సంయుక్త రాష్ట్రాలు</v>
      </c>
      <c r="L138" s="1" t="s">
        <v>2236</v>
      </c>
      <c r="M138" s="1" t="str">
        <f>IFERROR(__xludf.DUMMYFUNCTION("GOOGLETRANSLATE(L:L, ""en"", ""te"")"),"బీచ్‌క్రాఫ్ట్")</f>
        <v>బీచ్‌క్రాఫ్ట్</v>
      </c>
      <c r="N138" s="3" t="s">
        <v>2237</v>
      </c>
      <c r="Q138" s="1">
        <v>1.0</v>
      </c>
      <c r="AJ138" s="6">
        <v>25731.0</v>
      </c>
    </row>
    <row r="139">
      <c r="A139" s="1" t="s">
        <v>2238</v>
      </c>
      <c r="B139" s="1" t="str">
        <f>IFERROR(__xludf.DUMMYFUNCTION("GOOGLETRANSLATE(A:A, ""en"", ""te"")"),"దుంపలు")</f>
        <v>దుంపలు</v>
      </c>
      <c r="C139" s="1" t="s">
        <v>2239</v>
      </c>
      <c r="D139" s="1" t="str">
        <f>IFERROR(__xludf.DUMMYFUNCTION("GOOGLETRANSLATE(C:C, ""en"", ""te"")"),"దుంపల స్పెషల్ అనేది 1970 ల మధ్యలో యునైటెడ్ స్టేట్స్లో నిర్మించిన ఒకే-సీట్ల వినోద విమానం, ఇది హోమ్‌బిల్డింగ్ కోసం మార్కెటింగ్ చేయాలనే ఉద్దేశ్యంతో. [2] ఇది స్థిర టెయిల్‌వీల్ అండర్ క్యారేజ్‌తో సాంప్రదాయిక కాన్ఫిగరేషన్ యొక్క పారాసోల్-వింగ్ మోనోప్లేన్. [1] సిం"&amp;"గిల్ ప్రోటోటైప్ (రిజిస్ట్రేషన్ N711GB) ను గ్లెన్ దుంపలు నిర్మించారు, అతను ఆ సమయంలో లౌ స్టోల్ప్ కోసం వెల్డర్‌గా పనిచేస్తున్నాడు. అతను తన సాధారణ రూపకల్పనను STOLP స్టార్డస్టర్ బిప్‌లేన్‌పై ఆధారపడ్డాడు, ఇది ఆ సమయంలో హోమ్‌బిల్ట్ ఎయిర్‌క్రాఫ్ట్ మార్కెట్‌కు అంది"&amp;"ంచబడుతోంది. బీట్స్ స్పెషల్ కోసం ప్రణాళికలను STOLP సంస్థ ఒకేసారి విక్రయించింది. జేన్ యొక్క అన్ని ప్రపంచ విమానాల నుండి డేటా 1975-76 [1] సాధారణ లక్షణాల పనితీరు")</f>
        <v>దుంపల స్పెషల్ అనేది 1970 ల మధ్యలో యునైటెడ్ స్టేట్స్లో నిర్మించిన ఒకే-సీట్ల వినోద విమానం, ఇది హోమ్‌బిల్డింగ్ కోసం మార్కెటింగ్ చేయాలనే ఉద్దేశ్యంతో. [2] ఇది స్థిర టెయిల్‌వీల్ అండర్ క్యారేజ్‌తో సాంప్రదాయిక కాన్ఫిగరేషన్ యొక్క పారాసోల్-వింగ్ మోనోప్లేన్. [1] సింగిల్ ప్రోటోటైప్ (రిజిస్ట్రేషన్ N711GB) ను గ్లెన్ దుంపలు నిర్మించారు, అతను ఆ సమయంలో లౌ స్టోల్ప్ కోసం వెల్డర్‌గా పనిచేస్తున్నాడు. అతను తన సాధారణ రూపకల్పనను STOLP స్టార్డస్టర్ బిప్‌లేన్‌పై ఆధారపడ్డాడు, ఇది ఆ సమయంలో హోమ్‌బిల్ట్ ఎయిర్‌క్రాఫ్ట్ మార్కెట్‌కు అందించబడుతోంది. బీట్స్ స్పెషల్ కోసం ప్రణాళికలను STOLP సంస్థ ఒకేసారి విక్రయించింది. జేన్ యొక్క అన్ని ప్రపంచ విమానాల నుండి డేటా 1975-76 [1] సాధారణ లక్షణాల పనితీరు</v>
      </c>
      <c r="F139" s="1" t="s">
        <v>1611</v>
      </c>
      <c r="G139" s="1" t="str">
        <f>IFERROR(__xludf.DUMMYFUNCTION("GOOGLETRANSLATE(F:F, ""en"", ""te"")"),"వినోద విమానం")</f>
        <v>వినోద విమానం</v>
      </c>
      <c r="Q139" s="1">
        <v>1.0</v>
      </c>
      <c r="S139" s="1" t="s">
        <v>1633</v>
      </c>
      <c r="U139" s="1" t="s">
        <v>2240</v>
      </c>
      <c r="V139" s="1" t="s">
        <v>2241</v>
      </c>
      <c r="X139" s="1" t="s">
        <v>2242</v>
      </c>
      <c r="AA139" s="1" t="s">
        <v>2243</v>
      </c>
      <c r="AC139" s="1" t="s">
        <v>2212</v>
      </c>
      <c r="AE139" s="1" t="s">
        <v>1871</v>
      </c>
      <c r="AF139" s="1" t="s">
        <v>1872</v>
      </c>
      <c r="AH139" s="1" t="s">
        <v>2244</v>
      </c>
      <c r="AI139" s="1" t="s">
        <v>2245</v>
      </c>
      <c r="AJ139" s="1" t="s">
        <v>2246</v>
      </c>
      <c r="AM139" s="1" t="s">
        <v>1923</v>
      </c>
      <c r="AN139" s="1" t="s">
        <v>2247</v>
      </c>
      <c r="AP139" s="1" t="s">
        <v>2248</v>
      </c>
      <c r="BD139" s="1" t="s">
        <v>2249</v>
      </c>
      <c r="CG139" s="1" t="s">
        <v>2250</v>
      </c>
    </row>
    <row r="140">
      <c r="A140" s="1" t="s">
        <v>2251</v>
      </c>
      <c r="B140" s="1" t="str">
        <f>IFERROR(__xludf.DUMMYFUNCTION("GOOGLETRANSLATE(A:A, ""en"", ""te"")"),"బెల్ ఉహ్ -1 ఇరోక్వోయిస్ వేరియంట్లు")</f>
        <v>బెల్ ఉహ్ -1 ఇరోక్వోయిస్ వేరియంట్లు</v>
      </c>
      <c r="C140" s="1" t="s">
        <v>2252</v>
      </c>
      <c r="D140" s="1" t="str">
        <f>IFERROR(__xludf.DUMMYFUNCTION("GOOGLETRANSLATE(C:C, ""en"", ""te"")"),"బెల్ UH-1 ఇరోక్వోయిస్ మిలిటరీ హెలికాప్టర్, మొట్టమొదట 1959 లో ప్రవేశపెట్టింది, హెలికాప్టర్ల యొక్క ఫలవంతమైన హ్యూయ్ కుటుంబంలో మొదటి ఉత్పత్తి సభ్యుడు, మరియు ఇది ఇరవైకి పైగా వేరియంట్లలో అభివృద్ధి చేయబడింది, ఇవి క్రింద జాబితా చేయబడ్డాయి. టర్బైన్ ఇంజిన్‌ను ఉపయోగ"&amp;"ించిన మొట్టమొదటి బెల్ హెలికాప్టర్ సవరించిన మోడల్ 47 (నియమించబడిన XH-13 ఎఫ్), ఇది అక్టోబర్ 1954 లో ప్రారంభ విమానాన్ని కలిగి ఉంది. యు.ఎస్. ఆర్మీ 1955 లో సాధారణ ప్రయోజనం మరియు వైద్య/ప్రమాద తరలింపు కోసం కొత్త హెలికాప్టర్ కోసం ఒక పోటీని ప్రారంభించింది . జూన్ 1"&amp;"955 లో, యు.ఎస్. ఆర్మీ కోసం తరువాతి తరం టర్బైన్-శక్తితో పనిచేసే యుటిలిటీ హెలికాప్టర్‌ను అభివృద్ధి చేయడానికి బెల్ హెలికాప్టర్‌కు ఒక ఒప్పందం లభించింది. ఫలితంగా వచ్చిన బెల్ మోడల్ 204 ను యు.ఎస్. మిలిటరీ XH-40 గా నియమించింది మరియు మొదట 22 అక్టోబర్ 1956 న ప్రయాణ"&amp;"ించారు. మరో రెండు ప్రోటోటైప్‌లు 1957 లో నిర్మించబడ్డాయి మరియు ఆరు YH-40 ప్రీ-ప్రొడక్షన్ హెలికాప్టర్లు 1958 లో పంపిణీ చేయబడ్డాయి. [1] YH-40 యొక్క క్యాబిన్ (30 సెం.మీ) లో 12 లో పొడవుగా ఉంది మరియు XH-40 తో పోలిస్తే ఎక్కువ గ్రౌండ్ క్లియరెన్స్ ఉంది. [2] ట్రూప్"&amp;" ట్రాన్స్‌పోర్ట్ మరియు కార్గో మోస్తున్న మరియు మెడెవాక్ పాత్రకు YH-40 అనువైనదని బెల్ నమ్మాడు, త్వరలో సైన్యం అనుసరించిన అభిప్రాయం; మునుపటి పిస్టన్-శక్తితో పనిచేసే హెలికాప్టర్ల కంటే వారు ప్రీ-ప్రొడక్షన్ విమానాన్ని సేవలో చాలా మెరుగ్గా కనుగొన్నారు, వారు త్వరలో"&amp;"నే ఎక్కువ ఆదేశించారు. HU-1A (తరువాత UH-1A ను పున es రూపకల్పన చేసింది) ఉత్పత్తిలోకి వెళ్ళిన మొట్టమొదటి టర్బైన్-అమర్చిన యు.ఎస్. నిర్లిప్తత. అవి మూల్యాంకనం కోసం మాత్రమే ఉద్దేశించినప్పటికీ, సైన్యం త్వరగా కార్యాచరణ సేవలోకి ప్రవేశించింది మరియు 57 వ వైద్య నిర్లి"&amp;"ప్తతతో హ్యూస్ మార్చి 1962 లో వియత్నాం చేరుకుంది. [3] హెలికాప్టర్ మొదట HU -1A గా నియమించబడింది, ఇక్కడే దాని మారుపేరును అందుకుంది - ""హ్యూయ్."" అధికారిక యు.ఎస్. ఆర్మీ హోదా ఇరోక్వోయిస్ (ఆర్మీ హెలికాప్టర్లకు సాంప్రదాయకంగా స్థానిక అమెరికన్ పేర్లు ఇవ్వబడ్డాయి) "&amp;"దాదాపు ఎప్పుడూ ఆచరణలో ఉపయోగించబడలేదు. [4] UH-1AS యొక్క అసలు క్రమం యొక్క పద్నాలుగు మందిని Th-1a గా నియమించారు, వీటిని సిబ్బంది శిక్షణ కోసం ఉపయోగించారు మరియు ఒకే విమానాన్ని 1960 లో గ్రెనేడ్ లాంచర్ పరీక్ష కోసం XH-1A పున es రూపకల్పన చేశారు. [3] 57 వ వైద్య నిర"&amp;"్లిప్తత తరువాత వియత్నాం చేరుకున్న మొట్టమొదటి UH-1AS కొత్త టెస్ట్ యూనిట్, యుఎస్ ఆర్మీ యొక్క యుటిలిటీ టాక్టికల్ ట్రాన్స్పోర్ట్ కంపెనీ (UTTCO) తో ఉంది. UTTCO కి 20 ""ఆల్ఫా"" హ్యూస్ ఉంది మరియు 1962 చివరలో వియత్నాంకు మోహరించబడింది. [5] ఈ విమానాలను ఇప్పటికే ఉన్"&amp;"న H-21 షవ్నీస్ మరియు H-34 చోక్టావ్స్ ట్రూప్ క్యారియర్‌లకు సాయుధ ఎస్కార్ట్‌లుగా ఉపయోగించారు. [3] [4] ఉపయోగంలో UH-1A వారి లైమింగ్ T53-L-1 పవర్‌ప్లాంట్లతో కేవలం 860 SHP యొక్క తక్కువ శక్తిని కలిగి ఉంది మరియు హ్యూయ్ యొక్క మెరుగైన ఫాలో-ఆన్ మోడళ్ల అవసరాన్ని సూచి"&amp;"ంచింది. [3] [4] HU-1B ఒక మెరుగైన మోడల్, ఇది 960 SHP (720 kW) యొక్క లైమింగ్ T53-L-5 ఇంజిన్‌తో, 44-అడుగుల (13 మీ) వ్యాసం మరియు 21-అంగుళాల (530 మిమీ) తీగను సవరించిన ప్రధాన రోటర్ బ్లేడ్లు , 13 అంగుళాల అధిక రోటర్ మాస్ట్ మరియు ఏడుగురు ప్రయాణీకులకు వసతి కల్పించే"&amp;" పొడవైన క్యాబిన్. [3] [4] ఈ సంస్కరణను 1962 లో పున es రూపకల్పన చేశారు. తరువాత ఉత్పత్తి UH-1B లలో 1,100 SHP (820 kW) యొక్క లైమింగ్ T53-L-9 మరియు L-11 ఇంజన్లు ఉన్నాయి. స్థూల బరువు 8,500 పౌండ్లు (3,900 కిలోలు) మరియు ప్రామాణిక ఖాళీ బరువు 4,513 పౌండ్లు (2,047 క"&amp;"ిలోలు). [3] [4] ""బి"" మోడల్ యొక్క ఆర్మీ పరీక్ష నవంబర్ 1960 లో ప్రారంభమైంది, మొదటి ఉత్పత్తి విమానాలు మార్చి 1961 లో వచ్చాయి. మొత్తం 1010 ""బ్రావో"" నమూనాలు యుఎస్ ఆర్మీకి పంపిణీ చేయబడ్డాయి. మొదటి విస్తరణ నవంబర్ 1963 లో UTTCO ఇప్పటికే వాడుకలో ఉన్న ""ఆల్ఫా"""&amp;" మోడళ్లలో చేరడానికి పదకొండు మందిని వియత్నాంకు పంపారు. [3] పరీక్ష ప్రయోజనాల కోసం ఒక NUH-1B ఉత్పత్తి చేయబడింది. [3] బెల్ మెరుగైన డోర్ లాక్స్ వంటి కొన్ని చిన్న భద్రతా మెరుగుదలలను కలుపుకొని UH-1B యొక్క సివిల్ వెర్షన్‌ను ధృవీకరించారు. ఈ విమానం బెల్ 204 బిగా వి"&amp;"క్రయించబడింది. [3] తరువాత ""లాంగ్ క్యాబిన్"" హ్యూస్ రవాణా పాత్రలో బ్రావోను భర్తీ చేసినందున, UH-1B మెషిన్ గన్స్ మరియు రాకెట్లతో కూడిన ""గన్‌షిప్"" పాత్రలో ఎక్కువగా ఉపయోగించబడింది. ఏదేమైనా, భారీ ఆయుధ ఉపవ్యవస్థలతో ఉపయోగించినప్పుడు పూర్తి సామర్థ్యాన్ని కొనసాగ"&amp;"ించడానికి ఇది తగినంత శక్తిని కలిగి లేదు, ఇది UH-1C కి దారితీస్తుంది. [సైటేషన్ అవసరం] UH-1C ""మధ్యంతర"" దాడి హెలికాప్టర్ వరకు గన్‌షిప్ వెర్షన్‌గా ప్రత్యేకంగా అభివృద్ధి చేయబడింది. AH-1G హ్యూయ్ కోబ్రా అందుబాటులో ఉంది మరియు UH-1B యొక్క లోపాలను సాయుధ పాత్రలో ఉ"&amp;"పయోగించినప్పుడు దాన్ని సరిదిద్దడానికి. UH-1C ను యుఎస్ ఆర్మీ సేవలో ""హ్యూయ్ హాగ్"" అని విస్తృతంగా సూచిస్తారు. [3] [4] ""చార్లీ"" మోడల్ 1,100 SHP (820 kW) T53-L-9 లేదా L-11 ఇంజిన్‌తో అమర్చబడింది, ఆ సమయంలో ఆయుధ వ్యవస్థలను ఉపయోగంలో లేదా అభివృద్ధిలో ఎత్తడానికి"&amp;" అవసరమైన శక్తిని అందించడానికి. ఇది కొత్త బెల్ 540 రోటర్ వ్యవస్థను 27-అంగుళాల (690 మిమీ) తీగ బ్లేడ్‌లతో చేర్చింది. పెరిగిన పవర్ లీడ్ బెల్ యొక్క ఇంజనీర్లు ""సి"" కోసం కొత్త టెయిల్‌బూమ్‌ను రూపొందించడానికి, ఇది విస్తృత తీగ ఫిన్‌ను పొడవైన బూమ్ మరియు పెద్ద సమకా"&amp;"లీకరించిన ఎలివేటర్లపై కలిగి ఉంది. ""సి"" యుద్ధంలో పునరావృతానికి ద్వంద్వ హైడ్రాలిక్ నియంత్రణ వ్యవస్థను మరియు ఆగ్నేయాసియాలో కనిపించే మురికి పరిస్థితుల కోసం మెరుగైన ఇన్లెట్ ఫిల్టర్ వ్యవస్థను కూడా ప్రవేశపెట్టింది. ఇంధనాన్ని 242 యుఎస్ గ్యాలన్లకు మరియు స్థూల బర"&amp;"ువు 9,500 ఎల్బి (4,300 కిలోలు) కు పెంచారు, ఇది నామమాత్రపు ఉపయోగకరమైన లోడ్ 4,673 ఎల్బి (2,120 కిలోలు). [3] [4] ""సి"" మోడల్‌పై అభివృద్ధి 1960 లో ప్రారంభమైంది, ఉత్పత్తి జూన్ 1966 నుండి ప్రారంభమైంది. మొత్తం 766 ""సి"" నమూనాలు పూర్తయ్యాయి, వీటిలో ఐదు మరియు రా"&amp;"యల్ ఆస్ట్రేలియన్ నేవీకి ఐదు మరియు నార్వేకు ఐదు ఉన్నాయి. బ్యాలెన్స్ యుఎస్ సైన్యానికి వెళ్ళింది. [3] [4] చాలా UH-1C లను తరువాత 1,400 SHP (1,000 kW) లైమింగ్ T53-L-13 పవర్‌ప్లాంట్‌తో తిరిగి ఇంజిన్ చేశారు. ఈ ఇంజిన్‌తో వారు UH-1M ను పున es రూపకల్పన చేశారు. [3] "&amp;"[4] మునుపటి ""షార్ట్-బాడీ"" హ్యూస్ విజయవంతమయ్యాయి, ముఖ్యంగా గన్‌షిప్ పాత్రలో, కానీ క్యాబిన్ స్థలం సమర్థవంతమైన ట్రూప్ రవాణాగా లేదు. యుఎస్ సైన్యం నలుగురు (ఇద్దరు పైలట్లు మరియు ఇద్దరు డోర్ గన్నర్స్) సిబ్బందిని తీసుకెళ్లగల సంస్కరణను కోరుకుంది మరియు ఎనిమిది ను"&amp;"ండి పది మంది సైనికుల పదాతిదళ విభాగాన్ని కూడా పంపిణీ చేస్తుంది. బెల్ యొక్క పరిష్కారం UH-1B ఫ్యూజ్‌లేజ్‌ను 41 అంగుళాలు (105 సెం.మీ) విస్తరించడం మరియు ప్రసారానికి ఇరువైపులా రెండు పక్కపక్కనే సీట్లను అమర్చడానికి అదనపు స్థలాన్ని ఉపయోగించడం. ఇది సిబ్బంది సీట్లతో"&amp;" సహా మొత్తం సీటింగ్ సామర్థ్యాన్ని 15 కి తీసుకువచ్చింది. [3] [4] కొత్త హ్యూయీని యుఎస్ ఆర్మీ యుహెచ్ -1 డి మరియు బెల్ మోడల్ 205 గా నియమించారు. విస్తరించిన క్యాబిన్ ఆరు స్ట్రెచర్లను కూడా కలిగి ఉంటుంది, మునుపటి మోడళ్ల కంటే రెట్టింపు, ""డెల్టా"" మంచి మెడెవాక్ వ"&amp;"ిమానం. ఒకే విండోతో మునుపటి మోడల్ యొక్క స్లైడింగ్ సైడ్ తలుపుల స్థానంలో, పెద్ద తలుపులు అమర్చబడి రెండు విండోస్ ఉన్నాయి, మరియు ఐచ్ఛిక విండోతో ఒక చిన్న ""అతుక్కొని ప్యానెల్"", క్యాబిన్‌కు ప్రాప్యతను అందిస్తుంది. తలుపులు మరియు అతుక్కొని ఉన్న ప్యానెల్లు త్వరగా త"&amp;"ొలగించబడతాయి మరియు ఆ కాన్ఫిగరేషన్‌లో హ్యూయీని ఎగురవేయవచ్చు. [3] మొట్టమొదటి యుహ్ -1 డి ప్రోటోటైప్ ఆగస్టు 1960 లో ఎగిరింది. ఏడు యుహ్ -1D లు మార్చి 1961 నుండి ఎడ్వర్డ్స్ AFB వద్ద పంపిణీ చేయబడ్డాయి మరియు పరీక్షించబడ్డాయి. యుహ్ -1 డి ప్రారంభంలో 44 అడుగుల (13 మ"&amp;"ీ) ప్రధాన రోటర్ మరియు లైమింగ్ T53-L కలిగి ఉంది -9 ఇంజిన్. ఎక్కువ శక్తి అవసరమని పరీక్ష వెల్లడించింది మరియు అందువల్ల రోటర్ 21 అంగుళాల (530 మిమీ) తీగతో 48 అడుగుల (15 మీ) కు పొడవుగా ఉంది మరియు ఇంజిన్ 1,100 ఎస్‌హెచ్‌పి (820 కెడబ్ల్యుడబ్ల్యు (820 కెడబ్ల్యు. ). "&amp;"పొడవైన రోటర్ బ్లేడ్లకు అనుగుణంగా పొడవైన టెయిల్‌బూమ్ రూపొందించబడింది. స్థూల బరువు 9,500 పౌండ్లు (4,300 కిలోలు). తరువాత ఉత్పత్తి ""డెల్టాస్"" లో 1,400 ఎస్‌హెచ్‌పి (1,000 కిలోవాట్) యొక్క లైమింగ్ టి 53-ఎల్ -13 పవర్‌ప్లాంట్ ""హోటల్"" మోడళ్లుగా వ్యవస్థాపించబడిం"&amp;"ది మరియు పున es రూపకల్పన చేయబడింది. [3] [4] ఫోర్ట్ బెన్నింగ్ జార్జియాలో 11 వ ఎయిర్ అస్సాల్ట్ డివిజన్ (టెస్ట్) రెండు ఆగస్టు 1963 న ""డెల్టా"" మోడల్ యొక్క మొదటి ఆర్మీ యూనిట్ డెలివరీలు రెండు ఆగస్టు 1963 న ఉన్నాయి. ఈ యూనిట్ 1 వ అశ్వికదళ విభాగానికి పేరు మార్చబ"&amp;"డింది మరియు వియత్నాంకు దాని ""డెల్టా"" హ్యూస్‌తో మోహరించబడింది. [3] [4] మొత్తం 2,008 UH-1DS 1962 మరియు 1966 మధ్య US సైన్యానికి పంపిణీ చేయబడింది. ఈ మోడల్ విస్తృతంగా ఎగుమతి చేయబడింది మరియు ఆస్ట్రేలియా మరియు దక్షిణ వియత్నాం యొక్క సాయుధ దళాలతో పనిచేసింది. పశ్"&amp;"చిమ జర్మన్ సాయుధ దళాల కోసం డోర్నియర్ నిర్మించిన 352 తో సహా మొత్తం 2,561 UH-1D లు నిర్మించబడ్డాయి. [3] [4] HH-1D అనేది యుఎస్ ఆర్మీకి ఒక బేస్ రెస్క్యూ/ఫైర్-ఫైటింగ్ వెర్షన్, ఇది 50 గాలన్ నీరు మరియు నురుగు స్ప్రే వ్యవస్థను కలిగి ఉంది, ఇది 16-అడుగుల (4.9 మీ) వ"&amp;"ిజృంభణ ద్వారా విడుదల చేయబడుతుంది. [3] UH-1D ని లైమింగ్ T53-L-13 ఇంజిన్‌కు అప్‌గ్రేడ్ చేయడం, పథాట్ ట్యూబ్‌ను ముక్కు నుండి పైకప్పుకు మార్చడం వల్ల కొత్త మోడల్, UH-1H, ఇది హ్యూయ్ కుటుంబంలో ఎక్కువగా ఉత్పత్తి చేయబడిన వేరియంట్‌గా మారింది. [ 1962 లో, యుఎస్ మెరైన్"&amp;"స్ సెస్నా ఓ -1 మరియు కామన్ OH-43D హెలికాప్టర్ స్థానంలో కొత్త దాడి మద్దతు హెలికాప్టర్‌ను ఎంచుకోవడానికి ఒక పోటీని నిర్వహించింది. విజేత UH-1B, ఇది అప్పటికే యుఎస్ ఆర్మీతో సేవలో ఉంది. [4] మెరైన్ కార్ప్స్ అవసరాలను తీర్చడానికి UH-1B ను ప్రత్యేక మోడల్‌గా అభివృద్ధ"&amp;"ి చేశారు. ప్రధాన మార్పులలో తుప్పు నిరోధకత కోసం ఆల్-అల్యూమినియం నిర్మాణాన్ని ఉపయోగించడం (అంతకుముందు UH-1 లలో కొన్ని మెగ్నీషియం భాగాలు ఉన్నాయి), మెరైన్ కార్ప్స్ గ్రౌండ్ ఫ్రీక్వెన్సీలకు అనుకూలంగా ఉండే ప్రత్యేక ఏవియానిక్స్, షిప్‌బోర్డ్ ఉపయోగం కోసం షట్డౌన్ కోస"&amp;"ం రోటర్‌ను త్వరగా ఆపడానికి రోటర్ బ్రేక్ మరియు రోటర్ బ్రేక్ మరియు పైకప్పు-మౌంటెడ్ రెస్క్యూ హాయిస్ట్. [3] [4] UH-1E మొట్టమొదట 7 అక్టోబర్ 1963 న ఎగురవేయబడింది మరియు డెలివరీలు 21 ఫిబ్రవరి 1964 న ప్రారంభమయ్యాయి, 192 విమానాలు పూర్తయ్యాయి. బెల్ వద్ద ప్రొడక్షన్ ల"&amp;"ైన్ రియాలిటీస్ కారణంగా UH-1E రెండు వేర్వేరు వెర్షన్లలో ఉత్పత్తి చేయబడింది, రెండూ ఒకే UH-1E హోదాతో. నిర్మించిన మొదటి 34 తప్పనిసరిగా UH-1B ఎయిర్ఫ్రేమ్‌లు, 1,100 SHP (820 kW) యొక్క లైమింగ్ T53-L-11 తో. బెల్ ఆర్మీ ఉత్పత్తిని UH-1C కి మారుస్తున్నందున UH-1E ప్ర"&amp;"ొడక్షన్ లైన్ “సి” తో సామాన్యతగా మార్చబడింది. దీని అర్థం తరువాత “ఎకో” హ్యూస్ పెద్ద ఫిన్, 540 రోటర్ సిస్టమ్ మరియు స్థూల బరువు 8,500 పౌండ్లు (3,900 కిలోలు) తో సహా “చార్లీ” స్టైల్ టెయిల్‌బూమ్‌తో పూర్తయ్యాయి. [3] మెరైన్స్ UH-1E ను గన్‌షిప్ మరియు ట్రూప్ ట్రాన్స"&amp;"్‌పోర్ట్‌గా ఉపయోగించారు. చాలా మంది లైమింగ్ T53-L-13 ఇంజిన్‌కు అప్‌గ్రేడ్ చేయబడ్డారు, ఇది 1,400 SHP (1,000 kW) ను ఉత్పత్తి చేసింది, ఈ “ప్రతిధ్వనులు” ఆర్మీ “మైక్” మోడళ్ల మాదిరిగానే ఉన్నాయి. కనీసం 126 UH-1es వారి వియత్నాం సేవ నుండి బయటపడింది మరియు ఇప్పటికీ ఒ"&amp;"క దశాబ్దం తరువాత వాడుకలో ఉంది. [3] [4] UH-1E యొక్క మెరైన్ కార్ప్స్ శిక్షణ వెర్షన్ ఉంది, ఇది UH-1C వేరియంట్ ఆధారంగా రూపొందించబడింది మరియు దీనిని TH-1E గా నియమించారు. ఇరవై 1965 లో పంపిణీ చేయబడ్డాయి. [3] బెల్ హెలికాప్టర్స్ 1963 యునైటెడ్ స్టేట్స్ వైమానిక దళం "&amp;"దాని క్షిపణి స్థావరాలలో ఉపయోగం కోసం సహాయక హెలికాప్టర్ కోసం విజేత. [3] బెల్ పోటీ కోసం UH-1B ని ప్రతిపాదించాడు, కాని సాధారణ ఎలక్ట్రిక్ T58 టర్బోషాఫ్ట్‌ను పవర్‌ప్లాంట్‌గా ఉపయోగించడంలో ""బ్రావో"" యొక్క ప్రత్యేక సంస్కరణను అభివృద్ధి చేయమని USAF బెల్ కోరింది. US"&amp;"AF ఇప్పటికే సికోర్స్కీ HH-3 జాలీ గ్రీన్ జెయింట్ రెస్క్యూ హెలికాప్టర్ల సముదాయం కోసం ఈ ఇంజిన్ల యొక్క పెద్ద జాబితాను కలిగి ఉంది మరియు రకాలు మధ్య సామాన్యతను కలిగి ఉండాలని కోరుకుంది. ఈ ఇంజిన్ UH-1B యొక్క 1,100 HP (820 kW) T53-L11 తో పోలిస్తే 1,250 HP (932 kW) "&amp;"సామర్థ్యం కలిగి ఉంది. [3] [4] ప్రతిస్పందనగా బెల్ UH-1B యొక్క అప్‌గ్రేడ్ వెర్షన్‌ను ప్రతిపాదించాడు, T58 ఇంజిన్ ఇన్‌స్టాల్ చేయబడింది. ఫలితంగా UH-1F ""బ్రావో"" హ్యూయ్ యొక్క తక్కువ క్యాబిన్ కలిగి ఉంది, కానీ పొడవైన తోక బూమ్, రోటర్ మరియు UH-1D యొక్క ప్రసారంతో. "&amp;"[3] హ్యూయ్ కాన్ఫిగరేషన్ కారణంగా, బెల్ HH-3 తో పోలిస్తే T58 ఇంజిన్‌ను వెనుకకు ఇన్‌స్టాల్ చేసింది. హ్యూయ్ యొక్క ఇంజిన్ ట్రాన్స్మిషన్ వెనుక ఉంది, అయితే HH-3 యొక్క ఇంజన్లు ప్రసారం ముందు ఉన్నాయి. బాహ్యంగా, UH-1B నుండి కనిపించే ఏకైక తేడాలు ఇంజిన్ ఎగ్జాస్ట్, ఇవి"&amp;" ఇంజిన్ యొక్క కుడి వైపుకు మరియు పొడవైన తోక బూమ్ నుండి నిష్క్రమించాయి. [3] UH-1F ను USAF జాబితాలో 20 ఫిబ్రవరి 1964 న ప్రవేశపెట్టారు. USAF 1967 లో ఉత్పత్తితో 119 ను డెలివరీ చేసింది. ఆగ్నేయాసియాలో చాలా విమానాలు 20 వ స్పెషల్ ఆపరేషన్స్ స్క్వాడ్రన్‌తో పనిచేశాయి"&amp;" మరియు కొన్ని సాయుధ UH- గా మార్చబడ్డాయి 1p కాన్ఫిగరేషన్. [3] [4] ఇటలీలో, అగస్టా 204 బిని 1,225 హెచ్‌పి (914 కిలోవాట్) రోల్స్ రాయిస్ గ్నోమ్ (లైసెన్స్-నిర్మించిన టి 58) టర్బోషాఫ్ట్‌తో తిరిగి ఇంజనీరింగ్ చేయడం ద్వారా ఇదే విధమైన నమూనాను రూపొందించింది, కాని తరు"&amp;"వాత నమూనాలు T58 లను ఉపయోగించాయి. AB204B ను నెదర్లాండ్స్, స్వీడన్, ఆస్ట్రియా మరియు స్విట్జర్లాండ్ మిలిటరీకి ఎగుమతి చేశారు. ఇది క్యాబిన్ యొక్క కుడి వైపున ఉన్న రెస్క్యూ హాయిస్ట్ కలిగి ఉంది. చివరి UH-1F 1980 ల ప్రారంభంలో USAF నుండి UH-1N చేత భర్తీ చేయబడినప్పు"&amp;"డు రిటైర్ అయ్యారు. ఈ విమానాలలో చాలా తరువాత వివిధ యుఎస్ రాష్ట్ర ప్రభుత్వాలు మరియు ఏజెన్సీలతో అటవీ అగ్నిమాపక పోరాట విమానాలుగా పనిచేశాయి. [3] USAF కోసం ఒక TH-1F శిక్షకుడు కూడా నిర్మించాడు. మొదటి TH-1F జనవరి 1967 లో ఎగురవేయబడింది మరియు డెలివరీలు ఆ సంవత్సరం ఏప"&amp;"్రిల్ నుండి జూలై వరకు 27 పూర్తయ్యాయి. [3] ఈ వేరియంట్ యొక్క ఉదాహరణలు USAF ఇన్స్ట్రుమెంట్ ఫ్లైట్ సెంటర్ చేత నిర్వహించబడ్డాయి. UH-1H మెరుగైన UH-1D, 1,400 SHP (1,000 kW) యొక్క లైమింగ్ T53-L-13 ఇంజిన్, ప్లస్ పిటోట్ ట్యూబ్ ముక్కు నుండి పైకప్పుకు మార్చబడింది, దా"&amp;"నికి భూమి నష్టాన్ని తగ్గించడానికి. ""డెల్టాస్"" ను మరింత శక్తివంతమైన ఇంజిన్‌తో అప్‌గ్రేడ్ చేయడం ద్వారా ""హోటల్"" నమూనాలు సృష్టించబడ్డాయి. మొదటి యుహ్ -1 హెచ్ 1966 లో సెప్టెంబర్ 1967 నుండి ఉత్పత్తి నమూనాల డెలివరీలతో ప్రయాణించారు. [3] [4] ""హోటల్"" మోడల్ హ్య"&amp;"ూయ్ ఇతర మోడల్ కంటే పెద్ద సంఖ్యలో ఉత్పత్తి చేయబడింది, 4,850 యుఎస్ సైన్యానికి మాత్రమే పంపిణీ చేయబడింది. [4] ""హోటల్"" మోడల్ విస్తృతంగా ఎగుమతి చేయబడింది మరియు జర్మనీ, ఇటలీ, జపాన్ మరియు తైవాన్లలో లైసెన్స్ క్రింద కూడా నిర్మించబడింది. [3] పది మందిని కెనడాకు కెన"&amp;"డాకు విక్రయించారు. 6 మార్చి 1968 న పంపిణీ చేయబడిన మొదటి దానితో CUH-1H హోదా కింద ఉపయోగం కోసం. వీటిని కెనడియన్ దళాలు అంచనా వేశాయి మరియు కెనడియన్ వ్యూహాత్మక ఉపయోగానికి అనుచితమైనవిగా గుర్తించబడ్డాయి, దీని ఫలితంగా కెనడియన్ ప్రభుత్వం కవలల అభివృద్ధికి స్పాన్సర్ "&amp;"చేసింది ""హోటల్"" యొక్క ఇంజిన్ వెర్షన్, UH-1N ట్విన్ హ్యూయ్. పది CUH-1Hs శోధన మరియు రెస్క్యూ ఉపయోగం కోసం తిరిగి అమర్చబడి, CH-118 ను పున es రూపకల్పన చేసి 1995 వరకు పనిచేశారు. [3] [4] బెల్ సివిల్ మార్కెట్ కోసం UH-1H యొక్క ధృవీకరించబడిన సంస్కరణను అభివృద్ధి చ"&amp;"ేశాడు. ఈ విమానం భద్రత కోసం చిన్న మార్పులను కలిగి ఉంది, అంటే డ్యూయల్ స్లైడింగ్ డోర్ లాక్స్ మరియు టెయిల్‌బూమ్‌లో సామాను కంపార్ట్మెంట్. దీనిని బెల్ మోడల్ 205 ఎగా మరియు తరువాత మెరుగైన 205A-1 గా విక్రయించింది. [3] ""హోటల్"" మోడల్ హ్యూయ్ అనేక ఉపవిభాగాలకు కూడా ఆ"&amp;"ధారం: UH-1H యొక్క UAV వెర్షన్‌ను అరోరా ఫ్లైట్ సైన్సెస్ అభివృద్ధి చేస్తోంది, అటానమస్ ఏరియల్ కార్గో యుటిలిటీ సిస్టమ్ (AACUS) కోసం వ్యూహాత్మక స్వయంప్రతిపత్త వైమానిక లాజిస్టిక్స్ సిస్టమ్ ప్లాట్‌ఫారమ్‌ను ఉపయోగించి ప్రోగ్రామ్. [7] బెల్ హ్యూయ్ II అనేది తిరిగి తయ"&amp;"ారు చేయబడిన, సవరించిన మరియు తిరిగి ఇంజిన్ చేయబడిన మిలిటరీ UH-1H, ఇందులో 1,800 SHP (1,343 kW) యొక్క అల్లిసన్ T53-L-703 టర్బోషాఫ్ట్ ఇంజిన్, వైబ్రేషన్-తగ్గింపు వ్యవస్థ, పరారుణ ప్రతిఘటన మరియు రాత్రి- విజన్-గాగ్లే (ఎన్విజి) అనుకూల కాక్‌పిట్. ప్రస్తుతం బెల్ అంద"&amp;"ిస్తున్నది. [8] జపాన్ గ్రౌండ్ సెల్ఫ్-డిఫెన్స్ ఫోర్స్ కోసం జపాన్లో ఫుజి నిర్మించిన కొన్ని UH-1H లు మెరుగుపరచబడ్డాయి మరియు UH-1J యొక్క స్థానిక హోదాను ఇచ్చారు, అయినప్పటికీ ఇది US హోదా సిరీస్‌లో ఉపయోగించబడలేదు. [6] ఇది అప్‌గ్రేడ్ ఇంజిన్ [9] మరియు UH-1N ముక్కు"&amp;"ను కలిగి ఉంది. [10] జపాన్ యొక్క UH-1H మరియు UH-1J లు బెల్ 412 యొక్క సైనిక వెర్షన్ ద్వారా భర్తీ చేయబడతాయి. [11] [12] [13] [14] కొత్త శోధన మరియు రెస్క్యూ హెలికాప్టర్ కోసం డిసెంబర్ 1968 లో యుఎస్ నేవీ బెల్ కు ఒప్పందం కుదుర్చుకుంది. ఈ విమానం HH-1K గా నియమించబడ"&amp;"ింది మరియు ప్రాథమికంగా వివిధ ఏవియానిక్స్ మరియు 1,400 SHP (1,000 kW) యొక్క లైమింగ్ T53-L-13 పవర్‌ప్లాంట్. [3] [4] ""కిలో"" హ్యూయ్ యొక్క డెలివరీలు మే 1970 లో ప్రారంభమయ్యాయి మరియు ఆ సంవత్సరం నవంబర్ నాటికి మూడు వియత్నాంకు పంపబడింది, యుఎస్ నేవీ స్క్వాడ్రన్ హా "&amp;"(ఎల్) -3 మరియు తరువాత HA (L) -4 ఎర్ర తోడేళ్ళు మరియు హా (ఎల్) -5 బ్లూ హాక్స్. మొత్తం 27 HH-1ks ఉత్పత్తి చేయబడ్డాయి. [3] యుఎస్ మెరైన్స్కు UH-1E యొక్క డెలివరీలు యుఎస్ నేవీ కొన్నింటిని పరీక్షించాయి మరియు ఈ రకం వారి ఉపయోగాలకు యుటిలిటీ హెలికాప్టర్‌గా సరిపోతుందన"&amp;"ి కనుగొన్నారు. 16 మే 1968 న, యుఎస్ నేవీ UH-1L హోదాలో ఎనిమిది విమానాలను ఆదేశించింది. [3] [4] ""లిమా"" హ్యూయ్ ప్రాథమికంగా UH-1E, ఇది సైన్యం యొక్క UH-1C ఆధారంగా తరువాతి ఉత్పత్తి రకం, రెస్క్యూ హాయిస్ట్ మరియు తీసుకోవడం కణ తెరతో కూడి ఉంటుంది. ""LS"" కవచం లేదా ఆ"&amp;"యుధాలను వ్యవస్థాపించకుండా పంపిణీ చేయబడింది మరియు 1,400 SHP (1,000 kW) యొక్క లైమింగ్ T53-L-13 పవర్‌ప్లాంట్‌ను కలిగి ఉంది. [3] [4] మొదటి నాలుగు “లిమాస్” నవంబర్ 1969 లో పంపిణీ చేయబడ్డాయి మరియు ఆపరేషన్ సీలార్డ్స్‌కు కేటాయించిన యుఎస్ నేవీ హా (ఎల్) -3 నిర్లిప్త"&amp;"తను సన్నద్ధం చేయడానికి వియత్నాంకు పంపబడ్డాయి. వియత్నాంలో ఈ విమానం ఆయుధాలు మరియు కవచాలతో సవరించబడింది మరియు 500 ఎల్బి (230 కిలోల) బాంబులు మరియు 500 ఎల్బి (230 కిలోల) ఇంధన-గాలి పేలుడు ఆయుధాలను తీసుకెళ్లడానికి అమర్చారు. [3] పైలట్ ఎయిర్క్రాఫ్ట్ క్యారియర్ క్వా"&amp;"లిఫికేషన్ ట్రైనింగ్ సహా, శిక్షణ పాత్రలో ఉపయోగించిన హెచ్ -34 మరియు అరువు తెచ్చుకున్న ఆర్మీ యుహెచ్ -1 డిఎస్ స్థానంలో నావికాదళం కోసం యుహెచ్ -1 ఎల్ యొక్క టిహెచ్ -1 ఎల్ వెర్షన్ ఉంది. నవంబర్ 1969 నుండి నలభై-ఐదు TH-1L లు పంపిణీ చేయబడ్డాయి. [3] ""మైక్"" మోడల్ హ్య"&amp;"ూయ్ ప్రస్తుత UH-1C ను UH-1H లో ఉపయోగించిన 1,400 SHP (1,000 kW) లైమింగ్ T53-L-13 పవర్‌ప్లాంట్‌తో తిరిగి ఇంజనీరింగ్ చేయడం ద్వారా మార్చడం. ఇది గన్‌షిప్ పాత్ర కోసం ""సి"" మోడల్‌కు మరింత శక్తిని అందించింది మరియు ఆ సమయంలో వియత్నాంలో వాడుకలో ఉన్న దాడి మరియు రవాణ"&amp;"ా హెలికాప్టర్ల మధ్య ఇంజిన్ సామాన్యతను కూడా అందించింది. [3] [4] బెల్ ఏప్రిల్ 1965 లో మొదటి ట్విన్-ఇంజిన్ హ్యూయీని ఎగరవేసింది, దీనిని మోడల్ 208 అని పిలిచారు. ఇది ఖండాంతర XT67 ట్విన్-ప్యాక్ ఇంజిన్ మాడ్యూల్ ద్వారా శక్తిని పొందింది. ప్రాట్ &amp; విట్నీ కెనడా పిటి "&amp;"6 టి ట్విన్-ప్యాక్ ఇంజన్ ఉపయోగించి ట్విన్ హ్యూయ్ అభివృద్ధిని కొనసాగించడానికి కెనడియన్ ప్రభుత్వం బెల్ కోసం ప్రోత్సాహాన్ని అందించింది. ఈ ప్రాజెక్ట్ కెనడియన్ దళాలు, యుఎస్ మెరైన్ కార్ప్స్, యుఎస్ నేవీ మరియు యుఎస్‌ఎఎఫ్ల ఆదేశాలను ఆకర్షించింది, కాని యుఎస్ సైన్యం "&amp;"కాదు. [3] [4] కొత్త విమానం US సేవలో UH-1N ఇరోక్వోయిస్ మరియు కెనడియన్ దళాల వాడకంలో CUH-1N ట్విన్ హ్యూయ్ గా నియమించబడింది. కెనడియన్ హోదా తరువాత CH-135 ట్విన్ హ్యూయ్ గా మార్చబడింది. USAF కోసం బేస్ రెస్క్యూ హెలికాప్టర్‌గా ఉత్పత్తి చేయబడిన HH-1N వెర్షన్ ఉంది మ"&amp;"రియు కాల్ సైన్ గ్రీన్ హార్నెట్‌ను ఉపయోగించి కౌంటర్-తిరుగుబాటు పాత్రలో 20 వ స్పెషల్ ఆపరేషన్స్ స్క్వాడ్రన్ ఉపయోగం కోసం. కొన్ని మెరైన్ కార్ప్స్ UH-1NS ను VH-1NS గా VIP రవాణాగా మార్చారు, వీటిలో ఆరు అధ్యక్ష ఉపయోగం కోసం ఆరు ఉన్నాయి. [3] [4] UH-1N ను విస్తృతంగా "&amp;"ఉత్పత్తి చేసి, పెద్ద సంఖ్యలో దేశాలకు ఎగుమతి చేసింది మరియు ఇటలీలో అగస్టా చేత లైసెన్స్ నిర్మించబడింది. అక్టోబర్ 1970 లో బెల్ సివిల్ వెర్షన్‌ను మోడల్ 212 గా ధృవీకరించారు. [4] వియత్నాం యుద్ధంలో ఆగ్నేయాసియాలో ఉన్న వారి 20 వ స్పెషల్ ఆపరేషన్స్ స్క్వాడ్రన్, గ్రీన"&amp;"్ హార్నెట్స్ ద్వారా USAF చేత UH-1P కాన్ఫిగరేషన్‌కు తెలియని సంఖ్యలో UH-1P కాన్ఫిగరేషన్‌కు సవరించబడింది. [3] [4] అధికారిక USAF వర్గాలు ఈ విమానాలను వర్గీకృత మానసిక యుద్ధ పాత్ర కోసం ఉపయోగించారని పేర్కొంది, అయితే ఇది తప్పు. ""పాపా"" హ్యూస్ వాస్తవానికి సవరించబడ"&amp;"్డాయి మరియు మెషిన్ గన్స్ మరియు రాకెట్ లాంచర్లతో సాయుధమైన గన్‌షిప్‌లుగా ఉపయోగించబడ్డాయి. [3] UH-1V అనేది Medevac ఉపయోగం కోసం US ఆర్మీ ఎలక్ట్రానిక్స్ కమాండ్ చేత మార్చబడిన UH-1H యొక్క వెర్షన్. ఈ విమానం రాడార్ ఆల్టిమీటర్, DME, ILS మరియు రెస్క్యూ హాయిస్ట్ వంటి"&amp;" అనేక నవీకరణలను కలిగి ఉంది. మొదటి విమానం న్యూ హాంప్‌షైర్ నేషనల్ గార్డ్‌కు సరఫరా చేయబడింది. [3] EH-1X మెరుగైన EH-1H, ఇది AN/ALQ-151 వ్యవస్థతో అమర్చబడి, వాయుమార్గాన జామింగ్, రేడియో ఇంటర్‌సెప్ట్ మరియు DF పాత్ర కోసం కాన్ఫిగర్ చేయబడింది. పది EH-1x లు 1976 చివర"&amp;"లో ప్రాజెక్ట్ క్విక్ ఫిక్స్ IIA కింద నిర్మించబడ్డాయి. [3] జుహ్ -1 సవరించిన UH-1H AN/APS 94 రాడార్ సిస్టమ్, ఇది బొడ్డుపై తిరిగే బూమ్‌లో అమర్చబడి ఉంటుంది, ఇక్కడ కార్గో హుక్ ఉంది. విమానం యొక్క స్కిడ్ ల్యాండింగ్ గేర్ విమానంలో ఉన్నప్పుడు రాడార్ యాంటెన్నాలను తి"&amp;"ప్పడానికి వీలు కల్పిస్తుంది. జుహ్ -1 లు ఆటోపైలట్ మరియు మెరుగైన నావిగేషన్ ఏవియానిక్‌లను కూడా కలిగి ఉన్నాయి. రాడార్ చిత్రాల విశ్లేషణ కోసం రాడార్ వ్యవస్థను డేటాలింక్ గ్రౌండ్ స్టేషన్‌కు అనుసంధానించారు. [3] స్టాండ్ ఆఫ్ టార్గెట్ అక్విజిషన్ సిస్టమ్ (సోటాస్) కార్"&amp;"యక్రమంలో టెక్నాలజీ ప్రదర్శనకారులుగా ఉపయోగించడానికి ఐరోపా మరియు కొరియాలో యుఎస్ ఆర్మీ మరియు కొరియా ఉపయోగం కోసం కనీసం నాలుగు UH-1Hs JUH-1S గా సవరించబడింది. వాటిని మొట్టమొదట 1975 లో మోహరించారు, కాని 1986 నాటికి వీటిని EH-60 బ్లాక్ హాక్ భర్తీ చేశారు. [3] UH-1Y"&amp;" విషం US మెరైన్స్ కోసం అప్‌గ్రేడ్ చేసిన UH-1N ట్విన్ హ్యూయ్, ఇది 18 నవంబర్ 2006 న మొదట ఎగిరింది, ఇది H-1 అప్‌గ్రేడ్ కార్యక్రమంలో భాగంగా అభివృద్ధి చేయబడింది. రచయిత ద్వారా అక్షర క్రమంలో జాబితా చేయబడింది:")</f>
        <v>బెల్ UH-1 ఇరోక్వోయిస్ మిలిటరీ హెలికాప్టర్, మొట్టమొదట 1959 లో ప్రవేశపెట్టింది, హెలికాప్టర్ల యొక్క ఫలవంతమైన హ్యూయ్ కుటుంబంలో మొదటి ఉత్పత్తి సభ్యుడు, మరియు ఇది ఇరవైకి పైగా వేరియంట్లలో అభివృద్ధి చేయబడింది, ఇవి క్రింద జాబితా చేయబడ్డాయి. టర్బైన్ ఇంజిన్‌ను ఉపయోగించిన మొట్టమొదటి బెల్ హెలికాప్టర్ సవరించిన మోడల్ 47 (నియమించబడిన XH-13 ఎఫ్), ఇది అక్టోబర్ 1954 లో ప్రారంభ విమానాన్ని కలిగి ఉంది. యు.ఎస్. ఆర్మీ 1955 లో సాధారణ ప్రయోజనం మరియు వైద్య/ప్రమాద తరలింపు కోసం కొత్త హెలికాప్టర్ కోసం ఒక పోటీని ప్రారంభించింది . జూన్ 1955 లో, యు.ఎస్. ఆర్మీ కోసం తరువాతి తరం టర్బైన్-శక్తితో పనిచేసే యుటిలిటీ హెలికాప్టర్‌ను అభివృద్ధి చేయడానికి బెల్ హెలికాప్టర్‌కు ఒక ఒప్పందం లభించింది. ఫలితంగా వచ్చిన బెల్ మోడల్ 204 ను యు.ఎస్. మిలిటరీ XH-40 గా నియమించింది మరియు మొదట 22 అక్టోబర్ 1956 న ప్రయాణించారు. మరో రెండు ప్రోటోటైప్‌లు 1957 లో నిర్మించబడ్డాయి మరియు ఆరు YH-40 ప్రీ-ప్రొడక్షన్ హెలికాప్టర్లు 1958 లో పంపిణీ చేయబడ్డాయి. [1] YH-40 యొక్క క్యాబిన్ (30 సెం.మీ) లో 12 లో పొడవుగా ఉంది మరియు XH-40 తో పోలిస్తే ఎక్కువ గ్రౌండ్ క్లియరెన్స్ ఉంది. [2] ట్రూప్ ట్రాన్స్‌పోర్ట్ మరియు కార్గో మోస్తున్న మరియు మెడెవాక్ పాత్రకు YH-40 అనువైనదని బెల్ నమ్మాడు, త్వరలో సైన్యం అనుసరించిన అభిప్రాయం; మునుపటి పిస్టన్-శక్తితో పనిచేసే హెలికాప్టర్ల కంటే వారు ప్రీ-ప్రొడక్షన్ విమానాన్ని సేవలో చాలా మెరుగ్గా కనుగొన్నారు, వారు త్వరలోనే ఎక్కువ ఆదేశించారు. HU-1A (తరువాత UH-1A ను పున es రూపకల్పన చేసింది) ఉత్పత్తిలోకి వెళ్ళిన మొట్టమొదటి టర్బైన్-అమర్చిన యు.ఎస్. నిర్లిప్తత. అవి మూల్యాంకనం కోసం మాత్రమే ఉద్దేశించినప్పటికీ, సైన్యం త్వరగా కార్యాచరణ సేవలోకి ప్రవేశించింది మరియు 57 వ వైద్య నిర్లిప్తతతో హ్యూస్ మార్చి 1962 లో వియత్నాం చేరుకుంది. [3] హెలికాప్టర్ మొదట HU -1A గా నియమించబడింది, ఇక్కడే దాని మారుపేరును అందుకుంది - "హ్యూయ్." అధికారిక యు.ఎస్. ఆర్మీ హోదా ఇరోక్వోయిస్ (ఆర్మీ హెలికాప్టర్లకు సాంప్రదాయకంగా స్థానిక అమెరికన్ పేర్లు ఇవ్వబడ్డాయి) దాదాపు ఎప్పుడూ ఆచరణలో ఉపయోగించబడలేదు. [4] UH-1AS యొక్క అసలు క్రమం యొక్క పద్నాలుగు మందిని Th-1a గా నియమించారు, వీటిని సిబ్బంది శిక్షణ కోసం ఉపయోగించారు మరియు ఒకే విమానాన్ని 1960 లో గ్రెనేడ్ లాంచర్ పరీక్ష కోసం XH-1A పున es రూపకల్పన చేశారు. [3] 57 వ వైద్య నిర్లిప్తత తరువాత వియత్నాం చేరుకున్న మొట్టమొదటి UH-1AS కొత్త టెస్ట్ యూనిట్, యుఎస్ ఆర్మీ యొక్క యుటిలిటీ టాక్టికల్ ట్రాన్స్పోర్ట్ కంపెనీ (UTTCO) తో ఉంది. UTTCO కి 20 "ఆల్ఫా" హ్యూస్ ఉంది మరియు 1962 చివరలో వియత్నాంకు మోహరించబడింది. [5] ఈ విమానాలను ఇప్పటికే ఉన్న H-21 షవ్నీస్ మరియు H-34 చోక్టావ్స్ ట్రూప్ క్యారియర్‌లకు సాయుధ ఎస్కార్ట్‌లుగా ఉపయోగించారు. [3] [4] ఉపయోగంలో UH-1A వారి లైమింగ్ T53-L-1 పవర్‌ప్లాంట్లతో కేవలం 860 SHP యొక్క తక్కువ శక్తిని కలిగి ఉంది మరియు హ్యూయ్ యొక్క మెరుగైన ఫాలో-ఆన్ మోడళ్ల అవసరాన్ని సూచించింది. [3] [4] HU-1B ఒక మెరుగైన మోడల్, ఇది 960 SHP (720 kW) యొక్క లైమింగ్ T53-L-5 ఇంజిన్‌తో, 44-అడుగుల (13 మీ) వ్యాసం మరియు 21-అంగుళాల (530 మిమీ) తీగను సవరించిన ప్రధాన రోటర్ బ్లేడ్లు , 13 అంగుళాల అధిక రోటర్ మాస్ట్ మరియు ఏడుగురు ప్రయాణీకులకు వసతి కల్పించే పొడవైన క్యాబిన్. [3] [4] ఈ సంస్కరణను 1962 లో పున es రూపకల్పన చేశారు. తరువాత ఉత్పత్తి UH-1B లలో 1,100 SHP (820 kW) యొక్క లైమింగ్ T53-L-9 మరియు L-11 ఇంజన్లు ఉన్నాయి. స్థూల బరువు 8,500 పౌండ్లు (3,900 కిలోలు) మరియు ప్రామాణిక ఖాళీ బరువు 4,513 పౌండ్లు (2,047 కిలోలు). [3] [4] "బి" మోడల్ యొక్క ఆర్మీ పరీక్ష నవంబర్ 1960 లో ప్రారంభమైంది, మొదటి ఉత్పత్తి విమానాలు మార్చి 1961 లో వచ్చాయి. మొత్తం 1010 "బ్రావో" నమూనాలు యుఎస్ ఆర్మీకి పంపిణీ చేయబడ్డాయి. మొదటి విస్తరణ నవంబర్ 1963 లో UTTCO ఇప్పటికే వాడుకలో ఉన్న "ఆల్ఫా" మోడళ్లలో చేరడానికి పదకొండు మందిని వియత్నాంకు పంపారు. [3] పరీక్ష ప్రయోజనాల కోసం ఒక NUH-1B ఉత్పత్తి చేయబడింది. [3] బెల్ మెరుగైన డోర్ లాక్స్ వంటి కొన్ని చిన్న భద్రతా మెరుగుదలలను కలుపుకొని UH-1B యొక్క సివిల్ వెర్షన్‌ను ధృవీకరించారు. ఈ విమానం బెల్ 204 బిగా విక్రయించబడింది. [3] తరువాత "లాంగ్ క్యాబిన్" హ్యూస్ రవాణా పాత్రలో బ్రావోను భర్తీ చేసినందున, UH-1B మెషిన్ గన్స్ మరియు రాకెట్లతో కూడిన "గన్‌షిప్" పాత్రలో ఎక్కువగా ఉపయోగించబడింది. ఏదేమైనా, భారీ ఆయుధ ఉపవ్యవస్థలతో ఉపయోగించినప్పుడు పూర్తి సామర్థ్యాన్ని కొనసాగించడానికి ఇది తగినంత శక్తిని కలిగి లేదు, ఇది UH-1C కి దారితీస్తుంది. [సైటేషన్ అవసరం] UH-1C "మధ్యంతర" దాడి హెలికాప్టర్ వరకు గన్‌షిప్ వెర్షన్‌గా ప్రత్యేకంగా అభివృద్ధి చేయబడింది. AH-1G హ్యూయ్ కోబ్రా అందుబాటులో ఉంది మరియు UH-1B యొక్క లోపాలను సాయుధ పాత్రలో ఉపయోగించినప్పుడు దాన్ని సరిదిద్దడానికి. UH-1C ను యుఎస్ ఆర్మీ సేవలో "హ్యూయ్ హాగ్" అని విస్తృతంగా సూచిస్తారు. [3] [4] "చార్లీ" మోడల్ 1,100 SHP (820 kW) T53-L-9 లేదా L-11 ఇంజిన్‌తో అమర్చబడింది, ఆ సమయంలో ఆయుధ వ్యవస్థలను ఉపయోగంలో లేదా అభివృద్ధిలో ఎత్తడానికి అవసరమైన శక్తిని అందించడానికి. ఇది కొత్త బెల్ 540 రోటర్ వ్యవస్థను 27-అంగుళాల (690 మిమీ) తీగ బ్లేడ్‌లతో చేర్చింది. పెరిగిన పవర్ లీడ్ బెల్ యొక్క ఇంజనీర్లు "సి" కోసం కొత్త టెయిల్‌బూమ్‌ను రూపొందించడానికి, ఇది విస్తృత తీగ ఫిన్‌ను పొడవైన బూమ్ మరియు పెద్ద సమకాలీకరించిన ఎలివేటర్లపై కలిగి ఉంది. "సి" యుద్ధంలో పునరావృతానికి ద్వంద్వ హైడ్రాలిక్ నియంత్రణ వ్యవస్థను మరియు ఆగ్నేయాసియాలో కనిపించే మురికి పరిస్థితుల కోసం మెరుగైన ఇన్లెట్ ఫిల్టర్ వ్యవస్థను కూడా ప్రవేశపెట్టింది. ఇంధనాన్ని 242 యుఎస్ గ్యాలన్లకు మరియు స్థూల బరువు 9,500 ఎల్బి (4,300 కిలోలు) కు పెంచారు, ఇది నామమాత్రపు ఉపయోగకరమైన లోడ్ 4,673 ఎల్బి (2,120 కిలోలు). [3] [4] "సి" మోడల్‌పై అభివృద్ధి 1960 లో ప్రారంభమైంది, ఉత్పత్తి జూన్ 1966 నుండి ప్రారంభమైంది. మొత్తం 766 "సి" నమూనాలు పూర్తయ్యాయి, వీటిలో ఐదు మరియు రాయల్ ఆస్ట్రేలియన్ నేవీకి ఐదు మరియు నార్వేకు ఐదు ఉన్నాయి. బ్యాలెన్స్ యుఎస్ సైన్యానికి వెళ్ళింది. [3] [4] చాలా UH-1C లను తరువాత 1,400 SHP (1,000 kW) లైమింగ్ T53-L-13 పవర్‌ప్లాంట్‌తో తిరిగి ఇంజిన్ చేశారు. ఈ ఇంజిన్‌తో వారు UH-1M ను పున es రూపకల్పన చేశారు. [3] [4] మునుపటి "షార్ట్-బాడీ" హ్యూస్ విజయవంతమయ్యాయి, ముఖ్యంగా గన్‌షిప్ పాత్రలో, కానీ క్యాబిన్ స్థలం సమర్థవంతమైన ట్రూప్ రవాణాగా లేదు. యుఎస్ సైన్యం నలుగురు (ఇద్దరు పైలట్లు మరియు ఇద్దరు డోర్ గన్నర్స్) సిబ్బందిని తీసుకెళ్లగల సంస్కరణను కోరుకుంది మరియు ఎనిమిది నుండి పది మంది సైనికుల పదాతిదళ విభాగాన్ని కూడా పంపిణీ చేస్తుంది. బెల్ యొక్క పరిష్కారం UH-1B ఫ్యూజ్‌లేజ్‌ను 41 అంగుళాలు (105 సెం.మీ) విస్తరించడం మరియు ప్రసారానికి ఇరువైపులా రెండు పక్కపక్కనే సీట్లను అమర్చడానికి అదనపు స్థలాన్ని ఉపయోగించడం. ఇది సిబ్బంది సీట్లతో సహా మొత్తం సీటింగ్ సామర్థ్యాన్ని 15 కి తీసుకువచ్చింది. [3] [4] కొత్త హ్యూయీని యుఎస్ ఆర్మీ యుహెచ్ -1 డి మరియు బెల్ మోడల్ 205 గా నియమించారు. విస్తరించిన క్యాబిన్ ఆరు స్ట్రెచర్లను కూడా కలిగి ఉంటుంది, మునుపటి మోడళ్ల కంటే రెట్టింపు, "డెల్టా" మంచి మెడెవాక్ విమానం. ఒకే విండోతో మునుపటి మోడల్ యొక్క స్లైడింగ్ సైడ్ తలుపుల స్థానంలో, పెద్ద తలుపులు అమర్చబడి రెండు విండోస్ ఉన్నాయి, మరియు ఐచ్ఛిక విండోతో ఒక చిన్న "అతుక్కొని ప్యానెల్", క్యాబిన్‌కు ప్రాప్యతను అందిస్తుంది. తలుపులు మరియు అతుక్కొని ఉన్న ప్యానెల్లు త్వరగా తొలగించబడతాయి మరియు ఆ కాన్ఫిగరేషన్‌లో హ్యూయీని ఎగురవేయవచ్చు. [3] మొట్టమొదటి యుహ్ -1 డి ప్రోటోటైప్ ఆగస్టు 1960 లో ఎగిరింది. ఏడు యుహ్ -1D లు మార్చి 1961 నుండి ఎడ్వర్డ్స్ AFB వద్ద పంపిణీ చేయబడ్డాయి మరియు పరీక్షించబడ్డాయి. యుహ్ -1 డి ప్రారంభంలో 44 అడుగుల (13 మీ) ప్రధాన రోటర్ మరియు లైమింగ్ T53-L కలిగి ఉంది -9 ఇంజిన్. ఎక్కువ శక్తి అవసరమని పరీక్ష వెల్లడించింది మరియు అందువల్ల రోటర్ 21 అంగుళాల (530 మిమీ) తీగతో 48 అడుగుల (15 మీ) కు పొడవుగా ఉంది మరియు ఇంజిన్ 1,100 ఎస్‌హెచ్‌పి (820 కెడబ్ల్యుడబ్ల్యు (820 కెడబ్ల్యు. ). పొడవైన రోటర్ బ్లేడ్లకు అనుగుణంగా పొడవైన టెయిల్‌బూమ్ రూపొందించబడింది. స్థూల బరువు 9,500 పౌండ్లు (4,300 కిలోలు). తరువాత ఉత్పత్తి "డెల్టాస్" లో 1,400 ఎస్‌హెచ్‌పి (1,000 కిలోవాట్) యొక్క లైమింగ్ టి 53-ఎల్ -13 పవర్‌ప్లాంట్ "హోటల్" మోడళ్లుగా వ్యవస్థాపించబడింది మరియు పున es రూపకల్పన చేయబడింది. [3] [4] ఫోర్ట్ బెన్నింగ్ జార్జియాలో 11 వ ఎయిర్ అస్సాల్ట్ డివిజన్ (టెస్ట్) రెండు ఆగస్టు 1963 న "డెల్టా" మోడల్ యొక్క మొదటి ఆర్మీ యూనిట్ డెలివరీలు రెండు ఆగస్టు 1963 న ఉన్నాయి. ఈ యూనిట్ 1 వ అశ్వికదళ విభాగానికి పేరు మార్చబడింది మరియు వియత్నాంకు దాని "డెల్టా" హ్యూస్‌తో మోహరించబడింది. [3] [4] మొత్తం 2,008 UH-1DS 1962 మరియు 1966 మధ్య US సైన్యానికి పంపిణీ చేయబడింది. ఈ మోడల్ విస్తృతంగా ఎగుమతి చేయబడింది మరియు ఆస్ట్రేలియా మరియు దక్షిణ వియత్నాం యొక్క సాయుధ దళాలతో పనిచేసింది. పశ్చిమ జర్మన్ సాయుధ దళాల కోసం డోర్నియర్ నిర్మించిన 352 తో సహా మొత్తం 2,561 UH-1D లు నిర్మించబడ్డాయి. [3] [4] HH-1D అనేది యుఎస్ ఆర్మీకి ఒక బేస్ రెస్క్యూ/ఫైర్-ఫైటింగ్ వెర్షన్, ఇది 50 గాలన్ నీరు మరియు నురుగు స్ప్రే వ్యవస్థను కలిగి ఉంది, ఇది 16-అడుగుల (4.9 మీ) విజృంభణ ద్వారా విడుదల చేయబడుతుంది. [3] UH-1D ని లైమింగ్ T53-L-13 ఇంజిన్‌కు అప్‌గ్రేడ్ చేయడం, పథాట్ ట్యూబ్‌ను ముక్కు నుండి పైకప్పుకు మార్చడం వల్ల కొత్త మోడల్, UH-1H, ఇది హ్యూయ్ కుటుంబంలో ఎక్కువగా ఉత్పత్తి చేయబడిన వేరియంట్‌గా మారింది. [ 1962 లో, యుఎస్ మెరైన్స్ సెస్నా ఓ -1 మరియు కామన్ OH-43D హెలికాప్టర్ స్థానంలో కొత్త దాడి మద్దతు హెలికాప్టర్‌ను ఎంచుకోవడానికి ఒక పోటీని నిర్వహించింది. విజేత UH-1B, ఇది అప్పటికే యుఎస్ ఆర్మీతో సేవలో ఉంది. [4] మెరైన్ కార్ప్స్ అవసరాలను తీర్చడానికి UH-1B ను ప్రత్యేక మోడల్‌గా అభివృద్ధి చేశారు. ప్రధాన మార్పులలో తుప్పు నిరోధకత కోసం ఆల్-అల్యూమినియం నిర్మాణాన్ని ఉపయోగించడం (అంతకుముందు UH-1 లలో కొన్ని మెగ్నీషియం భాగాలు ఉన్నాయి), మెరైన్ కార్ప్స్ గ్రౌండ్ ఫ్రీక్వెన్సీలకు అనుకూలంగా ఉండే ప్రత్యేక ఏవియానిక్స్, షిప్‌బోర్డ్ ఉపయోగం కోసం షట్డౌన్ కోసం రోటర్‌ను త్వరగా ఆపడానికి రోటర్ బ్రేక్ మరియు రోటర్ బ్రేక్ మరియు పైకప్పు-మౌంటెడ్ రెస్క్యూ హాయిస్ట్. [3] [4] UH-1E మొట్టమొదట 7 అక్టోబర్ 1963 న ఎగురవేయబడింది మరియు డెలివరీలు 21 ఫిబ్రవరి 1964 న ప్రారంభమయ్యాయి, 192 విమానాలు పూర్తయ్యాయి. బెల్ వద్ద ప్రొడక్షన్ లైన్ రియాలిటీస్ కారణంగా UH-1E రెండు వేర్వేరు వెర్షన్లలో ఉత్పత్తి చేయబడింది, రెండూ ఒకే UH-1E హోదాతో. నిర్మించిన మొదటి 34 తప్పనిసరిగా UH-1B ఎయిర్ఫ్రేమ్‌లు, 1,100 SHP (820 kW) యొక్క లైమింగ్ T53-L-11 తో. బెల్ ఆర్మీ ఉత్పత్తిని UH-1C కి మారుస్తున్నందున UH-1E ప్రొడక్షన్ లైన్ “సి” తో సామాన్యతగా మార్చబడింది. దీని అర్థం తరువాత “ఎకో” హ్యూస్ పెద్ద ఫిన్, 540 రోటర్ సిస్టమ్ మరియు స్థూల బరువు 8,500 పౌండ్లు (3,900 కిలోలు) తో సహా “చార్లీ” స్టైల్ టెయిల్‌బూమ్‌తో పూర్తయ్యాయి. [3] మెరైన్స్ UH-1E ను గన్‌షిప్ మరియు ట్రూప్ ట్రాన్స్‌పోర్ట్‌గా ఉపయోగించారు. చాలా మంది లైమింగ్ T53-L-13 ఇంజిన్‌కు అప్‌గ్రేడ్ చేయబడ్డారు, ఇది 1,400 SHP (1,000 kW) ను ఉత్పత్తి చేసింది, ఈ “ప్రతిధ్వనులు” ఆర్మీ “మైక్” మోడళ్ల మాదిరిగానే ఉన్నాయి. కనీసం 126 UH-1es వారి వియత్నాం సేవ నుండి బయటపడింది మరియు ఇప్పటికీ ఒక దశాబ్దం తరువాత వాడుకలో ఉంది. [3] [4] UH-1E యొక్క మెరైన్ కార్ప్స్ శిక్షణ వెర్షన్ ఉంది, ఇది UH-1C వేరియంట్ ఆధారంగా రూపొందించబడింది మరియు దీనిని TH-1E గా నియమించారు. ఇరవై 1965 లో పంపిణీ చేయబడ్డాయి. [3] బెల్ హెలికాప్టర్స్ 1963 యునైటెడ్ స్టేట్స్ వైమానిక దళం దాని క్షిపణి స్థావరాలలో ఉపయోగం కోసం సహాయక హెలికాప్టర్ కోసం విజేత. [3] బెల్ పోటీ కోసం UH-1B ని ప్రతిపాదించాడు, కాని సాధారణ ఎలక్ట్రిక్ T58 టర్బోషాఫ్ట్‌ను పవర్‌ప్లాంట్‌గా ఉపయోగించడంలో "బ్రావో" యొక్క ప్రత్యేక సంస్కరణను అభివృద్ధి చేయమని USAF బెల్ కోరింది. USAF ఇప్పటికే సికోర్స్కీ HH-3 జాలీ గ్రీన్ జెయింట్ రెస్క్యూ హెలికాప్టర్ల సముదాయం కోసం ఈ ఇంజిన్ల యొక్క పెద్ద జాబితాను కలిగి ఉంది మరియు రకాలు మధ్య సామాన్యతను కలిగి ఉండాలని కోరుకుంది. ఈ ఇంజిన్ UH-1B యొక్క 1,100 HP (820 kW) T53-L11 తో పోలిస్తే 1,250 HP (932 kW) సామర్థ్యం కలిగి ఉంది. [3] [4] ప్రతిస్పందనగా బెల్ UH-1B యొక్క అప్‌గ్రేడ్ వెర్షన్‌ను ప్రతిపాదించాడు, T58 ఇంజిన్ ఇన్‌స్టాల్ చేయబడింది. ఫలితంగా UH-1F "బ్రావో" హ్యూయ్ యొక్క తక్కువ క్యాబిన్ కలిగి ఉంది, కానీ పొడవైన తోక బూమ్, రోటర్ మరియు UH-1D యొక్క ప్రసారంతో. [3] హ్యూయ్ కాన్ఫిగరేషన్ కారణంగా, బెల్ HH-3 తో పోలిస్తే T58 ఇంజిన్‌ను వెనుకకు ఇన్‌స్టాల్ చేసింది. హ్యూయ్ యొక్క ఇంజిన్ ట్రాన్స్మిషన్ వెనుక ఉంది, అయితే HH-3 యొక్క ఇంజన్లు ప్రసారం ముందు ఉన్నాయి. బాహ్యంగా, UH-1B నుండి కనిపించే ఏకైక తేడాలు ఇంజిన్ ఎగ్జాస్ట్, ఇవి ఇంజిన్ యొక్క కుడి వైపుకు మరియు పొడవైన తోక బూమ్ నుండి నిష్క్రమించాయి. [3] UH-1F ను USAF జాబితాలో 20 ఫిబ్రవరి 1964 న ప్రవేశపెట్టారు. USAF 1967 లో ఉత్పత్తితో 119 ను డెలివరీ చేసింది. ఆగ్నేయాసియాలో చాలా విమానాలు 20 వ స్పెషల్ ఆపరేషన్స్ స్క్వాడ్రన్‌తో పనిచేశాయి మరియు కొన్ని సాయుధ UH- గా మార్చబడ్డాయి 1p కాన్ఫిగరేషన్. [3] [4] ఇటలీలో, అగస్టా 204 బిని 1,225 హెచ్‌పి (914 కిలోవాట్) రోల్స్ రాయిస్ గ్నోమ్ (లైసెన్స్-నిర్మించిన టి 58) టర్బోషాఫ్ట్‌తో తిరిగి ఇంజనీరింగ్ చేయడం ద్వారా ఇదే విధమైన నమూనాను రూపొందించింది, కాని తరువాత నమూనాలు T58 లను ఉపయోగించాయి. AB204B ను నెదర్లాండ్స్, స్వీడన్, ఆస్ట్రియా మరియు స్విట్జర్లాండ్ మిలిటరీకి ఎగుమతి చేశారు. ఇది క్యాబిన్ యొక్క కుడి వైపున ఉన్న రెస్క్యూ హాయిస్ట్ కలిగి ఉంది. చివరి UH-1F 1980 ల ప్రారంభంలో USAF నుండి UH-1N చేత భర్తీ చేయబడినప్పుడు రిటైర్ అయ్యారు. ఈ విమానాలలో చాలా తరువాత వివిధ యుఎస్ రాష్ట్ర ప్రభుత్వాలు మరియు ఏజెన్సీలతో అటవీ అగ్నిమాపక పోరాట విమానాలుగా పనిచేశాయి. [3] USAF కోసం ఒక TH-1F శిక్షకుడు కూడా నిర్మించాడు. మొదటి TH-1F జనవరి 1967 లో ఎగురవేయబడింది మరియు డెలివరీలు ఆ సంవత్సరం ఏప్రిల్ నుండి జూలై వరకు 27 పూర్తయ్యాయి. [3] ఈ వేరియంట్ యొక్క ఉదాహరణలు USAF ఇన్స్ట్రుమెంట్ ఫ్లైట్ సెంటర్ చేత నిర్వహించబడ్డాయి. UH-1H మెరుగైన UH-1D, 1,400 SHP (1,000 kW) యొక్క లైమింగ్ T53-L-13 ఇంజిన్, ప్లస్ పిటోట్ ట్యూబ్ ముక్కు నుండి పైకప్పుకు మార్చబడింది, దానికి భూమి నష్టాన్ని తగ్గించడానికి. "డెల్టాస్" ను మరింత శక్తివంతమైన ఇంజిన్‌తో అప్‌గ్రేడ్ చేయడం ద్వారా "హోటల్" నమూనాలు సృష్టించబడ్డాయి. మొదటి యుహ్ -1 హెచ్ 1966 లో సెప్టెంబర్ 1967 నుండి ఉత్పత్తి నమూనాల డెలివరీలతో ప్రయాణించారు. [3] [4] "హోటల్" మోడల్ హ్యూయ్ ఇతర మోడల్ కంటే పెద్ద సంఖ్యలో ఉత్పత్తి చేయబడింది, 4,850 యుఎస్ సైన్యానికి మాత్రమే పంపిణీ చేయబడింది. [4] "హోటల్" మోడల్ విస్తృతంగా ఎగుమతి చేయబడింది మరియు జర్మనీ, ఇటలీ, జపాన్ మరియు తైవాన్లలో లైసెన్స్ క్రింద కూడా నిర్మించబడింది. [3] పది మందిని కెనడాకు కెనడాకు విక్రయించారు. 6 మార్చి 1968 న పంపిణీ చేయబడిన మొదటి దానితో CUH-1H హోదా కింద ఉపయోగం కోసం. వీటిని కెనడియన్ దళాలు అంచనా వేశాయి మరియు కెనడియన్ వ్యూహాత్మక ఉపయోగానికి అనుచితమైనవిగా గుర్తించబడ్డాయి, దీని ఫలితంగా కెనడియన్ ప్రభుత్వం కవలల అభివృద్ధికి స్పాన్సర్ చేసింది "హోటల్" యొక్క ఇంజిన్ వెర్షన్, UH-1N ట్విన్ హ్యూయ్. పది CUH-1Hs శోధన మరియు రెస్క్యూ ఉపయోగం కోసం తిరిగి అమర్చబడి, CH-118 ను పున es రూపకల్పన చేసి 1995 వరకు పనిచేశారు. [3] [4] బెల్ సివిల్ మార్కెట్ కోసం UH-1H యొక్క ధృవీకరించబడిన సంస్కరణను అభివృద్ధి చేశాడు. ఈ విమానం భద్రత కోసం చిన్న మార్పులను కలిగి ఉంది, అంటే డ్యూయల్ స్లైడింగ్ డోర్ లాక్స్ మరియు టెయిల్‌బూమ్‌లో సామాను కంపార్ట్మెంట్. దీనిని బెల్ మోడల్ 205 ఎగా మరియు తరువాత మెరుగైన 205A-1 గా విక్రయించింది. [3] "హోటల్" మోడల్ హ్యూయ్ అనేక ఉపవిభాగాలకు కూడా ఆధారం: UH-1H యొక్క UAV వెర్షన్‌ను అరోరా ఫ్లైట్ సైన్సెస్ అభివృద్ధి చేస్తోంది, అటానమస్ ఏరియల్ కార్గో యుటిలిటీ సిస్టమ్ (AACUS) కోసం వ్యూహాత్మక స్వయంప్రతిపత్త వైమానిక లాజిస్టిక్స్ సిస్టమ్ ప్లాట్‌ఫారమ్‌ను ఉపయోగించి ప్రోగ్రామ్. [7] బెల్ హ్యూయ్ II అనేది తిరిగి తయారు చేయబడిన, సవరించిన మరియు తిరిగి ఇంజిన్ చేయబడిన మిలిటరీ UH-1H, ఇందులో 1,800 SHP (1,343 kW) యొక్క అల్లిసన్ T53-L-703 టర్బోషాఫ్ట్ ఇంజిన్, వైబ్రేషన్-తగ్గింపు వ్యవస్థ, పరారుణ ప్రతిఘటన మరియు రాత్రి- విజన్-గాగ్లే (ఎన్విజి) అనుకూల కాక్‌పిట్. ప్రస్తుతం బెల్ అందిస్తున్నది. [8] జపాన్ గ్రౌండ్ సెల్ఫ్-డిఫెన్స్ ఫోర్స్ కోసం జపాన్లో ఫుజి నిర్మించిన కొన్ని UH-1H లు మెరుగుపరచబడ్డాయి మరియు UH-1J యొక్క స్థానిక హోదాను ఇచ్చారు, అయినప్పటికీ ఇది US హోదా సిరీస్‌లో ఉపయోగించబడలేదు. [6] ఇది అప్‌గ్రేడ్ ఇంజిన్ [9] మరియు UH-1N ముక్కును కలిగి ఉంది. [10] జపాన్ యొక్క UH-1H మరియు UH-1J లు బెల్ 412 యొక్క సైనిక వెర్షన్ ద్వారా భర్తీ చేయబడతాయి. [11] [12] [13] [14] కొత్త శోధన మరియు రెస్క్యూ హెలికాప్టర్ కోసం డిసెంబర్ 1968 లో యుఎస్ నేవీ బెల్ కు ఒప్పందం కుదుర్చుకుంది. ఈ విమానం HH-1K గా నియమించబడింది మరియు ప్రాథమికంగా వివిధ ఏవియానిక్స్ మరియు 1,400 SHP (1,000 kW) యొక్క లైమింగ్ T53-L-13 పవర్‌ప్లాంట్. [3] [4] "కిలో" హ్యూయ్ యొక్క డెలివరీలు మే 1970 లో ప్రారంభమయ్యాయి మరియు ఆ సంవత్సరం నవంబర్ నాటికి మూడు వియత్నాంకు పంపబడింది, యుఎస్ నేవీ స్క్వాడ్రన్ హా (ఎల్) -3 మరియు తరువాత HA (L) -4 ఎర్ర తోడేళ్ళు మరియు హా (ఎల్) -5 బ్లూ హాక్స్. మొత్తం 27 HH-1ks ఉత్పత్తి చేయబడ్డాయి. [3] యుఎస్ మెరైన్స్కు UH-1E యొక్క డెలివరీలు యుఎస్ నేవీ కొన్నింటిని పరీక్షించాయి మరియు ఈ రకం వారి ఉపయోగాలకు యుటిలిటీ హెలికాప్టర్‌గా సరిపోతుందని కనుగొన్నారు. 16 మే 1968 న, యుఎస్ నేవీ UH-1L హోదాలో ఎనిమిది విమానాలను ఆదేశించింది. [3] [4] "లిమా" హ్యూయ్ ప్రాథమికంగా UH-1E, ఇది సైన్యం యొక్క UH-1C ఆధారంగా తరువాతి ఉత్పత్తి రకం, రెస్క్యూ హాయిస్ట్ మరియు తీసుకోవడం కణ తెరతో కూడి ఉంటుంది. "LS" కవచం లేదా ఆయుధాలను వ్యవస్థాపించకుండా పంపిణీ చేయబడింది మరియు 1,400 SHP (1,000 kW) యొక్క లైమింగ్ T53-L-13 పవర్‌ప్లాంట్‌ను కలిగి ఉంది. [3] [4] మొదటి నాలుగు “లిమాస్” నవంబర్ 1969 లో పంపిణీ చేయబడ్డాయి మరియు ఆపరేషన్ సీలార్డ్స్‌కు కేటాయించిన యుఎస్ నేవీ హా (ఎల్) -3 నిర్లిప్తతను సన్నద్ధం చేయడానికి వియత్నాంకు పంపబడ్డాయి. వియత్నాంలో ఈ విమానం ఆయుధాలు మరియు కవచాలతో సవరించబడింది మరియు 500 ఎల్బి (230 కిలోల) బాంబులు మరియు 500 ఎల్బి (230 కిలోల) ఇంధన-గాలి పేలుడు ఆయుధాలను తీసుకెళ్లడానికి అమర్చారు. [3] పైలట్ ఎయిర్క్రాఫ్ట్ క్యారియర్ క్వాలిఫికేషన్ ట్రైనింగ్ సహా, శిక్షణ పాత్రలో ఉపయోగించిన హెచ్ -34 మరియు అరువు తెచ్చుకున్న ఆర్మీ యుహెచ్ -1 డిఎస్ స్థానంలో నావికాదళం కోసం యుహెచ్ -1 ఎల్ యొక్క టిహెచ్ -1 ఎల్ వెర్షన్ ఉంది. నవంబర్ 1969 నుండి నలభై-ఐదు TH-1L లు పంపిణీ చేయబడ్డాయి. [3] "మైక్" మోడల్ హ్యూయ్ ప్రస్తుత UH-1C ను UH-1H లో ఉపయోగించిన 1,400 SHP (1,000 kW) లైమింగ్ T53-L-13 పవర్‌ప్లాంట్‌తో తిరిగి ఇంజనీరింగ్ చేయడం ద్వారా మార్చడం. ఇది గన్‌షిప్ పాత్ర కోసం "సి" మోడల్‌కు మరింత శక్తిని అందించింది మరియు ఆ సమయంలో వియత్నాంలో వాడుకలో ఉన్న దాడి మరియు రవాణా హెలికాప్టర్ల మధ్య ఇంజిన్ సామాన్యతను కూడా అందించింది. [3] [4] బెల్ ఏప్రిల్ 1965 లో మొదటి ట్విన్-ఇంజిన్ హ్యూయీని ఎగరవేసింది, దీనిని మోడల్ 208 అని పిలిచారు. ఇది ఖండాంతర XT67 ట్విన్-ప్యాక్ ఇంజిన్ మాడ్యూల్ ద్వారా శక్తిని పొందింది. ప్రాట్ &amp; విట్నీ కెనడా పిటి 6 టి ట్విన్-ప్యాక్ ఇంజన్ ఉపయోగించి ట్విన్ హ్యూయ్ అభివృద్ధిని కొనసాగించడానికి కెనడియన్ ప్రభుత్వం బెల్ కోసం ప్రోత్సాహాన్ని అందించింది. ఈ ప్రాజెక్ట్ కెనడియన్ దళాలు, యుఎస్ మెరైన్ కార్ప్స్, యుఎస్ నేవీ మరియు యుఎస్‌ఎఎఫ్ల ఆదేశాలను ఆకర్షించింది, కాని యుఎస్ సైన్యం కాదు. [3] [4] కొత్త విమానం US సేవలో UH-1N ఇరోక్వోయిస్ మరియు కెనడియన్ దళాల వాడకంలో CUH-1N ట్విన్ హ్యూయ్ గా నియమించబడింది. కెనడియన్ హోదా తరువాత CH-135 ట్విన్ హ్యూయ్ గా మార్చబడింది. USAF కోసం బేస్ రెస్క్యూ హెలికాప్టర్‌గా ఉత్పత్తి చేయబడిన HH-1N వెర్షన్ ఉంది మరియు కాల్ సైన్ గ్రీన్ హార్నెట్‌ను ఉపయోగించి కౌంటర్-తిరుగుబాటు పాత్రలో 20 వ స్పెషల్ ఆపరేషన్స్ స్క్వాడ్రన్ ఉపయోగం కోసం. కొన్ని మెరైన్ కార్ప్స్ UH-1NS ను VH-1NS గా VIP రవాణాగా మార్చారు, వీటిలో ఆరు అధ్యక్ష ఉపయోగం కోసం ఆరు ఉన్నాయి. [3] [4] UH-1N ను విస్తృతంగా ఉత్పత్తి చేసి, పెద్ద సంఖ్యలో దేశాలకు ఎగుమతి చేసింది మరియు ఇటలీలో అగస్టా చేత లైసెన్స్ నిర్మించబడింది. అక్టోబర్ 1970 లో బెల్ సివిల్ వెర్షన్‌ను మోడల్ 212 గా ధృవీకరించారు. [4] వియత్నాం యుద్ధంలో ఆగ్నేయాసియాలో ఉన్న వారి 20 వ స్పెషల్ ఆపరేషన్స్ స్క్వాడ్రన్, గ్రీన్ హార్నెట్స్ ద్వారా USAF చేత UH-1P కాన్ఫిగరేషన్‌కు తెలియని సంఖ్యలో UH-1P కాన్ఫిగరేషన్‌కు సవరించబడింది. [3] [4] అధికారిక USAF వర్గాలు ఈ విమానాలను వర్గీకృత మానసిక యుద్ధ పాత్ర కోసం ఉపయోగించారని పేర్కొంది, అయితే ఇది తప్పు. "పాపా" హ్యూస్ వాస్తవానికి సవరించబడ్డాయి మరియు మెషిన్ గన్స్ మరియు రాకెట్ లాంచర్లతో సాయుధమైన గన్‌షిప్‌లుగా ఉపయోగించబడ్డాయి. [3] UH-1V అనేది Medevac ఉపయోగం కోసం US ఆర్మీ ఎలక్ట్రానిక్స్ కమాండ్ చేత మార్చబడిన UH-1H యొక్క వెర్షన్. ఈ విమానం రాడార్ ఆల్టిమీటర్, DME, ILS మరియు రెస్క్యూ హాయిస్ట్ వంటి అనేక నవీకరణలను కలిగి ఉంది. మొదటి విమానం న్యూ హాంప్‌షైర్ నేషనల్ గార్డ్‌కు సరఫరా చేయబడింది. [3] EH-1X మెరుగైన EH-1H, ఇది AN/ALQ-151 వ్యవస్థతో అమర్చబడి, వాయుమార్గాన జామింగ్, రేడియో ఇంటర్‌సెప్ట్ మరియు DF పాత్ర కోసం కాన్ఫిగర్ చేయబడింది. పది EH-1x లు 1976 చివరలో ప్రాజెక్ట్ క్విక్ ఫిక్స్ IIA కింద నిర్మించబడ్డాయి. [3] జుహ్ -1 సవరించిన UH-1H AN/APS 94 రాడార్ సిస్టమ్, ఇది బొడ్డుపై తిరిగే బూమ్‌లో అమర్చబడి ఉంటుంది, ఇక్కడ కార్గో హుక్ ఉంది. విమానం యొక్క స్కిడ్ ల్యాండింగ్ గేర్ విమానంలో ఉన్నప్పుడు రాడార్ యాంటెన్నాలను తిప్పడానికి వీలు కల్పిస్తుంది. జుహ్ -1 లు ఆటోపైలట్ మరియు మెరుగైన నావిగేషన్ ఏవియానిక్‌లను కూడా కలిగి ఉన్నాయి. రాడార్ చిత్రాల విశ్లేషణ కోసం రాడార్ వ్యవస్థను డేటాలింక్ గ్రౌండ్ స్టేషన్‌కు అనుసంధానించారు. [3] స్టాండ్ ఆఫ్ టార్గెట్ అక్విజిషన్ సిస్టమ్ (సోటాస్) కార్యక్రమంలో టెక్నాలజీ ప్రదర్శనకారులుగా ఉపయోగించడానికి ఐరోపా మరియు కొరియాలో యుఎస్ ఆర్మీ మరియు కొరియా ఉపయోగం కోసం కనీసం నాలుగు UH-1Hs JUH-1S గా సవరించబడింది. వాటిని మొట్టమొదట 1975 లో మోహరించారు, కాని 1986 నాటికి వీటిని EH-60 బ్లాక్ హాక్ భర్తీ చేశారు. [3] UH-1Y విషం US మెరైన్స్ కోసం అప్‌గ్రేడ్ చేసిన UH-1N ట్విన్ హ్యూయ్, ఇది 18 నవంబర్ 2006 న మొదట ఎగిరింది, ఇది H-1 అప్‌గ్రేడ్ కార్యక్రమంలో భాగంగా అభివృద్ధి చేయబడింది. రచయిత ద్వారా అక్షర క్రమంలో జాబితా చేయబడింది:</v>
      </c>
      <c r="E140" s="1" t="s">
        <v>2253</v>
      </c>
      <c r="F140" s="1" t="s">
        <v>2254</v>
      </c>
      <c r="G140" s="1" t="str">
        <f>IFERROR(__xludf.DUMMYFUNCTION("GOOGLETRANSLATE(F:F, ""en"", ""te"")"),"మిలిటరీ హెలికాప్టర్")</f>
        <v>మిలిటరీ హెలికాప్టర్</v>
      </c>
      <c r="I140" s="1" t="s">
        <v>127</v>
      </c>
      <c r="J140" s="1" t="str">
        <f>IFERROR(__xludf.DUMMYFUNCTION("GOOGLETRANSLATE(I:I, ""en"", ""te"")"),"సంయుక్త రాష్ట్రాలు")</f>
        <v>సంయుక్త రాష్ట్రాలు</v>
      </c>
      <c r="K140" s="1" t="s">
        <v>128</v>
      </c>
      <c r="L140" s="1" t="s">
        <v>2255</v>
      </c>
      <c r="M140" s="1" t="str">
        <f>IFERROR(__xludf.DUMMYFUNCTION("GOOGLETRANSLATE(L:L, ""en"", ""te"")"),"బెల్")</f>
        <v>బెల్</v>
      </c>
      <c r="AK140" s="1">
        <v>1959.0</v>
      </c>
    </row>
    <row r="141">
      <c r="A141" s="1" t="s">
        <v>2256</v>
      </c>
      <c r="B141" s="1" t="str">
        <f>IFERROR(__xludf.DUMMYFUNCTION("GOOGLETRANSLATE(A:A, ""en"", ""te"")"),"బెల్లాంకా సిహెచ్ -400 ఆకాశహర్మ్యం")</f>
        <v>బెల్లాంకా సిహెచ్ -400 ఆకాశహర్మ్యం</v>
      </c>
      <c r="C141" s="1" t="s">
        <v>2257</v>
      </c>
      <c r="D141" s="1" t="str">
        <f>IFERROR(__xludf.DUMMYFUNCTION("GOOGLETRANSLATE(C:C, ""en"", ""te"")"),"బెల్లాంకా సిహెచ్ -400 స్కైరాకెట్ అనేది 1930 లలో యునైటెడ్ స్టేట్స్లో నిర్మించిన ఆరు-సీట్ల యుటిలిటీ విమానం, ఇది బెల్లాంకా డబ్ల్యుబి -2 తో ప్రారంభమైన డిజైన్ వంశం యొక్క కొనసాగింపు. మునుపటి CH-200 మరియు CH-300 యొక్క అదే ప్రాథమిక ఎయిర్‌ఫ్రేమ్‌ను నిలుపుకున్న CH-"&amp;"400 మరింత శక్తివంతమైన ప్రాట్ &amp; విట్నీ కందిరీగ రేడియల్ ఇంజిన్‌తో అమర్చారు. మూడు ఉదాహరణలను యు.ఎస్. నేవీ చేత కొనుగోలు చేసింది. రెండు రేడియో పరిశోధన కోసం ఉపయోగించబడ్డాయి మరియు ఒకటి యు.ఎస్. మెరైన్ కార్ప్స్ కోసం ఎయిర్ అంబులెన్స్‌గా ఉపయోగించారు. ఈ తరువాతి విమానం"&amp;" రెండు స్ట్రెచర్లను తీసుకువెళ్ళడానికి పునర్నిర్మించబడింది. ఈ విమానం ప్రైవేట్ పైలట్ యజమానుల కోసం డీలక్స్ వెర్షన్‌లో కూడా అందుబాటులో ఉంది, ఇది 450 హెచ్‌పి (336 కిలోవాట్) మరియు వివరాల మెరుగుదలలను అందించే మరింత శక్తివంతమైన కందిరీగ వేరియంట్‌తో అమర్చబడింది. వీట"&amp;"ిలో రెండు విమానాలను 1937 లో న్యూఫౌండ్లాండ్ డొమినియన్ ప్రభుత్వం కొనుగోలు చేసింది, తరువాత ఒకటి ప్రైవేట్ చేతుల్లో ముగిసింది. NC10294 ను VO-BCD మరియు NC13155 గా VO-BDF గా మార్చారు. అమెరికన్ విమానం స్పెసిఫికేషన్ల నుండి డేటా [1] సాధారణ లక్షణాలు పనితీరు")</f>
        <v>బెల్లాంకా సిహెచ్ -400 స్కైరాకెట్ అనేది 1930 లలో యునైటెడ్ స్టేట్స్లో నిర్మించిన ఆరు-సీట్ల యుటిలిటీ విమానం, ఇది బెల్లాంకా డబ్ల్యుబి -2 తో ప్రారంభమైన డిజైన్ వంశం యొక్క కొనసాగింపు. మునుపటి CH-200 మరియు CH-300 యొక్క అదే ప్రాథమిక ఎయిర్‌ఫ్రేమ్‌ను నిలుపుకున్న CH-400 మరింత శక్తివంతమైన ప్రాట్ &amp; విట్నీ కందిరీగ రేడియల్ ఇంజిన్‌తో అమర్చారు. మూడు ఉదాహరణలను యు.ఎస్. నేవీ చేత కొనుగోలు చేసింది. రెండు రేడియో పరిశోధన కోసం ఉపయోగించబడ్డాయి మరియు ఒకటి యు.ఎస్. మెరైన్ కార్ప్స్ కోసం ఎయిర్ అంబులెన్స్‌గా ఉపయోగించారు. ఈ తరువాతి విమానం రెండు స్ట్రెచర్లను తీసుకువెళ్ళడానికి పునర్నిర్మించబడింది. ఈ విమానం ప్రైవేట్ పైలట్ యజమానుల కోసం డీలక్స్ వెర్షన్‌లో కూడా అందుబాటులో ఉంది, ఇది 450 హెచ్‌పి (336 కిలోవాట్) మరియు వివరాల మెరుగుదలలను అందించే మరింత శక్తివంతమైన కందిరీగ వేరియంట్‌తో అమర్చబడింది. వీటిలో రెండు విమానాలను 1937 లో న్యూఫౌండ్లాండ్ డొమినియన్ ప్రభుత్వం కొనుగోలు చేసింది, తరువాత ఒకటి ప్రైవేట్ చేతుల్లో ముగిసింది. NC10294 ను VO-BCD మరియు NC13155 గా VO-BDF గా మార్చారు. అమెరికన్ విమానం స్పెసిఫికేషన్ల నుండి డేటా [1] సాధారణ లక్షణాలు పనితీరు</v>
      </c>
      <c r="E141" s="1" t="s">
        <v>2258</v>
      </c>
      <c r="F141" s="1" t="s">
        <v>1951</v>
      </c>
      <c r="G141" s="1" t="str">
        <f>IFERROR(__xludf.DUMMYFUNCTION("GOOGLETRANSLATE(F:F, ""en"", ""te"")"),"సివిల్ యుటిలిటీ విమానం")</f>
        <v>సివిల్ యుటిలిటీ విమానం</v>
      </c>
      <c r="L141" s="1" t="s">
        <v>1952</v>
      </c>
      <c r="M141" s="1" t="str">
        <f>IFERROR(__xludf.DUMMYFUNCTION("GOOGLETRANSLATE(L:L, ""en"", ""te"")"),"బెల్లాంకా")</f>
        <v>బెల్లాంకా</v>
      </c>
      <c r="N141" s="3" t="s">
        <v>1953</v>
      </c>
      <c r="Q141" s="1">
        <v>32.0</v>
      </c>
      <c r="R141" s="1" t="s">
        <v>132</v>
      </c>
      <c r="S141" s="1" t="s">
        <v>133</v>
      </c>
      <c r="T141" s="1" t="s">
        <v>1799</v>
      </c>
      <c r="U141" s="1" t="s">
        <v>2259</v>
      </c>
      <c r="V141" s="1" t="s">
        <v>2260</v>
      </c>
      <c r="W141" s="1" t="s">
        <v>2261</v>
      </c>
      <c r="X141" s="1" t="s">
        <v>2262</v>
      </c>
      <c r="Y141" s="1" t="s">
        <v>2263</v>
      </c>
      <c r="Z141" s="1" t="s">
        <v>2264</v>
      </c>
      <c r="AA141" s="1" t="s">
        <v>2265</v>
      </c>
      <c r="AC141" s="1" t="s">
        <v>2266</v>
      </c>
      <c r="AE141" s="1" t="s">
        <v>2267</v>
      </c>
      <c r="AF141" s="1" t="s">
        <v>2268</v>
      </c>
      <c r="AJ141" s="1">
        <v>1930.0</v>
      </c>
      <c r="AM141" s="1" t="s">
        <v>1338</v>
      </c>
      <c r="AP141" s="1" t="s">
        <v>2269</v>
      </c>
      <c r="AR141" s="1" t="s">
        <v>683</v>
      </c>
      <c r="BH141" s="1" t="s">
        <v>1491</v>
      </c>
    </row>
    <row r="142">
      <c r="A142" s="1" t="s">
        <v>2270</v>
      </c>
      <c r="B142" s="1" t="str">
        <f>IFERROR(__xludf.DUMMYFUNCTION("GOOGLETRANSLATE(A:A, ""en"", ""te"")"),"బ్లాక్బర్న్ బీగల్")</f>
        <v>బ్లాక్బర్న్ బీగల్</v>
      </c>
      <c r="C142" s="1" t="s">
        <v>2271</v>
      </c>
      <c r="D142" s="1" t="str">
        <f>IFERROR(__xludf.DUMMYFUNCTION("GOOGLETRANSLATE(C:C, ""en"", ""te"")"),"బ్లాక్బర్న్ B.T.1 బీగల్ 1928 నుండి బ్రిటిష్ సింగిల్-ఇంజిన్, రెండు-సీట్ల బిప్లేన్ బాంబర్/టార్పెడో విమానం. వాయు మంత్రిత్వ శాఖ స్పెసిఫికేషన్లకు రూపొందించబడింది, ఇది ఏ తయారీదారులకు ఎటువంటి ఒప్పందాలు లేకుండా, ఒక బీగల్ మాత్రమే నిర్మించబడింది. B.T. బీగల్ యొక్క హ"&amp;"ోదాలో బాంబర్ మరియు టార్పెడో కోసం, బ్లాక్బర్న్ రెండు పాత్రల కోసం నిర్మించిన మొదటి విమానం. దీని రూపకల్పనను అధిక ఎత్తులో ఉన్న బాంబర్ కోసం ఎయిర్ మినిస్ట్రీ స్పెసిఫికేషన్ 24/25 కు ప్రారంభించబడింది, కాని తరువాత ఒక రోజు బాంబర్, నిఘా మరియు టార్పెడో విమానాల కోసం ఒ"&amp;"క రోజు స్పెసిఫికేషన్ 23/25 ను తీర్చడానికి సవరించబడింది. [1] బీగల్ సింగిల్-బే బైప్‌లేన్, అస్థిరమైన మరియు కొద్దిగా తుడిచిపెట్టిన రెక్కలతో. ఫాబ్రిక్ కప్పబడిన రెక్కలు, విమానం క్యారియర్ సేవ కోసం ఉద్దేశించబడనందున మడవలేదు, మెటల్ బ్రేసింగ్‌తో స్ప్రూస్ స్పార్స్ మర"&amp;"ియు పక్కటెముకలు ఉన్నాయి. నాలుగు ఐలెరాన్లు అమర్చారు. ఫ్యూజ్‌లేజ్ ప్రామాణిక బ్లాక్‌బర్న్ ప్రాక్టీస్‌ను స్టీల్ ట్యూబ్ సెంటర్ విభాగం మరియు చెక్క నిర్మాణం వెనుకకు అనుసరించింది, అయితే చివరి విభాగం మళ్లీ ట్యూబ్ స్టీల్ ఉంది; కవరింగ్ అంతటా ఫాబ్రిక్. ఫిన్ ప్రాంతం చ"&amp;"ిన్నది మరియు చుక్కాని పెద్దది, హార్న్ బ్యాలెన్స్ మొదట్లో ఫిన్లో విలీనం అవుతుంది, కాని తరువాత తగ్గింది, ఇది బ్లాక్బర్న్ నాటిలస్ మాదిరిగానే ప్రముఖ దశను వదిలివేసింది. బ్రేస్డ్ టెయిల్‌ప్లేన్ స్టెబిలైజర్ ప్రాంతం కంటే ఎక్కువ ఎలివేటర్‌ను కలిగి ఉంది, పూర్వం కూడా "&amp;"ప్రముఖ కొమ్ము బ్యాలెన్స్‌లను కలిగి ఉంది. [1] అండర్ క్యారేజ్ టార్పెడో డ్రాపింగ్ పాత్రకు అవసరమైన స్ప్లిట్ రకానికి చెందినది, కాని కాళ్ళ మధ్య క్యారియర్ విధానం నిఘా పని కోసం 185 ఇంప్ గల్ (840 ఎల్) ఇంధన ట్యాంక్‌ను కూడా కలిగి ఉంటుంది. కాక్‌పిట్‌లు ముందు పైలట్‌తో"&amp;" తెరిచి ఉన్నాయి, ఫార్వర్డ్-ఫైరింగ్ .303 లో (7.7 మిమీ) విక్కర్స్ మెషిన్ గన్ పోర్ట్ వైపు అమర్చారు. గన్నర్ యొక్క కాక్‌పిట్ కమ్యూనికేషన్ కోసం పైలట్‌కు దగ్గరగా ఉంది. అతను స్కార్ఫ్ రింగ్-మౌంటెడ్ .303 లో (7.7 మిమీ) లూయిస్ తుపాకీని కలిగి ఉన్నాడు, కాని టార్పెడో లే"&amp;"దా బాంబు ఐమెర్‌గా తన పాత్రను నెరవేర్చడానికి, అతను పైలట్ యొక్క కాక్‌పిట్ క్రింద ఉన్న స్టేషన్‌లో ప్రవచించే స్థానానికి చేరుకున్నాడు. ఇది బాంబు సైట్ కలిగి ఉంది, ఇది ఫ్యూజ్‌లేజ్ దిగువన స్లైడింగ్ తలుపుతో ఓపెనింగ్ ద్వారా ఉపయోగించబడుతుంది మరియు బాంబు ఫ్యూజింగ్ మర"&amp;"ియు విడుదల నియంత్రణలు ప్లస్ ఎత్తు మరియు ఎయిర్‌స్పీడ్ గేజ్‌లు మరియు లక్ష్యంపై యా దిద్దుబాట్ల కోసం చేతితో పనిచేసే చుక్కాని నియంత్రణను కలిగి ఉంది. [1] బీగల్ మొదట్లో 460 హెచ్‌పి (340 కిలోవాట్) బ్రిస్టల్ బృహస్పతి VIIIF రేడియల్ ఇంజిన్ మృదువైన మరియు బదులుగా సూచి"&amp;"ంచబడిన నోస్‌కోన్‌లో అమర్చబడి ఉంది, ఇది తొమ్మిది సిలిండర్ల పైభాగాలను బహిర్గతం చేస్తుంది. [1] పోటీ పరీక్షల తరువాత దీనిని సూపర్ఛార్జ్డ్ 590 హెచ్‌పి (440 కిలోవాట్) బృహస్పతి ఎక్స్‌ఎఫ్‌తో తిరిగి ఇంజిన్ చేశారు, అయినప్పటికీ అదనపు శక్తి గణనీయమైన పనితీరు మెరుగుదలకు"&amp;" దారితీయలేదు. [2] ఈ సంస్థాపన మరింత పాయింటెడ్ కౌలింగ్‌ను కలిగి ఉంది, మెరుగైన శీతలీకరణ కోసం ఎక్కువ సిలిండర్ తలలు బహిర్గతమవుతాయి. బీగల్ మొదట బ్రో ఏరోడ్రోమ్ వద్ద 18 ఫిబ్రవరి 1928 న W.S. చే పైలట్ చేయబడింది. బుల్మాన్. విమానం పోటీ విచారణకు వెళ్ళే ముందు పైన పేర్క"&amp;"ొన్న చుక్కాని సవరణ జరిగింది. [1] జూలై 1929 లో RAF మార్టెల్షామ్ హీత్ వద్ద ట్రయల్స్ జరిగాయి, ఇక్కడ బీగల్ గ్లోస్టర్ గోరింగ్, హ్యాండ్లీ పేజ్ హరే, హాకర్ హారియర్ మరియు వెస్ట్‌ల్యాండ్ మంత్రగత్తెకు వ్యతిరేకంగా ఉంది. [1] ఈ విమానాలు ఏవీ పనితీరు అవసరాలను తీర్చలేదు, "&amp;"కానీ దీనికి అనుకూలమైన హ్యాండ్లింగ్ నివేదికలను అందుకున్నందున, బీగల్, విక్కర్స్ విల్డెబీస్ట్ మరియు హరేలతో పాటు మరింత పరీక్ష కోసం ఎంపిక చేయబడింది. ఇది తిరిగి ఇంజిన్ చేయబడింది మరియు మార్చి 1931 లో మార్టెల్షామ్కు తిరిగి వచ్చింది. అయితే, ఈ సమయానికి, టార్పెడో బా"&amp;"ంబర్ కోసం RAFS అవసరాలను తీర్చడానికి విల్డెబీస్ట్ ఇప్పటికే ఎంపిక చేయబడింది. [3] బీగల్ అక్టోబర్ 1933 వరకు పనిచేసింది. జాక్సన్ 1968 నుండి డేటా, పే. 249 జనరల్ లక్షణాలు పనితీరు ఆయుధాలు")</f>
        <v>బ్లాక్బర్న్ B.T.1 బీగల్ 1928 నుండి బ్రిటిష్ సింగిల్-ఇంజిన్, రెండు-సీట్ల బిప్లేన్ బాంబర్/టార్పెడో విమానం. వాయు మంత్రిత్వ శాఖ స్పెసిఫికేషన్లకు రూపొందించబడింది, ఇది ఏ తయారీదారులకు ఎటువంటి ఒప్పందాలు లేకుండా, ఒక బీగల్ మాత్రమే నిర్మించబడింది. B.T. బీగల్ యొక్క హోదాలో బాంబర్ మరియు టార్పెడో కోసం, బ్లాక్బర్న్ రెండు పాత్రల కోసం నిర్మించిన మొదటి విమానం. దీని రూపకల్పనను అధిక ఎత్తులో ఉన్న బాంబర్ కోసం ఎయిర్ మినిస్ట్రీ స్పెసిఫికేషన్ 24/25 కు ప్రారంభించబడింది, కాని తరువాత ఒక రోజు బాంబర్, నిఘా మరియు టార్పెడో విమానాల కోసం ఒక రోజు స్పెసిఫికేషన్ 23/25 ను తీర్చడానికి సవరించబడింది. [1] బీగల్ సింగిల్-బే బైప్‌లేన్, అస్థిరమైన మరియు కొద్దిగా తుడిచిపెట్టిన రెక్కలతో. ఫాబ్రిక్ కప్పబడిన రెక్కలు, విమానం క్యారియర్ సేవ కోసం ఉద్దేశించబడనందున మడవలేదు, మెటల్ బ్రేసింగ్‌తో స్ప్రూస్ స్పార్స్ మరియు పక్కటెముకలు ఉన్నాయి. నాలుగు ఐలెరాన్లు అమర్చారు. ఫ్యూజ్‌లేజ్ ప్రామాణిక బ్లాక్‌బర్న్ ప్రాక్టీస్‌ను స్టీల్ ట్యూబ్ సెంటర్ విభాగం మరియు చెక్క నిర్మాణం వెనుకకు అనుసరించింది, అయితే చివరి విభాగం మళ్లీ ట్యూబ్ స్టీల్ ఉంది; కవరింగ్ అంతటా ఫాబ్రిక్. ఫిన్ ప్రాంతం చిన్నది మరియు చుక్కాని పెద్దది, హార్న్ బ్యాలెన్స్ మొదట్లో ఫిన్లో విలీనం అవుతుంది, కాని తరువాత తగ్గింది, ఇది బ్లాక్బర్న్ నాటిలస్ మాదిరిగానే ప్రముఖ దశను వదిలివేసింది. బ్రేస్డ్ టెయిల్‌ప్లేన్ స్టెబిలైజర్ ప్రాంతం కంటే ఎక్కువ ఎలివేటర్‌ను కలిగి ఉంది, పూర్వం కూడా ప్రముఖ కొమ్ము బ్యాలెన్స్‌లను కలిగి ఉంది. [1] అండర్ క్యారేజ్ టార్పెడో డ్రాపింగ్ పాత్రకు అవసరమైన స్ప్లిట్ రకానికి చెందినది, కాని కాళ్ళ మధ్య క్యారియర్ విధానం నిఘా పని కోసం 185 ఇంప్ గల్ (840 ఎల్) ఇంధన ట్యాంక్‌ను కూడా కలిగి ఉంటుంది. కాక్‌పిట్‌లు ముందు పైలట్‌తో తెరిచి ఉన్నాయి, ఫార్వర్డ్-ఫైరింగ్ .303 లో (7.7 మిమీ) విక్కర్స్ మెషిన్ గన్ పోర్ట్ వైపు అమర్చారు. గన్నర్ యొక్క కాక్‌పిట్ కమ్యూనికేషన్ కోసం పైలట్‌కు దగ్గరగా ఉంది. అతను స్కార్ఫ్ రింగ్-మౌంటెడ్ .303 లో (7.7 మిమీ) లూయిస్ తుపాకీని కలిగి ఉన్నాడు, కాని టార్పెడో లేదా బాంబు ఐమెర్‌గా తన పాత్రను నెరవేర్చడానికి, అతను పైలట్ యొక్క కాక్‌పిట్ క్రింద ఉన్న స్టేషన్‌లో ప్రవచించే స్థానానికి చేరుకున్నాడు. ఇది బాంబు సైట్ కలిగి ఉంది, ఇది ఫ్యూజ్‌లేజ్ దిగువన స్లైడింగ్ తలుపుతో ఓపెనింగ్ ద్వారా ఉపయోగించబడుతుంది మరియు బాంబు ఫ్యూజింగ్ మరియు విడుదల నియంత్రణలు ప్లస్ ఎత్తు మరియు ఎయిర్‌స్పీడ్ గేజ్‌లు మరియు లక్ష్యంపై యా దిద్దుబాట్ల కోసం చేతితో పనిచేసే చుక్కాని నియంత్రణను కలిగి ఉంది. [1] బీగల్ మొదట్లో 460 హెచ్‌పి (340 కిలోవాట్) బ్రిస్టల్ బృహస్పతి VIIIF రేడియల్ ఇంజిన్ మృదువైన మరియు బదులుగా సూచించబడిన నోస్‌కోన్‌లో అమర్చబడి ఉంది, ఇది తొమ్మిది సిలిండర్ల పైభాగాలను బహిర్గతం చేస్తుంది. [1] పోటీ పరీక్షల తరువాత దీనిని సూపర్ఛార్జ్డ్ 590 హెచ్‌పి (440 కిలోవాట్) బృహస్పతి ఎక్స్‌ఎఫ్‌తో తిరిగి ఇంజిన్ చేశారు, అయినప్పటికీ అదనపు శక్తి గణనీయమైన పనితీరు మెరుగుదలకు దారితీయలేదు. [2] ఈ సంస్థాపన మరింత పాయింటెడ్ కౌలింగ్‌ను కలిగి ఉంది, మెరుగైన శీతలీకరణ కోసం ఎక్కువ సిలిండర్ తలలు బహిర్గతమవుతాయి. బీగల్ మొదట బ్రో ఏరోడ్రోమ్ వద్ద 18 ఫిబ్రవరి 1928 న W.S. చే పైలట్ చేయబడింది. బుల్మాన్. విమానం పోటీ విచారణకు వెళ్ళే ముందు పైన పేర్కొన్న చుక్కాని సవరణ జరిగింది. [1] జూలై 1929 లో RAF మార్టెల్షామ్ హీత్ వద్ద ట్రయల్స్ జరిగాయి, ఇక్కడ బీగల్ గ్లోస్టర్ గోరింగ్, హ్యాండ్లీ పేజ్ హరే, హాకర్ హారియర్ మరియు వెస్ట్‌ల్యాండ్ మంత్రగత్తెకు వ్యతిరేకంగా ఉంది. [1] ఈ విమానాలు ఏవీ పనితీరు అవసరాలను తీర్చలేదు, కానీ దీనికి అనుకూలమైన హ్యాండ్లింగ్ నివేదికలను అందుకున్నందున, బీగల్, విక్కర్స్ విల్డెబీస్ట్ మరియు హరేలతో పాటు మరింత పరీక్ష కోసం ఎంపిక చేయబడింది. ఇది తిరిగి ఇంజిన్ చేయబడింది మరియు మార్చి 1931 లో మార్టెల్షామ్కు తిరిగి వచ్చింది. అయితే, ఈ సమయానికి, టార్పెడో బాంబర్ కోసం RAFS అవసరాలను తీర్చడానికి విల్డెబీస్ట్ ఇప్పటికే ఎంపిక చేయబడింది. [3] బీగల్ అక్టోబర్ 1933 వరకు పనిచేసింది. జాక్సన్ 1968 నుండి డేటా, పే. 249 జనరల్ లక్షణాలు పనితీరు ఆయుధాలు</v>
      </c>
      <c r="E142" s="1" t="s">
        <v>2272</v>
      </c>
      <c r="F142" s="1" t="s">
        <v>2273</v>
      </c>
      <c r="G142" s="1" t="str">
        <f>IFERROR(__xludf.DUMMYFUNCTION("GOOGLETRANSLATE(F:F, ""en"", ""te"")"),"బాంబర్ మరియు టార్పెడో బాంబర్")</f>
        <v>బాంబర్ మరియు టార్పెడో బాంబర్</v>
      </c>
      <c r="I142" s="1" t="s">
        <v>357</v>
      </c>
      <c r="J142" s="1" t="str">
        <f>IFERROR(__xludf.DUMMYFUNCTION("GOOGLETRANSLATE(I:I, ""en"", ""te"")"),"యునైటెడ్ కింగ్‌డమ్")</f>
        <v>యునైటెడ్ కింగ్‌డమ్</v>
      </c>
      <c r="L142" s="1" t="s">
        <v>2274</v>
      </c>
      <c r="M142" s="1" t="str">
        <f>IFERROR(__xludf.DUMMYFUNCTION("GOOGLETRANSLATE(L:L, ""en"", ""te"")"),"బ్లాక్బర్న్ విమానం మరియు మోటార్ కో. లిమిటెడ్")</f>
        <v>బ్లాక్బర్న్ విమానం మరియు మోటార్ కో. లిమిటెడ్</v>
      </c>
      <c r="N142" s="1" t="s">
        <v>2275</v>
      </c>
      <c r="Q142" s="1">
        <v>1.0</v>
      </c>
      <c r="S142" s="1" t="s">
        <v>2276</v>
      </c>
      <c r="U142" s="1" t="s">
        <v>2277</v>
      </c>
      <c r="V142" s="1" t="s">
        <v>2278</v>
      </c>
      <c r="W142" s="1" t="s">
        <v>2279</v>
      </c>
      <c r="X142" s="1" t="s">
        <v>2280</v>
      </c>
      <c r="Y142" s="1" t="s">
        <v>2281</v>
      </c>
      <c r="AA142" s="1" t="s">
        <v>2282</v>
      </c>
      <c r="AC142" s="1" t="s">
        <v>1028</v>
      </c>
      <c r="AF142" s="1" t="s">
        <v>2283</v>
      </c>
      <c r="AH142" s="1" t="s">
        <v>2284</v>
      </c>
      <c r="AJ142" s="5">
        <v>10276.0</v>
      </c>
      <c r="AM142" s="1" t="s">
        <v>2285</v>
      </c>
      <c r="AP142" s="1" t="s">
        <v>2286</v>
      </c>
      <c r="AQ142" s="1" t="s">
        <v>2287</v>
      </c>
      <c r="AR142" s="1" t="s">
        <v>2288</v>
      </c>
      <c r="BG142" s="1">
        <v>1933.0</v>
      </c>
    </row>
    <row r="143">
      <c r="A143" s="1" t="s">
        <v>2289</v>
      </c>
      <c r="B143" s="1" t="str">
        <f>IFERROR(__xludf.DUMMYFUNCTION("GOOGLETRANSLATE(A:A, ""en"", ""te"")"),"బ్లాక్బర్న్ నాటిలస్")</f>
        <v>బ్లాక్బర్న్ నాటిలస్</v>
      </c>
      <c r="C143" s="1" t="s">
        <v>2290</v>
      </c>
      <c r="D143" s="1" t="str">
        <f>IFERROR(__xludf.DUMMYFUNCTION("GOOGLETRANSLATE(C:C, ""en"", ""te"")"),"బ్లాక్బర్న్ 2 ఎఫ్ .1 నాటిలస్ 1929 లో నిర్మించిన బ్రిటిష్ సింగిల్-ఇంజిన్ రెండు-సీట్ల బిప్‌లేన్ స్పాటర్/ఫైటర్. ఒకటి మాత్రమే పూర్తయింది. కంపెనీ హోదా, 2 ఎఫ్. ఇది ఎయిర్ మినిస్ట్రీ స్పెసిఫికేషన్ O.22/26 కు రూపొందించబడింది. జూన్ 1926 లో జారీ చేయబడినప్పటికీ, ఈ స్"&amp;"పెసిఫికేషన్ అక్టోబర్ 1927 వరకు ఉపయోగించాల్సిన తుది ఇంజిన్‌పై నిర్ణయం తీసుకోలేదు; ప్రోటోటైప్ కాంట్రాక్టులు జనవరి 1928 లో మాత్రమే ఉంచబడ్డాయి, మరియు నలుగురు ఎంచుకున్న తయారీదారులు 1929 వరకు విచారణ కోసం ప్రోటోటైప్‌లను ఉత్పత్తి చేయలేదు. చివరికి విజేతలు, నావెలైజ"&amp;"్డ్ హాకర్ హార్ట్ మొదటి ప్రోటోటైప్ తరువాత హాకర్ ఓస్ప్రే ప్లస్ ది ఫెయిరీ ఫ్లీట్‌వింగ్, షార్ట్ గర్నార్డ్ మరియు బ్లాక్బర్న్ నాటిలస్. ఇవన్నీ V-12 వాటర్-కూల్డ్ రోల్స్ రాయిస్ F.Xiims చేత శక్తిని పొందాయి-తరువాత దీనిని కెస్ట్రెల్ IIMS అని పిలుస్తారు-ఇది 525 HP (39"&amp;"1 kW) ను ఉత్పత్తి చేసింది మరియు ఒక చిన్న క్రాస్ సెక్షనల్ ప్రాంతం కలిగి ఉంది. [1] స్లిమ్ పవర్ యూనిట్ సన్నని, బాగా స్ట్రీమ్లైన్డ్ ఫ్యూజ్‌లేజ్‌ల రూపకల్పనను ప్రోత్సహించింది, మరియు నాటిలస్ యొక్క ముక్కు రిపోన్ III కంటే ఎక్కువ మరియు ఎక్కువ సూచించబడింది, ఇది పెద్"&amp;"ద ప్రాంతం W-12 నేపియర్ లయన్ ఇంజిన్‌ను ఉపయోగించింది. చెక్క ప్రొపెల్లర్ 11 అడుగుల (3.35 మీ) వ్యాసంతో రెండు-బ్లేడెడ్. బ్లాక్‌బర్న్ యొక్క చాలా కాలం మాదిరిగానే, ఫ్యూజ్‌లేజ్ నాలుగు స్టీల్ లాంగన్‌ల చుట్టూ నిర్మించబడింది; ఇది ముక్కు నుండి వెనుక పరిశీలకుడు/గన్నర్ "&amp;"యొక్క కాక్‌పిట్ యొక్క వెనుకకు డ్యూరాలిమిన్-కప్పబడి ఉంది, మిగిలిన ఫాబ్రిక్ కప్పబడి ఉంది. పైలట్ యొక్క కాక్‌పిట్ వెంటనే పరిశీలకుడి ముందు, ఎగువ వెనుకంజలో ఉన్న ఎడ్జ్ కటౌట్ కింద ఉంది. ఫ్యూజ్‌లేజ్ పైభాగంలో ఒక ఇత్తడి, బదులుగా దీర్ఘచతురస్రాకార టెయిల్‌ప్లేన్ తీసుకు"&amp;"వెళ్లారు. ఫ్యూజ్‌లేజ్ పైన మరియు క్రింద స్థిర ఫిన్ ఉపరితలం ఉంది మరియు దాని కొమ్ము సమతుల్యతతో చుక్కాని ఎగువ ఫిన్ కలిగి ఉంది మరియు దిగువ భాగానికి విస్తరించింది. టెయిల్‌ప్లేన్ సంభవం మరియు (మరింత అసాధారణంగా) ఫిన్ యొక్క ఎగువ భాగం యొక్క అమరికను ట్రిమ్మింగ్ వీల్స"&amp;"్ ద్వారా విమానంలో సర్దుబాటు చేయవచ్చు. బలమైన అండర్ క్యారేజ్ విస్తృత, స్ప్లిట్-ఇరుసు రకం, డిస్క్ బ్రేక్‌లతో మెయిన్‌వీల్స్‌తో అమర్చారు. సీప్లేన్‌గా, దీనిని రెండు-ప్రముఖ అమరికతో లేదా ఒకే సెంట్రల్ ఫ్లోట్‌తో అమర్చవచ్చు, రెండోది పరిశీలకునికి మెరుగైన వీక్షణ క్షేత"&amp;"్రాన్ని ఇవ్వడానికి ఉద్దేశించబడింది. [1] నాటిలస్ యొక్క స్లిమ్ ఫ్యూజ్‌లేజ్ చాలా బిప్‌లేన్‌ల మాదిరిగానే దాని కీల్ దిగువ వింగ్‌తో సమలేఖనం చేయలేదు; బదులుగా, సెంట్రెలైన్ మిడ్ గ్యాప్ వద్ద ఉంది. బ్లాక్బర్న్ కీల్ మరియు వింగ్ మధ్య అంతరాన్ని షట్టర్-నియంత్రిత ఫ్రంట్ "&amp;"తీసుకోవడం తో ఫెయిర్డ్ రేడియేటర్‌ను చొప్పించడానికి ఉపయోగించాడు. ఇది నాటిలస్ యొక్క కోణాన్ని మెరుగుపరిచింది. రెక్కలు సమాంతర స్ట్రట్‌లతో రెండు-బే నిర్మాణంలో ఉన్నాయి, అస్థిరంగా మరియు తుడిచిపెట్టుకుపోయాయి. దిగువ వింగ్ మాత్రమే డైహెడ్రల్ కలిగి ఉంది. ఎగువ మరియు ది"&amp;"గువ రెక్కలపై ఐలెరన్లు ఉన్నాయి. క్యారియర్ నిల్వ కోసం రెక్కలు మడవగలవి. [1] నాటిలస్ మొట్టమొదట మే 1929 లో బ్రో ఏరోడ్రోమ్ వద్ద టి. నెవిల్లే స్టాక్ మరియు టెస్టింగ్ రేడియేటర్ మరియు ఎలివేటర్లలో కొన్ని మార్పులకు దారితీసింది. ఇది ఆగస్టు ఆగస్టులో RAF మార్టెల్షామ్ హీ"&amp;"త్ వద్ద విమాన పరీక్షలకు వెళ్ళింది. గుర్నార్డ్ తొలగించడంతో, నాటిలస్‌తో ఉన్న ఇతర పోటీదారులు జనవరి 1930 లో హెచ్‌ఎంఎస్ ఫ్యూరియస్‌లో సముద్రంలోకి వెళ్లారు. ట్రయల్స్‌లో విజయవంతం కాలేదు, నాటిలస్ వెనుక సీటు నుండి స్కార్ఫ్ రింగ్‌ను తొలగించిన తర్వాత ఓడ నుండి షోర్ కమ"&amp;"్యూనికేటర్‌గా పునర్నిర్మించబడింది. 1931 లో, ఇది తిరిగి మార్టెల్షామ్కు వెళ్ళింది మరియు కొన్ని సంవత్సరాలు క్రాస్ కంట్రీ కమ్యూనికేషన్ విమానంగా ఉపయోగించబడింది. [1] జాక్సన్ 1968 నుండి డేటా, పేజీలు 243–4 జనరల్ లక్షణాలు పనితీరు ఆయుధాలు")</f>
        <v>బ్లాక్బర్న్ 2 ఎఫ్ .1 నాటిలస్ 1929 లో నిర్మించిన బ్రిటిష్ సింగిల్-ఇంజిన్ రెండు-సీట్ల బిప్‌లేన్ స్పాటర్/ఫైటర్. ఒకటి మాత్రమే పూర్తయింది. కంపెనీ హోదా, 2 ఎఫ్. ఇది ఎయిర్ మినిస్ట్రీ స్పెసిఫికేషన్ O.22/26 కు రూపొందించబడింది. జూన్ 1926 లో జారీ చేయబడినప్పటికీ, ఈ స్పెసిఫికేషన్ అక్టోబర్ 1927 వరకు ఉపయోగించాల్సిన తుది ఇంజిన్‌పై నిర్ణయం తీసుకోలేదు; ప్రోటోటైప్ కాంట్రాక్టులు జనవరి 1928 లో మాత్రమే ఉంచబడ్డాయి, మరియు నలుగురు ఎంచుకున్న తయారీదారులు 1929 వరకు విచారణ కోసం ప్రోటోటైప్‌లను ఉత్పత్తి చేయలేదు. చివరికి విజేతలు, నావెలైజ్డ్ హాకర్ హార్ట్ మొదటి ప్రోటోటైప్ తరువాత హాకర్ ఓస్ప్రే ప్లస్ ది ఫెయిరీ ఫ్లీట్‌వింగ్, షార్ట్ గర్నార్డ్ మరియు బ్లాక్బర్న్ నాటిలస్. ఇవన్నీ V-12 వాటర్-కూల్డ్ రోల్స్ రాయిస్ F.Xiims చేత శక్తిని పొందాయి-తరువాత దీనిని కెస్ట్రెల్ IIMS అని పిలుస్తారు-ఇది 525 HP (391 kW) ను ఉత్పత్తి చేసింది మరియు ఒక చిన్న క్రాస్ సెక్షనల్ ప్రాంతం కలిగి ఉంది. [1] స్లిమ్ పవర్ యూనిట్ సన్నని, బాగా స్ట్రీమ్లైన్డ్ ఫ్యూజ్‌లేజ్‌ల రూపకల్పనను ప్రోత్సహించింది, మరియు నాటిలస్ యొక్క ముక్కు రిపోన్ III కంటే ఎక్కువ మరియు ఎక్కువ సూచించబడింది, ఇది పెద్ద ప్రాంతం W-12 నేపియర్ లయన్ ఇంజిన్‌ను ఉపయోగించింది. చెక్క ప్రొపెల్లర్ 11 అడుగుల (3.35 మీ) వ్యాసంతో రెండు-బ్లేడెడ్. బ్లాక్‌బర్న్ యొక్క చాలా కాలం మాదిరిగానే, ఫ్యూజ్‌లేజ్ నాలుగు స్టీల్ లాంగన్‌ల చుట్టూ నిర్మించబడింది; ఇది ముక్కు నుండి వెనుక పరిశీలకుడు/గన్నర్ యొక్క కాక్‌పిట్ యొక్క వెనుకకు డ్యూరాలిమిన్-కప్పబడి ఉంది, మిగిలిన ఫాబ్రిక్ కప్పబడి ఉంది. పైలట్ యొక్క కాక్‌పిట్ వెంటనే పరిశీలకుడి ముందు, ఎగువ వెనుకంజలో ఉన్న ఎడ్జ్ కటౌట్ కింద ఉంది. ఫ్యూజ్‌లేజ్ పైభాగంలో ఒక ఇత్తడి, బదులుగా దీర్ఘచతురస్రాకార టెయిల్‌ప్లేన్ తీసుకువెళ్లారు. ఫ్యూజ్‌లేజ్ పైన మరియు క్రింద స్థిర ఫిన్ ఉపరితలం ఉంది మరియు దాని కొమ్ము సమతుల్యతతో చుక్కాని ఎగువ ఫిన్ కలిగి ఉంది మరియు దిగువ భాగానికి విస్తరించింది. టెయిల్‌ప్లేన్ సంభవం మరియు (మరింత అసాధారణంగా) ఫిన్ యొక్క ఎగువ భాగం యొక్క అమరికను ట్రిమ్మింగ్ వీల్స్ ద్వారా విమానంలో సర్దుబాటు చేయవచ్చు. బలమైన అండర్ క్యారేజ్ విస్తృత, స్ప్లిట్-ఇరుసు రకం, డిస్క్ బ్రేక్‌లతో మెయిన్‌వీల్స్‌తో అమర్చారు. సీప్లేన్‌గా, దీనిని రెండు-ప్రముఖ అమరికతో లేదా ఒకే సెంట్రల్ ఫ్లోట్‌తో అమర్చవచ్చు, రెండోది పరిశీలకునికి మెరుగైన వీక్షణ క్షేత్రాన్ని ఇవ్వడానికి ఉద్దేశించబడింది. [1] నాటిలస్ యొక్క స్లిమ్ ఫ్యూజ్‌లేజ్ చాలా బిప్‌లేన్‌ల మాదిరిగానే దాని కీల్ దిగువ వింగ్‌తో సమలేఖనం చేయలేదు; బదులుగా, సెంట్రెలైన్ మిడ్ గ్యాప్ వద్ద ఉంది. బ్లాక్బర్న్ కీల్ మరియు వింగ్ మధ్య అంతరాన్ని షట్టర్-నియంత్రిత ఫ్రంట్ తీసుకోవడం తో ఫెయిర్డ్ రేడియేటర్‌ను చొప్పించడానికి ఉపయోగించాడు. ఇది నాటిలస్ యొక్క కోణాన్ని మెరుగుపరిచింది. రెక్కలు సమాంతర స్ట్రట్‌లతో రెండు-బే నిర్మాణంలో ఉన్నాయి, అస్థిరంగా మరియు తుడిచిపెట్టుకుపోయాయి. దిగువ వింగ్ మాత్రమే డైహెడ్రల్ కలిగి ఉంది. ఎగువ మరియు దిగువ రెక్కలపై ఐలెరన్లు ఉన్నాయి. క్యారియర్ నిల్వ కోసం రెక్కలు మడవగలవి. [1] నాటిలస్ మొట్టమొదట మే 1929 లో బ్రో ఏరోడ్రోమ్ వద్ద టి. నెవిల్లే స్టాక్ మరియు టెస్టింగ్ రేడియేటర్ మరియు ఎలివేటర్లలో కొన్ని మార్పులకు దారితీసింది. ఇది ఆగస్టు ఆగస్టులో RAF మార్టెల్షామ్ హీత్ వద్ద విమాన పరీక్షలకు వెళ్ళింది. గుర్నార్డ్ తొలగించడంతో, నాటిలస్‌తో ఉన్న ఇతర పోటీదారులు జనవరి 1930 లో హెచ్‌ఎంఎస్ ఫ్యూరియస్‌లో సముద్రంలోకి వెళ్లారు. ట్రయల్స్‌లో విజయవంతం కాలేదు, నాటిలస్ వెనుక సీటు నుండి స్కార్ఫ్ రింగ్‌ను తొలగించిన తర్వాత ఓడ నుండి షోర్ కమ్యూనికేటర్‌గా పునర్నిర్మించబడింది. 1931 లో, ఇది తిరిగి మార్టెల్షామ్కు వెళ్ళింది మరియు కొన్ని సంవత్సరాలు క్రాస్ కంట్రీ కమ్యూనికేషన్ విమానంగా ఉపయోగించబడింది. [1] జాక్సన్ 1968 నుండి డేటా, పేజీలు 243–4 జనరల్ లక్షణాలు పనితీరు ఆయుధాలు</v>
      </c>
      <c r="E143" s="1" t="s">
        <v>2291</v>
      </c>
      <c r="F143" s="1" t="s">
        <v>2292</v>
      </c>
      <c r="G143" s="1" t="str">
        <f>IFERROR(__xludf.DUMMYFUNCTION("GOOGLETRANSLATE(F:F, ""en"", ""te"")"),"స్పాటర్/ఇంటర్‌సెప్టర్")</f>
        <v>స్పాటర్/ఇంటర్‌సెప్టర్</v>
      </c>
      <c r="I143" s="1" t="s">
        <v>357</v>
      </c>
      <c r="J143" s="1" t="str">
        <f>IFERROR(__xludf.DUMMYFUNCTION("GOOGLETRANSLATE(I:I, ""en"", ""te"")"),"యునైటెడ్ కింగ్‌డమ్")</f>
        <v>యునైటెడ్ కింగ్‌డమ్</v>
      </c>
      <c r="L143" s="1" t="s">
        <v>2274</v>
      </c>
      <c r="M143" s="1" t="str">
        <f>IFERROR(__xludf.DUMMYFUNCTION("GOOGLETRANSLATE(L:L, ""en"", ""te"")"),"బ్లాక్బర్న్ విమానం మరియు మోటార్ కో. లిమిటెడ్")</f>
        <v>బ్లాక్బర్న్ విమానం మరియు మోటార్ కో. లిమిటెడ్</v>
      </c>
      <c r="N143" s="1" t="s">
        <v>2275</v>
      </c>
      <c r="Q143" s="1">
        <v>1.0</v>
      </c>
      <c r="S143" s="1" t="s">
        <v>2276</v>
      </c>
      <c r="U143" s="1" t="s">
        <v>2293</v>
      </c>
      <c r="V143" s="1" t="s">
        <v>2294</v>
      </c>
      <c r="W143" s="1" t="s">
        <v>2295</v>
      </c>
      <c r="X143" s="1" t="s">
        <v>2296</v>
      </c>
      <c r="Y143" s="1" t="s">
        <v>2297</v>
      </c>
      <c r="AA143" s="1" t="s">
        <v>2298</v>
      </c>
      <c r="AE143" s="1" t="s">
        <v>2299</v>
      </c>
      <c r="AF143" s="1" t="s">
        <v>2300</v>
      </c>
      <c r="AH143" s="1" t="s">
        <v>2301</v>
      </c>
      <c r="AJ143" s="2">
        <v>10714.0</v>
      </c>
      <c r="AM143" s="1" t="s">
        <v>2302</v>
      </c>
      <c r="AP143" s="1" t="s">
        <v>2303</v>
      </c>
      <c r="AR143" s="1" t="s">
        <v>2304</v>
      </c>
    </row>
    <row r="144">
      <c r="A144" s="1" t="s">
        <v>2305</v>
      </c>
      <c r="B144" s="1" t="str">
        <f>IFERROR(__xludf.DUMMYFUNCTION("GOOGLETRANSLATE(A:A, ""en"", ""te"")"),"SOPWITH SNAPPER")</f>
        <v>SOPWITH SNAPPER</v>
      </c>
      <c r="C144" s="1" t="s">
        <v>2306</v>
      </c>
      <c r="D144" s="1" t="str">
        <f>IFERROR(__xludf.DUMMYFUNCTION("GOOGLETRANSLATE(C:C, ""en"", ""te"")"),"సోప్విత్ స్నాపర్ మొదటి ప్రపంచ యుద్ధం యొక్క బ్రిటిష్ ఫైటర్ విమానం. సోప్విత్ స్నిప్ ఫైటర్‌ను భర్తీ చేయడానికి సోప్‌విత్ ఏవియేషన్ కంపెనీ రూపొందించిన సింగిల్-ఇంజిన్ బైప్‌లేన్, ఇది మొదట యుద్ధం ముగిసిన తర్వాత ఎగిరింది, కానీ దాని ఇంజిన్ యొక్క వైఫల్యం కారణంగా సేవల"&amp;"ోకి ప్రవేశించలేదు, మూడు విమానాలు మాత్రమే నిర్మించబడుతున్నాయి. 1918 లో, బ్రిటిష్ వైమానిక మంత్రిత్వ శాఖ రాయల్ వైమానిక దళం యొక్క సోప్విత్ స్నిప్స్‌ను భర్తీ చేయడానికి సింగిల్-సీట్ ఫైటర్ కోసం ఒక అవసరాన్ని అభివృద్ధి చేసింది, అయినప్పటికీ స్నిప్ ఇంకా సేవలోకి ప్రవ"&amp;"ేశించలేదు. ఈ అవసరం, RAF టైప్ 1, కొత్త ABC డ్రాగన్‌ఫ్లై ఎయిర్-కూల్డ్ రేడియల్ ఇంజిన్‌ను పేర్కొంది, ఇది అద్భుతమైన వాగ్దానం చేసిన పనితీరు మరియు ఉత్పత్తి సౌలభ్యం ఆధారంగా పెద్ద సంఖ్యలో ఉత్పత్తిలోకి ఆదేశించబడింది, అయినప్పటికీ ఇది ఇంకా పరీక్షను పూర్తి చేయలేదు. ఈ "&amp;"అవసరాన్ని తీర్చడానికి, సోప్విత్ రెండు కొత్త మరియు పూర్తిగా భిన్నమైన డిజైన్లను ఉత్పత్తి చేశాడు, ట్రిప్లేన్ (సోప్విత్ స్నార్క్) మరియు మరింత సాంప్రదాయిక బైప్లేన్, దీనికి స్నాపర్ అని పేరు పెట్టారు. మూడు స్నార్క్‌లతో పాటు మూడు ప్రోటోటైప్ స్నాపర్‌లను వైమానిక మం"&amp;"త్రిత్వ శాఖ ఆదేశించింది. [1] . స్నాపర్ ఒక చిన్న సింగిల్-బే బైప్‌లేన్, భారీగా రెక్కలతో ఉంటుంది. ఇది మొదట చెక్క మోనోకోక్ ఫ్యూజ్‌లేజ్ కలిగి ఉండటానికి ఉద్దేశించబడింది (సోప్‌విత్ నత్త తేలికపాటి ఫైటర్ మరియు స్నార్క్ లాగా), అయితే ఇది ఉత్పత్తిని తగ్గించడానికి వది"&amp;"లివేయబడింది, మరింత సాంప్రదాయ వైర్-బ్రెస్డ్ ఫాబ్రిక్ కప్పబడిన ఫ్యూజ్‌లేజ్ ప్రత్యామ్నాయంగా ఉంది. [2] కాక్‌పిట్ రెక్కల వెనుక భాగంలో ఉంది, పైలట్‌కు మంచి దృశ్యమానతను అందిస్తుంది, అయితే రెండు ఫార్వర్డ్ ఫైరింగ్ సింక్రొనైజ్డ్ విక్కర్స్ మెషిన్ గన్స్ ఫ్యూజ్‌లేజ్ టా"&amp;"ప్ డెక్కింగ్‌లో అమర్చబడ్డాయి. [3] ఫ్యూజ్‌లేజ్ రూపకల్పనలో మార్పు ఫ్యూజ్‌లేజ్ యొక్క ఉత్పత్తిని ఆలస్యం చేసింది, అధిక బరువు ఉన్న ఇంజిన్ వల్ల మరింత ఆలస్యం జరుగుతుంది మరియు విపత్తు విశ్వసనీయత మరియు వైబ్రేషన్ సమస్యలతో బాధపడుతోంది. మొదటి స్నాపర్ మే 1919 లో బ్రూక్"&amp;"లాండ్స్ వద్ద ప్రయాణించారు, త్వరలోనే ఇతర రెండు విమానాలు ఉన్నాయి. [2] డ్రాగన్‌ఫ్లై సరిగ్గా పనిచేస్తున్నప్పుడు పనితీరు బాగుంది అయినప్పటికీ, ఇంజిన్ల సమస్యలు పరిష్కరించబడలేదు, ఇంజిన్ చివరికి సెప్టెంబర్ 1919 లో రద్దు చేయబడింది. హ్యారీ హాకర్ చేత ఎగురవేయవలసి ఉంది"&amp;", దీనిని వైమానిక మంత్రిత్వ శాఖ నిషేధించింది [4] (అధికారికంగా దాని ఇంజిన్ ఇప్పటికీ రహస్యంగా వర్గీకరించబడింది) మరియు ముగ్గురు స్నాపర్లను రాయల్ ఎయిర్క్రాఫ్ట్ స్థాపన ద్వారా పరీక్ష ఎగురుతూ ఉపయోగించారు. [5] బ్రిటిష్ విమానాల నుండి డేటా 1914-18 [6] సాధారణ లక్షణాల"&amp;"ు పనితీరు ఆయుధాలు, కాన్ఫిగరేషన్ మరియు యుగం యొక్క ఆయుధ విమానం")</f>
        <v>సోప్విత్ స్నాపర్ మొదటి ప్రపంచ యుద్ధం యొక్క బ్రిటిష్ ఫైటర్ విమానం. సోప్విత్ స్నిప్ ఫైటర్‌ను భర్తీ చేయడానికి సోప్‌విత్ ఏవియేషన్ కంపెనీ రూపొందించిన సింగిల్-ఇంజిన్ బైప్‌లేన్, ఇది మొదట యుద్ధం ముగిసిన తర్వాత ఎగిరింది, కానీ దాని ఇంజిన్ యొక్క వైఫల్యం కారణంగా సేవలోకి ప్రవేశించలేదు, మూడు విమానాలు మాత్రమే నిర్మించబడుతున్నాయి. 1918 లో, బ్రిటిష్ వైమానిక మంత్రిత్వ శాఖ రాయల్ వైమానిక దళం యొక్క సోప్విత్ స్నిప్స్‌ను భర్తీ చేయడానికి సింగిల్-సీట్ ఫైటర్ కోసం ఒక అవసరాన్ని అభివృద్ధి చేసింది, అయినప్పటికీ స్నిప్ ఇంకా సేవలోకి ప్రవేశించలేదు. ఈ అవసరం, RAF టైప్ 1, కొత్త ABC డ్రాగన్‌ఫ్లై ఎయిర్-కూల్డ్ రేడియల్ ఇంజిన్‌ను పేర్కొంది, ఇది అద్భుతమైన వాగ్దానం చేసిన పనితీరు మరియు ఉత్పత్తి సౌలభ్యం ఆధారంగా పెద్ద సంఖ్యలో ఉత్పత్తిలోకి ఆదేశించబడింది, అయినప్పటికీ ఇది ఇంకా పరీక్షను పూర్తి చేయలేదు. ఈ అవసరాన్ని తీర్చడానికి, సోప్విత్ రెండు కొత్త మరియు పూర్తిగా భిన్నమైన డిజైన్లను ఉత్పత్తి చేశాడు, ట్రిప్లేన్ (సోప్విత్ స్నార్క్) మరియు మరింత సాంప్రదాయిక బైప్లేన్, దీనికి స్నాపర్ అని పేరు పెట్టారు. మూడు స్నార్క్‌లతో పాటు మూడు ప్రోటోటైప్ స్నాపర్‌లను వైమానిక మంత్రిత్వ శాఖ ఆదేశించింది. [1] . స్నాపర్ ఒక చిన్న సింగిల్-బే బైప్‌లేన్, భారీగా రెక్కలతో ఉంటుంది. ఇది మొదట చెక్క మోనోకోక్ ఫ్యూజ్‌లేజ్ కలిగి ఉండటానికి ఉద్దేశించబడింది (సోప్‌విత్ నత్త తేలికపాటి ఫైటర్ మరియు స్నార్క్ లాగా), అయితే ఇది ఉత్పత్తిని తగ్గించడానికి వదిలివేయబడింది, మరింత సాంప్రదాయ వైర్-బ్రెస్డ్ ఫాబ్రిక్ కప్పబడిన ఫ్యూజ్‌లేజ్ ప్రత్యామ్నాయంగా ఉంది. [2] కాక్‌పిట్ రెక్కల వెనుక భాగంలో ఉంది, పైలట్‌కు మంచి దృశ్యమానతను అందిస్తుంది, అయితే రెండు ఫార్వర్డ్ ఫైరింగ్ సింక్రొనైజ్డ్ విక్కర్స్ మెషిన్ గన్స్ ఫ్యూజ్‌లేజ్ టాప్ డెక్కింగ్‌లో అమర్చబడ్డాయి. [3] ఫ్యూజ్‌లేజ్ రూపకల్పనలో మార్పు ఫ్యూజ్‌లేజ్ యొక్క ఉత్పత్తిని ఆలస్యం చేసింది, అధిక బరువు ఉన్న ఇంజిన్ వల్ల మరింత ఆలస్యం జరుగుతుంది మరియు విపత్తు విశ్వసనీయత మరియు వైబ్రేషన్ సమస్యలతో బాధపడుతోంది. మొదటి స్నాపర్ మే 1919 లో బ్రూక్లాండ్స్ వద్ద ప్రయాణించారు, త్వరలోనే ఇతర రెండు విమానాలు ఉన్నాయి. [2] డ్రాగన్‌ఫ్లై సరిగ్గా పనిచేస్తున్నప్పుడు పనితీరు బాగుంది అయినప్పటికీ, ఇంజిన్ల సమస్యలు పరిష్కరించబడలేదు, ఇంజిన్ చివరికి సెప్టెంబర్ 1919 లో రద్దు చేయబడింది. హ్యారీ హాకర్ చేత ఎగురవేయవలసి ఉంది, దీనిని వైమానిక మంత్రిత్వ శాఖ నిషేధించింది [4] (అధికారికంగా దాని ఇంజిన్ ఇప్పటికీ రహస్యంగా వర్గీకరించబడింది) మరియు ముగ్గురు స్నాపర్లను రాయల్ ఎయిర్క్రాఫ్ట్ స్థాపన ద్వారా పరీక్ష ఎగురుతూ ఉపయోగించారు. [5] బ్రిటిష్ విమానాల నుండి డేటా 1914-18 [6] సాధారణ లక్షణాలు పనితీరు ఆయుధాలు, కాన్ఫిగరేషన్ మరియు యుగం యొక్క ఆయుధ విమానం</v>
      </c>
      <c r="F144" s="1" t="s">
        <v>356</v>
      </c>
      <c r="G144" s="1" t="str">
        <f>IFERROR(__xludf.DUMMYFUNCTION("GOOGLETRANSLATE(F:F, ""en"", ""te"")"),"యుద్ధ")</f>
        <v>యుద్ధ</v>
      </c>
      <c r="H144" s="3" t="s">
        <v>1384</v>
      </c>
      <c r="I144" s="1" t="s">
        <v>357</v>
      </c>
      <c r="J144" s="1" t="str">
        <f>IFERROR(__xludf.DUMMYFUNCTION("GOOGLETRANSLATE(I:I, ""en"", ""te"")"),"యునైటెడ్ కింగ్‌డమ్")</f>
        <v>యునైటెడ్ కింగ్‌డమ్</v>
      </c>
      <c r="K144" s="1" t="s">
        <v>1344</v>
      </c>
      <c r="L144" s="1" t="s">
        <v>2307</v>
      </c>
      <c r="M144" s="1" t="str">
        <f>IFERROR(__xludf.DUMMYFUNCTION("GOOGLETRANSLATE(L:L, ""en"", ""te"")"),"సోప్విత్")</f>
        <v>సోప్విత్</v>
      </c>
      <c r="N144" s="3" t="s">
        <v>2308</v>
      </c>
      <c r="O144" s="1" t="s">
        <v>779</v>
      </c>
      <c r="P144" s="1" t="str">
        <f>IFERROR(__xludf.DUMMYFUNCTION("GOOGLETRANSLATE(O:O, ""en"", ""te"")"),"ప్రోటోటైప్")</f>
        <v>ప్రోటోటైప్</v>
      </c>
      <c r="Q144" s="1">
        <v>3.0</v>
      </c>
      <c r="S144" s="1">
        <v>1.0</v>
      </c>
      <c r="U144" s="1" t="s">
        <v>2309</v>
      </c>
      <c r="V144" s="1" t="s">
        <v>2310</v>
      </c>
      <c r="W144" s="1" t="s">
        <v>2311</v>
      </c>
      <c r="X144" s="1" t="s">
        <v>2312</v>
      </c>
      <c r="Y144" s="1" t="s">
        <v>2313</v>
      </c>
      <c r="AA144" s="1" t="s">
        <v>2314</v>
      </c>
      <c r="AB144" s="1" t="s">
        <v>366</v>
      </c>
      <c r="AG144" s="1" t="s">
        <v>2315</v>
      </c>
      <c r="AJ144" s="1">
        <v>1919.0</v>
      </c>
      <c r="AM144" s="1" t="s">
        <v>2316</v>
      </c>
      <c r="AP144" s="1" t="s">
        <v>2317</v>
      </c>
      <c r="AR144" s="1" t="s">
        <v>372</v>
      </c>
      <c r="AY144" s="1" t="s">
        <v>2318</v>
      </c>
      <c r="AZ144" s="1" t="s">
        <v>2319</v>
      </c>
      <c r="BJ144" s="1" t="s">
        <v>2320</v>
      </c>
    </row>
    <row r="145">
      <c r="A145" s="1" t="s">
        <v>2321</v>
      </c>
      <c r="B145" s="1" t="str">
        <f>IFERROR(__xludf.DUMMYFUNCTION("GOOGLETRANSLATE(A:A, ""en"", ""te"")"),"సోప్విత్ స్నార్క్")</f>
        <v>సోప్విత్ స్నార్క్</v>
      </c>
      <c r="C145" s="1" t="s">
        <v>2322</v>
      </c>
      <c r="D145" s="1" t="str">
        <f>IFERROR(__xludf.DUMMYFUNCTION("GOOGLETRANSLATE(C:C, ""en"", ""te"")"),"సోప్విత్ స్నార్క్ ఒక బ్రిటిష్ ప్రోటోటైప్ ఫైటర్ విమానం, ఇది RAF యొక్క సోప్విత్ స్నిప్స్ స్థానంలో మొదటి ప్రపంచ యుద్ధం చివరిలో రూపొందించబడింది మరియు నిర్మించబడింది. ఒకే ఇంజిన్ ట్రిప్లేన్, యుద్ధం ముగిసిన తర్వాత స్నార్క్ ఎగరలేదు, మూడు మాత్రమే నిర్మించబడ్డాయి. "&amp;"1918 వసంతకాలంలో, సోప్విత్ స్నిప్ ఇంకా రాయల్ వైమానిక దళంతో సేవలో ప్రవేశించనప్పటికీ, బ్రిటిష్ వైమానిక మంత్రిత్వ శాఖ దాని స్థానంలో ఒక స్పెసిఫికేషన్ (RAF రకం I) ను రూపొందించింది. ఈ స్పెసిఫికేషన్ అధిక ఎత్తులో మరియు ABC డ్రాగన్ఫ్లై ఇంజిన్ చేత శక్తినిచ్చే ఫైటర్న"&amp;"ు కోరింది, ఇది ఎయిర్-కూల్డ్ రేడియల్ ఇంజిన్, ఇది అధిక పనితీరు మరియు ఉత్పత్తి సౌలభ్యం ఆధారంగా పెద్ద సంఖ్యలో ఆదేశించబడింది. ఈ అవసరాన్ని తీర్చడానికి సోప్విత్ రెండు డిజైన్లను నిర్మించాడు, ఒక బిప్‌లేన్, స్నాపర్ మరియు ట్రిప్లేన్, స్నార్క్. సోప్‌విత్ మూడు ప్రోటోట"&amp;"ైప్‌ల కోసం ఆర్డర్‌లను అందుకున్నాడు, ప్రతి స్నాపర్ మరియు స్నార్క్, [1] అలాగే స్నిప్ యొక్క డ్రాగన్‌ఫ్లై శక్తితో కూడిన సంస్కరణలో 300 మందికి ఆర్డర్లు. స్నార్క్‌లో సోప్‌విత్ నత్త తేలికపాటి ఫైటర్ వంటి చెక్క మోనోకోక్ ఫ్యూజ్‌లేజ్ ఉంది మరియు ప్రతి రెక్కపై ఐలెరాన్‌"&amp;"లతో సమాన స్పాన్ సింగిల్-బే రెక్కలను కలిగి ఉంది. రెక్కలు అసమాన అంతరం మరియు అస్థిరమైనవి, మధ్య మరియు ఎగువ రెక్కల మధ్య అంతరం దిగువ మరియు మధ్య రెక్కల మధ్య కంటే తక్కువ విమానాల ఎత్తును తగ్గించడానికి. [2] స్నార్క్ ఆ సమయంలో, సింగిల్-సీట్ ఫైటర్ కోసం చాలా భారీ ఆయుధా"&amp;"లు అమర్చారు. ఫ్యూజ్‌లేజ్ లోపల సాధారణ రెండు సమకాలీకరించిన విక్కర్స్ తుపాకులతో పాటు, ఇందులో నాలుగు లూయిస్ తుపాకులు దిగువ రెక్కల క్రింద అమర్చబడి, ప్రొపెల్లర్ డిస్క్ వెలుపల కాల్పులు జరిపాయి. ఈ తుపాకులు పైలట్‌కు ప్రాప్యత చేయలేవు, అందువల్ల విమానంలో మళ్లీ లోడ్ చ"&amp;"ేయబడలేదు లేదా అన్‌జామ్ చేయబడలేదు. [3] [A] మొదటి నమూనా అక్టోబర్ 1918 నాటికి పూర్తయింది, కాని మార్చి 1919 వరకు ఫ్లైట్-రెడీ ఇంజన్లు అందుబాటులో లేవు, మరియు స్నార్క్ చేసింది జూలై 1919 వరకు దాని మొదటి విమానంలో చేయవద్దు. [4] ఇది సహేతుకమైన పనితీరు మరియు మంచి యుక్"&amp;"తిని ప్రదర్శించినప్పటికీ, [3] (మునుపటి సోప్విత్ ట్రిప్లేన్ [5] వలె అంత మంచిది కానప్పటికీ), ఈ సమయానికి, డ్రాగన్‌ఫ్లై ఇంజిన్‌కు తీవ్రమైన సమస్యలు ఉన్నాయని గ్రహించబడింది, వేడెక్కడం మరియు తీవ్రమైన వైబ్రేషన్ , మరియు స్నార్క్ ఉత్పత్తి కోసం ప్రణాళికలు వదిలివేయబడ్"&amp;"డాయి. [6] మూడు స్నార్క్‌లు 1921 వరకు ట్రయల్స్ ప్రయోజనాల కోసం వాడుకలో కొనసాగాయి. [7] మొదటి ప్రపంచ యుద్ధం యొక్క యుద్ధ విమానాల నుండి డేటా: ఫైటర్స్ వాల్యూమ్ త్రీ [5] సాధారణ లక్షణాలు పనితీరు ఆయుధాలు పోల్చదగిన పాత్ర, కాన్ఫిగరేషన్ మరియు యుగం యొక్క విమానం")</f>
        <v>సోప్విత్ స్నార్క్ ఒక బ్రిటిష్ ప్రోటోటైప్ ఫైటర్ విమానం, ఇది RAF యొక్క సోప్విత్ స్నిప్స్ స్థానంలో మొదటి ప్రపంచ యుద్ధం చివరిలో రూపొందించబడింది మరియు నిర్మించబడింది. ఒకే ఇంజిన్ ట్రిప్లేన్, యుద్ధం ముగిసిన తర్వాత స్నార్క్ ఎగరలేదు, మూడు మాత్రమే నిర్మించబడ్డాయి. 1918 వసంతకాలంలో, సోప్విత్ స్నిప్ ఇంకా రాయల్ వైమానిక దళంతో సేవలో ప్రవేశించనప్పటికీ, బ్రిటిష్ వైమానిక మంత్రిత్వ శాఖ దాని స్థానంలో ఒక స్పెసిఫికేషన్ (RAF రకం I) ను రూపొందించింది. ఈ స్పెసిఫికేషన్ అధిక ఎత్తులో మరియు ABC డ్రాగన్ఫ్లై ఇంజిన్ చేత శక్తినిచ్చే ఫైటర్ను కోరింది, ఇది ఎయిర్-కూల్డ్ రేడియల్ ఇంజిన్, ఇది అధిక పనితీరు మరియు ఉత్పత్తి సౌలభ్యం ఆధారంగా పెద్ద సంఖ్యలో ఆదేశించబడింది. ఈ అవసరాన్ని తీర్చడానికి సోప్విత్ రెండు డిజైన్లను నిర్మించాడు, ఒక బిప్‌లేన్, స్నాపర్ మరియు ట్రిప్లేన్, స్నార్క్. సోప్‌విత్ మూడు ప్రోటోటైప్‌ల కోసం ఆర్డర్‌లను అందుకున్నాడు, ప్రతి స్నాపర్ మరియు స్నార్క్, [1] అలాగే స్నిప్ యొక్క డ్రాగన్‌ఫ్లై శక్తితో కూడిన సంస్కరణలో 300 మందికి ఆర్డర్లు. స్నార్క్‌లో సోప్‌విత్ నత్త తేలికపాటి ఫైటర్ వంటి చెక్క మోనోకోక్ ఫ్యూజ్‌లేజ్ ఉంది మరియు ప్రతి రెక్కపై ఐలెరాన్‌లతో సమాన స్పాన్ సింగిల్-బే రెక్కలను కలిగి ఉంది. రెక్కలు అసమాన అంతరం మరియు అస్థిరమైనవి, మధ్య మరియు ఎగువ రెక్కల మధ్య అంతరం దిగువ మరియు మధ్య రెక్కల మధ్య కంటే తక్కువ విమానాల ఎత్తును తగ్గించడానికి. [2] స్నార్క్ ఆ సమయంలో, సింగిల్-సీట్ ఫైటర్ కోసం చాలా భారీ ఆయుధాలు అమర్చారు. ఫ్యూజ్‌లేజ్ లోపల సాధారణ రెండు సమకాలీకరించిన విక్కర్స్ తుపాకులతో పాటు, ఇందులో నాలుగు లూయిస్ తుపాకులు దిగువ రెక్కల క్రింద అమర్చబడి, ప్రొపెల్లర్ డిస్క్ వెలుపల కాల్పులు జరిపాయి. ఈ తుపాకులు పైలట్‌కు ప్రాప్యత చేయలేవు, అందువల్ల విమానంలో మళ్లీ లోడ్ చేయబడలేదు లేదా అన్‌జామ్ చేయబడలేదు. [3] [A] మొదటి నమూనా అక్టోబర్ 1918 నాటికి పూర్తయింది, కాని మార్చి 1919 వరకు ఫ్లైట్-రెడీ ఇంజన్లు అందుబాటులో లేవు, మరియు స్నార్క్ చేసింది జూలై 1919 వరకు దాని మొదటి విమానంలో చేయవద్దు. [4] ఇది సహేతుకమైన పనితీరు మరియు మంచి యుక్తిని ప్రదర్శించినప్పటికీ, [3] (మునుపటి సోప్విత్ ట్రిప్లేన్ [5] వలె అంత మంచిది కానప్పటికీ), ఈ సమయానికి, డ్రాగన్‌ఫ్లై ఇంజిన్‌కు తీవ్రమైన సమస్యలు ఉన్నాయని గ్రహించబడింది, వేడెక్కడం మరియు తీవ్రమైన వైబ్రేషన్ , మరియు స్నార్క్ ఉత్పత్తి కోసం ప్రణాళికలు వదిలివేయబడ్డాయి. [6] మూడు స్నార్క్‌లు 1921 వరకు ట్రయల్స్ ప్రయోజనాల కోసం వాడుకలో కొనసాగాయి. [7] మొదటి ప్రపంచ యుద్ధం యొక్క యుద్ధ విమానాల నుండి డేటా: ఫైటర్స్ వాల్యూమ్ త్రీ [5] సాధారణ లక్షణాలు పనితీరు ఆయుధాలు పోల్చదగిన పాత్ర, కాన్ఫిగరేషన్ మరియు యుగం యొక్క విమానం</v>
      </c>
      <c r="F145" s="1" t="s">
        <v>1930</v>
      </c>
      <c r="G145" s="1" t="str">
        <f>IFERROR(__xludf.DUMMYFUNCTION("GOOGLETRANSLATE(F:F, ""en"", ""te"")"),"ఫైటర్ విమానం")</f>
        <v>ఫైటర్ విమానం</v>
      </c>
      <c r="H145" s="1" t="s">
        <v>1931</v>
      </c>
      <c r="I145" s="1" t="s">
        <v>357</v>
      </c>
      <c r="J145" s="1" t="str">
        <f>IFERROR(__xludf.DUMMYFUNCTION("GOOGLETRANSLATE(I:I, ""en"", ""te"")"),"యునైటెడ్ కింగ్‌డమ్")</f>
        <v>యునైటెడ్ కింగ్‌డమ్</v>
      </c>
      <c r="K145" s="1" t="s">
        <v>1344</v>
      </c>
      <c r="L145" s="1" t="s">
        <v>2323</v>
      </c>
      <c r="M145" s="1" t="str">
        <f>IFERROR(__xludf.DUMMYFUNCTION("GOOGLETRANSLATE(L:L, ""en"", ""te"")"),"సోప్విత్ ఏవియేషన్ కంపెనీ")</f>
        <v>సోప్విత్ ఏవియేషన్ కంపెనీ</v>
      </c>
      <c r="N145" s="1" t="s">
        <v>2324</v>
      </c>
      <c r="Q145" s="1">
        <v>3.0</v>
      </c>
      <c r="S145" s="1" t="s">
        <v>433</v>
      </c>
      <c r="U145" s="1" t="s">
        <v>727</v>
      </c>
      <c r="V145" s="1" t="s">
        <v>2325</v>
      </c>
      <c r="W145" s="1" t="s">
        <v>2326</v>
      </c>
      <c r="Y145" s="1" t="s">
        <v>2327</v>
      </c>
      <c r="AA145" s="1" t="s">
        <v>2328</v>
      </c>
      <c r="AJ145" s="1">
        <v>1919.0</v>
      </c>
      <c r="AM145" s="1" t="s">
        <v>2302</v>
      </c>
      <c r="AP145" s="1" t="s">
        <v>2329</v>
      </c>
      <c r="AZ145" s="1" t="s">
        <v>2330</v>
      </c>
    </row>
    <row r="146">
      <c r="A146" s="1" t="s">
        <v>2331</v>
      </c>
      <c r="B146" s="1" t="str">
        <f>IFERROR(__xludf.DUMMYFUNCTION("GOOGLETRANSLATE(A:A, ""en"", ""te"")"),"బ్లాక్బర్న్ క్యూబారూ")</f>
        <v>బ్లాక్బర్న్ క్యూబారూ</v>
      </c>
      <c r="C146" s="1" t="s">
        <v>2332</v>
      </c>
      <c r="D146" s="1" t="str">
        <f>IFERROR(__xludf.DUMMYFUNCTION("GOOGLETRANSLATE(C:C, ""en"", ""te"")"),"బ్లాక్బర్న్ టి .4 క్యూబారూ 1920 లలో బ్రిటిష్ బిప్లేన్ టార్పెడో బాంబర్ అనే నమూనా. బ్లాక్బర్న్ విమానం నిర్మించినది మరియు పెద్ద 21 (533 మిమీ) టార్పెడోను తీసుకువెళ్ళడానికి ఉద్దేశించినది, క్యూబారూ మొదటి విమానంలో ప్రపంచంలోనే అతిపెద్ద సింగిల్-ఇంజిన్ విమానంలో ఒకట"&amp;"ి. 1921 లో, బ్రిటిష్ వైమానిక మంత్రిత్వ శాఖ ఒక తీరప్రాంత రక్షణ టార్పెడో విమానం కోసం బ్లాక్‌బర్న్‌కు 8/21 స్పెసిఫికేషన్ జారీ చేసింది, ఫలితంగా డిజైన్ T.4 క్యూబారూ. ట్విన్-ఇంజిన్ డిజైన్‌కు అనుకూలంగా వైమానిక మంత్రిత్వ శాఖలో విధానం యొక్క మార్పు కారణంగా 1922 లో "&amp;"కొత్త స్పెసిఫికేషన్ జారీ చేయబడింది, బ్రిటిష్ వైమానిక మంత్రిత్వ శాఖ 16/22 స్పెసిఫికేషన్‌ను రూపొందించింది, 21 లో మోసుకెళ్ళే సుదూర టార్పెడో బాంబర్ కోసం (( 533 మిమీ) టార్పెడో (ఆ సమయంలో ఇది అతిపెద్ద యుద్ధనౌకను మునిగిపోయే సామర్థ్యాన్ని కలిగి ఉంది) 800 మైళ్ళు (1"&amp;",300 కి.మీ). [1] మేజర్ ఎఫ్. బ్లాక్బర్న్ ఎయిర్క్రాఫ్ట్ యొక్క చీఫ్ డిజైనర్ అనే బంపస్ బ్లాక్బర్న్ టి .4 క్యూబారూ కోసం డిజైన్‌ను సమర్పించారు, ఇది కొత్త 1,000 హెచ్‌పి (750 కిలోవాట్ల) నేపియర్ కబ్ ఇంజిన్ యొక్క ఒకే ఉదాహరణతో నడిచే పెద్ద బైప్‌లేన్. అవ్రో ఈ స్పెసిఫి"&amp;"కేషన్‌కు వ్యతిరేకంగా ఒక డిజైన్‌ను సమర్పించాడు, అవ్రో 557 అవా, అదేవిధంగా పెద్ద బిప్‌లేన్, ఇది రెండు 600 హెచ్‌పి (450 కిలోవాట్) రోల్స్ రాయిస్ కాండోర్ ఇంజిన్‌లతో నడిచింది. భారీ (2,000 ఎల్బి/907 కిలోల) టార్పెడోను సుదూర శ్రేణిలో తీసుకెళ్లడానికి, క్యూబారూ భారీగ"&amp;"ా ఉంది. 88 అడుగుల (27 మీ) రెక్కలతో, ఇది ఆ సమయంలో ప్రపంచంలోనే అతిపెద్ద సింగిల్-ఇంజిన్ సైనిక విమానం అయి ఉండవచ్చు మరియు అందుబాటులో ఉన్న అత్యంత శక్తివంతమైన విమాన ఇంజిన్, నేపియర్ కబ్, ఇది అసాధారణమైన x- రకం రేడియేటర్లను మినహాయించి ఒక టన్నుపై బరువున్న ఇంజిన్. [1"&amp;"] [2] క్యూబారూ, ప్రధానంగా లోహ నిర్మాణంతో, కబ్ ఇంజిన్‌కు అనుగుణంగా లోతైన ఫ్యూజ్‌లేజ్ కలిగి ఉంది మరియు మడత, రెండు-బే రెక్కలతో అమర్చబడింది. టార్పెడోను తీసుకెళ్లడానికి, క్యూబారూ రెండు సెట్ల రెండు చక్రాలతో కూడిన ప్రధాన అండర్ క్యారేజీతో అమర్చబడింది, టార్పెడో వా"&amp;"రి మధ్య ఒక క్రచ్ మీద తీసుకువెళుతుంది. మొట్టమొదటి నమూనా (సీరియల్ N166 తో) 1924 వేసవిలో రహస్యంగా ఎగిరింది, మంచి నిర్వహణ లక్షణాలను కలిగి ఉందని రుజువు చేసింది, ఇంజిన్ సమస్యలను కలిగించలేదు (కబ్ ఇప్పటికే AVRO ఆల్డర్‌షాట్ టెస్ట్‌బెడ్‌లో పరీక్షలు ఎగిరిపోయాయి). [1"&amp;"] ఇది తరువాత ఒక లోహ, మూడు-బ్లేడ్ సర్దుబాటు-పిచ్ ప్రొపెల్లర్‌తో అమర్చబడింది మరియు RAF మార్ట్‌హామ్ హీత్ వద్ద పరీక్ష కోసం పంపిణీ చేయబడింది, కాని 1925 ఫిబ్రవరి 2 న దాని అండర్ క్యారేజ్ కూలిపోయిన తరువాత వ్రాయబడింది. రెండవ నమూనా 1925 లో ఎగిరింది, కాని వైమానిక మం"&amp;"త్రిత్వ శాఖ వదిలివేసింది టార్పెడో బాంబర్ 21 లో (533 మిమీ) టార్పెడోను తీసుకువెళ్ళడానికి మరియు సింగిల్-ఇంజిన్ హెవీ బాంబర్లపై ఆసక్తిని కోల్పోయింది, కాబట్టి రెండవ ప్రోటోటైప్ క్యూబారూను ఇంజిన్ టెస్ట్‌బెడ్‌గా ఉపయోగించారు, ప్రయోగాత్మక 1,100 హెచ్‌పి (820 KW) బార్"&amp;"డ్‌మోర్ సిమూన్ కంప్రెషన్ జ్వలన ఇంజిన్. [1] 1914 నుండి బ్రిటిష్ బాంబర్ నుండి యునైటెడ్ కింగ్‌డమ్ డేటా [1] సాధారణ లక్షణాలు పనితీరు ఆయుధాలు లేదా పోల్చదగిన పాత్ర, ఆకృతీకరణ మరియు యుగం యొక్క విమానం")</f>
        <v>బ్లాక్బర్న్ టి .4 క్యూబారూ 1920 లలో బ్రిటిష్ బిప్లేన్ టార్పెడో బాంబర్ అనే నమూనా. బ్లాక్బర్న్ విమానం నిర్మించినది మరియు పెద్ద 21 (533 మిమీ) టార్పెడోను తీసుకువెళ్ళడానికి ఉద్దేశించినది, క్యూబారూ మొదటి విమానంలో ప్రపంచంలోనే అతిపెద్ద సింగిల్-ఇంజిన్ విమానంలో ఒకటి. 1921 లో, బ్రిటిష్ వైమానిక మంత్రిత్వ శాఖ ఒక తీరప్రాంత రక్షణ టార్పెడో విమానం కోసం బ్లాక్‌బర్న్‌కు 8/21 స్పెసిఫికేషన్ జారీ చేసింది, ఫలితంగా డిజైన్ T.4 క్యూబారూ. ట్విన్-ఇంజిన్ డిజైన్‌కు అనుకూలంగా వైమానిక మంత్రిత్వ శాఖలో విధానం యొక్క మార్పు కారణంగా 1922 లో కొత్త స్పెసిఫికేషన్ జారీ చేయబడింది, బ్రిటిష్ వైమానిక మంత్రిత్వ శాఖ 16/22 స్పెసిఫికేషన్‌ను రూపొందించింది, 21 లో మోసుకెళ్ళే సుదూర టార్పెడో బాంబర్ కోసం (( 533 మిమీ) టార్పెడో (ఆ సమయంలో ఇది అతిపెద్ద యుద్ధనౌకను మునిగిపోయే సామర్థ్యాన్ని కలిగి ఉంది) 800 మైళ్ళు (1,300 కి.మీ). [1] మేజర్ ఎఫ్. బ్లాక్బర్న్ ఎయిర్క్రాఫ్ట్ యొక్క చీఫ్ డిజైనర్ అనే బంపస్ బ్లాక్బర్న్ టి .4 క్యూబారూ కోసం డిజైన్‌ను సమర్పించారు, ఇది కొత్త 1,000 హెచ్‌పి (750 కిలోవాట్ల) నేపియర్ కబ్ ఇంజిన్ యొక్క ఒకే ఉదాహరణతో నడిచే పెద్ద బైప్‌లేన్. అవ్రో ఈ స్పెసిఫికేషన్‌కు వ్యతిరేకంగా ఒక డిజైన్‌ను సమర్పించాడు, అవ్రో 557 అవా, అదేవిధంగా పెద్ద బిప్‌లేన్, ఇది రెండు 600 హెచ్‌పి (450 కిలోవాట్) రోల్స్ రాయిస్ కాండోర్ ఇంజిన్‌లతో నడిచింది. భారీ (2,000 ఎల్బి/907 కిలోల) టార్పెడోను సుదూర శ్రేణిలో తీసుకెళ్లడానికి, క్యూబారూ భారీగా ఉంది. 88 అడుగుల (27 మీ) రెక్కలతో, ఇది ఆ సమయంలో ప్రపంచంలోనే అతిపెద్ద సింగిల్-ఇంజిన్ సైనిక విమానం అయి ఉండవచ్చు మరియు అందుబాటులో ఉన్న అత్యంత శక్తివంతమైన విమాన ఇంజిన్, నేపియర్ కబ్, ఇది అసాధారణమైన x- రకం రేడియేటర్లను మినహాయించి ఒక టన్నుపై బరువున్న ఇంజిన్. [1] [2] క్యూబారూ, ప్రధానంగా లోహ నిర్మాణంతో, కబ్ ఇంజిన్‌కు అనుగుణంగా లోతైన ఫ్యూజ్‌లేజ్ కలిగి ఉంది మరియు మడత, రెండు-బే రెక్కలతో అమర్చబడింది. టార్పెడోను తీసుకెళ్లడానికి, క్యూబారూ రెండు సెట్ల రెండు చక్రాలతో కూడిన ప్రధాన అండర్ క్యారేజీతో అమర్చబడింది, టార్పెడో వారి మధ్య ఒక క్రచ్ మీద తీసుకువెళుతుంది. మొట్టమొదటి నమూనా (సీరియల్ N166 తో) 1924 వేసవిలో రహస్యంగా ఎగిరింది, మంచి నిర్వహణ లక్షణాలను కలిగి ఉందని రుజువు చేసింది, ఇంజిన్ సమస్యలను కలిగించలేదు (కబ్ ఇప్పటికే AVRO ఆల్డర్‌షాట్ టెస్ట్‌బెడ్‌లో పరీక్షలు ఎగిరిపోయాయి). [1] ఇది తరువాత ఒక లోహ, మూడు-బ్లేడ్ సర్దుబాటు-పిచ్ ప్రొపెల్లర్‌తో అమర్చబడింది మరియు RAF మార్ట్‌హామ్ హీత్ వద్ద పరీక్ష కోసం పంపిణీ చేయబడింది, కాని 1925 ఫిబ్రవరి 2 న దాని అండర్ క్యారేజ్ కూలిపోయిన తరువాత వ్రాయబడింది. రెండవ నమూనా 1925 లో ఎగిరింది, కాని వైమానిక మంత్రిత్వ శాఖ వదిలివేసింది టార్పెడో బాంబర్ 21 లో (533 మిమీ) టార్పెడోను తీసుకువెళ్ళడానికి మరియు సింగిల్-ఇంజిన్ హెవీ బాంబర్లపై ఆసక్తిని కోల్పోయింది, కాబట్టి రెండవ ప్రోటోటైప్ క్యూబారూను ఇంజిన్ టెస్ట్‌బెడ్‌గా ఉపయోగించారు, ప్రయోగాత్మక 1,100 హెచ్‌పి (820 KW) బార్డ్‌మోర్ సిమూన్ కంప్రెషన్ జ్వలన ఇంజిన్. [1] 1914 నుండి బ్రిటిష్ బాంబర్ నుండి యునైటెడ్ కింగ్‌డమ్ డేటా [1] సాధారణ లక్షణాలు పనితీరు ఆయుధాలు లేదా పోల్చదగిన పాత్ర, ఆకృతీకరణ మరియు యుగం యొక్క విమానం</v>
      </c>
      <c r="E146" s="1" t="s">
        <v>2333</v>
      </c>
      <c r="F146" s="1" t="s">
        <v>2334</v>
      </c>
      <c r="G146" s="1" t="str">
        <f>IFERROR(__xludf.DUMMYFUNCTION("GOOGLETRANSLATE(F:F, ""en"", ""te"")"),"టార్పెడో బాంబర్")</f>
        <v>టార్పెడో బాంబర్</v>
      </c>
      <c r="L146" s="1" t="s">
        <v>2335</v>
      </c>
      <c r="M146" s="1" t="str">
        <f>IFERROR(__xludf.DUMMYFUNCTION("GOOGLETRANSLATE(L:L, ""en"", ""te"")"),"బ్లాక్బర్న్ విమానం")</f>
        <v>బ్లాక్బర్న్ విమానం</v>
      </c>
      <c r="N146" s="1" t="s">
        <v>2336</v>
      </c>
      <c r="O146" s="1" t="s">
        <v>779</v>
      </c>
      <c r="P146" s="1" t="str">
        <f>IFERROR(__xludf.DUMMYFUNCTION("GOOGLETRANSLATE(O:O, ""en"", ""te"")"),"ప్రోటోటైప్")</f>
        <v>ప్రోటోటైప్</v>
      </c>
      <c r="Q146" s="1">
        <v>2.0</v>
      </c>
      <c r="S146" s="1" t="s">
        <v>2337</v>
      </c>
      <c r="U146" s="1" t="s">
        <v>2338</v>
      </c>
      <c r="V146" s="1" t="s">
        <v>2339</v>
      </c>
      <c r="X146" s="1" t="s">
        <v>2340</v>
      </c>
      <c r="AA146" s="1" t="s">
        <v>2341</v>
      </c>
      <c r="AB146" s="1" t="s">
        <v>366</v>
      </c>
      <c r="AE146" s="1" t="s">
        <v>2342</v>
      </c>
      <c r="AH146" s="1" t="s">
        <v>2343</v>
      </c>
      <c r="AJ146" s="1">
        <v>1924.0</v>
      </c>
      <c r="AM146" s="1" t="s">
        <v>2344</v>
      </c>
      <c r="AN146" s="1" t="s">
        <v>2345</v>
      </c>
      <c r="AP146" s="1" t="s">
        <v>1028</v>
      </c>
      <c r="AQ146" s="1" t="s">
        <v>2346</v>
      </c>
      <c r="AR146" s="1" t="s">
        <v>2347</v>
      </c>
      <c r="BH146" s="1" t="s">
        <v>375</v>
      </c>
      <c r="BI146" s="1" t="s">
        <v>376</v>
      </c>
    </row>
    <row r="147">
      <c r="A147" s="1" t="s">
        <v>2348</v>
      </c>
      <c r="B147" s="1" t="str">
        <f>IFERROR(__xludf.DUMMYFUNCTION("GOOGLETRANSLATE(A:A, ""en"", ""te"")"),"బ్లాక్బర్న్ పటాళ్ళు")</f>
        <v>బ్లాక్బర్న్ పటాళ్ళు</v>
      </c>
      <c r="C147" s="1" t="s">
        <v>2349</v>
      </c>
      <c r="D147" s="1" t="str">
        <f>IFERROR(__xludf.DUMMYFUNCTION("GOOGLETRANSLATE(C:C, ""en"", ""te"")"),"SBAC హోదా YA.1 ను బట్టి బ్లాక్బర్న్ B.48 పటాళ్ళు, రెండవ ప్రపంచ యుద్ధంలో బ్రిటిష్ ఫ్లీట్ ఎయిర్ ఆర్మ్‌తో సేవ కోసం బ్లాక్బర్న్ విమానం నిర్మించిన సింగిల్-ఇంజిన్ నావికాదళ సమ్మె ఫైటర్. ఇది క్యారియర్ కార్యకలాపాలకు మరింత సరిపోయే మెరుగైన విమానం కోసం ఎయిర్ మినిస్ట్"&amp;"రీ స్పెసిఫికేషన్ S.28/43 కు రూపొందించిన సమస్యాత్మక ఫైర్‌బ్రాండ్ యొక్క అభివృద్ధి. మూడు ప్రోటోటైప్‌లను B-48 యొక్క కంపెనీ హోదా మరియు ""పటాస్ట్"" యొక్క అనధికారిక పేరుతో ఆదేశించారు, కాని వాటిలో రెండు మాత్రమే వాస్తవానికి ప్రయాణించాయి. విమానాల అభివృద్ధి గణనీయమైన"&amp;" డిజైన్ మార్పులు మరియు భాగాల నెమ్మదిగా డెలివరీల ద్వారా దీర్ఘకాలికంగా ఉంది, అయితే 1946 లో సరఫరా మంత్రిత్వ శాఖ యొక్క నిర్ణయం ఎయిర్ఫ్రేమ్ సమ్మె ఫైటర్ యొక్క అవసరాలను తీర్చలేదు. రెండు ప్రోటోటైప్‌ల నిర్మాణం ఫ్లైట్-టెస్ట్ డేటాను పొందడం కొనసాగించబడింది మరియు మూడవ"&amp;"ది బలం పరీక్షకు కేటాయించబడింది. రెండు ఎగిరే విమానాలను 1950 లో పారవేయడం కోసం తిరిగి బ్లాక్‌బర్న్‌కు విక్రయించారు మరియు ఇతర విమానాలు 1952 వరకు బయటపడ్డాయి. ఫైర్‌బ్రాండ్‌కు బ్లాక్బర్న్ ఒక ఉపయోగకరమైన విమానాన్ని ఉత్పత్తి చేయడానికి గణనీయమైన ప్రయత్నం అవసరం మరియు "&amp;"లామినార్-ఫ్లో వింగ్ తీసుకున్న విమానం యొక్క పున es రూపకల్పనపై మొదటి చర్చలు సెప్టెంబర్ 1943 లో ఉంచండి. కొత్త వింగ్ వింగ్ యొక్క బరువును 700 ఎల్బి (320 కిలోలు) తగ్గిస్తుందని అంచనా వేయబడింది మరియు విమాన వేగాన్ని 13 mph (11 kn; 21 కిమీ/గం) పెంచుతుంది. పున es రూ"&amp;"పకల్పన యొక్క పరిధి పెరిగింది మరియు ఇది కొత్త ఫ్యూజ్‌లేజ్ మరియు ఇతర మెరుగుదలలకు దారితీసింది. [1] అక్టోబర్ 1943 లో, బ్లాక్బర్న్ యొక్క డిజైన్ సిబ్బంది, G.E. పెట్టీ, ఫైర్‌బ్రాండ్ యొక్క ఈ అభివృద్ధిపై పనిని ప్రారంభించింది, ఇది స్పెసిఫికేషన్ S.28/43 ను 26 ఫిబ్రవ"&amp;"రి 1944 న వైమానిక మంత్రిత్వ శాఖ జారీ చేసింది. [2] [3] ఈ స్పెసిఫికేషన్ బ్రిస్టల్ సెంటారస్ 77 రేడియల్ ఇంజిన్ చుట్టూ కాంట్రా-రొటేటింగ్ ప్రొపెల్లర్లతో రూపొందించబడింది, ఇది చుక్కాని పరిమాణాన్ని తగ్గించడానికి అనుమతించింది. [4] కంపెనీ హోదా B.48 ను ఇచ్చిన కొత్త డ"&amp;"ిజైన్, బ్లాక్‌బర్న్ చేత అనధికారికంగా ""పటాస్ట్"" గా పిలువబడింది, కాని దీనిని ఎయిర్ మినిస్ట్రీ స్పెసిఫికేషన్ అయిన S.28/43 చేత పిలుస్తారు. ఇది తక్కువ రెక్కలుగల, సింగిల్-సీట్, ఆల్-మెటల్ మోనోప్లేన్. కాక్‌పిట్ వెనుక ఫ్యూజ్‌లేజ్ ఓవల్ ఆకారంలో ఒత్తిడితో కూడిన-చర్"&amp;"మం సెమీ-మోనోకోక్, కానీ ఫార్వర్డ్ దీనికి వృత్తాకార-సెక్షన్, గొట్టపు-స్టీల్ ఫ్రేమ్ ఉంది. పటాళ్ళు యొక్క కాక్‌పిట్ ముందుకు కదిలి పైలట్ యొక్క స్థానాన్ని పెంచింది, తద్వారా అతను ఇప్పుడు రెక్కల ప్రముఖ అంచుని చూసాడు మరియు ముక్కును క్రిందికి చూశాడు. పందిరి హాకర్ టె"&amp;"ంపెస్ట్ ఫైటర్ నుండి స్వీకరించబడింది. [5] వెనుక ఫ్యూజ్‌లేజ్‌లో ఒకే 52 ఇంప్ గల్ (62 యుఎస్ గల్; 240 ఎల్) ఇంధన ట్యాంక్ రెండు 92 ఇంప్ గల్ (110 యుఎస్ గాల్; 420 ఎల్) సెంటర్ వింగ్ విభాగంలో ఇంధన ట్యాంకులతో ఉంది. ఈ విమానం లామినార్ ఫ్లో ఏరోఫాయిల్ విభాగం యొక్క పున es"&amp;" రూపకల్పన, సన్నగా, విలోమ గల్ వింగ్ కలిగి ఉంది. రెక్కలో రెండు-స్పేర్ సెంటర్ విభాగం ఉంది, ఇది కేవలం 6.5 ° పైగా అన్హెడ్రల్ మరియు బయటి ప్యానెల్స్‌తో 9 ° డైహెడ్రల్. [6] విమాన వాహక నౌక యొక్క హ్యాంగర్ డెక్‌లలో మరింత కాంపాక్ట్ నిల్వను అనుమతించడానికి దీనిని రెండు "&amp;"ప్రదేశాలలో హైడ్రాలిక్‌గా ముడుచుకోవచ్చు. ల్యాండింగ్ కోసం మంచి తక్కువ-స్పీడ్ హ్యాండ్లింగ్ ఇవ్వడానికి నాలుగు ఫౌలర్ ఫ్లాప్‌లు అమర్చబడ్డాయి మరియు రెక్క రెండు ఉపరితలాలపై ముడుచుకునే డైవ్ బ్రేక్‌లు ఉన్నాయి. [2] పున es రూపకల్పన సమయంలో నిర్మాణం సరళీకృతం చేయబడింది, "&amp;"ఇది బరువును 1,400 పౌండ్లు (640 కిలోలు) తగ్గించింది మరియు ఇంధన సామర్థ్యాన్ని 70 ఇంప్ గల్ (84 యుఎస్ గాల్; 320 ఎల్) పెంచిన తరువాత కూడా స్థూల బరువు ఇప్పటికీ 900 ఎల్బి (410 కిలోలు ) ఫైర్‌బ్రాండ్ కంటే తక్కువ. [5] రెండు ప్రోటోటైప్‌లపై పనులు నవంబర్ 1943 లో అధికార"&amp;"ం పొందాయి, కాని ప్రత్యామ్నాయ ఇంజిన్ల ప్రతిపాదనలు పురోగతిని ఆలస్యం చేశాయి. 1945 లో, మరొక సెంటారస్-ఇంజిన్ ప్రోటోటైప్‌ను జోడించడంతో పాటు, నేపియర్ E.122 (సాబెర్ యొక్క అభివృద్ధి) తో మూడు ప్రోటోటైప్‌లు ఉండాలి. ఇది బ్లాక్బర్న్ ఏరోడైనమిక్ మరియు స్ట్రక్చరల్ డిజైన్"&amp;" గురించి వారి జ్ఞానాన్ని అభివృద్ధి చేయడానికి మరియు నేపియర్ వద్ద ఇంజిన్ అభివృద్ధికి మద్దతు ఇస్తుందని మంత్రిత్వ శాఖ విశ్వసించింది. ఏదేమైనా, E.122 పవర్‌ప్లాంట్‌ను పైలట్ వెనుక ఉంచినట్లయితే మాత్రమే S.10/45 విమానం సమతుల్యతతో ఉంటుందని కనుగొనబడింది. అవసరమైన పున e"&amp;"s రూపకల్పన మరియు 1,000 ఎల్బి (450 కిలోల) బరువు పెరుగుదల, రాయల్ నేవీకి అందుబాటులో ఉన్న పరిమిత నిధులతో పాటు, అది ఇకపై సమర్థించబడదని మరియు S.10/45 అక్టోబర్ 8 న రద్దు చేయబడింది. తుది రూపకల్పనలో ఉండగా, కాంట్రా-రొటేటింగ్ ప్రొపెల్లర్లతో సెంటారస్ 77 ఇంజిన్ జనవరి "&amp;"1946 లో రద్దు చేయబడింది మరియు సాంప్రదాయిక 2,825 హెచ్‌పి (2,107 కిలోవాట్) సెంటారస్ 57 ప్రత్యామ్నాయం చేయబడింది. ఈ ఇంజిన్ సౌకర్యవంతమైన మౌంట్‌లు అవసరమని కనుగొనబడింది మరియు సెంటారస్ 59 లో సవరించబడింది. కొత్త ఇంజిన్ యొక్క టార్క్ను ఎదుర్కోవటానికి నిలువు స్టెబిలై"&amp;"జర్ మరియు చుక్కాని 33 చదరపు అడుగుల (3.1 మీ 2) నుండి 41 చదరపు అడుగుల (3.8 మీ 2) వరకు విస్తరించాల్సి వచ్చింది. సెప్టెంబర్ 1946 లో, సరఫరా మంత్రిత్వ శాఖ నిర్వహించిన బలం విశ్లేషణలో ఈ విమానం సమ్మె ఫైటర్‌గా పనిచేయడానికి బలోపేతం కావాలని మరియు దానిని అవసరాలకు తీసు"&amp;"కురావడానికి ఖరీదైన పున es రూపకల్పన అవసరమని వెస్ట్‌ల్యాండ్‌తో బరువు మరియు పనితీరును పోల్చదగినదిగా వెల్లడించింది. అప్పటికే ఎగిరిన వైవర్న్ కాబట్టి ఉత్పత్తి విమానాల కోసం ఎటువంటి ఒప్పందం ఉంచబడలేదు. [7] దాని ప్రొపెల్లర్ ఆలస్యంగా డెలివరీ చేయడంలో ఆలస్యం అయిన మొదట"&amp;"ి నమూనా ఫిబ్రవరి 1947 లో బ్రోలో విడుదల చేయబడింది మరియు తరువాత రోడ్ ద్వారా RAF లెకాన్ఫీల్డ్కు తీసుకువెళ్ళబడింది, అక్కడ ఆ సంవత్సరం ఏప్రిల్ 1 న తొలి విమాన ప్రయాణం చేసింది. మూడు ప్రోటోటైప్‌లు సెప్టెంబర్ 1947 చివరి నాటికి పూర్తయ్యాయి మరియు మూడవ-ప్రోటోటైప్ uter"&amp;" టర్-వింగ్ డైహెడ్రాల్‌ను 3 to కు తగ్గించడానికి సవరించబడింది. రెండవ మరియు మూడవ ప్రోటోటైప్‌లు రెండూ సప్లై మంత్రిత్వ శాఖ ఆగిపోవాలని మరియు విమానంలో పని చేయమని ఆదేశించినప్పుడు విరుచుకుపడ్డాయి. అయితే, ఈ నెల తరువాత, మూడవ నమూనా శక్తితో కూడిన ఐలెరాన్ నియంత్రణల పరీ"&amp;"క్షలకు కేటాయించబడింది, ఎందుకంటే మొదటి ప్రోటోటైప్ యొక్క పరీక్ష క్రూయిజ్ వేగంతో తగినంతగా ఉన్నప్పటికీ, ఐలెరాన్లు తక్కువ మరియు అధిక వేగంతో భారీగా ఉన్నాయని చూపించింది. రెండవ నమూనా నిర్మాణ పరీక్షకు కేటాయించబడింది. [8] మూడవ నమూనా 1948 ప్రారంభంలో తన తొలి విమానంలో"&amp;" సాధించింది, కాని విమాన పరీక్ష యొక్క వేగం నవంబర్ 30 నాటికి 7 గంటలు మరియు 40 నిమిషాలు మాత్రమే పూర్తయింది, వీటిలో సగానికి పైగా ఎయిర్ షో ప్రదర్శనలతో అనుసంధానించబడ్డాయి. పరీక్షాకు తదుపరి ఉద్దేశ్యం లేదని ఆఫీసర్ ఇన్ ఛార్జ్ ఇంపాన్ ఇంపాక్ట్ ముగిసినప్పుడు పరీక్ష మ"&amp;"ుగిసింది. [9] ఫైర్‌బ్రెస్ట్ ఫైర్‌బ్రాండ్ కంటే వేగంగా ఉన్నప్పటికీ, కాక్‌పిట్ నుండి దాని పైలట్‌కు మెరుగైన దృశ్యాన్ని ఇచ్చింది, ఇది నిరాశపరిచింది, టెస్ట్ పైలట్ మరియు నావికాదళ ఏవియేటర్ కెప్టెన్ ఎరిక్ బ్రౌన్ ఈ పటాళ్ళు మందగించిన ఫైర్‌బ్రాండ్ కంటే తక్కువ మనోహరమై"&amp;"నవి అని పేర్కొన్నాడు, అయితే, శక్తితో కూడిన ఐలెరాన్లు ముద్ద నియంత్రణలను ఇచ్చాయి, ఇది అల్లకల్లోలమైన గాలిలో అస్థిరతకు దారితీస్తుంది. [10] కార్యాచరణ అనుభవం బ్లాక్‌బర్న్ యొక్క ఫైర్‌క్రెస్ట్ స్ట్రైక్ ఫైటర్ క్యారియర్ కార్యకలాపాలకు తగినట్లుగా ఉందని కనుగొన్నారు. ప"&amp;"్రత్యేకించి, పైలట్ రెక్క యొక్క వెనుకంజలో ఉన్న అంచు దగ్గర కూర్చున్నాడు, చాలా పొడవైన మరియు విశాలమైన ముక్కును చూస్తూ, ఇది ల్యాండింగ్ కోసం ప్రత్యేకంగా పేలవమైన దృశ్యాన్ని ఇచ్చింది. [11] గ్యాస్ టర్బైన్ ఇంజన్లు రావడం ద్వారా పటాళ్ళు కూడా వాడుకలో లేవు, మరియు బ్లాక"&amp;"్బర్న్ పటాళ్ళు యొక్క టర్బోప్రాప్-శక్తితో పనిచేసే ఉత్పన్నాల కోసం ప్రతిపాదనలను రూపొందించగా, (ఆర్మ్‌స్ట్రాంగ్ సిడ్డెలీ పైథాన్ ఇంజిన్‌తో B-62 (Y.A.6) గా), వైర్న్ కోసం వెస్ట్‌ల్యాండ్‌కు వెళ్లే ఆర్డర్‌లతో, విడదీయబడలేదు. [3] రెండు ఫ్లయింగ్ ప్రోటోటైప్‌లు 1949 వరక"&amp;"ు వాడుకలో ఉన్నాయి, దీనిని 1950 లో తిరిగి బ్లాక్బర్న్‌కు విక్రయించారు, తరువాత వాటిని రద్దు చేశారు. [12] మరో మూడు ప్రోటోటైప్‌లు 14 మార్చి 1945 న స్పెసిఫికేషన్ S.10/45 కు వ్యతిరేకంగా ఆదేశించబడ్డాయి మరియు నేపియర్ E.122 ఇంజిన్ చేత శక్తిని పొందాయి, కాని ఆర్డర్ "&amp;"రద్దు చేయబడింది మరియు విమానం నిర్మించబడలేదు. [14] అసంపూర్ణ గైడ్ నుండి ఎయిర్‌ఫాయిల్ వాడకానికి డేటా; బ్లాక్‌బర్న్ విమానం 1909 నుండి సాధారణ లక్షణాల నుండి పనితీరు ఆయుధ సంబంధిత అభివృద్ధి అభివృద్ధి విమానం పోల్చదగిన పాత్ర, కాన్ఫిగరేషన్ మరియు ERA సంబంధిత జాబితాలు")</f>
        <v>SBAC హోదా YA.1 ను బట్టి బ్లాక్బర్న్ B.48 పటాళ్ళు, రెండవ ప్రపంచ యుద్ధంలో బ్రిటిష్ ఫ్లీట్ ఎయిర్ ఆర్మ్‌తో సేవ కోసం బ్లాక్బర్న్ విమానం నిర్మించిన సింగిల్-ఇంజిన్ నావికాదళ సమ్మె ఫైటర్. ఇది క్యారియర్ కార్యకలాపాలకు మరింత సరిపోయే మెరుగైన విమానం కోసం ఎయిర్ మినిస్ట్రీ స్పెసిఫికేషన్ S.28/43 కు రూపొందించిన సమస్యాత్మక ఫైర్‌బ్రాండ్ యొక్క అభివృద్ధి. మూడు ప్రోటోటైప్‌లను B-48 యొక్క కంపెనీ హోదా మరియు "పటాస్ట్" యొక్క అనధికారిక పేరుతో ఆదేశించారు, కాని వాటిలో రెండు మాత్రమే వాస్తవానికి ప్రయాణించాయి. విమానాల అభివృద్ధి గణనీయమైన డిజైన్ మార్పులు మరియు భాగాల నెమ్మదిగా డెలివరీల ద్వారా దీర్ఘకాలికంగా ఉంది, అయితే 1946 లో సరఫరా మంత్రిత్వ శాఖ యొక్క నిర్ణయం ఎయిర్ఫ్రేమ్ సమ్మె ఫైటర్ యొక్క అవసరాలను తీర్చలేదు. రెండు ప్రోటోటైప్‌ల నిర్మాణం ఫ్లైట్-టెస్ట్ డేటాను పొందడం కొనసాగించబడింది మరియు మూడవది బలం పరీక్షకు కేటాయించబడింది. రెండు ఎగిరే విమానాలను 1950 లో పారవేయడం కోసం తిరిగి బ్లాక్‌బర్న్‌కు విక్రయించారు మరియు ఇతర విమానాలు 1952 వరకు బయటపడ్డాయి. ఫైర్‌బ్రాండ్‌కు బ్లాక్బర్న్ ఒక ఉపయోగకరమైన విమానాన్ని ఉత్పత్తి చేయడానికి గణనీయమైన ప్రయత్నం అవసరం మరియు లామినార్-ఫ్లో వింగ్ తీసుకున్న విమానం యొక్క పున es రూపకల్పనపై మొదటి చర్చలు సెప్టెంబర్ 1943 లో ఉంచండి. కొత్త వింగ్ వింగ్ యొక్క బరువును 700 ఎల్బి (320 కిలోలు) తగ్గిస్తుందని అంచనా వేయబడింది మరియు విమాన వేగాన్ని 13 mph (11 kn; 21 కిమీ/గం) పెంచుతుంది. పున es రూపకల్పన యొక్క పరిధి పెరిగింది మరియు ఇది కొత్త ఫ్యూజ్‌లేజ్ మరియు ఇతర మెరుగుదలలకు దారితీసింది. [1] అక్టోబర్ 1943 లో, బ్లాక్బర్న్ యొక్క డిజైన్ సిబ్బంది, G.E. పెట్టీ, ఫైర్‌బ్రాండ్ యొక్క ఈ అభివృద్ధిపై పనిని ప్రారంభించింది, ఇది స్పెసిఫికేషన్ S.28/43 ను 26 ఫిబ్రవరి 1944 న వైమానిక మంత్రిత్వ శాఖ జారీ చేసింది. [2] [3] ఈ స్పెసిఫికేషన్ బ్రిస్టల్ సెంటారస్ 77 రేడియల్ ఇంజిన్ చుట్టూ కాంట్రా-రొటేటింగ్ ప్రొపెల్లర్లతో రూపొందించబడింది, ఇది చుక్కాని పరిమాణాన్ని తగ్గించడానికి అనుమతించింది. [4] కంపెనీ హోదా B.48 ను ఇచ్చిన కొత్త డిజైన్, బ్లాక్‌బర్న్ చేత అనధికారికంగా "పటాస్ట్" గా పిలువబడింది, కాని దీనిని ఎయిర్ మినిస్ట్రీ స్పెసిఫికేషన్ అయిన S.28/43 చేత పిలుస్తారు. ఇది తక్కువ రెక్కలుగల, సింగిల్-సీట్, ఆల్-మెటల్ మోనోప్లేన్. కాక్‌పిట్ వెనుక ఫ్యూజ్‌లేజ్ ఓవల్ ఆకారంలో ఒత్తిడితో కూడిన-చర్మం సెమీ-మోనోకోక్, కానీ ఫార్వర్డ్ దీనికి వృత్తాకార-సెక్షన్, గొట్టపు-స్టీల్ ఫ్రేమ్ ఉంది. పటాళ్ళు యొక్క కాక్‌పిట్ ముందుకు కదిలి పైలట్ యొక్క స్థానాన్ని పెంచింది, తద్వారా అతను ఇప్పుడు రెక్కల ప్రముఖ అంచుని చూసాడు మరియు ముక్కును క్రిందికి చూశాడు. పందిరి హాకర్ టెంపెస్ట్ ఫైటర్ నుండి స్వీకరించబడింది. [5] వెనుక ఫ్యూజ్‌లేజ్‌లో ఒకే 52 ఇంప్ గల్ (62 యుఎస్ గల్; 240 ఎల్) ఇంధన ట్యాంక్ రెండు 92 ఇంప్ గల్ (110 యుఎస్ గాల్; 420 ఎల్) సెంటర్ వింగ్ విభాగంలో ఇంధన ట్యాంకులతో ఉంది. ఈ విమానం లామినార్ ఫ్లో ఏరోఫాయిల్ విభాగం యొక్క పున es రూపకల్పన, సన్నగా, విలోమ గల్ వింగ్ కలిగి ఉంది. రెక్కలో రెండు-స్పేర్ సెంటర్ విభాగం ఉంది, ఇది కేవలం 6.5 ° పైగా అన్హెడ్రల్ మరియు బయటి ప్యానెల్స్‌తో 9 ° డైహెడ్రల్. [6] విమాన వాహక నౌక యొక్క హ్యాంగర్ డెక్‌లలో మరింత కాంపాక్ట్ నిల్వను అనుమతించడానికి దీనిని రెండు ప్రదేశాలలో హైడ్రాలిక్‌గా ముడుచుకోవచ్చు. ల్యాండింగ్ కోసం మంచి తక్కువ-స్పీడ్ హ్యాండ్లింగ్ ఇవ్వడానికి నాలుగు ఫౌలర్ ఫ్లాప్‌లు అమర్చబడ్డాయి మరియు రెక్క రెండు ఉపరితలాలపై ముడుచుకునే డైవ్ బ్రేక్‌లు ఉన్నాయి. [2] పున es రూపకల్పన సమయంలో నిర్మాణం సరళీకృతం చేయబడింది, ఇది బరువును 1,400 పౌండ్లు (640 కిలోలు) తగ్గించింది మరియు ఇంధన సామర్థ్యాన్ని 70 ఇంప్ గల్ (84 యుఎస్ గాల్; 320 ఎల్) పెంచిన తరువాత కూడా స్థూల బరువు ఇప్పటికీ 900 ఎల్బి (410 కిలోలు ) ఫైర్‌బ్రాండ్ కంటే తక్కువ. [5] రెండు ప్రోటోటైప్‌లపై పనులు నవంబర్ 1943 లో అధికారం పొందాయి, కాని ప్రత్యామ్నాయ ఇంజిన్ల ప్రతిపాదనలు పురోగతిని ఆలస్యం చేశాయి. 1945 లో, మరొక సెంటారస్-ఇంజిన్ ప్రోటోటైప్‌ను జోడించడంతో పాటు, నేపియర్ E.122 (సాబెర్ యొక్క అభివృద్ధి) తో మూడు ప్రోటోటైప్‌లు ఉండాలి. ఇది బ్లాక్బర్న్ ఏరోడైనమిక్ మరియు స్ట్రక్చరల్ డిజైన్ గురించి వారి జ్ఞానాన్ని అభివృద్ధి చేయడానికి మరియు నేపియర్ వద్ద ఇంజిన్ అభివృద్ధికి మద్దతు ఇస్తుందని మంత్రిత్వ శాఖ విశ్వసించింది. ఏదేమైనా, E.122 పవర్‌ప్లాంట్‌ను పైలట్ వెనుక ఉంచినట్లయితే మాత్రమే S.10/45 విమానం సమతుల్యతతో ఉంటుందని కనుగొనబడింది. అవసరమైన పున es రూపకల్పన మరియు 1,000 ఎల్బి (450 కిలోల) బరువు పెరుగుదల, రాయల్ నేవీకి అందుబాటులో ఉన్న పరిమిత నిధులతో పాటు, అది ఇకపై సమర్థించబడదని మరియు S.10/45 అక్టోబర్ 8 న రద్దు చేయబడింది. తుది రూపకల్పనలో ఉండగా, కాంట్రా-రొటేటింగ్ ప్రొపెల్లర్లతో సెంటారస్ 77 ఇంజిన్ జనవరి 1946 లో రద్దు చేయబడింది మరియు సాంప్రదాయిక 2,825 హెచ్‌పి (2,107 కిలోవాట్) సెంటారస్ 57 ప్రత్యామ్నాయం చేయబడింది. ఈ ఇంజిన్ సౌకర్యవంతమైన మౌంట్‌లు అవసరమని కనుగొనబడింది మరియు సెంటారస్ 59 లో సవరించబడింది. కొత్త ఇంజిన్ యొక్క టార్క్ను ఎదుర్కోవటానికి నిలువు స్టెబిలైజర్ మరియు చుక్కాని 33 చదరపు అడుగుల (3.1 మీ 2) నుండి 41 చదరపు అడుగుల (3.8 మీ 2) వరకు విస్తరించాల్సి వచ్చింది. సెప్టెంబర్ 1946 లో, సరఫరా మంత్రిత్వ శాఖ నిర్వహించిన బలం విశ్లేషణలో ఈ విమానం సమ్మె ఫైటర్‌గా పనిచేయడానికి బలోపేతం కావాలని మరియు దానిని అవసరాలకు తీసుకురావడానికి ఖరీదైన పున es రూపకల్పన అవసరమని వెస్ట్‌ల్యాండ్‌తో బరువు మరియు పనితీరును పోల్చదగినదిగా వెల్లడించింది. అప్పటికే ఎగిరిన వైవర్న్ కాబట్టి ఉత్పత్తి విమానాల కోసం ఎటువంటి ఒప్పందం ఉంచబడలేదు. [7] దాని ప్రొపెల్లర్ ఆలస్యంగా డెలివరీ చేయడంలో ఆలస్యం అయిన మొదటి నమూనా ఫిబ్రవరి 1947 లో బ్రోలో విడుదల చేయబడింది మరియు తరువాత రోడ్ ద్వారా RAF లెకాన్ఫీల్డ్కు తీసుకువెళ్ళబడింది, అక్కడ ఆ సంవత్సరం ఏప్రిల్ 1 న తొలి విమాన ప్రయాణం చేసింది. మూడు ప్రోటోటైప్‌లు సెప్టెంబర్ 1947 చివరి నాటికి పూర్తయ్యాయి మరియు మూడవ-ప్రోటోటైప్ uter టర్-వింగ్ డైహెడ్రాల్‌ను 3 to కు తగ్గించడానికి సవరించబడింది. రెండవ మరియు మూడవ ప్రోటోటైప్‌లు రెండూ సప్లై మంత్రిత్వ శాఖ ఆగిపోవాలని మరియు విమానంలో పని చేయమని ఆదేశించినప్పుడు విరుచుకుపడ్డాయి. అయితే, ఈ నెల తరువాత, మూడవ నమూనా శక్తితో కూడిన ఐలెరాన్ నియంత్రణల పరీక్షలకు కేటాయించబడింది, ఎందుకంటే మొదటి ప్రోటోటైప్ యొక్క పరీక్ష క్రూయిజ్ వేగంతో తగినంతగా ఉన్నప్పటికీ, ఐలెరాన్లు తక్కువ మరియు అధిక వేగంతో భారీగా ఉన్నాయని చూపించింది. రెండవ నమూనా నిర్మాణ పరీక్షకు కేటాయించబడింది. [8] మూడవ నమూనా 1948 ప్రారంభంలో తన తొలి విమానంలో సాధించింది, కాని విమాన పరీక్ష యొక్క వేగం నవంబర్ 30 నాటికి 7 గంటలు మరియు 40 నిమిషాలు మాత్రమే పూర్తయింది, వీటిలో సగానికి పైగా ఎయిర్ షో ప్రదర్శనలతో అనుసంధానించబడ్డాయి. పరీక్షాకు తదుపరి ఉద్దేశ్యం లేదని ఆఫీసర్ ఇన్ ఛార్జ్ ఇంపాన్ ఇంపాక్ట్ ముగిసినప్పుడు పరీక్ష ముగిసింది. [9] ఫైర్‌బ్రెస్ట్ ఫైర్‌బ్రాండ్ కంటే వేగంగా ఉన్నప్పటికీ, కాక్‌పిట్ నుండి దాని పైలట్‌కు మెరుగైన దృశ్యాన్ని ఇచ్చింది, ఇది నిరాశపరిచింది, టెస్ట్ పైలట్ మరియు నావికాదళ ఏవియేటర్ కెప్టెన్ ఎరిక్ బ్రౌన్ ఈ పటాళ్ళు మందగించిన ఫైర్‌బ్రాండ్ కంటే తక్కువ మనోహరమైనవి అని పేర్కొన్నాడు, అయితే, శక్తితో కూడిన ఐలెరాన్లు ముద్ద నియంత్రణలను ఇచ్చాయి, ఇది అల్లకల్లోలమైన గాలిలో అస్థిరతకు దారితీస్తుంది. [10] కార్యాచరణ అనుభవం బ్లాక్‌బర్న్ యొక్క ఫైర్‌క్రెస్ట్ స్ట్రైక్ ఫైటర్ క్యారియర్ కార్యకలాపాలకు తగినట్లుగా ఉందని కనుగొన్నారు. ప్రత్యేకించి, పైలట్ రెక్క యొక్క వెనుకంజలో ఉన్న అంచు దగ్గర కూర్చున్నాడు, చాలా పొడవైన మరియు విశాలమైన ముక్కును చూస్తూ, ఇది ల్యాండింగ్ కోసం ప్రత్యేకంగా పేలవమైన దృశ్యాన్ని ఇచ్చింది. [11] గ్యాస్ టర్బైన్ ఇంజన్లు రావడం ద్వారా పటాళ్ళు కూడా వాడుకలో లేవు, మరియు బ్లాక్బర్న్ పటాళ్ళు యొక్క టర్బోప్రాప్-శక్తితో పనిచేసే ఉత్పన్నాల కోసం ప్రతిపాదనలను రూపొందించగా, (ఆర్మ్‌స్ట్రాంగ్ సిడ్డెలీ పైథాన్ ఇంజిన్‌తో B-62 (Y.A.6) గా), వైర్న్ కోసం వెస్ట్‌ల్యాండ్‌కు వెళ్లే ఆర్డర్‌లతో, విడదీయబడలేదు. [3] రెండు ఫ్లయింగ్ ప్రోటోటైప్‌లు 1949 వరకు వాడుకలో ఉన్నాయి, దీనిని 1950 లో తిరిగి బ్లాక్బర్న్‌కు విక్రయించారు, తరువాత వాటిని రద్దు చేశారు. [12] మరో మూడు ప్రోటోటైప్‌లు 14 మార్చి 1945 న స్పెసిఫికేషన్ S.10/45 కు వ్యతిరేకంగా ఆదేశించబడ్డాయి మరియు నేపియర్ E.122 ఇంజిన్ చేత శక్తిని పొందాయి, కాని ఆర్డర్ రద్దు చేయబడింది మరియు విమానం నిర్మించబడలేదు. [14] అసంపూర్ణ గైడ్ నుండి ఎయిర్‌ఫాయిల్ వాడకానికి డేటా; బ్లాక్‌బర్న్ విమానం 1909 నుండి సాధారణ లక్షణాల నుండి పనితీరు ఆయుధ సంబంధిత అభివృద్ధి అభివృద్ధి విమానం పోల్చదగిన పాత్ర, కాన్ఫిగరేషన్ మరియు ERA సంబంధిత జాబితాలు</v>
      </c>
      <c r="E147" s="1" t="s">
        <v>2350</v>
      </c>
      <c r="F147" s="1" t="s">
        <v>2351</v>
      </c>
      <c r="G147" s="1" t="str">
        <f>IFERROR(__xludf.DUMMYFUNCTION("GOOGLETRANSLATE(F:F, ""en"", ""te"")"),"సమ్మె ఫైటర్")</f>
        <v>సమ్మె ఫైటర్</v>
      </c>
      <c r="H147" s="1" t="s">
        <v>2352</v>
      </c>
      <c r="L147" s="1" t="s">
        <v>2335</v>
      </c>
      <c r="M147" s="1" t="str">
        <f>IFERROR(__xludf.DUMMYFUNCTION("GOOGLETRANSLATE(L:L, ""en"", ""te"")"),"బ్లాక్బర్న్ విమానం")</f>
        <v>బ్లాక్బర్న్ విమానం</v>
      </c>
      <c r="N147" s="1" t="s">
        <v>2336</v>
      </c>
      <c r="Q147" s="1">
        <v>3.0</v>
      </c>
      <c r="S147" s="1">
        <v>1.0</v>
      </c>
      <c r="U147" s="1" t="s">
        <v>2353</v>
      </c>
      <c r="V147" s="1" t="s">
        <v>2354</v>
      </c>
      <c r="W147" s="1" t="s">
        <v>2355</v>
      </c>
      <c r="X147" s="1" t="s">
        <v>2356</v>
      </c>
      <c r="Y147" s="1" t="s">
        <v>2357</v>
      </c>
      <c r="Z147" s="1" t="s">
        <v>2358</v>
      </c>
      <c r="AA147" s="1" t="s">
        <v>2359</v>
      </c>
      <c r="AB147" s="1" t="s">
        <v>2360</v>
      </c>
      <c r="AC147" s="1" t="s">
        <v>2361</v>
      </c>
      <c r="AE147" s="1" t="s">
        <v>2362</v>
      </c>
      <c r="AF147" s="1" t="s">
        <v>2363</v>
      </c>
      <c r="AJ147" s="5">
        <v>17258.0</v>
      </c>
      <c r="AL147" s="1">
        <v>1947.0</v>
      </c>
      <c r="AM147" s="1" t="s">
        <v>2364</v>
      </c>
      <c r="AN147" s="1" t="s">
        <v>2365</v>
      </c>
      <c r="AP147" s="1" t="s">
        <v>2366</v>
      </c>
      <c r="AR147" s="1" t="s">
        <v>2367</v>
      </c>
      <c r="AT147" s="1" t="s">
        <v>2368</v>
      </c>
      <c r="AU147" s="1" t="s">
        <v>2369</v>
      </c>
      <c r="AV147" s="1" t="s">
        <v>2370</v>
      </c>
      <c r="AZ147" s="1" t="s">
        <v>2371</v>
      </c>
      <c r="BD147" s="1" t="s">
        <v>2372</v>
      </c>
      <c r="BH147" s="1" t="s">
        <v>2373</v>
      </c>
      <c r="BI147" s="1" t="s">
        <v>2374</v>
      </c>
      <c r="BK147" s="1" t="s">
        <v>2375</v>
      </c>
      <c r="BL147" s="1" t="s">
        <v>1432</v>
      </c>
      <c r="DC147" s="1" t="s">
        <v>2376</v>
      </c>
      <c r="DI147" s="1" t="s">
        <v>2377</v>
      </c>
    </row>
    <row r="148">
      <c r="A148" s="1" t="s">
        <v>2378</v>
      </c>
      <c r="B148" s="1" t="str">
        <f>IFERROR(__xludf.DUMMYFUNCTION("GOOGLETRANSLATE(A:A, ""en"", ""te"")"),"బ్లాక్బర్న్ మెర్క్యురీ")</f>
        <v>బ్లాక్బర్న్ మెర్క్యురీ</v>
      </c>
      <c r="C148" s="1" t="s">
        <v>2379</v>
      </c>
      <c r="D148" s="1" t="str">
        <f>IFERROR(__xludf.DUMMYFUNCTION("GOOGLETRANSLATE(C:C, ""en"", ""te"")"),"బ్లాక్బర్న్ మెర్క్యురీ 1911 లో బ్లాక్బర్న్ ఫ్లయింగ్ స్కూల్, ఫైలీకి పైలట్ ట్రైనర్ గా రూపొందించిన ప్రారంభ బ్రిటిష్ విమానం. ఇది ఆ సంవత్సరం ప్రారంభంలో ప్రయాణించే రెండవ మోనోప్లేన్ యొక్క విస్తరించిన, రెండు-సీట్ల వెర్షన్. ఇది సాంప్రదాయిక కాన్ఫిగరేషన్ యొక్క మిడ్-"&amp;"వింగ్ మోనోప్లేన్, ఇది పైలట్ మరియు విద్యార్థికి అనుగుణంగా, ఓపెన్ కాక్‌పిట్స్‌లో ఉంది. ఈ నమూనా మార్చి 1911 లో ఒలింపియా ఏరో షోలో ప్రదర్శించబడింది మరియు బ్రిటన్ రేసులోని డైలీ మెయిల్ సర్క్యూట్లో ఇద్దరు రేసర్లు పాల్గొనమని ఆదేశాలు ఇవ్వడానికి దారితీసింది. వీటిలో "&amp;"మొదటిది టేకాఫ్‌లో క్రాష్ అయ్యింది, మరియు రెండవది మొదట రెండు-సీట్ల శిక్షకుడిగా పునర్నిర్మించబడింది, తరువాత బి టైప్ బి అని పిలువబడే సింగిల్-సీట్ ట్రైనర్‌గా పునర్నిర్మించబడింది. [1] మరో ఆరు మెర్క్యురీలు వివిధ ప్రైవేట్ కొనుగోలుదారుల కోసం నిర్మించబడ్డాయి. మెర్"&amp;"క్యురీ II కాన్ఫిగరేషన్ యొక్క పూర్తి స్థాయి నాన్-ఎగిరే ప్రతిరూపం యార్క్‌షైర్ టెలివిజన్ సిరీస్ ఫ్లాంబార్డ్స్ కోసం నిర్మించబడింది మరియు ఇప్పుడు యార్క్‌షైర్ ఎయిర్ మ్యూజియంలో ప్రదర్శించబడింది. 1909 నుండి బ్లాక్బర్న్ విమానం నుండి డేటా [2] సాధారణ లక్షణాల పనితీరు")</f>
        <v>బ్లాక్బర్న్ మెర్క్యురీ 1911 లో బ్లాక్బర్న్ ఫ్లయింగ్ స్కూల్, ఫైలీకి పైలట్ ట్రైనర్ గా రూపొందించిన ప్రారంభ బ్రిటిష్ విమానం. ఇది ఆ సంవత్సరం ప్రారంభంలో ప్రయాణించే రెండవ మోనోప్లేన్ యొక్క విస్తరించిన, రెండు-సీట్ల వెర్షన్. ఇది సాంప్రదాయిక కాన్ఫిగరేషన్ యొక్క మిడ్-వింగ్ మోనోప్లేన్, ఇది పైలట్ మరియు విద్యార్థికి అనుగుణంగా, ఓపెన్ కాక్‌పిట్స్‌లో ఉంది. ఈ నమూనా మార్చి 1911 లో ఒలింపియా ఏరో షోలో ప్రదర్శించబడింది మరియు బ్రిటన్ రేసులోని డైలీ మెయిల్ సర్క్యూట్లో ఇద్దరు రేసర్లు పాల్గొనమని ఆదేశాలు ఇవ్వడానికి దారితీసింది. వీటిలో మొదటిది టేకాఫ్‌లో క్రాష్ అయ్యింది, మరియు రెండవది మొదట రెండు-సీట్ల శిక్షకుడిగా పునర్నిర్మించబడింది, తరువాత బి టైప్ బి అని పిలువబడే సింగిల్-సీట్ ట్రైనర్‌గా పునర్నిర్మించబడింది. [1] మరో ఆరు మెర్క్యురీలు వివిధ ప్రైవేట్ కొనుగోలుదారుల కోసం నిర్మించబడ్డాయి. మెర్క్యురీ II కాన్ఫిగరేషన్ యొక్క పూర్తి స్థాయి నాన్-ఎగిరే ప్రతిరూపం యార్క్‌షైర్ టెలివిజన్ సిరీస్ ఫ్లాంబార్డ్స్ కోసం నిర్మించబడింది మరియు ఇప్పుడు యార్క్‌షైర్ ఎయిర్ మ్యూజియంలో ప్రదర్శించబడింది. 1909 నుండి బ్లాక్బర్న్ విమానం నుండి డేటా [2] సాధారణ లక్షణాల పనితీరు</v>
      </c>
      <c r="E148" s="1" t="s">
        <v>2380</v>
      </c>
      <c r="F148" s="1" t="s">
        <v>1759</v>
      </c>
      <c r="G148" s="1" t="str">
        <f>IFERROR(__xludf.DUMMYFUNCTION("GOOGLETRANSLATE(F:F, ""en"", ""te"")"),"శిక్షకుడు")</f>
        <v>శిక్షకుడు</v>
      </c>
      <c r="L148" s="1" t="s">
        <v>2381</v>
      </c>
      <c r="M148" s="1" t="str">
        <f>IFERROR(__xludf.DUMMYFUNCTION("GOOGLETRANSLATE(L:L, ""en"", ""te"")"),"బ్లాక్బర్న్ విమానం కంపెనీ")</f>
        <v>బ్లాక్బర్న్ విమానం కంపెనీ</v>
      </c>
      <c r="N148" s="1" t="s">
        <v>2382</v>
      </c>
      <c r="Q148" s="1">
        <v>9.0</v>
      </c>
      <c r="R148" s="1" t="s">
        <v>2383</v>
      </c>
      <c r="S148" s="1">
        <v>2.0</v>
      </c>
      <c r="U148" s="1" t="s">
        <v>1528</v>
      </c>
      <c r="V148" s="1" t="s">
        <v>455</v>
      </c>
      <c r="W148" s="1" t="s">
        <v>2384</v>
      </c>
      <c r="Y148" s="1" t="s">
        <v>679</v>
      </c>
      <c r="AA148" s="1" t="s">
        <v>2385</v>
      </c>
      <c r="AB148" s="1" t="s">
        <v>366</v>
      </c>
      <c r="AH148" s="1" t="s">
        <v>2386</v>
      </c>
      <c r="AI148" s="1" t="s">
        <v>2387</v>
      </c>
      <c r="AJ148" s="5">
        <v>4155.0</v>
      </c>
      <c r="AM148" s="1" t="s">
        <v>2388</v>
      </c>
      <c r="AP148" s="1" t="s">
        <v>928</v>
      </c>
      <c r="AT148" s="1" t="s">
        <v>2389</v>
      </c>
      <c r="AU148" s="1" t="s">
        <v>2390</v>
      </c>
    </row>
    <row r="149">
      <c r="A149" s="1" t="s">
        <v>2391</v>
      </c>
      <c r="B149" s="1" t="str">
        <f>IFERROR(__xludf.DUMMYFUNCTION("GOOGLETRANSLATE(A:A, ""en"", ""te"")"),"బ్లాక్బర్న్ సెగ్రేవ్")</f>
        <v>బ్లాక్బర్న్ సెగ్రేవ్</v>
      </c>
      <c r="C149" s="1" t="s">
        <v>2392</v>
      </c>
      <c r="D149" s="1" t="str">
        <f>IFERROR(__xludf.DUMMYFUNCTION("GOOGLETRANSLATE(C:C, ""en"", ""te"")"),"బ్లాక్బర్న్ B-1 సెగ్రేవ్ 1930 ల బ్రిటిష్ ట్విన్-ఇంజిన్ నాలుగు-సీట్ల టూరింగ్ విమానాలు బ్లాక్బర్న్ విమానాలు నిర్మించాయి. ఈ విమానం రేసింగ్ డ్రైవర్ (మరియు వరల్డ్ ల్యాండ్ స్పీడ్ రికార్డ్ హోల్డర్) సర్ హెన్రీ సెగ్రేవ్ ట్విన్-ఇంజిన్ నాలుగు-సీట్ల టూరింగ్ మోనోప్లేన"&amp;"్‌గా రూపొందించారు. ఒక చెక్క ప్రోటోటైప్, నియమించబడిన సరో సెగ్రేవ్ ఉల్కాపాతం నేను కౌవ్స్ వద్ద సాండర్స్ రో చేత నిర్మించబడ్డాను. ప్రోటోటైప్ (రిజిస్టర్డ్ G-AAXP) మొదట 28 మే 1930 న ప్రయాణించింది. 13 జూన్ 1930 న స్పీడ్‌బోట్ ప్రమాదంలో డిజైనర్ మరణం ద్వారా అభివృద్ధ"&amp;"ి ఆలస్యం అయింది. ఈ విమానం రోమ్‌లో ఇటాలియన్ వైమానిక మంత్రిత్వ శాఖకు ప్రదర్శించబడింది మరియు పియాగియో p.12 గా ఈ విమానాన్ని ఉత్పత్తి చేయడానికి లైసెన్స్ ఒప్పందం కుదుర్చుకుంది, అయినప్పటికీ రెండు మాత్రమే చేసినట్లు కనిపిస్తోంది. కౌవ్స్ వద్ద స్థలం లేకపోవడంతో మరియు"&amp;" లోహ సంస్కరణను నిర్మించాలనే నిర్ణయంతో, రెండు విమానాలను బ్రోఫ్ ఏరోడ్రోమ్ వద్ద బ్లాక్బర్న్ విమానం నిర్మించింది, బ్లాక్బర్న్ ca.18 సెగ్రేవ్ హోదాతో. బ్లాక్బర్న్ హోదా వ్యవస్థను మార్చింది, మరియు విమానం బ్లాక్బర్న్ B.1 సెగ్రేవ్ అయింది. ఐరోపా చుట్టూ అమ్మకాల పర్యట"&amp;"నలు ఉన్నప్పటికీ, ఈ విమానం ఆదేశించబడలేదు మరియు మరో ఒక ఉదాహరణ మాత్రమే నిర్మించబడింది. కొత్త సింగిల్-స్పేర్ వింగ్‌ను పరీక్షించడానికి బ్లాక్బర్న్ బ్లాక్బర్న్ చేత బ్లాక్బర్న్ CA.20 సెగ్రేవ్ II గా పూర్తయింది. 1909 నుండి బ్లాక్బర్న్ విమానం నుండి డేటా [1] సాధారణ "&amp;"లక్షణాలు పనితీరు సంబంధిత జాబితాలు")</f>
        <v>బ్లాక్బర్న్ B-1 సెగ్రేవ్ 1930 ల బ్రిటిష్ ట్విన్-ఇంజిన్ నాలుగు-సీట్ల టూరింగ్ విమానాలు బ్లాక్బర్న్ విమానాలు నిర్మించాయి. ఈ విమానం రేసింగ్ డ్రైవర్ (మరియు వరల్డ్ ల్యాండ్ స్పీడ్ రికార్డ్ హోల్డర్) సర్ హెన్రీ సెగ్రేవ్ ట్విన్-ఇంజిన్ నాలుగు-సీట్ల టూరింగ్ మోనోప్లేన్‌గా రూపొందించారు. ఒక చెక్క ప్రోటోటైప్, నియమించబడిన సరో సెగ్రేవ్ ఉల్కాపాతం నేను కౌవ్స్ వద్ద సాండర్స్ రో చేత నిర్మించబడ్డాను. ప్రోటోటైప్ (రిజిస్టర్డ్ G-AAXP) మొదట 28 మే 1930 న ప్రయాణించింది. 13 జూన్ 1930 న స్పీడ్‌బోట్ ప్రమాదంలో డిజైనర్ మరణం ద్వారా అభివృద్ధి ఆలస్యం అయింది. ఈ విమానం రోమ్‌లో ఇటాలియన్ వైమానిక మంత్రిత్వ శాఖకు ప్రదర్శించబడింది మరియు పియాగియో p.12 గా ఈ విమానాన్ని ఉత్పత్తి చేయడానికి లైసెన్స్ ఒప్పందం కుదుర్చుకుంది, అయినప్పటికీ రెండు మాత్రమే చేసినట్లు కనిపిస్తోంది. కౌవ్స్ వద్ద స్థలం లేకపోవడంతో మరియు లోహ సంస్కరణను నిర్మించాలనే నిర్ణయంతో, రెండు విమానాలను బ్రోఫ్ ఏరోడ్రోమ్ వద్ద బ్లాక్బర్న్ విమానం నిర్మించింది, బ్లాక్బర్న్ ca.18 సెగ్రేవ్ హోదాతో. బ్లాక్బర్న్ హోదా వ్యవస్థను మార్చింది, మరియు విమానం బ్లాక్బర్న్ B.1 సెగ్రేవ్ అయింది. ఐరోపా చుట్టూ అమ్మకాల పర్యటనలు ఉన్నప్పటికీ, ఈ విమానం ఆదేశించబడలేదు మరియు మరో ఒక ఉదాహరణ మాత్రమే నిర్మించబడింది. కొత్త సింగిల్-స్పేర్ వింగ్‌ను పరీక్షించడానికి బ్లాక్బర్న్ బ్లాక్బర్న్ చేత బ్లాక్బర్న్ CA.20 సెగ్రేవ్ II గా పూర్తయింది. 1909 నుండి బ్లాక్బర్న్ విమానం నుండి డేటా [1] సాధారణ లక్షణాలు పనితీరు సంబంధిత జాబితాలు</v>
      </c>
      <c r="E149" s="1" t="s">
        <v>2393</v>
      </c>
      <c r="F149" s="1" t="s">
        <v>2394</v>
      </c>
      <c r="G149" s="1" t="str">
        <f>IFERROR(__xludf.DUMMYFUNCTION("GOOGLETRANSLATE(F:F, ""en"", ""te"")"),"మోనోప్లేన్ పర్యటన")</f>
        <v>మోనోప్లేన్ పర్యటన</v>
      </c>
      <c r="L149" s="1" t="s">
        <v>2335</v>
      </c>
      <c r="M149" s="1" t="str">
        <f>IFERROR(__xludf.DUMMYFUNCTION("GOOGLETRANSLATE(L:L, ""en"", ""te"")"),"బ్లాక్బర్న్ విమానం")</f>
        <v>బ్లాక్బర్న్ విమానం</v>
      </c>
      <c r="N149" s="1" t="s">
        <v>2336</v>
      </c>
      <c r="O149" s="1" t="s">
        <v>52</v>
      </c>
      <c r="P149" s="1" t="str">
        <f>IFERROR(__xludf.DUMMYFUNCTION("GOOGLETRANSLATE(O:O, ""en"", ""te"")"),"రిటైర్డ్")</f>
        <v>రిటైర్డ్</v>
      </c>
      <c r="Q149" s="1" t="s">
        <v>2395</v>
      </c>
      <c r="S149" s="1">
        <v>1.0</v>
      </c>
      <c r="T149" s="1" t="s">
        <v>1646</v>
      </c>
      <c r="U149" s="1" t="s">
        <v>2396</v>
      </c>
      <c r="V149" s="1" t="s">
        <v>2397</v>
      </c>
      <c r="W149" s="1" t="s">
        <v>2398</v>
      </c>
      <c r="X149" s="1" t="s">
        <v>2399</v>
      </c>
      <c r="Y149" s="1" t="s">
        <v>2400</v>
      </c>
      <c r="AA149" s="1" t="s">
        <v>2401</v>
      </c>
      <c r="AB149" s="1" t="s">
        <v>2402</v>
      </c>
      <c r="AC149" s="1" t="s">
        <v>1465</v>
      </c>
      <c r="AE149" s="1" t="s">
        <v>2403</v>
      </c>
      <c r="AF149" s="1" t="s">
        <v>1623</v>
      </c>
      <c r="AH149" s="1" t="s">
        <v>2404</v>
      </c>
      <c r="AI149" s="1" t="s">
        <v>2405</v>
      </c>
      <c r="AJ149" s="5">
        <v>11106.0</v>
      </c>
      <c r="AM149" s="1" t="s">
        <v>2406</v>
      </c>
      <c r="AP149" s="1" t="s">
        <v>2407</v>
      </c>
      <c r="AR149" s="1" t="s">
        <v>1320</v>
      </c>
      <c r="BG149" s="1">
        <v>1938.0</v>
      </c>
      <c r="DE149" s="1" t="s">
        <v>2408</v>
      </c>
      <c r="DJ149" s="3" t="s">
        <v>2409</v>
      </c>
      <c r="DK149" s="1" t="s">
        <v>2410</v>
      </c>
    </row>
    <row r="150">
      <c r="A150" s="1" t="s">
        <v>2411</v>
      </c>
      <c r="B150" s="1" t="str">
        <f>IFERROR(__xludf.DUMMYFUNCTION("GOOGLETRANSLATE(A:A, ""en"", ""te"")"),"బ్లాక్బర్న్ బ్లూబర్డ్ IV")</f>
        <v>బ్లాక్బర్న్ బ్లూబర్డ్ IV</v>
      </c>
      <c r="C150" s="1" t="s">
        <v>2412</v>
      </c>
      <c r="D150" s="1" t="str">
        <f>IFERROR(__xludf.DUMMYFUNCTION("GOOGLETRANSLATE(C:C, ""en"", ""te"")"),"బ్లాక్‌బర్న్ బ్లూబర్డ్ IV సింగిల్-ఇంజిన్ బిప్‌లేన్ లైట్ ట్రైనర్/టూరర్ బిప్‌లేన్, ఇది బ్లాక్‌బర్న్ ఎయిర్‌క్రాఫ్ట్ రూపొందించిన పక్కపక్కనే సీటింగ్ కలిగి ఉంది. ఇది చెక్క బ్లాక్‌బర్న్ బ్లూబర్డ్ I, II మరియు III విమానాల యొక్క ఆల్-మెటల్ అభివృద్ధి. 1929 లో, బ్లాక్"&amp;"‌బర్న్ చెక్క బ్లూబర్డ్ సైడ్-బై-సైడ్ ట్రైనర్ విమానాలను ఆల్-మెటల్ నిర్మాణంతో L.1C బ్లూబర్డ్ IV గా పూర్తిగా పున es రూపకల్పన చేసింది. దాని లోహ నిర్మాణంతో, బ్లూబర్డ్ IV దాని చెక్క పూర్వీకుల కంటే పెద్దది మరియు భారీగా ఉంది మరియు చెక్క బ్లూబర్డ్స్ యొక్క గుండ్రని "&amp;"ఫిన్ మరియు చుక్కాని అసెంబ్లీని భర్తీ చేయడానికి స్థిర ఫిన్ లేకుండా, దాదాపు దీర్ఘచతురస్రాకార సమతుల్య చుక్కానితో అమర్చారు. డి హవిలాండ్ జిప్సీ, ఎడిసి సిరస్ లేదా సిరస్ హీర్మేస్ ఇంజన్లు ప్రామాణికంగా లభించేవి, మరియు ఫ్లోట్లతో కూడా అమర్చవచ్చు. మొట్టమొదటి బ్లూబర్డ"&amp;"్ IV 1929 ప్రారంభంలో ప్రయాణించింది మరియు మార్చి 1929 లో దాని యజమానిని దక్షిణాఫ్రికాకు ఇంటికి ఎగరడానికి ఉపయోగించబడింది, క్రోయిడాన్ మరియు డర్బన్ మధ్య 7 మార్చి మరియు 15 ఏప్రిల్ 1929 మధ్య ప్రయాణాన్ని పూర్తి చేసింది. [1] సైనిక విమానాల కోసం ఆర్డర్లు నెరవేర్చడంల"&amp;"ో బిజీగా ఉన్న బ్లాక్బర్న్ చేత మరో రెండు విమానాలను నిర్మించారు, కాబట్టి మరింత నిర్మాణం సాండర్స్-రోకు ఉప కాంట్రాక్ట్ చేయబడింది, అతను మరో 55 విమానాలను నిర్మించాడు [2] బౌల్టన్ &amp; పాల్ లిమిటెడ్ రెక్కలను ఉత్పత్తి చేస్తుంది. [3] చెక్క బ్లూబర్డ్స్ మాదిరిగా, బ్లూబర"&amp;"్డ్ IV ను ఎగిరే క్లబ్‌లు ఎక్కువగా ఉపయోగించాయి, మరియు దురదృష్టవశాత్తు కూడా అధిక ధృవీకరణ పడ్డారు, చాలా ఘోరమైన క్రాష్‌లలో చాలా మంది కోల్పోయారు, సాధారణ క్రూజింగ్ ఫ్లైట్ నుండి అనేక వివరించలేని డైవ్‌లు భూమిలోకి ఉన్నాయి. [1] ప్రైవేటు యాజమాన్యంలోని బ్లూబర్డ్ IV ల"&amp;"ు అనేక మార్గదర్శక సుదూర విమానాలను చేపట్టాయి, వీటిలో అత్యంత ప్రసిద్ధమైనది శ్రీమతి విక్టర్ బ్రూస్ రౌండ్-ది-ప్రపంచ పర్యటన, మరియు ఆస్ట్రేలియా మరియు ఆఫ్రికాకు అనేక విమానాలను కూడా చేర్చారు. [1] ఈ రోజు బ్లూబర్డ్స్ మనుగడ సాగించలేదు, చివరిది 1947 లో రద్దు చేయబడింద"&amp;"ి. [1] 1919 నుండి బ్రిటిష్ సివిల్ ఎయిర్క్రాఫ్ట్ నుండి వచ్చిన డేటా, వాల్యూమ్ 1 [1] సాధారణ లక్షణాలు పనితీరు సంబంధిత అభివృద్ధి విమానం పోల్చదగిన పాత్ర, కాన్ఫిగరేషన్ మరియు ERA")</f>
        <v>బ్లాక్‌బర్న్ బ్లూబర్డ్ IV సింగిల్-ఇంజిన్ బిప్‌లేన్ లైట్ ట్రైనర్/టూరర్ బిప్‌లేన్, ఇది బ్లాక్‌బర్న్ ఎయిర్‌క్రాఫ్ట్ రూపొందించిన పక్కపక్కనే సీటింగ్ కలిగి ఉంది. ఇది చెక్క బ్లాక్‌బర్న్ బ్లూబర్డ్ I, II మరియు III విమానాల యొక్క ఆల్-మెటల్ అభివృద్ధి. 1929 లో, బ్లాక్‌బర్న్ చెక్క బ్లూబర్డ్ సైడ్-బై-సైడ్ ట్రైనర్ విమానాలను ఆల్-మెటల్ నిర్మాణంతో L.1C బ్లూబర్డ్ IV గా పూర్తిగా పున es రూపకల్పన చేసింది. దాని లోహ నిర్మాణంతో, బ్లూబర్డ్ IV దాని చెక్క పూర్వీకుల కంటే పెద్దది మరియు భారీగా ఉంది మరియు చెక్క బ్లూబర్డ్స్ యొక్క గుండ్రని ఫిన్ మరియు చుక్కాని అసెంబ్లీని భర్తీ చేయడానికి స్థిర ఫిన్ లేకుండా, దాదాపు దీర్ఘచతురస్రాకార సమతుల్య చుక్కానితో అమర్చారు. డి హవిలాండ్ జిప్సీ, ఎడిసి సిరస్ లేదా సిరస్ హీర్మేస్ ఇంజన్లు ప్రామాణికంగా లభించేవి, మరియు ఫ్లోట్లతో కూడా అమర్చవచ్చు. మొట్టమొదటి బ్లూబర్డ్ IV 1929 ప్రారంభంలో ప్రయాణించింది మరియు మార్చి 1929 లో దాని యజమానిని దక్షిణాఫ్రికాకు ఇంటికి ఎగరడానికి ఉపయోగించబడింది, క్రోయిడాన్ మరియు డర్బన్ మధ్య 7 మార్చి మరియు 15 ఏప్రిల్ 1929 మధ్య ప్రయాణాన్ని పూర్తి చేసింది. [1] సైనిక విమానాల కోసం ఆర్డర్లు నెరవేర్చడంలో బిజీగా ఉన్న బ్లాక్బర్న్ చేత మరో రెండు విమానాలను నిర్మించారు, కాబట్టి మరింత నిర్మాణం సాండర్స్-రోకు ఉప కాంట్రాక్ట్ చేయబడింది, అతను మరో 55 విమానాలను నిర్మించాడు [2] బౌల్టన్ &amp; పాల్ లిమిటెడ్ రెక్కలను ఉత్పత్తి చేస్తుంది. [3] చెక్క బ్లూబర్డ్స్ మాదిరిగా, బ్లూబర్డ్ IV ను ఎగిరే క్లబ్‌లు ఎక్కువగా ఉపయోగించాయి, మరియు దురదృష్టవశాత్తు కూడా అధిక ధృవీకరణ పడ్డారు, చాలా ఘోరమైన క్రాష్‌లలో చాలా మంది కోల్పోయారు, సాధారణ క్రూజింగ్ ఫ్లైట్ నుండి అనేక వివరించలేని డైవ్‌లు భూమిలోకి ఉన్నాయి. [1] ప్రైవేటు యాజమాన్యంలోని బ్లూబర్డ్ IV లు అనేక మార్గదర్శక సుదూర విమానాలను చేపట్టాయి, వీటిలో అత్యంత ప్రసిద్ధమైనది శ్రీమతి విక్టర్ బ్రూస్ రౌండ్-ది-ప్రపంచ పర్యటన, మరియు ఆస్ట్రేలియా మరియు ఆఫ్రికాకు అనేక విమానాలను కూడా చేర్చారు. [1] ఈ రోజు బ్లూబర్డ్స్ మనుగడ సాగించలేదు, చివరిది 1947 లో రద్దు చేయబడింది. [1] 1919 నుండి బ్రిటిష్ సివిల్ ఎయిర్క్రాఫ్ట్ నుండి వచ్చిన డేటా, వాల్యూమ్ 1 [1] సాధారణ లక్షణాలు పనితీరు సంబంధిత అభివృద్ధి విమానం పోల్చదగిన పాత్ర, కాన్ఫిగరేషన్ మరియు ERA</v>
      </c>
      <c r="E150" s="1" t="s">
        <v>2413</v>
      </c>
      <c r="F150" s="1" t="s">
        <v>2414</v>
      </c>
      <c r="G150" s="1" t="str">
        <f>IFERROR(__xludf.DUMMYFUNCTION("GOOGLETRANSLATE(F:F, ""en"", ""te"")"),"టూరర్ /ట్రైనర్")</f>
        <v>టూరర్ /ట్రైనర్</v>
      </c>
      <c r="L150" s="1" t="s">
        <v>2335</v>
      </c>
      <c r="M150" s="1" t="str">
        <f>IFERROR(__xludf.DUMMYFUNCTION("GOOGLETRANSLATE(L:L, ""en"", ""te"")"),"బ్లాక్బర్న్ విమానం")</f>
        <v>బ్లాక్బర్న్ విమానం</v>
      </c>
      <c r="N150" s="1" t="s">
        <v>2336</v>
      </c>
      <c r="Q150" s="1">
        <v>58.0</v>
      </c>
      <c r="R150" s="1" t="s">
        <v>2415</v>
      </c>
      <c r="S150" s="1">
        <v>2.0</v>
      </c>
      <c r="U150" s="1" t="s">
        <v>2416</v>
      </c>
      <c r="V150" s="1" t="s">
        <v>1578</v>
      </c>
      <c r="W150" s="1" t="s">
        <v>2417</v>
      </c>
      <c r="X150" s="1" t="s">
        <v>2418</v>
      </c>
      <c r="Y150" s="1" t="s">
        <v>2419</v>
      </c>
      <c r="AA150" s="1" t="s">
        <v>2420</v>
      </c>
      <c r="AB150" s="1" t="s">
        <v>366</v>
      </c>
      <c r="AC150" s="1" t="s">
        <v>1316</v>
      </c>
      <c r="AE150" s="1" t="s">
        <v>2421</v>
      </c>
      <c r="AF150" s="1" t="s">
        <v>2422</v>
      </c>
      <c r="AG150" s="1" t="s">
        <v>2423</v>
      </c>
      <c r="AJ150" s="1">
        <v>1929.0</v>
      </c>
      <c r="AK150" s="1">
        <v>1929.0</v>
      </c>
      <c r="AL150" s="1" t="s">
        <v>2424</v>
      </c>
      <c r="AM150" s="1" t="s">
        <v>2425</v>
      </c>
      <c r="AP150" s="1" t="s">
        <v>2212</v>
      </c>
      <c r="AT150" s="1" t="s">
        <v>2426</v>
      </c>
      <c r="AU150" s="1" t="s">
        <v>2427</v>
      </c>
      <c r="AY150" s="1" t="s">
        <v>2428</v>
      </c>
      <c r="BG150" s="1">
        <v>1947.0</v>
      </c>
      <c r="BP150" s="1" t="s">
        <v>2429</v>
      </c>
      <c r="CG150" s="3" t="s">
        <v>1991</v>
      </c>
      <c r="DA150" s="1" t="s">
        <v>2430</v>
      </c>
      <c r="DJ150" s="3" t="s">
        <v>2431</v>
      </c>
    </row>
    <row r="151">
      <c r="A151" s="1" t="s">
        <v>2432</v>
      </c>
      <c r="B151" s="1" t="str">
        <f>IFERROR(__xludf.DUMMYFUNCTION("GOOGLETRANSLATE(A:A, ""en"", ""te"")"),"బెల్లాంకా టెస్")</f>
        <v>బెల్లాంకా టెస్</v>
      </c>
      <c r="C151" s="1" t="s">
        <v>2433</v>
      </c>
      <c r="D151" s="1" t="str">
        <f>IFERROR(__xludf.DUMMYFUNCTION("GOOGLETRANSLATE(C:C, ""en"", ""te"")"),"బెల్లాంకా టెస్ (టెన్డం ప్రయోగాత్మక సెస్క్విప్లేన్) లేదా బ్లూ స్ట్రీక్ అనేది సీటెల్ నుండి టోక్యోకు మొదటి నాన్-స్టాప్ ఫ్లైట్ కోసం 1929 లో గియుసేప్ మారియో బెల్లాంకా రూపొందించిన పుష్-పుల్ సెస్క్విప్లేన్ విమానం. [1] 1930 లో ఇది రెండు 600 హెచ్‌పి కర్టిస్ విజేత "&amp;"ఇంజిన్లతో రీఫిట్ చేయబడింది మరియు చికాగో డైలీ న్యూస్ కోసం బ్లూ స్ట్రీక్ అనే కార్గో విమానం వలె బలోపేతం చేయబడింది. 1931 మే 26 న ఈ విమానం క్రాష్ అయ్యింది, వెనుక ప్రొపెల్లర్ డ్రైవ్‌షాఫ్ట్ కంపనం కారణంగా విరిగింది మరియు నలుగురూ బోర్డులో ప్రాణాలు కోల్పోయారు. ఏరోఫ"&amp;"ైల్స్ నుండి డేటా: బెల్లాంకా, [2] లెటెక్: బెల్లాంకా టెస్ [3] సాధారణ లక్షణాల పనితీరు")</f>
        <v>బెల్లాంకా టెస్ (టెన్డం ప్రయోగాత్మక సెస్క్విప్లేన్) లేదా బ్లూ స్ట్రీక్ అనేది సీటెల్ నుండి టోక్యోకు మొదటి నాన్-స్టాప్ ఫ్లైట్ కోసం 1929 లో గియుసేప్ మారియో బెల్లాంకా రూపొందించిన పుష్-పుల్ సెస్క్విప్లేన్ విమానం. [1] 1930 లో ఇది రెండు 600 హెచ్‌పి కర్టిస్ విజేత ఇంజిన్లతో రీఫిట్ చేయబడింది మరియు చికాగో డైలీ న్యూస్ కోసం బ్లూ స్ట్రీక్ అనే కార్గో విమానం వలె బలోపేతం చేయబడింది. 1931 మే 26 న ఈ విమానం క్రాష్ అయ్యింది, వెనుక ప్రొపెల్లర్ డ్రైవ్‌షాఫ్ట్ కంపనం కారణంగా విరిగింది మరియు నలుగురూ బోర్డులో ప్రాణాలు కోల్పోయారు. ఏరోఫైల్స్ నుండి డేటా: బెల్లాంకా, [2] లెటెక్: బెల్లాంకా టెస్ [3] సాధారణ లక్షణాల పనితీరు</v>
      </c>
      <c r="E151" s="1" t="s">
        <v>2434</v>
      </c>
      <c r="F151" s="1" t="s">
        <v>2435</v>
      </c>
      <c r="G151" s="1" t="str">
        <f>IFERROR(__xludf.DUMMYFUNCTION("GOOGLETRANSLATE(F:F, ""en"", ""te"")"),"దూర రికార్డు విమానం")</f>
        <v>దూర రికార్డు విమానం</v>
      </c>
      <c r="L151" s="1" t="s">
        <v>2436</v>
      </c>
      <c r="M151" s="1" t="str">
        <f>IFERROR(__xludf.DUMMYFUNCTION("GOOGLETRANSLATE(L:L, ""en"", ""te"")"),"బెల్లాంకా ఎయిర్క్రాఫ్ట్ కార్పొరేషన్")</f>
        <v>బెల్లాంకా ఎయిర్క్రాఫ్ట్ కార్పొరేషన్</v>
      </c>
      <c r="N151" s="1" t="s">
        <v>2437</v>
      </c>
      <c r="O151" s="1" t="s">
        <v>2438</v>
      </c>
      <c r="P151" s="1" t="str">
        <f>IFERROR(__xludf.DUMMYFUNCTION("GOOGLETRANSLATE(O:O, ""en"", ""te"")"),"క్రాష్ అయ్యింది")</f>
        <v>క్రాష్ అయ్యింది</v>
      </c>
      <c r="Q151" s="1">
        <v>1.0</v>
      </c>
      <c r="S151" s="1">
        <v>2.0</v>
      </c>
      <c r="T151" s="1" t="s">
        <v>2439</v>
      </c>
      <c r="U151" s="1" t="s">
        <v>2440</v>
      </c>
      <c r="V151" s="1" t="s">
        <v>2441</v>
      </c>
      <c r="W151" s="1" t="s">
        <v>2442</v>
      </c>
      <c r="X151" s="1" t="s">
        <v>2443</v>
      </c>
      <c r="Z151" s="1" t="s">
        <v>2444</v>
      </c>
      <c r="AA151" s="1" t="s">
        <v>2445</v>
      </c>
      <c r="AB151" s="1" t="s">
        <v>2446</v>
      </c>
      <c r="AE151" s="1" t="s">
        <v>2447</v>
      </c>
      <c r="AH151" s="1" t="s">
        <v>2022</v>
      </c>
      <c r="AI151" s="1" t="s">
        <v>2023</v>
      </c>
      <c r="AJ151" s="1">
        <v>1929.0</v>
      </c>
      <c r="AN151" s="1" t="s">
        <v>2448</v>
      </c>
      <c r="AP151" s="1" t="s">
        <v>2449</v>
      </c>
      <c r="BG151" s="1">
        <v>1931.0</v>
      </c>
    </row>
    <row r="152">
      <c r="A152" s="1" t="s">
        <v>2450</v>
      </c>
      <c r="B152" s="1" t="str">
        <f>IFERROR(__xludf.DUMMYFUNCTION("GOOGLETRANSLATE(A:A, ""en"", ""te"")"),"భరత్ స్వాతి")</f>
        <v>భరత్ స్వాతి</v>
      </c>
      <c r="C152" s="1" t="s">
        <v>2451</v>
      </c>
      <c r="D152" s="1" t="str">
        <f>IFERROR(__xludf.DUMMYFUNCTION("GOOGLETRANSLATE(C:C, ""en"", ""te"")"),"భరత్ స్వాతి (లేదా కొన్నిసార్లు భెల్ స్వాతి) అనేది ఒక భారతీయ రెండు-సీట్ల శిక్షణా మోనోప్లేన్, ఇది టెక్నికల్ సెంటర్ ఆఫ్ డైరెక్టరేట్ జనరల్ ఆఫ్ సివిల్ ఏవియేషన్ మరియు భరత్ హెవీ ఎలక్ట్రికల్స్ లిమిటెడ్ చేత నిర్మించబడింది. [1] స్వాతి తక్కువ-వింగ్ కాంటిలివర్ మోనోప్"&amp;"లేన్, ఇది వెనుక భాగంలో ఫాబ్రిక్ మరియు ముందు భాగంలో మిశ్రమ పదార్థంతో కప్పబడిన స్టీల్ ట్యూబ్ ఫ్యూజ్‌లేజ్‌తో ఉంటుంది. [1] ఇది మెటల్ తోక ఉపరితలాలు మరియు చెక్క రెక్కలు మరియు స్టీరబుల్ నోస్‌వీల్‌తో స్థిర ల్యాండింగ్ గేర్‌ను కలిగి ఉంది. [1] SWATI లో 116 హెచ్‌పి ("&amp;"87 కిలోవాట్ సివిల్ ఏవియేషన్ డైరెక్టరేట్ జనరల్ 40 ను భారతదేశంలోని సివిల్ ఫ్లయింగ్ క్లబ్‌లకు పంపిణీ చేయాలని ఆదేశించారు. బ్రాస్సీ యొక్క ప్రపంచ విమానం &amp; సిస్టమ్స్ డైరెక్టరీ 1996 నుండి వచ్చిన డేటా [1] సాధారణ లక్షణాల పనితీరు 3 జూన్ 1993 న ఒక స్వతి విమాన రిజిస్ట"&amp;"్రేషన్ నంబర్ VT-STC హరిద్వార్ వద్ద పరీక్ష అవుతోంది, టెస్ట్ పైలట్‌ను చంపిన లూప్ నుండి బయటకు వచ్చిన తర్వాత దాని స్టార్‌బోర్డ్ వింగ్ విరిగింది. [[(చేర్చుట 29 నవంబర్ 2001 న, తిరువనంతపురం వద్ద ఒక శిక్షణా విమానంలో కేరళ ఏవియేషన్ ట్రైనింగ్ సెంటర్ యొక్క స్వతి LT I"&amp;"I విమాన రిజిస్ట్రేషన్ నంబర్ VT-STO పైలట్ లోపం విమానాన్ని నాశనం చేయడం వల్ల కూలిపోయింది. [3] 1990 ల విమానంలో ఈ వ్యాసం ఒక స్టబ్. వికీపీడియా విస్తరించడం ద్వారా మీరు సహాయపడవచ్చు.")</f>
        <v>భరత్ స్వాతి (లేదా కొన్నిసార్లు భెల్ స్వాతి) అనేది ఒక భారతీయ రెండు-సీట్ల శిక్షణా మోనోప్లేన్, ఇది టెక్నికల్ సెంటర్ ఆఫ్ డైరెక్టరేట్ జనరల్ ఆఫ్ సివిల్ ఏవియేషన్ మరియు భరత్ హెవీ ఎలక్ట్రికల్స్ లిమిటెడ్ చేత నిర్మించబడింది. [1] స్వాతి తక్కువ-వింగ్ కాంటిలివర్ మోనోప్లేన్, ఇది వెనుక భాగంలో ఫాబ్రిక్ మరియు ముందు భాగంలో మిశ్రమ పదార్థంతో కప్పబడిన స్టీల్ ట్యూబ్ ఫ్యూజ్‌లేజ్‌తో ఉంటుంది. [1] ఇది మెటల్ తోక ఉపరితలాలు మరియు చెక్క రెక్కలు మరియు స్టీరబుల్ నోస్‌వీల్‌తో స్థిర ల్యాండింగ్ గేర్‌ను కలిగి ఉంది. [1] SWATI లో 116 హెచ్‌పి (87 కిలోవాట్ సివిల్ ఏవియేషన్ డైరెక్టరేట్ జనరల్ 40 ను భారతదేశంలోని సివిల్ ఫ్లయింగ్ క్లబ్‌లకు పంపిణీ చేయాలని ఆదేశించారు. బ్రాస్సీ యొక్క ప్రపంచ విమానం &amp; సిస్టమ్స్ డైరెక్టరీ 1996 నుండి వచ్చిన డేటా [1] సాధారణ లక్షణాల పనితీరు 3 జూన్ 1993 న ఒక స్వతి విమాన రిజిస్ట్రేషన్ నంబర్ VT-STC హరిద్వార్ వద్ద పరీక్ష అవుతోంది, టెస్ట్ పైలట్‌ను చంపిన లూప్ నుండి బయటకు వచ్చిన తర్వాత దాని స్టార్‌బోర్డ్ వింగ్ విరిగింది. [[(చేర్చుట 29 నవంబర్ 2001 న, తిరువనంతపురం వద్ద ఒక శిక్షణా విమానంలో కేరళ ఏవియేషన్ ట్రైనింగ్ సెంటర్ యొక్క స్వతి LT II విమాన రిజిస్ట్రేషన్ నంబర్ VT-STO పైలట్ లోపం విమానాన్ని నాశనం చేయడం వల్ల కూలిపోయింది. [3] 1990 ల విమానంలో ఈ వ్యాసం ఒక స్టబ్. వికీపీడియా విస్తరించడం ద్వారా మీరు సహాయపడవచ్చు.</v>
      </c>
      <c r="E152" s="1" t="s">
        <v>2452</v>
      </c>
      <c r="F152" s="1" t="s">
        <v>2453</v>
      </c>
      <c r="G152" s="1" t="str">
        <f>IFERROR(__xludf.DUMMYFUNCTION("GOOGLETRANSLATE(F:F, ""en"", ""te"")"),"రెండు-సీట్ల శిక్షణ మోనోప్లేన్")</f>
        <v>రెండు-సీట్ల శిక్షణ మోనోప్లేన్</v>
      </c>
      <c r="I152" s="1" t="s">
        <v>2454</v>
      </c>
      <c r="J152" s="1" t="str">
        <f>IFERROR(__xludf.DUMMYFUNCTION("GOOGLETRANSLATE(I:I, ""en"", ""te"")"),"భారతదేశం")</f>
        <v>భారతదేశం</v>
      </c>
      <c r="L152" s="1" t="s">
        <v>2455</v>
      </c>
      <c r="M152" s="1" t="str">
        <f>IFERROR(__xludf.DUMMYFUNCTION("GOOGLETRANSLATE(L:L, ""en"", ""te"")"),"భారత్ హెవీ ఎలక్ట్రికల్స్ లిమిటెడ్")</f>
        <v>భారత్ హెవీ ఎలక్ట్రికల్స్ లిమిటెడ్</v>
      </c>
      <c r="N152" s="1" t="s">
        <v>2456</v>
      </c>
      <c r="Q152" s="1" t="s">
        <v>2457</v>
      </c>
      <c r="R152" s="1" t="s">
        <v>132</v>
      </c>
      <c r="S152" s="1">
        <v>2.0</v>
      </c>
      <c r="U152" s="1" t="s">
        <v>2458</v>
      </c>
      <c r="V152" s="1" t="s">
        <v>2459</v>
      </c>
      <c r="W152" s="1" t="s">
        <v>2460</v>
      </c>
      <c r="X152" s="1" t="s">
        <v>827</v>
      </c>
      <c r="Y152" s="1" t="s">
        <v>2461</v>
      </c>
      <c r="AA152" s="1" t="s">
        <v>2462</v>
      </c>
      <c r="AC152" s="1" t="s">
        <v>531</v>
      </c>
      <c r="AE152" s="1" t="s">
        <v>2463</v>
      </c>
      <c r="AH152" s="1" t="s">
        <v>2464</v>
      </c>
      <c r="AI152" s="1" t="s">
        <v>2465</v>
      </c>
      <c r="AJ152" s="5">
        <v>33194.0</v>
      </c>
      <c r="AM152" s="1" t="s">
        <v>2466</v>
      </c>
      <c r="AP152" s="1" t="s">
        <v>2467</v>
      </c>
      <c r="AQ152" s="1" t="s">
        <v>2468</v>
      </c>
      <c r="AR152" s="1" t="s">
        <v>2469</v>
      </c>
    </row>
    <row r="153">
      <c r="A153" s="1" t="s">
        <v>2470</v>
      </c>
      <c r="B153" s="1" t="str">
        <f>IFERROR(__xludf.DUMMYFUNCTION("GOOGLETRANSLATE(A:A, ""en"", ""te"")"),"పూర్వపు మిఫీటర్ యొక్క బైప్లేన్లు")</f>
        <v>పూర్వపు మిఫీటర్ యొక్క బైప్లేన్లు</v>
      </c>
      <c r="C153" s="1" t="s">
        <v>2471</v>
      </c>
      <c r="D153" s="1" t="str">
        <f>IFERROR(__xludf.DUMMYFUNCTION("GOOGLETRANSLATE(C:C, ""en"", ""te"")"),"ది బైప్లేన్స్ ఆఫ్ పూర్వపు మిఫైటర్ (ఇంగ్లీష్: మై ఫైటర్) అనేది ఒక అమెరికన్ te త్సాహిక నిర్మిత విమానం, ఇది రాడ్ కౌగిల్ చేత రూపొందించబడింది మరియు ఒరెగాన్లోని అంటారియోకు చెందిన పూర్వపు పూర్వీయర్ యొక్క బైప్లేన్స్ చేత ఉత్పత్తి చేయబడింది. ఈ విమానం te త్సాహిక నిర్"&amp;"మాణానికి కిట్‌గా సరఫరా చేయబడుతుంది. [1] [2] [3] [4] డిజైన్ ""ఒక ఫాంటసీ వన్-ఆఫ్-ఎ-రకమైన డిజైన్, స్కేల్ కాదు"" ప్రతిరూపం, కానీ మొదటి ప్రపంచ యుద్ధ పోరాట యోధుడితో సమానంగా ఉండటానికి ఉద్దేశించబడింది. [5] ఈ విమానం స్ట్రట్-బ్రేస్డ్ బిప్‌లేన్ లేఅవుట్, సింగిల్-సీట్"&amp;"ల ఓపెన్ కాక్‌పిట్, స్థిర సాంప్రదాయ ల్యాండింగ్ గేర్ మరియు ట్రాక్టర్ కాన్ఫిగరేషన్‌లో ఒకే ఇంజిన్ కలిగి ఉంది. [1] [4] ఈ విమానం డోప్డ్ ఎయిర్క్రాఫ్ట్ ఫాబ్రిక్‌లో కప్పబడి ఉంటుంది. దాని 20.5 అడుగుల (6.2 మీ) స్పాన్ వింగ్ మొత్తం రెండు రెక్కలపై 146 చదరపు అడుగుల (13."&amp;"6 మీ 2) విస్తీర్ణంలో ఉంది. ఈ ప్రోటోటైప్ 64 హెచ్‌పి (48 కిలోవాట్ల) రోటాక్స్ 532 చేత కొత్త 64 హెచ్‌పి (48 కిలోవాట్) రోటాక్స్ 582 టూ-స్ట్రోక్ పవర్‌ప్లాంట్ ఎ బిల్డర్ ఎంపికతో శక్తినిచ్చింది. ప్రత్యేకంగా, భూమి రవాణా మరియు నిల్వ కోసం, రెక్కలను మడత పెట్టడానికి బద"&amp;"ులుగా విమానం తొలగించగల తోక విభాగాన్ని కలిగి ఉంటుంది. [1] [4] ఈ డిజైన్ ఆర్లింగ్టన్ ఛాంపియన్ 1997, ఓష్కోష్ గౌరవప్రదమైన ప్రస్తావన 1997, ఆర్లింగ్టన్ గ్రాండ్ ఛాంపియన్ 1999 మరియు ఓష్కోష్ రిజర్వ్ గ్రాండ్ ఛాంపియన్ 2002 తో సహా అనేక అవార్డులను గెలుచుకుంది. [6] డిసె"&amp;"ంబర్ 2007 నాటికి ఒక ఉదాహరణ పూర్తయినట్లు నివేదించబడింది మరియు ఏప్రిల్ 2015 లో ఫెడరల్ ఏవియేషన్ అడ్మినిస్ట్రేషన్‌లో ఒకటి మాత్రమే నమోదు చేయబడింది. [2] [7] రెండు-సీట్ల మైఫైటర్ II ప్రణాళిక చేయబడింది మరియు జియో మెట్రో ఫోర్ స్ట్రోక్ ఇంజిన్ చేత శక్తినిచ్చే ఒక ఉదాహ"&amp;"రణ నిర్మించబడింది, అయితే కంపెనీ ప్రస్తుతం దానిని మార్కెట్ చేయలేదు. [1] [2] [4] బేయర్ల్ నుండి డేటా, పూర్వపు మరియు కిట్‌ప్లేన్‌ల బైప్‌లాన్లు [1] [2] [5] సాధారణ లక్షణాల పనితీరు")</f>
        <v>ది బైప్లేన్స్ ఆఫ్ పూర్వపు మిఫైటర్ (ఇంగ్లీష్: మై ఫైటర్) అనేది ఒక అమెరికన్ te త్సాహిక నిర్మిత విమానం, ఇది రాడ్ కౌగిల్ చేత రూపొందించబడింది మరియు ఒరెగాన్లోని అంటారియోకు చెందిన పూర్వపు పూర్వీయర్ యొక్క బైప్లేన్స్ చేత ఉత్పత్తి చేయబడింది. ఈ విమానం te త్సాహిక నిర్మాణానికి కిట్‌గా సరఫరా చేయబడుతుంది. [1] [2] [3] [4] డిజైన్ "ఒక ఫాంటసీ వన్-ఆఫ్-ఎ-రకమైన డిజైన్, స్కేల్ కాదు" ప్రతిరూపం, కానీ మొదటి ప్రపంచ యుద్ధ పోరాట యోధుడితో సమానంగా ఉండటానికి ఉద్దేశించబడింది. [5] ఈ విమానం స్ట్రట్-బ్రేస్డ్ బిప్‌లేన్ లేఅవుట్, సింగిల్-సీట్ల ఓపెన్ కాక్‌పిట్, స్థిర సాంప్రదాయ ల్యాండింగ్ గేర్ మరియు ట్రాక్టర్ కాన్ఫిగరేషన్‌లో ఒకే ఇంజిన్ కలిగి ఉంది. [1] [4] ఈ విమానం డోప్డ్ ఎయిర్క్రాఫ్ట్ ఫాబ్రిక్‌లో కప్పబడి ఉంటుంది. దాని 20.5 అడుగుల (6.2 మీ) స్పాన్ వింగ్ మొత్తం రెండు రెక్కలపై 146 చదరపు అడుగుల (13.6 మీ 2) విస్తీర్ణంలో ఉంది. ఈ ప్రోటోటైప్ 64 హెచ్‌పి (48 కిలోవాట్ల) రోటాక్స్ 532 చేత కొత్త 64 హెచ్‌పి (48 కిలోవాట్) రోటాక్స్ 582 టూ-స్ట్రోక్ పవర్‌ప్లాంట్ ఎ బిల్డర్ ఎంపికతో శక్తినిచ్చింది. ప్రత్యేకంగా, భూమి రవాణా మరియు నిల్వ కోసం, రెక్కలను మడత పెట్టడానికి బదులుగా విమానం తొలగించగల తోక విభాగాన్ని కలిగి ఉంటుంది. [1] [4] ఈ డిజైన్ ఆర్లింగ్టన్ ఛాంపియన్ 1997, ఓష్కోష్ గౌరవప్రదమైన ప్రస్తావన 1997, ఆర్లింగ్టన్ గ్రాండ్ ఛాంపియన్ 1999 మరియు ఓష్కోష్ రిజర్వ్ గ్రాండ్ ఛాంపియన్ 2002 తో సహా అనేక అవార్డులను గెలుచుకుంది. [6] డిసెంబర్ 2007 నాటికి ఒక ఉదాహరణ పూర్తయినట్లు నివేదించబడింది మరియు ఏప్రిల్ 2015 లో ఫెడరల్ ఏవియేషన్ అడ్మినిస్ట్రేషన్‌లో ఒకటి మాత్రమే నమోదు చేయబడింది. [2] [7] రెండు-సీట్ల మైఫైటర్ II ప్రణాళిక చేయబడింది మరియు జియో మెట్రో ఫోర్ స్ట్రోక్ ఇంజిన్ చేత శక్తినిచ్చే ఒక ఉదాహరణ నిర్మించబడింది, అయితే కంపెనీ ప్రస్తుతం దానిని మార్కెట్ చేయలేదు. [1] [2] [4] బేయర్ల్ నుండి డేటా, పూర్వపు మరియు కిట్‌ప్లేన్‌ల బైప్‌లాన్లు [1] [2] [5] సాధారణ లక్షణాల పనితీరు</v>
      </c>
      <c r="F153" s="1" t="s">
        <v>125</v>
      </c>
      <c r="G153" s="1" t="str">
        <f>IFERROR(__xludf.DUMMYFUNCTION("GOOGLETRANSLATE(F:F, ""en"", ""te"")"),"Te త్సాహిక నిర్మించిన విమానం")</f>
        <v>Te త్సాహిక నిర్మించిన విమానం</v>
      </c>
      <c r="H153" s="1" t="s">
        <v>126</v>
      </c>
      <c r="I153" s="1" t="s">
        <v>127</v>
      </c>
      <c r="J153" s="1" t="str">
        <f>IFERROR(__xludf.DUMMYFUNCTION("GOOGLETRANSLATE(I:I, ""en"", ""te"")"),"సంయుక్త రాష్ట్రాలు")</f>
        <v>సంయుక్త రాష్ట్రాలు</v>
      </c>
      <c r="K153" s="1" t="s">
        <v>128</v>
      </c>
      <c r="L153" s="1" t="s">
        <v>2472</v>
      </c>
      <c r="M153" s="1" t="str">
        <f>IFERROR(__xludf.DUMMYFUNCTION("GOOGLETRANSLATE(L:L, ""en"", ""te"")"),"పూర్వపు బైప్లేన్లు")</f>
        <v>పూర్వపు బైప్లేన్లు</v>
      </c>
      <c r="N153" s="1" t="s">
        <v>2473</v>
      </c>
      <c r="O153" s="1" t="s">
        <v>1798</v>
      </c>
      <c r="P153" s="1" t="str">
        <f>IFERROR(__xludf.DUMMYFUNCTION("GOOGLETRANSLATE(O:O, ""en"", ""te"")"),"ఉత్పత్తిలో (2012)")</f>
        <v>ఉత్పత్తిలో (2012)</v>
      </c>
      <c r="Q153" s="1" t="s">
        <v>433</v>
      </c>
      <c r="S153" s="1" t="s">
        <v>133</v>
      </c>
      <c r="W153" s="1" t="s">
        <v>2474</v>
      </c>
      <c r="X153" s="1" t="s">
        <v>2475</v>
      </c>
      <c r="Y153" s="1" t="s">
        <v>2476</v>
      </c>
      <c r="Z153" s="1" t="s">
        <v>2477</v>
      </c>
      <c r="AA153" s="1" t="s">
        <v>2478</v>
      </c>
      <c r="AB153" s="1" t="s">
        <v>207</v>
      </c>
      <c r="AC153" s="1" t="s">
        <v>1156</v>
      </c>
      <c r="AD153" s="1" t="s">
        <v>2479</v>
      </c>
      <c r="AF153" s="1" t="s">
        <v>2480</v>
      </c>
      <c r="AG153" s="1" t="s">
        <v>2481</v>
      </c>
      <c r="AH153" s="1" t="s">
        <v>2482</v>
      </c>
      <c r="AP153" s="1" t="s">
        <v>1621</v>
      </c>
      <c r="BT153" s="1" t="s">
        <v>727</v>
      </c>
      <c r="CI153" s="1" t="s">
        <v>2093</v>
      </c>
    </row>
    <row r="154">
      <c r="A154" s="1" t="s">
        <v>2483</v>
      </c>
      <c r="B154" s="1" t="str">
        <f>IFERROR(__xludf.DUMMYFUNCTION("GOOGLETRANSLATE(A:A, ""en"", ""te"")"),"బిషప్ RB-1 రే యొక్క తిరుగుబాటు")</f>
        <v>బిషప్ RB-1 రే యొక్క తిరుగుబాటు</v>
      </c>
      <c r="C154" s="1" t="s">
        <v>2484</v>
      </c>
      <c r="D154" s="1" t="str">
        <f>IFERROR(__xludf.DUMMYFUNCTION("GOOGLETRANSLATE(C:C, ""en"", ""te"")"),"RB-1 రే యొక్క తిరుగుబాటు అనేది ఒక అమెరికన్ రెండు-సీట్ల లైట్ స్పోర్టింగ్ విమానం, ఇది ఒహియోలోని నార్టన్ యొక్క రే బిషప్ రూపొందించిన మరియు నిర్మించినది. [1] రే యొక్క తిరుగుబాటు అనేది ఒక బ్రేస్డ్ లో-వింగ్ మోనోప్లేన్, ఇది వెల్డెడ్ స్టీల్-ట్యూబ్ ఫ్యూజ్‌లేజ్‌తో ఫ"&amp;"ాబ్రిక్‌తో కప్పబడి ఉంటుంది. [1] రెక్క అనేది సెకోనైట్తో కప్పబడిన ఆల్-వుడ్ నిర్మాణం, ఇది రెక్క చిట్కాలు మరియు ఫ్రేజ్-టైప్ ఐలెరాన్‌లపై ఎండ్‌ప్లేట్‌లను కలిగి ఉంది, కానీ ఫ్లాప్‌లు లేదా ట్రిమ్ ట్యాబ్‌లు లేవు. [1] రే యొక్క తిరుగుబాటుదారుడు 125 హెచ్‌పి (93 కిలోవా"&amp;"ట్ ల్యాండింగ్ గేర్ అనేది చక్రం మీద గ్లాస్‌ఫైబ్రే ఫెయిరింగ్ ఉన్న స్థిర టెయిల్‌వీల్ రకం. [1] పరివేష్టిత కాక్‌పిట్‌లో వెనుక వైపు-స్లైడింగ్ పందిరి కింద రెండు సైడ్-బై-సైడ్ కాన్ఫిగరేషన్ సీట్లు ఉన్నాయి. [1] బిషప్ అక్టోబర్ 1954 లో ఈ విమానం రూపకల్పన ప్రారంభించాడు "&amp;"మరియు ఫిబ్రవరి 1955 లో నిర్మాణాన్ని ప్రారంభించాడు, పదిహేనేళ్ల తరువాత అది పూర్తయింది మరియు ఇప్పుడు N971RB ను నమోదు చేసింది. రాయ్ యొక్క తిరుగుబాటు మొదటిసారి 28 మార్చి 1970 న ప్రయాణించారు. [1] జేన్ యొక్క అన్ని ప్రపంచ విమానాల నుండి డేటా 1973-74 [1] సాధారణ లక్"&amp;"షణాల పనితీరు")</f>
        <v>RB-1 రే యొక్క తిరుగుబాటు అనేది ఒక అమెరికన్ రెండు-సీట్ల లైట్ స్పోర్టింగ్ విమానం, ఇది ఒహియోలోని నార్టన్ యొక్క రే బిషప్ రూపొందించిన మరియు నిర్మించినది. [1] రే యొక్క తిరుగుబాటు అనేది ఒక బ్రేస్డ్ లో-వింగ్ మోనోప్లేన్, ఇది వెల్డెడ్ స్టీల్-ట్యూబ్ ఫ్యూజ్‌లేజ్‌తో ఫాబ్రిక్‌తో కప్పబడి ఉంటుంది. [1] రెక్క అనేది సెకోనైట్తో కప్పబడిన ఆల్-వుడ్ నిర్మాణం, ఇది రెక్క చిట్కాలు మరియు ఫ్రేజ్-టైప్ ఐలెరాన్‌లపై ఎండ్‌ప్లేట్‌లను కలిగి ఉంది, కానీ ఫ్లాప్‌లు లేదా ట్రిమ్ ట్యాబ్‌లు లేవు. [1] రే యొక్క తిరుగుబాటుదారుడు 125 హెచ్‌పి (93 కిలోవాట్ ల్యాండింగ్ గేర్ అనేది చక్రం మీద గ్లాస్‌ఫైబ్రే ఫెయిరింగ్ ఉన్న స్థిర టెయిల్‌వీల్ రకం. [1] పరివేష్టిత కాక్‌పిట్‌లో వెనుక వైపు-స్లైడింగ్ పందిరి కింద రెండు సైడ్-బై-సైడ్ కాన్ఫిగరేషన్ సీట్లు ఉన్నాయి. [1] బిషప్ అక్టోబర్ 1954 లో ఈ విమానం రూపకల్పన ప్రారంభించాడు మరియు ఫిబ్రవరి 1955 లో నిర్మాణాన్ని ప్రారంభించాడు, పదిహేనేళ్ల తరువాత అది పూర్తయింది మరియు ఇప్పుడు N971RB ను నమోదు చేసింది. రాయ్ యొక్క తిరుగుబాటు మొదటిసారి 28 మార్చి 1970 న ప్రయాణించారు. [1] జేన్ యొక్క అన్ని ప్రపంచ విమానాల నుండి డేటా 1973-74 [1] సాధారణ లక్షణాల పనితీరు</v>
      </c>
      <c r="F154" s="1" t="s">
        <v>2485</v>
      </c>
      <c r="G154" s="1" t="str">
        <f>IFERROR(__xludf.DUMMYFUNCTION("GOOGLETRANSLATE(F:F, ""en"", ""te"")"),"రెండు సీట్ల హోమ్‌బిల్ట్ లైట్ ఎయిర్‌క్రాఫ్ట్")</f>
        <v>రెండు సీట్ల హోమ్‌బిల్ట్ లైట్ ఎయిర్‌క్రాఫ్ట్</v>
      </c>
      <c r="I154" s="1" t="s">
        <v>127</v>
      </c>
      <c r="J154" s="1" t="str">
        <f>IFERROR(__xludf.DUMMYFUNCTION("GOOGLETRANSLATE(I:I, ""en"", ""te"")"),"సంయుక్త రాష్ట్రాలు")</f>
        <v>సంయుక్త రాష్ట్రాలు</v>
      </c>
      <c r="Q154" s="1">
        <v>1.0</v>
      </c>
      <c r="S154" s="1">
        <v>2.0</v>
      </c>
      <c r="U154" s="1" t="s">
        <v>2486</v>
      </c>
      <c r="V154" s="1" t="s">
        <v>1498</v>
      </c>
      <c r="W154" s="1" t="s">
        <v>2487</v>
      </c>
      <c r="X154" s="1" t="s">
        <v>2488</v>
      </c>
      <c r="Y154" s="1" t="s">
        <v>2489</v>
      </c>
      <c r="AA154" s="1" t="s">
        <v>2490</v>
      </c>
      <c r="AC154" s="1" t="s">
        <v>2491</v>
      </c>
      <c r="AD154" s="1" t="s">
        <v>2492</v>
      </c>
      <c r="AE154" s="1" t="s">
        <v>2493</v>
      </c>
      <c r="AF154" s="1" t="s">
        <v>2494</v>
      </c>
      <c r="AH154" s="1" t="s">
        <v>2495</v>
      </c>
      <c r="AJ154" s="5">
        <v>25655.0</v>
      </c>
      <c r="AM154" s="1" t="s">
        <v>2496</v>
      </c>
      <c r="AP154" s="1" t="s">
        <v>2497</v>
      </c>
      <c r="AR154" s="1" t="s">
        <v>2498</v>
      </c>
    </row>
    <row r="155">
      <c r="A155" s="1" t="s">
        <v>2499</v>
      </c>
      <c r="B155" s="1" t="str">
        <f>IFERROR(__xludf.DUMMYFUNCTION("GOOGLETRANSLATE(A:A, ""en"", ""te"")"),"బ్లాక్బర్న్ స్ప్రాట్")</f>
        <v>బ్లాక్బర్న్ స్ప్రాట్</v>
      </c>
      <c r="C155" s="1" t="s">
        <v>2500</v>
      </c>
      <c r="D155" s="1" t="str">
        <f>IFERROR(__xludf.DUMMYFUNCTION("GOOGLETRANSLATE(C:C, ""en"", ""te"")"),"బ్లాక్బర్న్ టి.ఆర్. ఒకటి నిర్మించబడింది. SPRAT [1] ను RAF అడ్వాన్స్‌డ్ ట్రైనర్ మరియు ఫ్లీట్ ఎయిర్ ఆర్మ్ డెక్-లండింగ్ ట్రైనర్ కోసం ఎయిర్ మినిస్ట్రీ స్పెసిఫికేషన్ 5/24 కు రూపొందించారు. ఈ విమానం సులభంగా సీప్లేన్‌గా మార్చబడాలని, మళ్ళీ శిక్షకుడిగా ఉపయోగించాలని"&amp;" పేర్కొనబడింది. ఈ స్పెసిఫికేషన్ మూడు యంత్రాల కోసం ఒప్పందాలను ఉత్పత్తి చేసింది, విక్కర్స్ వెండేస్, పార్నాల్ పెర్చ్ మరియు స్ప్రాట్. స్ప్రాట్, చిన్న విమానం అయినప్పటికీ, మునుపటి వెలోస్ టార్పెడో బాంబర్‌కు బలమైన కుటుంబ పోలికలు ఉన్నాయి. స్ప్రాట్ అనేది క్యారియర్ "&amp;"స్టోవేజ్ కోసం మడతపెట్టిన సమాన-స్పాన్ రెక్కలతో కూడిన, సింగిల్-బే బైప్‌లేన్. ఫ్యూజ్‌లేజ్ సెంటర్ విభాగం గొట్టపు-స్టీల్ నిర్మాణం చుట్టూ నిర్మించబడింది, ఇది ఇంజిన్ మౌంటు మరియు చెక్కతో కూడిన-ఫ్రేమ్డ్ రియర్ ఫ్యూజ్‌లేజ్‌ను అనుసంధానించింది. రెండు డ్యూయల్-కంట్రోల్ "&amp;"ఓపెన్ కాక్‌పిట్‌లు వాంఛనీయ దృశ్యమానత కోసం రెక్క యొక్క వెనుకంజలో వెనుక ఉన్నాయి. అసాధారణంగా, పరికరాలను అప్పర్ వింగ్ సెంటర్ విభాగం యొక్క వెనుక స్పార్ మీద ఉంచారు, ఇక్కడ వాటిని రెండు కాక్‌పిట్‌ల నుండి చదవవచ్చు. ఫిన్‌తో పోలిస్తే చుక్కాని ప్రాంతం పెద్దది మరియు వ"&amp;"ెనుక ఫ్యూజ్‌లేజ్ పైన ఒక బ్రేస్డ్ టెయిల్‌ప్లేన్ ఉంచబడింది. [1] ప్రధాన అండర్ క్యారేజ్ ఒక బలమైన స్ప్లిట్-ఇరుసు నిర్మాణం 1926 వరకు రాయల్ నేవీ ఎయిర్క్రాఫ్ట్ క్యారియర్‌ల యొక్క రేఖాంశ అరెస్టర్ వైర్లకు అవసరమైన అరెస్టర్ క్లాస్‌ను బ్రేస్డ్ స్టబ్ ఇరుసులు తీసుకువెళ్ల"&amp;"ారు. అండర్ క్యారేజ్ అసెంబ్లీ రూపొందించబడింది, తద్వారా ఇది ట్రెస్టెల్స్‌పై విమానంతో సులభంగా తొలగించబడుతుంది మరియు ఒక జత అల్యూమినియం సింగిల్-స్టెప్ తో భర్తీ చేయబడింది , వి-బాటమ్డ్ రౌండ్-టాప్ ఫ్లోట్లు. ఇవి తేలుతూ యుక్తి కోసం నీటి రడ్డర్లను తీసుకువెళ్ళాయి. [1"&amp;"] స్ప్రాట్ నీటి-చల్లబడిన 275 హెచ్‌పి (210 కిలోవాట్ల) రోల్స్ రాయిస్ ఫాల్కన్ III ఇంజిన్‌తో ముక్కు రేడియేటర్‌తో పనిచేస్తుంది, నాలుగు బ్లేడెడ్ చెక్క ప్రొపెల్లర్‌ను నడుపుతుంది. వెలోస్ మాదిరిగా, ఎగువ ఇంజిన్ కౌలింగ్ ఎగువ వింగ్ లీడింగ్ ఎడ్జ్ నుండి సజావుగా పడిపోయి"&amp;"ంది. [1] స్ప్రాట్ మొదట బ్రో ఏరోడ్రోమ్‌లో బ్లాక్‌బర్న్ రచనల వద్ద ప్రయాణించి, ఆపై మిగతా ఇద్దరు పోటీదారులతో తులనాత్మక పరీక్షల కోసం మార్టెల్షామ్ హీత్ వద్దకు వెళ్ళాడు. చివరికి, వెండెస్‌ను స్పెసిఫికేషన్‌కు ఉత్తమమైన విమానంగా ఎంపిక చేసినప్పటికీ, ఆర్థిక వ్యవస్థ కో"&amp;"తలు ఉన్నందున ఏ తయారీదారుతో ఎటువంటి ఆర్డర్లు ఉంచబడలేదు. స్ప్రాట్ చివరిసారిగా జూలై 1926 లో హెండన్ RAF ప్రదర్శనలో బహిరంగంగా కనిపించింది. [1] జాక్సన్ నుండి డేటా 1968, పే. 236 జనరల్ లక్షణాలు పనితీరు")</f>
        <v>బ్లాక్బర్న్ టి.ఆర్. ఒకటి నిర్మించబడింది. SPRAT [1] ను RAF అడ్వాన్స్‌డ్ ట్రైనర్ మరియు ఫ్లీట్ ఎయిర్ ఆర్మ్ డెక్-లండింగ్ ట్రైనర్ కోసం ఎయిర్ మినిస్ట్రీ స్పెసిఫికేషన్ 5/24 కు రూపొందించారు. ఈ విమానం సులభంగా సీప్లేన్‌గా మార్చబడాలని, మళ్ళీ శిక్షకుడిగా ఉపయోగించాలని పేర్కొనబడింది. ఈ స్పెసిఫికేషన్ మూడు యంత్రాల కోసం ఒప్పందాలను ఉత్పత్తి చేసింది, విక్కర్స్ వెండేస్, పార్నాల్ పెర్చ్ మరియు స్ప్రాట్. స్ప్రాట్, చిన్న విమానం అయినప్పటికీ, మునుపటి వెలోస్ టార్పెడో బాంబర్‌కు బలమైన కుటుంబ పోలికలు ఉన్నాయి. స్ప్రాట్ అనేది క్యారియర్ స్టోవేజ్ కోసం మడతపెట్టిన సమాన-స్పాన్ రెక్కలతో కూడిన, సింగిల్-బే బైప్‌లేన్. ఫ్యూజ్‌లేజ్ సెంటర్ విభాగం గొట్టపు-స్టీల్ నిర్మాణం చుట్టూ నిర్మించబడింది, ఇది ఇంజిన్ మౌంటు మరియు చెక్కతో కూడిన-ఫ్రేమ్డ్ రియర్ ఫ్యూజ్‌లేజ్‌ను అనుసంధానించింది. రెండు డ్యూయల్-కంట్రోల్ ఓపెన్ కాక్‌పిట్‌లు వాంఛనీయ దృశ్యమానత కోసం రెక్క యొక్క వెనుకంజలో వెనుక ఉన్నాయి. అసాధారణంగా, పరికరాలను అప్పర్ వింగ్ సెంటర్ విభాగం యొక్క వెనుక స్పార్ మీద ఉంచారు, ఇక్కడ వాటిని రెండు కాక్‌పిట్‌ల నుండి చదవవచ్చు. ఫిన్‌తో పోలిస్తే చుక్కాని ప్రాంతం పెద్దది మరియు వెనుక ఫ్యూజ్‌లేజ్ పైన ఒక బ్రేస్డ్ టెయిల్‌ప్లేన్ ఉంచబడింది. [1] ప్రధాన అండర్ క్యారేజ్ ఒక బలమైన స్ప్లిట్-ఇరుసు నిర్మాణం 1926 వరకు రాయల్ నేవీ ఎయిర్క్రాఫ్ట్ క్యారియర్‌ల యొక్క రేఖాంశ అరెస్టర్ వైర్లకు అవసరమైన అరెస్టర్ క్లాస్‌ను బ్రేస్డ్ స్టబ్ ఇరుసులు తీసుకువెళ్లారు. అండర్ క్యారేజ్ అసెంబ్లీ రూపొందించబడింది, తద్వారా ఇది ట్రెస్టెల్స్‌పై విమానంతో సులభంగా తొలగించబడుతుంది మరియు ఒక జత అల్యూమినియం సింగిల్-స్టెప్ తో భర్తీ చేయబడింది , వి-బాటమ్డ్ రౌండ్-టాప్ ఫ్లోట్లు. ఇవి తేలుతూ యుక్తి కోసం నీటి రడ్డర్లను తీసుకువెళ్ళాయి. [1] స్ప్రాట్ నీటి-చల్లబడిన 275 హెచ్‌పి (210 కిలోవాట్ల) రోల్స్ రాయిస్ ఫాల్కన్ III ఇంజిన్‌తో ముక్కు రేడియేటర్‌తో పనిచేస్తుంది, నాలుగు బ్లేడెడ్ చెక్క ప్రొపెల్లర్‌ను నడుపుతుంది. వెలోస్ మాదిరిగా, ఎగువ ఇంజిన్ కౌలింగ్ ఎగువ వింగ్ లీడింగ్ ఎడ్జ్ నుండి సజావుగా పడిపోయింది. [1] స్ప్రాట్ మొదట బ్రో ఏరోడ్రోమ్‌లో బ్లాక్‌బర్న్ రచనల వద్ద ప్రయాణించి, ఆపై మిగతా ఇద్దరు పోటీదారులతో తులనాత్మక పరీక్షల కోసం మార్టెల్షామ్ హీత్ వద్దకు వెళ్ళాడు. చివరికి, వెండెస్‌ను స్పెసిఫికేషన్‌కు ఉత్తమమైన విమానంగా ఎంపిక చేసినప్పటికీ, ఆర్థిక వ్యవస్థ కోతలు ఉన్నందున ఏ తయారీదారుతో ఎటువంటి ఆర్డర్లు ఉంచబడలేదు. స్ప్రాట్ చివరిసారిగా జూలై 1926 లో హెండన్ RAF ప్రదర్శనలో బహిరంగంగా కనిపించింది. [1] జాక్సన్ నుండి డేటా 1968, పే. 236 జనరల్ లక్షణాలు పనితీరు</v>
      </c>
      <c r="E155" s="1" t="s">
        <v>2501</v>
      </c>
      <c r="F155" s="1" t="s">
        <v>2502</v>
      </c>
      <c r="G155" s="1" t="str">
        <f>IFERROR(__xludf.DUMMYFUNCTION("GOOGLETRANSLATE(F:F, ""en"", ""te"")"),"అధునాతన శిక్షకుడు")</f>
        <v>అధునాతన శిక్షకుడు</v>
      </c>
      <c r="I155" s="1" t="s">
        <v>357</v>
      </c>
      <c r="J155" s="1" t="str">
        <f>IFERROR(__xludf.DUMMYFUNCTION("GOOGLETRANSLATE(I:I, ""en"", ""te"")"),"యునైటెడ్ కింగ్‌డమ్")</f>
        <v>యునైటెడ్ కింగ్‌డమ్</v>
      </c>
      <c r="L155" s="1" t="s">
        <v>2274</v>
      </c>
      <c r="M155" s="1" t="str">
        <f>IFERROR(__xludf.DUMMYFUNCTION("GOOGLETRANSLATE(L:L, ""en"", ""te"")"),"బ్లాక్బర్న్ విమానం మరియు మోటార్ కో. లిమిటెడ్")</f>
        <v>బ్లాక్బర్న్ విమానం మరియు మోటార్ కో. లిమిటెడ్</v>
      </c>
      <c r="N155" s="1" t="s">
        <v>2275</v>
      </c>
      <c r="Q155" s="1">
        <v>1.0</v>
      </c>
      <c r="S155" s="1" t="s">
        <v>2276</v>
      </c>
      <c r="U155" s="1" t="s">
        <v>2503</v>
      </c>
      <c r="V155" s="1" t="s">
        <v>2504</v>
      </c>
      <c r="W155" s="1" t="s">
        <v>2505</v>
      </c>
      <c r="X155" s="1" t="s">
        <v>2506</v>
      </c>
      <c r="Y155" s="1" t="s">
        <v>2507</v>
      </c>
      <c r="AA155" s="1" t="s">
        <v>2508</v>
      </c>
      <c r="AF155" s="1" t="s">
        <v>2509</v>
      </c>
      <c r="AH155" s="1" t="s">
        <v>2301</v>
      </c>
      <c r="AJ155" s="5">
        <v>9611.0</v>
      </c>
      <c r="AM155" s="1" t="s">
        <v>2510</v>
      </c>
      <c r="AP155" s="1" t="s">
        <v>2511</v>
      </c>
      <c r="AR155" s="1" t="s">
        <v>2512</v>
      </c>
    </row>
    <row r="156">
      <c r="A156" s="1" t="s">
        <v>2513</v>
      </c>
      <c r="B156" s="1" t="str">
        <f>IFERROR(__xludf.DUMMYFUNCTION("GOOGLETRANSLATE(A:A, ""en"", ""te"")"),"బ్లాక్బర్న్ బి -3")</f>
        <v>బ్లాక్బర్న్ బి -3</v>
      </c>
      <c r="C156" s="1" t="s">
        <v>2514</v>
      </c>
      <c r="D156" s="1" t="str">
        <f>IFERROR(__xludf.DUMMYFUNCTION("GOOGLETRANSLATE(C:C, ""en"", ""te"")"),"బ్లాక్బర్న్ బి -3 అనేది బ్రిటిష్ టార్పెడో బాంబర్, ఇది బ్లాక్బర్న్ ఎయిర్క్రాఫ్ట్ చేత రూపొందించబడిన మరియు నిర్మించినది. ఇది విజయవంతం కాలేదు, రెండు ప్రోటోటైప్‌లు మాత్రమే నిర్మించబడ్డాయి. 1930 లో, బ్రిటిష్ వైమానిక మంత్రిత్వ శాఖ రిపోన్ స్థానంలో క్యారియర్-ఆధారి"&amp;"త టార్పెడో బాంబర్ కోసం స్పెసిఫికేషన్ M.1/30 ని జారీ చేసింది, రోల్స్ రాయిస్ బజార్డ్ లేదా ఆర్మ్‌స్ట్రాంగ్ సిడ్డిలీ లియోపార్డ్ ఇంజిన్‌లచే శక్తినిస్తుంది. బ్లాక్‌బర్న్, హ్యాండ్లీ పేజ్ మరియు విక్కర్స్ నుండి ప్రోటోటైప్‌లను ఆదేశించారు. బ్లాక్బర్న్ డిజైన్ సింగిల్"&amp;"-బే బైప్లేన్, ఫాబ్రిక్-కప్పబడిన స్టీల్ ట్యూబ్ ఫ్యూజ్‌లేజ్‌తో, బజార్డ్ ఇంజిన్‌తో శక్తినిస్తుంది. ఈ నమూనా మొదట 8 మార్చి 1932 న ఎగిరింది [1] మరియు ఇంజిన్ వైఫల్యం తరువాత జూన్ 1933 లో క్రాష్ అయ్యింది. దీనిని వైమానిక మంత్రిత్వ శాఖ ఆదేశించినందున, ఈ యంత్రం ఒక RAF"&amp;" సీరియల్ (S1640) ను కలిగి ఉంది మరియు దాని జీవితమంతా స్పెసిఫికేషన్ తరువాత M.1/30 గా పిలువబడింది. [2] కొన్ని స్పెసిఫికేషన్ల అవసరాలను సడలించిన తరువాత, బ్లాక్బర్న్ రెండవ విమానాన్ని ఒక ప్రైవేట్ వెంచర్‌గా నిర్మించింది, మునుపటి స్టీల్ ట్యూబ్ ఫ్యూజ్‌లేజ్‌ను భర్తీ"&amp;" చేసే నీటితో నిండిన మెటల్ మోనోకోక్ ఫ్యూజ్‌లేజ్, [3] ఇది 24 ఫిబ్రవరి 1933 న ఎగురుతుంది. [1] ఎందుకంటే ఇది ఒక ప్రైవేట్ వెంచర్, ఇది బ్లాక్బర్న్ క్లాస్ బి సివిల్ టెస్ట్ మార్కింగ్ B-3 ను తీసుకువెళ్ళింది మరియు దీనిని M.1/30A అని కూడా పిలుస్తారు. [4] ఇది పరీక్ష స"&amp;"మయంలో పేలవంగా పనిచేసింది, స్పెసిఫికేషన్ యొక్క పనితీరు అవసరాలను తీర్చడానికి ఇప్పటికీ అసమర్థంగా ఉంది, అవి రిలాక్స్డ్ అయినప్పటికీ, మరియు క్యారియర్ డెక్ లిఫ్ట్‌లకు చాలా భారీగా ఉంటాయి. స్పెసిఫికేషన్ కోసం పోటీదారులు ఎవరూ దాని అవసరాలను తీర్చలేనందున, స్పెసిఫికేషన"&amp;"్ రద్దు చేయబడింది, విమానం ఆదేశించబడలేదు. 1914 నుండి బ్రిటిష్ బాంబర్ నుండి వచ్చిన డేటా [1] సాధారణ లక్షణాలు పనితీరు ఆయుధాలు, కాన్ఫిగరేషన్ మరియు ERA యొక్క ఆయుధ విమానం")</f>
        <v>బ్లాక్బర్న్ బి -3 అనేది బ్రిటిష్ టార్పెడో బాంబర్, ఇది బ్లాక్బర్న్ ఎయిర్క్రాఫ్ట్ చేత రూపొందించబడిన మరియు నిర్మించినది. ఇది విజయవంతం కాలేదు, రెండు ప్రోటోటైప్‌లు మాత్రమే నిర్మించబడ్డాయి. 1930 లో, బ్రిటిష్ వైమానిక మంత్రిత్వ శాఖ రిపోన్ స్థానంలో క్యారియర్-ఆధారిత టార్పెడో బాంబర్ కోసం స్పెసిఫికేషన్ M.1/30 ని జారీ చేసింది, రోల్స్ రాయిస్ బజార్డ్ లేదా ఆర్మ్‌స్ట్రాంగ్ సిడ్డిలీ లియోపార్డ్ ఇంజిన్‌లచే శక్తినిస్తుంది. బ్లాక్‌బర్న్, హ్యాండ్లీ పేజ్ మరియు విక్కర్స్ నుండి ప్రోటోటైప్‌లను ఆదేశించారు. బ్లాక్బర్న్ డిజైన్ సింగిల్-బే బైప్లేన్, ఫాబ్రిక్-కప్పబడిన స్టీల్ ట్యూబ్ ఫ్యూజ్‌లేజ్‌తో, బజార్డ్ ఇంజిన్‌తో శక్తినిస్తుంది. ఈ నమూనా మొదట 8 మార్చి 1932 న ఎగిరింది [1] మరియు ఇంజిన్ వైఫల్యం తరువాత జూన్ 1933 లో క్రాష్ అయ్యింది. దీనిని వైమానిక మంత్రిత్వ శాఖ ఆదేశించినందున, ఈ యంత్రం ఒక RAF సీరియల్ (S1640) ను కలిగి ఉంది మరియు దాని జీవితమంతా స్పెసిఫికేషన్ తరువాత M.1/30 గా పిలువబడింది. [2] కొన్ని స్పెసిఫికేషన్ల అవసరాలను సడలించిన తరువాత, బ్లాక్బర్న్ రెండవ విమానాన్ని ఒక ప్రైవేట్ వెంచర్‌గా నిర్మించింది, మునుపటి స్టీల్ ట్యూబ్ ఫ్యూజ్‌లేజ్‌ను భర్తీ చేసే నీటితో నిండిన మెటల్ మోనోకోక్ ఫ్యూజ్‌లేజ్, [3] ఇది 24 ఫిబ్రవరి 1933 న ఎగురుతుంది. [1] ఎందుకంటే ఇది ఒక ప్రైవేట్ వెంచర్, ఇది బ్లాక్బర్న్ క్లాస్ బి సివిల్ టెస్ట్ మార్కింగ్ B-3 ను తీసుకువెళ్ళింది మరియు దీనిని M.1/30A అని కూడా పిలుస్తారు. [4] ఇది పరీక్ష సమయంలో పేలవంగా పనిచేసింది, స్పెసిఫికేషన్ యొక్క పనితీరు అవసరాలను తీర్చడానికి ఇప్పటికీ అసమర్థంగా ఉంది, అవి రిలాక్స్డ్ అయినప్పటికీ, మరియు క్యారియర్ డెక్ లిఫ్ట్‌లకు చాలా భారీగా ఉంటాయి. స్పెసిఫికేషన్ కోసం పోటీదారులు ఎవరూ దాని అవసరాలను తీర్చలేనందున, స్పెసిఫికేషన్ రద్దు చేయబడింది, విమానం ఆదేశించబడలేదు. 1914 నుండి బ్రిటిష్ బాంబర్ నుండి వచ్చిన డేటా [1] సాధారణ లక్షణాలు పనితీరు ఆయుధాలు, కాన్ఫిగరేషన్ మరియు ERA యొక్క ఆయుధ విమానం</v>
      </c>
      <c r="E156" s="1" t="s">
        <v>2515</v>
      </c>
      <c r="F156" s="1" t="s">
        <v>2334</v>
      </c>
      <c r="G156" s="1" t="str">
        <f>IFERROR(__xludf.DUMMYFUNCTION("GOOGLETRANSLATE(F:F, ""en"", ""te"")"),"టార్పెడో బాంబర్")</f>
        <v>టార్పెడో బాంబర్</v>
      </c>
      <c r="L156" s="1" t="s">
        <v>2335</v>
      </c>
      <c r="M156" s="1" t="str">
        <f>IFERROR(__xludf.DUMMYFUNCTION("GOOGLETRANSLATE(L:L, ""en"", ""te"")"),"బ్లాక్బర్న్ విమానం")</f>
        <v>బ్లాక్బర్న్ విమానం</v>
      </c>
      <c r="N156" s="1" t="s">
        <v>2336</v>
      </c>
      <c r="O156" s="1" t="s">
        <v>779</v>
      </c>
      <c r="P156" s="1" t="str">
        <f>IFERROR(__xludf.DUMMYFUNCTION("GOOGLETRANSLATE(O:O, ""en"", ""te"")"),"ప్రోటోటైప్")</f>
        <v>ప్రోటోటైప్</v>
      </c>
      <c r="Q156" s="1">
        <v>2.0</v>
      </c>
      <c r="S156" s="1">
        <v>2.0</v>
      </c>
      <c r="U156" s="1" t="s">
        <v>2516</v>
      </c>
      <c r="V156" s="1" t="s">
        <v>2517</v>
      </c>
      <c r="W156" s="1" t="s">
        <v>2518</v>
      </c>
      <c r="X156" s="1" t="s">
        <v>2519</v>
      </c>
      <c r="Y156" s="1" t="s">
        <v>2520</v>
      </c>
      <c r="AA156" s="1" t="s">
        <v>2521</v>
      </c>
      <c r="AB156" s="1" t="s">
        <v>366</v>
      </c>
      <c r="AG156" s="1" t="s">
        <v>2522</v>
      </c>
      <c r="AJ156" s="5">
        <v>11756.0</v>
      </c>
      <c r="AM156" s="1" t="s">
        <v>2523</v>
      </c>
      <c r="AP156" s="1" t="s">
        <v>371</v>
      </c>
      <c r="AR156" s="1" t="s">
        <v>2524</v>
      </c>
      <c r="AY156" s="1" t="s">
        <v>2525</v>
      </c>
      <c r="BJ156" s="1" t="s">
        <v>2526</v>
      </c>
    </row>
    <row r="157">
      <c r="A157" s="1" t="s">
        <v>2527</v>
      </c>
      <c r="B157" s="1" t="str">
        <f>IFERROR(__xludf.DUMMYFUNCTION("GOOGLETRANSLATE(A:A, ""en"", ""te"")"),"బ్లాక్బర్న్ B-54")</f>
        <v>బ్లాక్బర్న్ B-54</v>
      </c>
      <c r="C157" s="1" t="s">
        <v>2528</v>
      </c>
      <c r="D157" s="1" t="str">
        <f>IFERROR(__xludf.DUMMYFUNCTION("GOOGLETRANSLATE(C:C, ""en"", ""te"")"),"బ్లాక్బర్న్ B-54 మరియు B-88 రాయల్ నేవీ యొక్క ఫ్లీట్ ఎయిర్ ఆర్మ్ (FAA) కోసం అభివృద్ధి చెందిన ప్రపంచ యుద్ధానంతర ప్రపంచ యుద్ధ యుగం యొక్క ప్రోటోటైప్ క్యారియర్-బార్న్ యాంటీ-సబ్‌మెరైన్ వార్ఫేర్ విమానం. వారు సాంప్రదాయిక మోనోప్లేన్ డిజైన్‌ను మిడ్-మౌంటెడ్ విలోమ-గల"&amp;"్ వింగ్ మరియు ట్రైసైకిల్ అండర్ క్యారేజీతో పంచుకున్నారు. పైలట్ మరియు పరిశీలకుడు ఫ్యూజ్‌లేజ్ పైన పొడవైన పందిరి కింద కూర్చున్నారు. B-54 లో పిస్టన్ ఇంజిన్ ఉండగా, B-88 లో గ్యాస్ టర్బైన్ పెద్ద కాంట్రా-రొటేటింగ్ ప్రొపెల్లర్లను నడుపుతుంది. రాడార్ స్కానర్ వెనుక ఫ్"&amp;"యూజ్‌లేజ్‌లోని ముడుచుకునే రాడోమ్‌లో, పొడవైన అంతర్గత ఆయుధాల బే వెనుక అమర్చబడింది. ఈ కార్యక్రమం ఫైరీ గన్నెట్ విమానానికి అనుకూలంగా రద్దు చేయబడింది. B-54, లేదా Y.A.5, బ్లాక్బర్న్ విమానం ద్వారా అధునాతన క్యారియర్-బర్న్ యాంటీ-సబ్‌మైరిన్ యాంటీ విమానాల కోసం ""G.R."&amp;"17/45"" స్పెసిఫికేషన్‌ను తీర్చడానికి రూపొందించబడింది. ప్రత్యర్థులు ఫెయిరీ వారి ఫైరీ 17 ను అదే స్పెసిఫికేషన్‌కు రూపొందించారు, ఇది చివరికి గెలిచిన డిజైన్ ది ఫైరీ గానెట్‌గా అభివృద్ధి చెందుతుంది. అసలు Y.A.5 కొత్త నేపియర్ కపుల్డ్ NAIAD టర్బోప్రాప్ ఇంజిన్‌ను తీ"&amp;"సుకోవడానికి రూపొందించబడింది, ఇందులో రెండు సింగిల్ NAIAD లు ఒక సాధారణ గేర్‌బాక్స్ ద్వారా కాంట్రా-రొటేటింగ్ ప్రొపెల్లర్‌లను నడుపుతున్నాయి. ఈ ఇంజిన్ చివరికి రద్దు చేయబడింది, కాబట్టి Y.A.5 Y.A.7 గా ఎగిరింది, రోల్స్ రాయిస్ గ్రిఫ్ఫోన్ 56 పిస్టన్ ఇంజిన్ డ్రైవింగ"&amp;"్ కాంట్రా-రొటేటింగ్ ప్రొపెల్లర్లను డ్రైవింగ్ చేసింది. ఈ విమానం 20 సెప్టెంబర్ 1949 న తన తొలి విమానంలో పోటీ పడే ఫైరీ డిజైన్ కంటే ముందుంది. 1950 లో, అడ్మిరల్టీ రాడార్ మరియు రాడార్ ఆపరేటర్ యొక్క అవసరాన్ని స్పెసిఫికేషన్‌కు జోడించింది. Y.A.7 ను Y.A.8 లోకి మరింత"&amp;" మెరుగుపరచారు, మొదట 3 మే 1950 న ఎగురుతూ, నిర్వహణను మెరుగుపరచడానికి ఏరోడైనమిక్ శుద్ధీకరణలు మరియు మూడవ సిబ్బంది స్థానం. Y.A.8 డిజైన్ B-88 Y.B.1 కు ప్రాతిపదికగా ఉపయోగించబడింది, ఇది మొదట 19 జూలై 1950 న ప్రయాణించింది. B-88 లో ఆర్మ్‌స్ట్రాంగ్ సిడ్లీ డబుల్ మాంబా"&amp;" ఇంజిన్‌ను కలిగి ఉంది, ఇది అసలు NAIAD కి డిజైన్‌లో ఉంటుంది, ఇది Y.A. 5. ఈ రూపకల్పన యొక్క అభివృద్ధి దీర్ఘకాలికంగా ఉంది మరియు FAA ఆశాజనక ఫైరీ గానెట్‌కు అనుకూలంగా ఆసక్తిని కోల్పోయింది, ఇది అప్పటికే డబుల్ మాంబాతో ఎగిరింది మరియు ల్యాండింగ్ ట్రయల్స్ నిర్వహించిం"&amp;"ది మరియు ఇది అసలు స్పెసిఫికేషన్‌ను నెరవేర్చిన కార్యాచరణ సేవలోకి ప్రవేశించింది. B-54 / B-88 ఒక సాధారణ ఎయిర్‌ఫ్రేమ్‌ను పంచుకుంది. ఇది మిడ్-మౌంటెడ్, విలోమ-గల్ వింగ్ మరియు గణనీయమైన డైహెడ్రాల్‌తో మిడ్-మౌంటెడ్ క్షితిజ సమాంతర టెయిల్‌ప్లేన్‌తో పెద్ద, సింగిల్-ప్రొ"&amp;"పెల్లర్ సాంప్రదాయ మోనోప్లేన్. ఫైరీ గానెట్ మాదిరిగా కాకుండా, ఇది ఒక సాధారణ వింగ్ మడత యంత్రాంగాన్ని కలిగి ఉంది, ఇది గుల్-వింగ్ కోణంలో ఒకసారి విడిపోతుంది. లోతైన ఫ్యూజ్‌లేజ్ ఇంజిన్ (ల) కు వసతి కల్పించింది, మరియు పెద్ద ఆయుధాల బే మరియు ఇద్దరు సిబ్బంది ఒకే పందిర"&amp;"ి కింద కలిసి కూర్చున్నారు (గానెట్‌లోని మూడవ సిబ్బంది బ్లాక్బర్న్ డిజైన్‌ను రద్దు చేసిన తరువాత పేర్కొనబడింది). అండర్ క్యారేజ్ ఒక ట్రైసైకిల్ రకం మరియు రాడార్ స్కానర్‌ను వెనుక ఫ్యూజ్‌లేజ్‌లో ముడుచుకునే గోపురంలో తీసుకువెళ్లారు, ఇది ఫెయిరీ గానెట్‌లో వలె ఉంటుంద"&amp;"ి. నేపియర్ NAIAD ప్రోగ్రామ్ రద్దు చేసిన తరువాత, ప్రోటోటైప్ తక్షణమే అందుబాటులో ఉన్న రోల్స్ రాయిస్ గ్రిఫ్ఫోన్ 56 ఇంజిన్‌తో అమర్చబడింది, 2,000 హెచ్‌పి (1,491 కిలోవాట్) ను 13 అడుగుల (4 మీ), ఆరు-బ్లేడ్ (రెండు మూడు-బ్లేడెడ్ ప్రొపెల్లర్లు) కు పంపిణీ చేసింది. కాం"&amp;"ట్రా రొటేటింగ్ ప్రొపెల్లర్ మెకానిజం. B-88 లో, ఒక ఇంజిన్ ప్లాంట్ ఆర్మ్‌స్ట్రాంగ్ సిడ్లీ మాంబా గ్యాస్ టర్బైన్, డబుల్ మాంబా-""ట్విన్ మాంబా"" అని కూడా పిలుస్తారు-రెండు నాలుగు-బ్లేడ్ కాంట్రా-రొటేటింగ్ ప్రొపెల్లర్లను ఒక సాధారణ గేర్‌బాక్స్ ద్వారా నడుపుతుంది. B-8"&amp;"8 లో ఉపయోగించిన ASMD.1 ఇంజిన్ 2,950 HP (2,200 kW) గా రేట్ చేయబడింది. 1909 నుండి బ్లాక్బర్న్ విమానం నుండి వచ్చిన డేటా [1] సాధారణ లక్షణాలు పనితీరు ఆయుధాలు, కాన్ఫిగరేషన్ మరియు ERA సంబంధిత జాబితాల ఆయుధ విమానం")</f>
        <v>బ్లాక్బర్న్ B-54 మరియు B-88 రాయల్ నేవీ యొక్క ఫ్లీట్ ఎయిర్ ఆర్మ్ (FAA) కోసం అభివృద్ధి చెందిన ప్రపంచ యుద్ధానంతర ప్రపంచ యుద్ధ యుగం యొక్క ప్రోటోటైప్ క్యారియర్-బార్న్ యాంటీ-సబ్‌మెరైన్ వార్ఫేర్ విమానం. వారు సాంప్రదాయిక మోనోప్లేన్ డిజైన్‌ను మిడ్-మౌంటెడ్ విలోమ-గల్ వింగ్ మరియు ట్రైసైకిల్ అండర్ క్యారేజీతో పంచుకున్నారు. పైలట్ మరియు పరిశీలకుడు ఫ్యూజ్‌లేజ్ పైన పొడవైన పందిరి కింద కూర్చున్నారు. B-54 లో పిస్టన్ ఇంజిన్ ఉండగా, B-88 లో గ్యాస్ టర్బైన్ పెద్ద కాంట్రా-రొటేటింగ్ ప్రొపెల్లర్లను నడుపుతుంది. రాడార్ స్కానర్ వెనుక ఫ్యూజ్‌లేజ్‌లోని ముడుచుకునే రాడోమ్‌లో, పొడవైన అంతర్గత ఆయుధాల బే వెనుక అమర్చబడింది. ఈ కార్యక్రమం ఫైరీ గన్నెట్ విమానానికి అనుకూలంగా రద్దు చేయబడింది. B-54, లేదా Y.A.5, బ్లాక్బర్న్ విమానం ద్వారా అధునాతన క్యారియర్-బర్న్ యాంటీ-సబ్‌మైరిన్ యాంటీ విమానాల కోసం "G.R.17/45" స్పెసిఫికేషన్‌ను తీర్చడానికి రూపొందించబడింది. ప్రత్యర్థులు ఫెయిరీ వారి ఫైరీ 17 ను అదే స్పెసిఫికేషన్‌కు రూపొందించారు, ఇది చివరికి గెలిచిన డిజైన్ ది ఫైరీ గానెట్‌గా అభివృద్ధి చెందుతుంది. అసలు Y.A.5 కొత్త నేపియర్ కపుల్డ్ NAIAD టర్బోప్రాప్ ఇంజిన్‌ను తీసుకోవడానికి రూపొందించబడింది, ఇందులో రెండు సింగిల్ NAIAD లు ఒక సాధారణ గేర్‌బాక్స్ ద్వారా కాంట్రా-రొటేటింగ్ ప్రొపెల్లర్‌లను నడుపుతున్నాయి. ఈ ఇంజిన్ చివరికి రద్దు చేయబడింది, కాబట్టి Y.A.5 Y.A.7 గా ఎగిరింది, రోల్స్ రాయిస్ గ్రిఫ్ఫోన్ 56 పిస్టన్ ఇంజిన్ డ్రైవింగ్ కాంట్రా-రొటేటింగ్ ప్రొపెల్లర్లను డ్రైవింగ్ చేసింది. ఈ విమానం 20 సెప్టెంబర్ 1949 న తన తొలి విమానంలో పోటీ పడే ఫైరీ డిజైన్ కంటే ముందుంది. 1950 లో, అడ్మిరల్టీ రాడార్ మరియు రాడార్ ఆపరేటర్ యొక్క అవసరాన్ని స్పెసిఫికేషన్‌కు జోడించింది. Y.A.7 ను Y.A.8 లోకి మరింత మెరుగుపరచారు, మొదట 3 మే 1950 న ఎగురుతూ, నిర్వహణను మెరుగుపరచడానికి ఏరోడైనమిక్ శుద్ధీకరణలు మరియు మూడవ సిబ్బంది స్థానం. Y.A.8 డిజైన్ B-88 Y.B.1 కు ప్రాతిపదికగా ఉపయోగించబడింది, ఇది మొదట 19 జూలై 1950 న ప్రయాణించింది. B-88 లో ఆర్మ్‌స్ట్రాంగ్ సిడ్లీ డబుల్ మాంబా ఇంజిన్‌ను కలిగి ఉంది, ఇది అసలు NAIAD కి డిజైన్‌లో ఉంటుంది, ఇది Y.A. 5. ఈ రూపకల్పన యొక్క అభివృద్ధి దీర్ఘకాలికంగా ఉంది మరియు FAA ఆశాజనక ఫైరీ గానెట్‌కు అనుకూలంగా ఆసక్తిని కోల్పోయింది, ఇది అప్పటికే డబుల్ మాంబాతో ఎగిరింది మరియు ల్యాండింగ్ ట్రయల్స్ నిర్వహించింది మరియు ఇది అసలు స్పెసిఫికేషన్‌ను నెరవేర్చిన కార్యాచరణ సేవలోకి ప్రవేశించింది. B-54 / B-88 ఒక సాధారణ ఎయిర్‌ఫ్రేమ్‌ను పంచుకుంది. ఇది మిడ్-మౌంటెడ్, విలోమ-గల్ వింగ్ మరియు గణనీయమైన డైహెడ్రాల్‌తో మిడ్-మౌంటెడ్ క్షితిజ సమాంతర టెయిల్‌ప్లేన్‌తో పెద్ద, సింగిల్-ప్రొపెల్లర్ సాంప్రదాయ మోనోప్లేన్. ఫైరీ గానెట్ మాదిరిగా కాకుండా, ఇది ఒక సాధారణ వింగ్ మడత యంత్రాంగాన్ని కలిగి ఉంది, ఇది గుల్-వింగ్ కోణంలో ఒకసారి విడిపోతుంది. లోతైన ఫ్యూజ్‌లేజ్ ఇంజిన్ (ల) కు వసతి కల్పించింది, మరియు పెద్ద ఆయుధాల బే మరియు ఇద్దరు సిబ్బంది ఒకే పందిరి కింద కలిసి కూర్చున్నారు (గానెట్‌లోని మూడవ సిబ్బంది బ్లాక్బర్న్ డిజైన్‌ను రద్దు చేసిన తరువాత పేర్కొనబడింది). అండర్ క్యారేజ్ ఒక ట్రైసైకిల్ రకం మరియు రాడార్ స్కానర్‌ను వెనుక ఫ్యూజ్‌లేజ్‌లో ముడుచుకునే గోపురంలో తీసుకువెళ్లారు, ఇది ఫెయిరీ గానెట్‌లో వలె ఉంటుంది. నేపియర్ NAIAD ప్రోగ్రామ్ రద్దు చేసిన తరువాత, ప్రోటోటైప్ తక్షణమే అందుబాటులో ఉన్న రోల్స్ రాయిస్ గ్రిఫ్ఫోన్ 56 ఇంజిన్‌తో అమర్చబడింది, 2,000 హెచ్‌పి (1,491 కిలోవాట్) ను 13 అడుగుల (4 మీ), ఆరు-బ్లేడ్ (రెండు మూడు-బ్లేడెడ్ ప్రొపెల్లర్లు) కు పంపిణీ చేసింది. కాంట్రా రొటేటింగ్ ప్రొపెల్లర్ మెకానిజం. B-88 లో, ఒక ఇంజిన్ ప్లాంట్ ఆర్మ్‌స్ట్రాంగ్ సిడ్లీ మాంబా గ్యాస్ టర్బైన్, డబుల్ మాంబా-"ట్విన్ మాంబా" అని కూడా పిలుస్తారు-రెండు నాలుగు-బ్లేడ్ కాంట్రా-రొటేటింగ్ ప్రొపెల్లర్లను ఒక సాధారణ గేర్‌బాక్స్ ద్వారా నడుపుతుంది. B-88 లో ఉపయోగించిన ASMD.1 ఇంజిన్ 2,950 HP (2,200 kW) గా రేట్ చేయబడింది. 1909 నుండి బ్లాక్బర్న్ విమానం నుండి వచ్చిన డేటా [1] సాధారణ లక్షణాలు పనితీరు ఆయుధాలు, కాన్ఫిగరేషన్ మరియు ERA సంబంధిత జాబితాల ఆయుధ విమానం</v>
      </c>
      <c r="E157" s="1" t="s">
        <v>2529</v>
      </c>
      <c r="F157" s="1" t="s">
        <v>2530</v>
      </c>
      <c r="G157" s="1" t="str">
        <f>IFERROR(__xludf.DUMMYFUNCTION("GOOGLETRANSLATE(F:F, ""en"", ""te"")"),"యాంటీ-సబ్‌మైరైన్ వార్ఫేర్ విమానం")</f>
        <v>యాంటీ-సబ్‌మైరైన్ వార్ఫేర్ విమానం</v>
      </c>
      <c r="H157" s="1" t="s">
        <v>2531</v>
      </c>
      <c r="L157" s="1" t="s">
        <v>2335</v>
      </c>
      <c r="M157" s="1" t="str">
        <f>IFERROR(__xludf.DUMMYFUNCTION("GOOGLETRANSLATE(L:L, ""en"", ""te"")"),"బ్లాక్బర్న్ విమానం")</f>
        <v>బ్లాక్బర్న్ విమానం</v>
      </c>
      <c r="N157" s="1" t="s">
        <v>2336</v>
      </c>
      <c r="Q157" s="1">
        <v>3.0</v>
      </c>
      <c r="S157" s="1">
        <v>3.0</v>
      </c>
      <c r="U157" s="1" t="s">
        <v>2532</v>
      </c>
      <c r="V157" s="1" t="s">
        <v>2440</v>
      </c>
      <c r="Y157" s="1" t="s">
        <v>2533</v>
      </c>
      <c r="AA157" s="1" t="s">
        <v>2534</v>
      </c>
      <c r="AB157" s="1" t="s">
        <v>2535</v>
      </c>
      <c r="AJ157" s="5">
        <v>18161.0</v>
      </c>
      <c r="AM157" s="1" t="s">
        <v>2536</v>
      </c>
      <c r="AP157" s="1" t="s">
        <v>2537</v>
      </c>
      <c r="BH157" s="1" t="s">
        <v>2373</v>
      </c>
      <c r="BI157" s="1" t="s">
        <v>2374</v>
      </c>
    </row>
    <row r="158">
      <c r="A158" s="1" t="s">
        <v>2538</v>
      </c>
      <c r="B158" s="1" t="str">
        <f>IFERROR(__xludf.DUMMYFUNCTION("GOOGLETRANSLATE(A:A, ""en"", ""te"")"),"బ్లాక్బర్న్ మొదటి మోనోప్లేన్")</f>
        <v>బ్లాక్బర్న్ మొదటి మోనోప్లేన్</v>
      </c>
      <c r="C158" s="1" t="s">
        <v>2539</v>
      </c>
      <c r="D158" s="1" t="str">
        <f>IFERROR(__xludf.DUMMYFUNCTION("GOOGLETRANSLATE(C:C, ""en"", ""te"")"),"బ్లాక్బర్న్ ఫస్ట్ మోనోప్లేన్ (మోనోప్లేన్ నం 1 అని కూడా పిలుస్తారు) 1909 లో రాబర్ట్ బ్లాక్బర్న్ నిర్మించిన ఒక బ్రిటిష్ ప్రయోగాత్మక విమానం. మొదటి మోనోప్లేన్ మూడు చక్రాల వేదికపై ఉన్న ఇంజిన్ మరియు పైలట్ సీటుతో అధిక-వింగ్ మోనోప్లేన్. వింగ్ నుండి విస్తరించి ఉన్"&amp;"న వెలికితీసిన విజృంభణపై ఒక క్రూసిఫాం తోకను తీసుకువెళ్లారు. 8 అడుగుల 6 ఇన్ (2.59 మీ) ప్రొపెల్లర్ రెక్క యొక్క ప్రముఖ అంచుకి దిగువన అమర్చబడి, గొలుసుతో క్రింద 35 హెచ్‌పి (26 కిలోవాట్) గ్రీన్ ఇంజిన్‌కు నడపబడుతుంది. పారిస్‌లో బస చేసేటప్పుడు రూపకల్పన చేయబడిన, లీ"&amp;"డ్స్‌లో థామస్ గ్రీన్ &amp; సన్స్ ఇంజనీరింగ్ వర్క్స్‌లో నిర్మాణం ప్రారంభమైంది, ఇక్కడ బ్లాక్‌బర్న్ తండ్రి జనరల్ మేనేజర్ మరియు తరువాత ఒక చిన్న బట్టల కర్మాగారంలో వర్క్‌షాప్ స్థలానికి మార్చబడింది. పూర్తయినప్పుడు, ఇది ఏప్రిల్ 1909 నుండి పరీక్ష కోసం సాల్ట్‌బర్న్ మరి"&amp;"యు మార్స్కే మధ్య బీచ్‌కు రవాణా చేయబడింది. అదే సంవత్సరంలో, అప్పుడప్పుడు హాప్‌తో టాక్సీ చేయడం మాత్రమే ట్రయల్స్ మాత్రమే చేశారు. ఏకైక ఫ్లైట్ - 24 మే 1910 న - ఒక నిమిషం పాటు కొనసాగింది, మరియు క్రాష్‌లో ముగిసింది, దీనిలో విమానం మరమ్మత్తుకు మించి దెబ్బతింది. బ్ల"&amp;"ాక్‌బర్న్ తరువాత ఈ సంఘటనను గుర్తుచేసుకున్నాడు: ఇసుక వెంట రేసింగ్ చేసిన తరువాత, డిజ్జి స్పీడ్ అనిపించింది, యంత్రం ఖచ్చితంగా బయలుదేరి, ఆపై నేరుగా మరియు తక్కువ గురుత్వాకర్షణ కేంద్రం నుండి వైదొలగడం వల్ల వరుస చలనం ప్రారంభించింది. .. నేను బహుశా ఒక నిమిషం మాత్రమ"&amp;"ే గాలిలో ఉన్నాను, కాని చివరికి నేను నన్ను ఒకచోట లాగి శిధిలాలను చూసినప్పుడు యుగాలుగా అనిపించింది. ఈ విధంగా విమానంలో నా మొదటి ప్రయత్నం, గాయాలు మరియు కోతలు తప్ప వ్యక్తిగత గాయాలు లేకుండా, కానీ నెలల శ్రమతో కూడిన పని యొక్క మొత్తం శిధిలాలతో. [1] ఏకైక విమానం నాశన"&amp;"ం చేయబడింది, కాని విమానం యొక్క ప్రతిరూపం బ్రో హెరిటేజ్ సభ్యులు నిర్మించారు సమూహం [2] మరియు బ్రో హెరిటేజ్ సెంటర్‌లో ప్రదర్శించబడుతుంది. 1909 నుండి బ్లాక్బర్న్ విమానం నుండి డేటా [3] సాధారణ లక్షణాల పనితీరు")</f>
        <v>బ్లాక్బర్న్ ఫస్ట్ మోనోప్లేన్ (మోనోప్లేన్ నం 1 అని కూడా పిలుస్తారు) 1909 లో రాబర్ట్ బ్లాక్బర్న్ నిర్మించిన ఒక బ్రిటిష్ ప్రయోగాత్మక విమానం. మొదటి మోనోప్లేన్ మూడు చక్రాల వేదికపై ఉన్న ఇంజిన్ మరియు పైలట్ సీటుతో అధిక-వింగ్ మోనోప్లేన్. వింగ్ నుండి విస్తరించి ఉన్న వెలికితీసిన విజృంభణపై ఒక క్రూసిఫాం తోకను తీసుకువెళ్లారు. 8 అడుగుల 6 ఇన్ (2.59 మీ) ప్రొపెల్లర్ రెక్క యొక్క ప్రముఖ అంచుకి దిగువన అమర్చబడి, గొలుసుతో క్రింద 35 హెచ్‌పి (26 కిలోవాట్) గ్రీన్ ఇంజిన్‌కు నడపబడుతుంది. పారిస్‌లో బస చేసేటప్పుడు రూపకల్పన చేయబడిన, లీడ్స్‌లో థామస్ గ్రీన్ &amp; సన్స్ ఇంజనీరింగ్ వర్క్స్‌లో నిర్మాణం ప్రారంభమైంది, ఇక్కడ బ్లాక్‌బర్న్ తండ్రి జనరల్ మేనేజర్ మరియు తరువాత ఒక చిన్న బట్టల కర్మాగారంలో వర్క్‌షాప్ స్థలానికి మార్చబడింది. పూర్తయినప్పుడు, ఇది ఏప్రిల్ 1909 నుండి పరీక్ష కోసం సాల్ట్‌బర్న్ మరియు మార్స్కే మధ్య బీచ్‌కు రవాణా చేయబడింది. అదే సంవత్సరంలో, అప్పుడప్పుడు హాప్‌తో టాక్సీ చేయడం మాత్రమే ట్రయల్స్ మాత్రమే చేశారు. ఏకైక ఫ్లైట్ - 24 మే 1910 న - ఒక నిమిషం పాటు కొనసాగింది, మరియు క్రాష్‌లో ముగిసింది, దీనిలో విమానం మరమ్మత్తుకు మించి దెబ్బతింది. బ్లాక్‌బర్న్ తరువాత ఈ సంఘటనను గుర్తుచేసుకున్నాడు: ఇసుక వెంట రేసింగ్ చేసిన తరువాత, డిజ్జి స్పీడ్ అనిపించింది, యంత్రం ఖచ్చితంగా బయలుదేరి, ఆపై నేరుగా మరియు తక్కువ గురుత్వాకర్షణ కేంద్రం నుండి వైదొలగడం వల్ల వరుస చలనం ప్రారంభించింది. .. నేను బహుశా ఒక నిమిషం మాత్రమే గాలిలో ఉన్నాను, కాని చివరికి నేను నన్ను ఒకచోట లాగి శిధిలాలను చూసినప్పుడు యుగాలుగా అనిపించింది. ఈ విధంగా విమానంలో నా మొదటి ప్రయత్నం, గాయాలు మరియు కోతలు తప్ప వ్యక్తిగత గాయాలు లేకుండా, కానీ నెలల శ్రమతో కూడిన పని యొక్క మొత్తం శిధిలాలతో. [1] ఏకైక విమానం నాశనం చేయబడింది, కాని విమానం యొక్క ప్రతిరూపం బ్రో హెరిటేజ్ సభ్యులు నిర్మించారు సమూహం [2] మరియు బ్రో హెరిటేజ్ సెంటర్‌లో ప్రదర్శించబడుతుంది. 1909 నుండి బ్లాక్బర్న్ విమానం నుండి డేటా [3] సాధారణ లక్షణాల పనితీరు</v>
      </c>
      <c r="E158" s="1" t="s">
        <v>2540</v>
      </c>
      <c r="F158" s="1" t="s">
        <v>430</v>
      </c>
      <c r="G158" s="1" t="str">
        <f>IFERROR(__xludf.DUMMYFUNCTION("GOOGLETRANSLATE(F:F, ""en"", ""te"")"),"ప్రయోగాత్మక విమానం")</f>
        <v>ప్రయోగాత్మక విమానం</v>
      </c>
      <c r="L158" s="1" t="s">
        <v>2386</v>
      </c>
      <c r="M158" s="1" t="str">
        <f>IFERROR(__xludf.DUMMYFUNCTION("GOOGLETRANSLATE(L:L, ""en"", ""te"")"),"రాబర్ట్ బ్లాక్బర్న్")</f>
        <v>రాబర్ట్ బ్లాక్బర్న్</v>
      </c>
      <c r="N158" s="1" t="s">
        <v>2387</v>
      </c>
      <c r="S158" s="1">
        <v>1.0</v>
      </c>
      <c r="U158" s="1" t="s">
        <v>360</v>
      </c>
      <c r="V158" s="1" t="s">
        <v>2541</v>
      </c>
      <c r="W158" s="1" t="s">
        <v>1865</v>
      </c>
      <c r="Y158" s="1" t="s">
        <v>729</v>
      </c>
      <c r="AA158" s="1" t="s">
        <v>2542</v>
      </c>
      <c r="AB158" s="1" t="s">
        <v>366</v>
      </c>
      <c r="AH158" s="1" t="s">
        <v>2386</v>
      </c>
      <c r="AI158" s="1" t="s">
        <v>2387</v>
      </c>
      <c r="AJ158" s="5">
        <v>3432.0</v>
      </c>
      <c r="AL158" s="1">
        <v>1.0</v>
      </c>
      <c r="AM158" s="1" t="s">
        <v>2543</v>
      </c>
      <c r="AP158" s="1" t="s">
        <v>2544</v>
      </c>
      <c r="CG158" s="1" t="s">
        <v>2545</v>
      </c>
    </row>
    <row r="159">
      <c r="A159" s="1" t="s">
        <v>2389</v>
      </c>
      <c r="B159" s="1" t="str">
        <f>IFERROR(__xludf.DUMMYFUNCTION("GOOGLETRANSLATE(A:A, ""en"", ""te"")"),"బ్లాక్బర్న్ రెండవ మోనోప్లేన్")</f>
        <v>బ్లాక్బర్న్ రెండవ మోనోప్లేన్</v>
      </c>
      <c r="C159" s="1" t="s">
        <v>2546</v>
      </c>
      <c r="D159" s="1" t="str">
        <f>IFERROR(__xludf.DUMMYFUNCTION("GOOGLETRANSLATE(C:C, ""en"", ""te"")"),"బ్లాక్బర్న్ రెండవ మోనోప్లేన్ ఫ్రెంచ్ ఆంటోనిట్టే చేత బలంగా ప్రభావితమైంది మరియు రాబర్ట్ బ్లాక్బర్న్ యొక్క మొదటి విమానం కంటే చాలా విజయవంతమైంది. లోన్ విమానం 1910 లో UK లోని లీడ్స్లో నిర్మించబడింది. మొదటి మోనోప్లేన్ విజయవంతం కాలేదు, క్రాష్ అయ్యే ముందు భూమిని వ"&amp;"ిడిచిపెట్టలేదు. అతని రెండవ యంత్రం, [1] రెండవ మోనోప్లేన్ చాలా భిన్నంగా ఉంది మరియు ఫ్రాన్స్‌లో బ్లాక్‌బర్న్ చూసిన లియోన్ లెవావాస్సీర్ యొక్క ఆంటోనెట్ డిజైన్‌ను పోలి ఉంది. మోనోప్లేన్ వింగ్ స్థిరమైన తీగ, ముఖ్యమైన డైహెడ్రల్ మరియు చదరపు చిట్కాలతో దీర్ఘచతురస్రాకా"&amp;"రంగా ఉంది మరియు ఆ సమయంలో ఎప్పటిలాగే అండర్ సైడ్ మీద సన్నని ఏరోఫాయిల్ విభాగం ఉంది. వింగ్ వార్పింగ్ ద్వారా పార్శ్వ నియంత్రణ. రెక్కలు ఫ్యూజ్‌లేజ్ గుండా వెళుతున్న కింగ్‌పోస్ట్ ద్వారా వైర్ బ్రేస్ చేయబడ్డాయి, పైన మరియు క్రింద రెండింటినీ విస్తరించింది. ఫ్యూజ్‌లేజ"&amp;"్, రెక్కల మాదిరిగా, బట్టతో కప్పబడిన చెక్క నిర్మాణం, విభాగంలో త్రిభుజాకార మరియు తోక వైపు టేపింగ్. ఇది పొడవైన, చక్కగా టేపింగ్ ఫిన్ మరియు టెయిల్‌ప్లేన్‌తో కూడిన ఆంటోనిట్టే, చుక్కాని ఎలివేటర్ పైన మరియు క్రింద రెండు త్రిభుజాకార విభాగాలుగా విభజించబడింది, ఇది కద"&amp;"లడానికి క్లియరెన్స్ ఇస్తుంది. [1] పైలట్ యొక్క సీటు రెక్క యొక్క వెనుకంజలో ఉంది, మరియు బ్లాక్బర్న్ యొక్క ""ట్రిపుల్ స్టీరింగ్ కాలమ్"" ను కలిగి ఉంది, ఇది ఎలివేటర్ నియంత్రణ కోసం పైకి క్రిందికి కదిలింది, పక్క నుండి పక్క నుండి రెక్కలను వార్ప్ చేయడానికి మరియు రడ"&amp;"్డర్లను తరలించడానికి తిప్పారు. ఈ వ్యవస్థ మొదటి మోనోప్లేన్‌లో ఉపయోగించబడింది. అండర్ క్యారేజ్ మెయిన్ ఇరుసును కింగ్‌పోస్ట్ యొక్క దిగువ చివరలో చక్రాలతో ఇరువైపులా తీసుకువెళ్లారు మరియు బూడిద ముందరి మరియు వెనుక స్కిడ్‌లను కలిగి ఉంది. అభివృద్ధి మరియు టాక్సీయింగ్ "&amp;"ట్రయల్స్ సమయంలో, అండర్ క్యారేజ్ సంతృప్తికరంగా భావించే ముందు ఈ నిర్మాణం బ్రేస్ చేయబడింది మరియు వివిధ మార్గాల్లో పుట్టుకొచ్చింది. [1] లీడ్స్ యొక్క హన్స్లెట్ ఇంజిన్ కో. యొక్క R.J.issacson రూపొందించిన ఏడు సిలిండర్ రేడియల్ అయిన కొత్త అన్‌ట్రెడ్ ఇంజిన్ ఎంపిక ద్"&amp;"వారా ఫ్లయింగ్ ఆలస్యం అయింది. ఇది 2: 1 తగ్గింపు గేర్ ద్వారా చెక్క రెండు-బ్లేడ్ ప్రొపెల్లర్‌ను నడిపించింది. [1] నియంత్రణల వద్ద బి.సి.హక్స్‌తో ఇసుకపై పరీక్షించడానికి ఈ విమానం ఇంగ్లీష్ ఈస్ట్ తీరంలో దాఖలు చేయడానికి తీసుకువెళ్లారు. 8 మార్చి 1911 న, అనేక మైళ్ళ ద"&amp;"ూరం టాక్సీ చేసిన తరువాత, అతను మొదటి టేకాఫ్ చేశాడు. అతను కొద్దిసేపు 30 అడుగులు (10 మీ) మరియు 50 mph (80 కిమీ/గం) వద్ద విజయవంతంగా ప్రయాణించాడు, కాని అతను తన మొదటి మలుపును ప్రయత్నించినప్పుడు ఇసుకలోకి వచ్చాడు. [1] ఈ ప్రమాదం ఉన్నప్పటికీ, మరమ్మతు చేసిన తరువాత ర"&amp;"ెండవ మోనోప్లేన్ ఫైలీలో బోధనా విమానంగా మంచి సేవ చేసింది, బ్లాక్బర్న్ పేరు మరియు తరువాత యంత్రాలకు ప్రచారం తెస్తుంది. [1] జాక్సన్ నుండి డేటా 1968, పే. 59 జనరల్ లక్షణాల పనితీరు")</f>
        <v>బ్లాక్బర్న్ రెండవ మోనోప్లేన్ ఫ్రెంచ్ ఆంటోనిట్టే చేత బలంగా ప్రభావితమైంది మరియు రాబర్ట్ బ్లాక్బర్న్ యొక్క మొదటి విమానం కంటే చాలా విజయవంతమైంది. లోన్ విమానం 1910 లో UK లోని లీడ్స్లో నిర్మించబడింది. మొదటి మోనోప్లేన్ విజయవంతం కాలేదు, క్రాష్ అయ్యే ముందు భూమిని విడిచిపెట్టలేదు. అతని రెండవ యంత్రం, [1] రెండవ మోనోప్లేన్ చాలా భిన్నంగా ఉంది మరియు ఫ్రాన్స్‌లో బ్లాక్‌బర్న్ చూసిన లియోన్ లెవావాస్సీర్ యొక్క ఆంటోనెట్ డిజైన్‌ను పోలి ఉంది. మోనోప్లేన్ వింగ్ స్థిరమైన తీగ, ముఖ్యమైన డైహెడ్రల్ మరియు చదరపు చిట్కాలతో దీర్ఘచతురస్రాకారంగా ఉంది మరియు ఆ సమయంలో ఎప్పటిలాగే అండర్ సైడ్ మీద సన్నని ఏరోఫాయిల్ విభాగం ఉంది. వింగ్ వార్పింగ్ ద్వారా పార్శ్వ నియంత్రణ. రెక్కలు ఫ్యూజ్‌లేజ్ గుండా వెళుతున్న కింగ్‌పోస్ట్ ద్వారా వైర్ బ్రేస్ చేయబడ్డాయి, పైన మరియు క్రింద రెండింటినీ విస్తరించింది. ఫ్యూజ్‌లేజ్, రెక్కల మాదిరిగా, బట్టతో కప్పబడిన చెక్క నిర్మాణం, విభాగంలో త్రిభుజాకార మరియు తోక వైపు టేపింగ్. ఇది పొడవైన, చక్కగా టేపింగ్ ఫిన్ మరియు టెయిల్‌ప్లేన్‌తో కూడిన ఆంటోనిట్టే, చుక్కాని ఎలివేటర్ పైన మరియు క్రింద రెండు త్రిభుజాకార విభాగాలుగా విభజించబడింది, ఇది కదలడానికి క్లియరెన్స్ ఇస్తుంది. [1] పైలట్ యొక్క సీటు రెక్క యొక్క వెనుకంజలో ఉంది, మరియు బ్లాక్బర్న్ యొక్క "ట్రిపుల్ స్టీరింగ్ కాలమ్" ను కలిగి ఉంది, ఇది ఎలివేటర్ నియంత్రణ కోసం పైకి క్రిందికి కదిలింది, పక్క నుండి పక్క నుండి రెక్కలను వార్ప్ చేయడానికి మరియు రడ్డర్లను తరలించడానికి తిప్పారు. ఈ వ్యవస్థ మొదటి మోనోప్లేన్‌లో ఉపయోగించబడింది. అండర్ క్యారేజ్ మెయిన్ ఇరుసును కింగ్‌పోస్ట్ యొక్క దిగువ చివరలో చక్రాలతో ఇరువైపులా తీసుకువెళ్లారు మరియు బూడిద ముందరి మరియు వెనుక స్కిడ్‌లను కలిగి ఉంది. అభివృద్ధి మరియు టాక్సీయింగ్ ట్రయల్స్ సమయంలో, అండర్ క్యారేజ్ సంతృప్తికరంగా భావించే ముందు ఈ నిర్మాణం బ్రేస్ చేయబడింది మరియు వివిధ మార్గాల్లో పుట్టుకొచ్చింది. [1] లీడ్స్ యొక్క హన్స్లెట్ ఇంజిన్ కో. యొక్క R.J.issacson రూపొందించిన ఏడు సిలిండర్ రేడియల్ అయిన కొత్త అన్‌ట్రెడ్ ఇంజిన్ ఎంపిక ద్వారా ఫ్లయింగ్ ఆలస్యం అయింది. ఇది 2: 1 తగ్గింపు గేర్ ద్వారా చెక్క రెండు-బ్లేడ్ ప్రొపెల్లర్‌ను నడిపించింది. [1] నియంత్రణల వద్ద బి.సి.హక్స్‌తో ఇసుకపై పరీక్షించడానికి ఈ విమానం ఇంగ్లీష్ ఈస్ట్ తీరంలో దాఖలు చేయడానికి తీసుకువెళ్లారు. 8 మార్చి 1911 న, అనేక మైళ్ళ దూరం టాక్సీ చేసిన తరువాత, అతను మొదటి టేకాఫ్ చేశాడు. అతను కొద్దిసేపు 30 అడుగులు (10 మీ) మరియు 50 mph (80 కిమీ/గం) వద్ద విజయవంతంగా ప్రయాణించాడు, కాని అతను తన మొదటి మలుపును ప్రయత్నించినప్పుడు ఇసుకలోకి వచ్చాడు. [1] ఈ ప్రమాదం ఉన్నప్పటికీ, మరమ్మతు చేసిన తరువాత రెండవ మోనోప్లేన్ ఫైలీలో బోధనా విమానంగా మంచి సేవ చేసింది, బ్లాక్బర్న్ పేరు మరియు తరువాత యంత్రాలకు ప్రచారం తెస్తుంది. [1] జాక్సన్ నుండి డేటా 1968, పే. 59 జనరల్ లక్షణాల పనితీరు</v>
      </c>
      <c r="F159" s="1" t="s">
        <v>2547</v>
      </c>
      <c r="G159" s="1" t="str">
        <f>IFERROR(__xludf.DUMMYFUNCTION("GOOGLETRANSLATE(F:F, ""en"", ""te"")"),"ప్రయోగాత్మక")</f>
        <v>ప్రయోగాత్మక</v>
      </c>
      <c r="I159" s="1" t="s">
        <v>357</v>
      </c>
      <c r="J159" s="1" t="str">
        <f>IFERROR(__xludf.DUMMYFUNCTION("GOOGLETRANSLATE(I:I, ""en"", ""te"")"),"యునైటెడ్ కింగ్‌డమ్")</f>
        <v>యునైటెడ్ కింగ్‌డమ్</v>
      </c>
      <c r="L159" s="1" t="s">
        <v>2386</v>
      </c>
      <c r="M159" s="1" t="str">
        <f>IFERROR(__xludf.DUMMYFUNCTION("GOOGLETRANSLATE(L:L, ""en"", ""te"")"),"రాబర్ట్ బ్లాక్బర్న్")</f>
        <v>రాబర్ట్ బ్లాక్బర్న్</v>
      </c>
      <c r="Q159" s="1">
        <v>1.0</v>
      </c>
      <c r="S159" s="1" t="s">
        <v>133</v>
      </c>
      <c r="U159" s="1" t="s">
        <v>1701</v>
      </c>
      <c r="V159" s="1" t="s">
        <v>1578</v>
      </c>
      <c r="Y159" s="1" t="s">
        <v>2548</v>
      </c>
      <c r="AA159" s="1" t="s">
        <v>2549</v>
      </c>
      <c r="AH159" s="1" t="s">
        <v>2386</v>
      </c>
      <c r="AJ159" s="5">
        <v>4085.0</v>
      </c>
      <c r="AP159" s="1" t="s">
        <v>2550</v>
      </c>
    </row>
    <row r="160">
      <c r="A160" s="1" t="s">
        <v>2551</v>
      </c>
      <c r="B160" s="1" t="str">
        <f>IFERROR(__xludf.DUMMYFUNCTION("GOOGLETRANSLATE(A:A, ""en"", ""te"")"),"సోప్విత్ డ్రాగన్")</f>
        <v>సోప్విత్ డ్రాగన్</v>
      </c>
      <c r="C160" s="1" t="s">
        <v>2552</v>
      </c>
      <c r="D160" s="1" t="str">
        <f>IFERROR(__xludf.DUMMYFUNCTION("GOOGLETRANSLATE(C:C, ""en"", ""te"")"),"సోప్విత్ డ్రాగన్ ఒక బ్రిటిష్ సింగిల్-సీట్ ఫైటర్ బిప్‌లేన్, ఇది సోప్‌విత్ స్నిప్ నుండి అభివృద్ధి చేయబడింది. ఏప్రిల్ 1918 లో, ఆరవ స్నిప్ ప్రోటోటైప్‌ను 320 హెచ్‌పి (239 కిలోవాట్) ఎబిసి డ్రాగన్‌ఫ్లై ఐ రేడియల్ ఇంజిన్‌తో అమర్చారు. [1] [2] డ్రాగన్‌ఫ్లై యొక్క ఎక్"&amp;"కువ బరువును భర్తీ చేయడానికి, ఫ్యూజ్‌లేజ్ 22 లో (56 సెం.మీ) పొడవుగా ఉంది. [3] ప్రోటోటైప్ నిరంతర జ్వలన వ్యవస్థ లోపాలకు గురైంది, కాని డ్రాగన్‌ఫ్లై ఇంజిన్ సరిగ్గా పనిచేసినప్పుడు పనితీరు ప్రోత్సాహకరంగా ఉంది. [3] [4] జూన్ 1918 లో, రాయల్ వైమానిక దళం 30 డ్రాగన్‌ఫ"&amp;"్లై-ఇంజిన్ స్నిప్‌ల కోసం ఒక ఒప్పందం కుదుర్చుకుంది, తరువాత వీటికి డ్రాగన్స్ అని పేరు పెట్టారు. [3] [4] నవంబర్ 1918 చివరలో, RAF 300 స్నిప్‌ల కోసం ఉత్పత్తి క్రమాన్ని రద్దు చేసింది మరియు విమానం డ్రాగన్‌లుగా క్రమాన్ని చేసింది. [1] రెండవ నమూనాలో పెద్ద 360 హెచ్‌"&amp;"పి (268 కిలోవాట్) ఎబిసి డ్రాగన్‌ఫ్లై ఐఎ ఇంజిన్‌తో అమర్చారు. [1] ఈ విమానం ఫిబ్రవరి 1919 వరకు మార్టెల్షామ్ హీత్ వద్ద అధికారిక ప్రయత్నాలను ప్రారంభించలేదు. [4] ఇది సముద్ర మట్టంలో 150 mph (గంటకు 240 కిమీ) వేగంతో సాధించింది మరియు 25,000 అడుగుల సేవా పైకప్పును సా"&amp;"ధించింది. [1] సోప్‌విత్ సుమారు 200 డ్రాగన్ ఎయిర్‌ఫ్రేమ్‌లను నిర్మించాడు, వీటిని వారి ఇంజిన్ల నిల్వ పెండింగ్‌లో ఉంచారు. [1] డ్రాగన్‌ఫ్లీతో ఇబ్బందులు చివరికి పరిష్కరించడం అసాధ్యం అని నిరూపించబడ్డాయి. డ్రాగన్‌ఫ్లై ఇంజిన్‌లతో కొన్ని విమానాలు మాత్రమే పూర్తయ్యా"&amp;"యి మరియు స్క్వాడ్రన్‌లకు ఏదీ జారీ చేయబడలేదు. [1] డ్రాగన్ చివరకు ఏప్రిల్ 1923 లో వాడుకలో లేదని ప్రకటించారు. [5] మొదటి ప్రపంచ యుద్ధం యొక్క యుద్ధ విమానాల నుండి డేటా: వాల్యూమ్ త్రీ ఫైటర్స్ [6] సాధారణ లక్షణాలు పనితీరు ఆయుధ సంబంధిత అభివృద్ధి సంబంధిత జాబితాలు")</f>
        <v>సోప్విత్ డ్రాగన్ ఒక బ్రిటిష్ సింగిల్-సీట్ ఫైటర్ బిప్‌లేన్, ఇది సోప్‌విత్ స్నిప్ నుండి అభివృద్ధి చేయబడింది. ఏప్రిల్ 1918 లో, ఆరవ స్నిప్ ప్రోటోటైప్‌ను 320 హెచ్‌పి (239 కిలోవాట్) ఎబిసి డ్రాగన్‌ఫ్లై ఐ రేడియల్ ఇంజిన్‌తో అమర్చారు. [1] [2] డ్రాగన్‌ఫ్లై యొక్క ఎక్కువ బరువును భర్తీ చేయడానికి, ఫ్యూజ్‌లేజ్ 22 లో (56 సెం.మీ) పొడవుగా ఉంది. [3] ప్రోటోటైప్ నిరంతర జ్వలన వ్యవస్థ లోపాలకు గురైంది, కాని డ్రాగన్‌ఫ్లై ఇంజిన్ సరిగ్గా పనిచేసినప్పుడు పనితీరు ప్రోత్సాహకరంగా ఉంది. [3] [4] జూన్ 1918 లో, రాయల్ వైమానిక దళం 30 డ్రాగన్‌ఫ్లై-ఇంజిన్ స్నిప్‌ల కోసం ఒక ఒప్పందం కుదుర్చుకుంది, తరువాత వీటికి డ్రాగన్స్ అని పేరు పెట్టారు. [3] [4] నవంబర్ 1918 చివరలో, RAF 300 స్నిప్‌ల కోసం ఉత్పత్తి క్రమాన్ని రద్దు చేసింది మరియు విమానం డ్రాగన్‌లుగా క్రమాన్ని చేసింది. [1] రెండవ నమూనాలో పెద్ద 360 హెచ్‌పి (268 కిలోవాట్) ఎబిసి డ్రాగన్‌ఫ్లై ఐఎ ఇంజిన్‌తో అమర్చారు. [1] ఈ విమానం ఫిబ్రవరి 1919 వరకు మార్టెల్షామ్ హీత్ వద్ద అధికారిక ప్రయత్నాలను ప్రారంభించలేదు. [4] ఇది సముద్ర మట్టంలో 150 mph (గంటకు 240 కిమీ) వేగంతో సాధించింది మరియు 25,000 అడుగుల సేవా పైకప్పును సాధించింది. [1] సోప్‌విత్ సుమారు 200 డ్రాగన్ ఎయిర్‌ఫ్రేమ్‌లను నిర్మించాడు, వీటిని వారి ఇంజిన్ల నిల్వ పెండింగ్‌లో ఉంచారు. [1] డ్రాగన్‌ఫ్లీతో ఇబ్బందులు చివరికి పరిష్కరించడం అసాధ్యం అని నిరూపించబడ్డాయి. డ్రాగన్‌ఫ్లై ఇంజిన్‌లతో కొన్ని విమానాలు మాత్రమే పూర్తయ్యాయి మరియు స్క్వాడ్రన్‌లకు ఏదీ జారీ చేయబడలేదు. [1] డ్రాగన్ చివరకు ఏప్రిల్ 1923 లో వాడుకలో లేదని ప్రకటించారు. [5] మొదటి ప్రపంచ యుద్ధం యొక్క యుద్ధ విమానాల నుండి డేటా: వాల్యూమ్ త్రీ ఫైటర్స్ [6] సాధారణ లక్షణాలు పనితీరు ఆయుధ సంబంధిత అభివృద్ధి సంబంధిత జాబితాలు</v>
      </c>
      <c r="E160" s="1" t="s">
        <v>2553</v>
      </c>
      <c r="F160" s="1" t="s">
        <v>356</v>
      </c>
      <c r="G160" s="1" t="str">
        <f>IFERROR(__xludf.DUMMYFUNCTION("GOOGLETRANSLATE(F:F, ""en"", ""te"")"),"యుద్ధ")</f>
        <v>యుద్ధ</v>
      </c>
      <c r="H160" s="3" t="s">
        <v>1384</v>
      </c>
      <c r="L160" s="1" t="s">
        <v>2323</v>
      </c>
      <c r="M160" s="1" t="str">
        <f>IFERROR(__xludf.DUMMYFUNCTION("GOOGLETRANSLATE(L:L, ""en"", ""te"")"),"సోప్విత్ ఏవియేషన్ కంపెనీ")</f>
        <v>సోప్విత్ ఏవియేషన్ కంపెనీ</v>
      </c>
      <c r="N160" s="1" t="s">
        <v>2324</v>
      </c>
      <c r="Q160" s="1">
        <v>200.0</v>
      </c>
      <c r="S160" s="1">
        <v>1.0</v>
      </c>
      <c r="U160" s="1" t="s">
        <v>2554</v>
      </c>
      <c r="V160" s="1" t="s">
        <v>2555</v>
      </c>
      <c r="W160" s="1" t="s">
        <v>2556</v>
      </c>
      <c r="Y160" s="1" t="s">
        <v>2557</v>
      </c>
      <c r="AA160" s="1" t="s">
        <v>2558</v>
      </c>
      <c r="AJ160" s="1">
        <v>1918.0</v>
      </c>
      <c r="AM160" s="1" t="s">
        <v>2559</v>
      </c>
      <c r="AP160" s="1" t="s">
        <v>1924</v>
      </c>
      <c r="AR160" s="1" t="s">
        <v>2140</v>
      </c>
      <c r="AT160" s="1" t="s">
        <v>2560</v>
      </c>
      <c r="AU160" s="1" t="s">
        <v>2561</v>
      </c>
      <c r="BH160" s="1" t="s">
        <v>375</v>
      </c>
      <c r="BI160" s="1" t="s">
        <v>376</v>
      </c>
      <c r="CG160" s="3" t="s">
        <v>1393</v>
      </c>
    </row>
    <row r="161">
      <c r="A161" s="1" t="s">
        <v>2562</v>
      </c>
      <c r="B161" s="1" t="str">
        <f>IFERROR(__xludf.DUMMYFUNCTION("GOOGLETRANSLATE(A:A, ""en"", ""te"")"),"బ్లాక్బర్న్ బ్లాక్ బుర్డ్")</f>
        <v>బ్లాక్బర్న్ బ్లాక్ బుర్డ్</v>
      </c>
      <c r="C161" s="1" t="s">
        <v>2563</v>
      </c>
      <c r="D161" s="1" t="str">
        <f>IFERROR(__xludf.DUMMYFUNCTION("GOOGLETRANSLATE(C:C, ""en"", ""te"")"),"బ్లాక్బర్న్ బ్లాక్ బుర్డ్ అనేది బ్రిటిష్ ప్రోటోటైప్ సింగిల్-ఇంజిన్ టార్పెడో బాంబర్, ఇది 1918 లో బ్లాక్బర్న్ విమానం అభివృద్ధి చేసింది. ఇది విజయవంతం కాలేదు, మూడు మాత్రమే నిర్మించబడ్డాయి. జనవరి 1918 లో, అడ్మిరల్టీ స్పెసిఫికేషన్ N.1B ని జారీ చేసింది, సోప్విత్"&amp;" కోకిల టార్పెడో బాంబర్ స్థానంలో ఒక విమానం కోరింది. కోకిల విజయవంతం అయినప్పటికీ, ఇది 1,000 ఎల్బి (450 కిలోల) మార్క్ ఇక్స్ టార్పెడోను మాత్రమే మోయగలదు, ఇది పెద్ద సాయుధ యుద్ధనౌకలను మునిగిపోయేంత శక్తివంతమైనదని నమ్మలేదు. అందువల్ల ఈ స్పెసిఫికేషన్‌కు 1,436 ఎల్బి ("&amp;"647 కిలోల) మార్క్ VII టార్పెడోను మోయగల విమానం అవసరం, ఇది చాలా పెద్ద వార్‌హెడ్‌ను కలిగి ఉంది. [1] ప్రతిస్పందనగా, హారిస్ బూత్ బ్లాక్ బుర్డ్‌ను రూపొందించాడు, పెద్ద, మూడు-బే బైప్‌లేన్ అన్‌స్పెప్ట్, అన్‌స్టాగర్ రెక్కలు మరియు స్లాబ్-సైడెడ్ ఫ్యూజ్‌లేజ్‌తో. [2] బ"&amp;"్లాక్ బుర్డ్ యొక్క సాధారణ పంక్తులు వేగంగా ఉత్పత్తిని సులభతరం చేయడానికి రూపొందించబడ్డాయి, [2] మరియు ఓడ యొక్క హ్యాంగర్‌లో నిల్వను అనుమతించడానికి రెక్కలు వెనుకకు మడవగలిగాయి. [3] అసాధారణంగా, పైలట్ యొక్క కాక్‌పిట్ విమానం వెనుక భాగంలో ఉంది, విండ్‌స్క్రీన్ కంటే "&amp;"17 అడుగుల (5 మీ) ఫ్యూజ్‌లేజ్ ముందు ఉంది. టార్పెడోను వదిలివేయడానికి ముందే బ్లాక్‌బర్డ్ యొక్క అండర్ క్యారేజీని జెట్టిసన్ చేయవలసి వచ్చింది, దీనికి విమానం ఉక్కు స్కిడ్‌లపైకి రావడానికి అవసరం. [1] మొట్టమొదటి బ్లాక్‌బర్డ్ మే 1918 లో ప్రయాణించారు, మరియు షార్ట్ షి"&amp;"ర్ల్‌కు వ్యతిరేకంగా మూల్యాంకనం కోసం మార్టెల్షామ్ హీత్‌కు పంపబడింది. [1] ట్రయల్స్ పూర్తయ్యే ముందు మొదటి ప్రోటోటైప్ క్రాష్ కావడంతో బ్లాక్‌బర్డ్ అస్థిరంగా ఉన్నట్లు కనుగొనబడింది. రెండవ మరియు మూడవ విమానాలను విస్తరించిన చుక్కానితో అమర్చారు. బ్లాక్‌బర్డ్ షిర్ల్ "&amp;"కంటే హీనమైనదిగా పరిగణించబడింది మరియు అందువల్ల ఆదేశించబడలేదు. షిర్ల్ ఉత్పత్తి కోసం ఆర్డర్లు ఇచ్చినప్పటికీ, సోప్విత్ కోకిల కోసం మరిన్ని ఆర్డర్‌లకు అనుకూలంగా అవి వెంటనే రద్దు చేయబడ్డాయి. [1] 1914 నుండి బ్రిటిష్ బాంబర్ నుండి వచ్చిన డేటా [1] సాధారణ లక్షణాలు పన"&amp;"ితీరు ఆయుధాలు, కాన్ఫిగరేషన్ మరియు ERA యొక్క ఆయుధ విమానం")</f>
        <v>బ్లాక్బర్న్ బ్లాక్ బుర్డ్ అనేది బ్రిటిష్ ప్రోటోటైప్ సింగిల్-ఇంజిన్ టార్పెడో బాంబర్, ఇది 1918 లో బ్లాక్బర్న్ విమానం అభివృద్ధి చేసింది. ఇది విజయవంతం కాలేదు, మూడు మాత్రమే నిర్మించబడ్డాయి. జనవరి 1918 లో, అడ్మిరల్టీ స్పెసిఫికేషన్ N.1B ని జారీ చేసింది, సోప్విత్ కోకిల టార్పెడో బాంబర్ స్థానంలో ఒక విమానం కోరింది. కోకిల విజయవంతం అయినప్పటికీ, ఇది 1,000 ఎల్బి (450 కిలోల) మార్క్ ఇక్స్ టార్పెడోను మాత్రమే మోయగలదు, ఇది పెద్ద సాయుధ యుద్ధనౌకలను మునిగిపోయేంత శక్తివంతమైనదని నమ్మలేదు. అందువల్ల ఈ స్పెసిఫికేషన్‌కు 1,436 ఎల్బి (647 కిలోల) మార్క్ VII టార్పెడోను మోయగల విమానం అవసరం, ఇది చాలా పెద్ద వార్‌హెడ్‌ను కలిగి ఉంది. [1] ప్రతిస్పందనగా, హారిస్ బూత్ బ్లాక్ బుర్డ్‌ను రూపొందించాడు, పెద్ద, మూడు-బే బైప్‌లేన్ అన్‌స్పెప్ట్, అన్‌స్టాగర్ రెక్కలు మరియు స్లాబ్-సైడెడ్ ఫ్యూజ్‌లేజ్‌తో. [2] బ్లాక్ బుర్డ్ యొక్క సాధారణ పంక్తులు వేగంగా ఉత్పత్తిని సులభతరం చేయడానికి రూపొందించబడ్డాయి, [2] మరియు ఓడ యొక్క హ్యాంగర్‌లో నిల్వను అనుమతించడానికి రెక్కలు వెనుకకు మడవగలిగాయి. [3] అసాధారణంగా, పైలట్ యొక్క కాక్‌పిట్ విమానం వెనుక భాగంలో ఉంది, విండ్‌స్క్రీన్ కంటే 17 అడుగుల (5 మీ) ఫ్యూజ్‌లేజ్ ముందు ఉంది. టార్పెడోను వదిలివేయడానికి ముందే బ్లాక్‌బర్డ్ యొక్క అండర్ క్యారేజీని జెట్టిసన్ చేయవలసి వచ్చింది, దీనికి విమానం ఉక్కు స్కిడ్‌లపైకి రావడానికి అవసరం. [1] మొట్టమొదటి బ్లాక్‌బర్డ్ మే 1918 లో ప్రయాణించారు, మరియు షార్ట్ షిర్ల్‌కు వ్యతిరేకంగా మూల్యాంకనం కోసం మార్టెల్షామ్ హీత్‌కు పంపబడింది. [1] ట్రయల్స్ పూర్తయ్యే ముందు మొదటి ప్రోటోటైప్ క్రాష్ కావడంతో బ్లాక్‌బర్డ్ అస్థిరంగా ఉన్నట్లు కనుగొనబడింది. రెండవ మరియు మూడవ విమానాలను విస్తరించిన చుక్కానితో అమర్చారు. బ్లాక్‌బర్డ్ షిర్ల్ కంటే హీనమైనదిగా పరిగణించబడింది మరియు అందువల్ల ఆదేశించబడలేదు. షిర్ల్ ఉత్పత్తి కోసం ఆర్డర్లు ఇచ్చినప్పటికీ, సోప్విత్ కోకిల కోసం మరిన్ని ఆర్డర్‌లకు అనుకూలంగా అవి వెంటనే రద్దు చేయబడ్డాయి. [1] 1914 నుండి బ్రిటిష్ బాంబర్ నుండి వచ్చిన డేటా [1] సాధారణ లక్షణాలు పనితీరు ఆయుధాలు, కాన్ఫిగరేషన్ మరియు ERA యొక్క ఆయుధ విమానం</v>
      </c>
      <c r="E161" s="1" t="s">
        <v>2564</v>
      </c>
      <c r="F161" s="1" t="s">
        <v>2565</v>
      </c>
      <c r="G161" s="1" t="str">
        <f>IFERROR(__xludf.DUMMYFUNCTION("GOOGLETRANSLATE(F:F, ""en"", ""te"")"),"టార్పెడో బాంబర్")</f>
        <v>టార్పెడో బాంబర్</v>
      </c>
      <c r="H161" s="1" t="s">
        <v>2566</v>
      </c>
      <c r="L161" s="1" t="s">
        <v>2335</v>
      </c>
      <c r="M161" s="1" t="str">
        <f>IFERROR(__xludf.DUMMYFUNCTION("GOOGLETRANSLATE(L:L, ""en"", ""te"")"),"బ్లాక్బర్న్ విమానం")</f>
        <v>బ్లాక్బర్న్ విమానం</v>
      </c>
      <c r="N161" s="1" t="s">
        <v>2336</v>
      </c>
      <c r="O161" s="1" t="s">
        <v>779</v>
      </c>
      <c r="P161" s="1" t="str">
        <f>IFERROR(__xludf.DUMMYFUNCTION("GOOGLETRANSLATE(O:O, ""en"", ""te"")"),"ప్రోటోటైప్")</f>
        <v>ప్రోటోటైప్</v>
      </c>
      <c r="Q161" s="1" t="s">
        <v>2567</v>
      </c>
      <c r="S161" s="1">
        <v>1.0</v>
      </c>
      <c r="U161" s="1" t="s">
        <v>2568</v>
      </c>
      <c r="V161" s="1" t="s">
        <v>2569</v>
      </c>
      <c r="W161" s="1" t="s">
        <v>2570</v>
      </c>
      <c r="X161" s="1" t="s">
        <v>2571</v>
      </c>
      <c r="Y161" s="1" t="s">
        <v>2572</v>
      </c>
      <c r="AA161" s="1" t="s">
        <v>2573</v>
      </c>
      <c r="AB161" s="1" t="s">
        <v>366</v>
      </c>
      <c r="AG161" s="1" t="s">
        <v>2574</v>
      </c>
      <c r="AH161" s="1" t="s">
        <v>2575</v>
      </c>
      <c r="AJ161" s="1">
        <v>1918.0</v>
      </c>
      <c r="AM161" s="1" t="s">
        <v>2576</v>
      </c>
      <c r="AP161" s="1" t="s">
        <v>2577</v>
      </c>
      <c r="AQ161" s="1" t="s">
        <v>1258</v>
      </c>
      <c r="AR161" s="1" t="s">
        <v>2578</v>
      </c>
      <c r="AY161" s="1" t="s">
        <v>2579</v>
      </c>
      <c r="BJ161" s="1" t="s">
        <v>2580</v>
      </c>
    </row>
    <row r="162">
      <c r="A162" s="1" t="s">
        <v>2581</v>
      </c>
      <c r="B162" s="1" t="str">
        <f>IFERROR(__xludf.DUMMYFUNCTION("GOOGLETRANSLATE(A:A, ""en"", ""te"")"),"బ్లాక్బర్న్ సైడ్‌కార్")</f>
        <v>బ్లాక్బర్న్ సైడ్‌కార్</v>
      </c>
      <c r="C162" s="1" t="s">
        <v>2582</v>
      </c>
      <c r="D162" s="1" t="str">
        <f>IFERROR(__xludf.DUMMYFUNCTION("GOOGLETRANSLATE(C:C, ""en"", ""te"")"),"బ్లాక్‌బర్న్ సైడ్‌కార్ 1919 లో బ్రోలో బ్లాక్‌బర్న్ ఎయిర్‌ప్లేన్ &amp; మోటార్ కంపెనీ నిర్మించిన రెండు-సీట్ల అల్ట్రా-లైట్ విమానం. ఇది ఎప్పుడూ ఎగిరినట్లు ఎటువంటి ఆధారాలు లేవు. సైడ్-బై రెండు-సీట్ల సైడ్‌కార్‌ను బ్లాక్బర్న్ ఎయిర్‌ప్లేన్ &amp; మోటార్ కో. లిమిటెడ్ 1919 ల"&amp;"ో మిస్టర్ కె.ఎమ్ స్మిత్ కోసం బ్రోలో నిర్మించారు. ఇది ఒక చిన్న మధ్య-రెక్కల విమానం, [1] రెక్కలు మరియు స్థిరమైన తీగ యొక్క ఇతర ఎగిరే ఉపరితలాలతో. దీనికి స్థిర తోక ఉపరితలాలు లేవు. త్రిభుజాకార క్రాస్-సెక్షన్ ఫ్యూజ్‌లేజ్ అసాధారణంగా లోతుగా ఉంది, అంటే అండర్ క్యారేజ"&amp;"్ క్రాస్-యాక్సిల్ కీల్ లేదా దిగువ లాంగన్‌కు జతచేయబడింది. చివరికి 1920 ఆగస్టు 26 న జి-ఇల్న్‌ను నమోదు చేసిన ఏకైక సైడ్‌కార్, మార్చి 1919 న నైట్స్‌బ్రిడ్జ్‌లోని హారోడ్స్ డిపార్ట్‌మెంట్ స్టోర్‌లో ప్రదర్శించబడింది. ఇది తక్కువ శక్తితో కూడిన పినాట్‌తో ఎగరలేదు. [1"&amp;"] జూలై 1921 లో ఈ విమానం బ్లాక్బర్న్ యొక్క లండన్ మేనేజర్ మిస్టర్ హేడాన్-వైట్ కు విక్రయించబడింది, అతను 100-హార్స్‌పవర్ (75 కిలోవాట్) అంజాని రేడియల్‌తో తిరిగి ఇంజిన్ చేసాడు. [1] అక్టోబర్ 1921 నాటికి ఇది అప్రియమైనది. ఈ నాలుగు నెలల్లో ఇది ఎగురుతున్నట్లు రికార్"&amp;"డులు లేవు. [1] జేన్స్ నుండి డేటా 1919. జనరల్ లక్షణాలు పనితీరు")</f>
        <v>బ్లాక్‌బర్న్ సైడ్‌కార్ 1919 లో బ్రోలో బ్లాక్‌బర్న్ ఎయిర్‌ప్లేన్ &amp; మోటార్ కంపెనీ నిర్మించిన రెండు-సీట్ల అల్ట్రా-లైట్ విమానం. ఇది ఎప్పుడూ ఎగిరినట్లు ఎటువంటి ఆధారాలు లేవు. సైడ్-బై రెండు-సీట్ల సైడ్‌కార్‌ను బ్లాక్బర్న్ ఎయిర్‌ప్లేన్ &amp; మోటార్ కో. లిమిటెడ్ 1919 లో మిస్టర్ కె.ఎమ్ స్మిత్ కోసం బ్రోలో నిర్మించారు. ఇది ఒక చిన్న మధ్య-రెక్కల విమానం, [1] రెక్కలు మరియు స్థిరమైన తీగ యొక్క ఇతర ఎగిరే ఉపరితలాలతో. దీనికి స్థిర తోక ఉపరితలాలు లేవు. త్రిభుజాకార క్రాస్-సెక్షన్ ఫ్యూజ్‌లేజ్ అసాధారణంగా లోతుగా ఉంది, అంటే అండర్ క్యారేజ్ క్రాస్-యాక్సిల్ కీల్ లేదా దిగువ లాంగన్‌కు జతచేయబడింది. చివరికి 1920 ఆగస్టు 26 న జి-ఇల్న్‌ను నమోదు చేసిన ఏకైక సైడ్‌కార్, మార్చి 1919 న నైట్స్‌బ్రిడ్జ్‌లోని హారోడ్స్ డిపార్ట్‌మెంట్ స్టోర్‌లో ప్రదర్శించబడింది. ఇది తక్కువ శక్తితో కూడిన పినాట్‌తో ఎగరలేదు. [1] జూలై 1921 లో ఈ విమానం బ్లాక్బర్న్ యొక్క లండన్ మేనేజర్ మిస్టర్ హేడాన్-వైట్ కు విక్రయించబడింది, అతను 100-హార్స్‌పవర్ (75 కిలోవాట్) అంజాని రేడియల్‌తో తిరిగి ఇంజిన్ చేసాడు. [1] అక్టోబర్ 1921 నాటికి ఇది అప్రియమైనది. ఈ నాలుగు నెలల్లో ఇది ఎగురుతున్నట్లు రికార్డులు లేవు. [1] జేన్స్ నుండి డేటా 1919. జనరల్ లక్షణాలు పనితీరు</v>
      </c>
      <c r="E162" s="1" t="s">
        <v>2583</v>
      </c>
      <c r="F162" s="1" t="s">
        <v>2584</v>
      </c>
      <c r="G162" s="1" t="str">
        <f>IFERROR(__xludf.DUMMYFUNCTION("GOOGLETRANSLATE(F:F, ""en"", ""te"")"),"అల్ట్రా-లైట్ విమానం")</f>
        <v>అల్ట్రా-లైట్ విమానం</v>
      </c>
      <c r="H162" s="1" t="s">
        <v>2585</v>
      </c>
      <c r="I162" s="1" t="s">
        <v>2586</v>
      </c>
      <c r="J162" s="1" t="str">
        <f>IFERROR(__xludf.DUMMYFUNCTION("GOOGLETRANSLATE(I:I, ""en"", ""te"")"),"ఇంగ్లాండ్")</f>
        <v>ఇంగ్లాండ్</v>
      </c>
      <c r="K162" s="3" t="s">
        <v>2587</v>
      </c>
      <c r="L162" s="1" t="s">
        <v>2588</v>
      </c>
      <c r="M162" s="1" t="str">
        <f>IFERROR(__xludf.DUMMYFUNCTION("GOOGLETRANSLATE(L:L, ""en"", ""te"")"),"బ్లాక్బర్న్ విమానం &amp; మోటార్ కో. లిమిటెడ్.")</f>
        <v>బ్లాక్బర్న్ విమానం &amp; మోటార్ కో. లిమిటెడ్.</v>
      </c>
      <c r="N162" s="1" t="s">
        <v>2589</v>
      </c>
      <c r="Q162" s="1">
        <v>1.0</v>
      </c>
      <c r="S162" s="1" t="s">
        <v>133</v>
      </c>
      <c r="T162" s="1" t="s">
        <v>134</v>
      </c>
      <c r="U162" s="1" t="s">
        <v>727</v>
      </c>
      <c r="V162" s="1" t="s">
        <v>2590</v>
      </c>
      <c r="W162" s="1" t="s">
        <v>2591</v>
      </c>
      <c r="X162" s="1" t="s">
        <v>2592</v>
      </c>
      <c r="Y162" s="1" t="s">
        <v>2593</v>
      </c>
      <c r="AA162" s="1" t="s">
        <v>2594</v>
      </c>
      <c r="AE162" s="1" t="s">
        <v>2595</v>
      </c>
      <c r="AJ162" s="1">
        <v>1919.0</v>
      </c>
      <c r="AM162" s="1" t="s">
        <v>2596</v>
      </c>
      <c r="AP162" s="1" t="s">
        <v>2597</v>
      </c>
    </row>
    <row r="163">
      <c r="A163" s="1" t="s">
        <v>2598</v>
      </c>
      <c r="B163" s="1" t="str">
        <f>IFERROR(__xludf.DUMMYFUNCTION("GOOGLETRANSLATE(A:A, ""en"", ""te"")"),"ICARO ట్విన్ ఎలక్ట్రిక్")</f>
        <v>ICARO ట్విన్ ఎలక్ట్రిక్</v>
      </c>
      <c r="C163" s="1" t="s">
        <v>2599</v>
      </c>
      <c r="D163" s="1" t="str">
        <f>IFERROR(__xludf.DUMMYFUNCTION("GOOGLETRANSLATE(C:C, ""en"", ""te"")"),"ICARO ట్విన్ ఎలక్ట్రిక్ అనేది ఇటాలియన్ ఎలక్ట్రిక్ అల్ట్రాలైట్ ట్రైక్, దీనిని వరల్డ్ హాంగ్ గ్లైడర్ ఛాంపియన్ పైలట్ మన్ఫ్రెడ్ రుహ్మెర్ రూపొందించారు మరియు సంగియానోకు చెందిన ICARO 2000 చేత అభివృద్ధి చెందారు. [1] 2018 నాటికి విమానం తయారీదారు యొక్క వెబ్‌సైట్‌లో "&amp;"ప్రచారం చేయబడలేదు మరియు ఇది ఒక ఎగిరే నమూనాకు మించి పురోగతి సాధించలేదు. [1] [2] ట్విన్ ఎలక్ట్రిక్ డిజైన్‌లో కేబుల్-బ్రేస్డ్ హాంగ్ గ్లైడర్-స్టైల్ హై-వింగ్, వెయిట్-షిఫ్ట్ కంట్రోల్స్, కాక్‌పిట్ ఫెయిరింగ్ లేకుండా రెండు-సీట్ల తేమ ఓపెన్ కాక్‌పిట్, ట్రైసైకిల్ ల్య"&amp;"ాండింగ్ గేర్ మరియు పార్శ్వ బూమ్స్‌పై అమర్చిన ట్విన్ ఎలక్ట్రిక్ మోటార్లు ఉన్నాయి పషర్ కాన్ఫిగరేషన్. [1] ఈ విమానం బోల్ట్-టుగెథర్ అల్యూమినియం గొట్టాల నుండి తయారవుతుంది, దాని సింగిల్ ఉపరితల RX BIP BI-PLACE వింగ్ డాక్రాన్ సెయిల్‌క్లాత్‌లో కప్పబడి ఉంటుంది. దీని"&amp;" రెక్కకు ఒకే ట్యూబ్-రకం కింగ్‌పోస్ట్ మద్దతు ఇస్తుంది మరియు ""ఎ"" ఫ్రేమ్ వెయిట్-షిఫ్ట్ కంట్రోల్ బార్‌ను ఉపయోగిస్తుంది. బూమ్‌లపై అమర్చిన రెండు ఎలక్ట్రిక్ మోటార్లు, ట్రైక్ ఫ్రేమ్ యొక్క ప్రతి వైపు, ప్రతి ఒక్కటి పషర్ ప్రొపెల్లర్‌ను నడుపుతున్నాయి. [1] STOL సామర"&amp;"్థ్యాలను అనుమతించడానికి RX BIP వింగ్ ఎంపిక చేయబడింది. [1] జంట ఎలక్ట్రిక్ 2015 లో విమాన పరీక్షించబడినట్లు నివేదించబడింది. [1] టాక్ నుండి డేటా [1] సాధారణ లక్షణాలు")</f>
        <v>ICARO ట్విన్ ఎలక్ట్రిక్ అనేది ఇటాలియన్ ఎలక్ట్రిక్ అల్ట్రాలైట్ ట్రైక్, దీనిని వరల్డ్ హాంగ్ గ్లైడర్ ఛాంపియన్ పైలట్ మన్ఫ్రెడ్ రుహ్మెర్ రూపొందించారు మరియు సంగియానోకు చెందిన ICARO 2000 చేత అభివృద్ధి చెందారు. [1] 2018 నాటికి విమానం తయారీదారు యొక్క వెబ్‌సైట్‌లో ప్రచారం చేయబడలేదు మరియు ఇది ఒక ఎగిరే నమూనాకు మించి పురోగతి సాధించలేదు. [1] [2] ట్విన్ ఎలక్ట్రిక్ డిజైన్‌లో కేబుల్-బ్రేస్డ్ హాంగ్ గ్లైడర్-స్టైల్ హై-వింగ్, వెయిట్-షిఫ్ట్ కంట్రోల్స్, కాక్‌పిట్ ఫెయిరింగ్ లేకుండా రెండు-సీట్ల తేమ ఓపెన్ కాక్‌పిట్, ట్రైసైకిల్ ల్యాండింగ్ గేర్ మరియు పార్శ్వ బూమ్స్‌పై అమర్చిన ట్విన్ ఎలక్ట్రిక్ మోటార్లు ఉన్నాయి పషర్ కాన్ఫిగరేషన్. [1] ఈ విమానం బోల్ట్-టుగెథర్ అల్యూమినియం గొట్టాల నుండి తయారవుతుంది, దాని సింగిల్ ఉపరితల RX BIP BI-PLACE వింగ్ డాక్రాన్ సెయిల్‌క్లాత్‌లో కప్పబడి ఉంటుంది. దీని రెక్కకు ఒకే ట్యూబ్-రకం కింగ్‌పోస్ట్ మద్దతు ఇస్తుంది మరియు "ఎ" ఫ్రేమ్ వెయిట్-షిఫ్ట్ కంట్రోల్ బార్‌ను ఉపయోగిస్తుంది. బూమ్‌లపై అమర్చిన రెండు ఎలక్ట్రిక్ మోటార్లు, ట్రైక్ ఫ్రేమ్ యొక్క ప్రతి వైపు, ప్రతి ఒక్కటి పషర్ ప్రొపెల్లర్‌ను నడుపుతున్నాయి. [1] STOL సామర్థ్యాలను అనుమతించడానికి RX BIP వింగ్ ఎంపిక చేయబడింది. [1] జంట ఎలక్ట్రిక్ 2015 లో విమాన పరీక్షించబడినట్లు నివేదించబడింది. [1] టాక్ నుండి డేటా [1] సాధారణ లక్షణాలు</v>
      </c>
      <c r="F163" s="1" t="s">
        <v>184</v>
      </c>
      <c r="G163" s="1" t="str">
        <f>IFERROR(__xludf.DUMMYFUNCTION("GOOGLETRANSLATE(F:F, ""en"", ""te"")"),"అల్ట్రాలైట్ ట్రైక్")</f>
        <v>అల్ట్రాలైట్ ట్రైక్</v>
      </c>
      <c r="H163" s="1" t="s">
        <v>185</v>
      </c>
      <c r="I163" s="1" t="s">
        <v>220</v>
      </c>
      <c r="J163" s="1" t="str">
        <f>IFERROR(__xludf.DUMMYFUNCTION("GOOGLETRANSLATE(I:I, ""en"", ""te"")"),"ఇటలీ")</f>
        <v>ఇటలీ</v>
      </c>
      <c r="K163" s="3" t="s">
        <v>221</v>
      </c>
      <c r="L163" s="1" t="s">
        <v>2600</v>
      </c>
      <c r="M163" s="1" t="str">
        <f>IFERROR(__xludf.DUMMYFUNCTION("GOOGLETRANSLATE(L:L, ""en"", ""te"")"),"ICARO 2000")</f>
        <v>ICARO 2000</v>
      </c>
      <c r="N163" s="1" t="s">
        <v>2601</v>
      </c>
      <c r="O163" s="1" t="s">
        <v>510</v>
      </c>
      <c r="P163" s="1" t="str">
        <f>IFERROR(__xludf.DUMMYFUNCTION("GOOGLETRANSLATE(O:O, ""en"", ""te"")"),"అండర్ డెవలప్‌మెంట్ (2015)")</f>
        <v>అండర్ డెవలప్‌మెంట్ (2015)</v>
      </c>
      <c r="Q163" s="1" t="s">
        <v>511</v>
      </c>
      <c r="S163" s="1" t="s">
        <v>133</v>
      </c>
      <c r="T163" s="1" t="s">
        <v>134</v>
      </c>
      <c r="AA163" s="1" t="s">
        <v>2602</v>
      </c>
      <c r="AH163" s="1" t="s">
        <v>2603</v>
      </c>
    </row>
    <row r="164">
      <c r="A164" s="1" t="s">
        <v>2604</v>
      </c>
      <c r="B164" s="1" t="str">
        <f>IFERROR(__xludf.DUMMYFUNCTION("GOOGLETRANSLATE(A:A, ""en"", ""te"")"),"మెడ్వెక్కి M9")</f>
        <v>మెడ్వెక్కి M9</v>
      </c>
      <c r="C164" s="1" t="s">
        <v>2605</v>
      </c>
      <c r="D164" s="1" t="str">
        <f>IFERROR(__xludf.DUMMYFUNCTION("GOOGLETRANSLATE(C:C, ""en"", ""te"")"),"మెడ్వెకి M9 1930 లలో, పోలిష్ రెండు సీట్ల క్యాబిన్ టూరర్ లేదా ట్రైనర్ విమానాలను రూపొందించింది. రెండవ ప్రపంచ యుద్ధం ప్రారంభమయ్యే ముందు ఒకటి మాత్రమే పూర్తయింది. జజెఫ్ మెడ్‌వెక్కీ మరియు వాడిస్సా కిరీలుక్లను పి.డబ్ల్యు.ఎస్. 1937 లో ప్రారంభమైన ఇది 1930 లలో పోలా"&amp;"ండ్‌లో te త్సాహిక విమాన రూపకల్పన యొక్క పునరుజ్జీవనం యొక్క ఉత్పత్తి మరియు సెప్టెంబర్ 1939 లో పోలాండ్‌పై జర్మన్ దండయాత్రకు ముందు ఎగురుతున్న చివరిది. లాప్ మరియు కొన్ని విమాన సంస్థల నిధులతో, మెడ్‌వెక్కీ, కిరిలుక్ మరియు స్నేహితులు నిర్మించారు P.W.S. లో M9 వర్క"&amp;"్‌షాప్‌లు. [1] M9 మిశ్రమ నిర్మాణంలో ఉంది. దాని స్థిరమైన మందం హై వింగ్ మొద్దుబారిన చిట్కాలతో పాటు దీర్ఘచతురస్రాకార ప్రణాళికను కలిగి ఉంది. రెక్క రెండు భాగాలలో ఒక చెక్క నిర్మాణం, రెండు స్పార్స్ కలిగి ఉంది మరియు ఫార్వర్డ్ స్పార్ కంటే ప్లైవుడ్-కప్పబడి ఉంది, ఇత"&amp;"ర చోట్ల ఫాబ్రిక్ కవరింగ్ ఉంది. ప్రతి వైపు ఒక జత సమాంతర స్టీల్ ట్యూబ్ స్ట్రట్స్ రెక్కను దిగువ ఫ్యూజ్‌లేజ్‌కు కలుపుతుంది. దీని ఐలెరాన్లు ఫ్రైజ్ రకానికి చెందినవి. [1] ఇది 63 కిలోవాట్ల (85 హెచ్‌పి) సిరస్ III నిటారుగా 4-సిలిండర్ ఎయిర్-కూల్డ్ ఇన్లైన్ ఇంజిన్ రెక"&amp;"్కలలో దాని ఇంధన ట్యాంకులతో శక్తినిచ్చింది. M9 యొక్క ఫ్యూజ్‌లేజ్ స్టీల్ గొట్టాల త్రిభుజాకార విభాగం ఫ్రేమ్ చుట్టూ నిర్మించబడింది, ముక్కు మెటల్ కప్పబడి ఉంటుంది మరియు మిగిలినవి తేలికపాటి చెక్క చట్రంపై కప్పబడిన ఫాబ్రిక్‌తో ఓవల్ విభాగాన్ని ఇస్తుంది. దాని పరివేష"&amp;"్టిత క్యాబిన్ వింగ్ కింద ఉంది, దాని విండ్‌స్క్రీన్ ప్రముఖ అంచు కంటే ముందు ఉంది. రెండు సీట్లు ఉన్నాయి, ఒక్కొక్కటి స్టార్‌బోర్డ్-సైడ్ డోర్ మరియు డ్యూయల్ కంట్రోల్స్ మరియు క్యాబిన్ వెనుక సామాను కంపార్ట్మెంట్ ఉన్నాయి. [1] M9 యొక్క క్షితిజ సమాంతర తోక, ఫ్యూజ్‌లే"&amp;"జ్ పైన అమర్చబడి, గుండ్రని చిట్కాలతో నేరుగా టేప్ చేయబడింది మరియు ఫిన్ కూడా నేరుగా టేపర్డ్ చేయబడింది. ఇది పూర్తి, గుండ్రని చుక్కానిని తీసుకువెళ్ళింది, ఇది ఎలివేటర్ల మధ్య అంతరం ద్వారా కీల్‌కు చేరుకుంది. కాంటిలివర్ ఎంపెనేజ్ ఒక చెక్క నిర్మాణాన్ని కలిగి ఉంది, ప"&amp;"్లైవుడ్ కవర్ స్థిర ఉపరితలాలు మరియు ఫాబ్రిక్ కవర్ నియంత్రణ ఉపరితలాలు. [1] [2] M9 స్థిర, టెయిల్స్కిడ్ ల్యాండింగ్ గేర్‌ను పొడవైన, స్ట్రీమ్లైన్డ్ కాంటిలివర్ కాళ్ళతో కంప్రెస్డ్-రబ్బర్ షాక్ అబ్జార్బర్స్ మరియు స్పాట్స్‌లో కప్పబడిన మౌంటు చక్రాలు కలిగి ఉంది. [1] ["&amp;"2] ఇది మొదటిసారిగా ఆగస్టు 1939 ప్రారంభంలో స్టీఫన్ హాన్స్‌చైల్డ్ చేత ఎగురవేయబడింది. పరీక్షలు M9 పర్యటన మరియు శిక్షణ పాత్రలకు సరిపోయే అద్భుతమైన మరియు నిశ్శబ్ద నిర్వహణ లక్షణాలను కలిగి ఉన్నాయని తేలింది. సిలేసియన్ ఏరోక్లబ్ దాని పరీక్షలు పూర్తయినప్పుడు ప్రోటోటై"&amp;"ప్ కొనడానికి ముందుకొచ్చింది మరియు మరింత శక్తివంతమైన ఇంజిన్ల శ్రేణి మరియు తేలికపాటి డైహెడ్రల్‌తో కూడిన రెక్కల సమితితో M9 ల ఉత్పత్తికి ప్రణాళికలు రూపొందించారు, కాని ఈ ఆశలు జర్మన్ దండయాత్రతో అధిగమించబడ్డాయి. [1] J. సిన్క్, 1970 నుండి డేటా. [1] పనితీరు గణాంకా"&amp;"లు అంచనాలు. సాధారణ లక్షణాలు పనితీరు")</f>
        <v>మెడ్వెకి M9 1930 లలో, పోలిష్ రెండు సీట్ల క్యాబిన్ టూరర్ లేదా ట్రైనర్ విమానాలను రూపొందించింది. రెండవ ప్రపంచ యుద్ధం ప్రారంభమయ్యే ముందు ఒకటి మాత్రమే పూర్తయింది. జజెఫ్ మెడ్‌వెక్కీ మరియు వాడిస్సా కిరీలుక్లను పి.డబ్ల్యు.ఎస్. 1937 లో ప్రారంభమైన ఇది 1930 లలో పోలాండ్‌లో te త్సాహిక విమాన రూపకల్పన యొక్క పునరుజ్జీవనం యొక్క ఉత్పత్తి మరియు సెప్టెంబర్ 1939 లో పోలాండ్‌పై జర్మన్ దండయాత్రకు ముందు ఎగురుతున్న చివరిది. లాప్ మరియు కొన్ని విమాన సంస్థల నిధులతో, మెడ్‌వెక్కీ, కిరిలుక్ మరియు స్నేహితులు నిర్మించారు P.W.S. లో M9 వర్క్‌షాప్‌లు. [1] M9 మిశ్రమ నిర్మాణంలో ఉంది. దాని స్థిరమైన మందం హై వింగ్ మొద్దుబారిన చిట్కాలతో పాటు దీర్ఘచతురస్రాకార ప్రణాళికను కలిగి ఉంది. రెక్క రెండు భాగాలలో ఒక చెక్క నిర్మాణం, రెండు స్పార్స్ కలిగి ఉంది మరియు ఫార్వర్డ్ స్పార్ కంటే ప్లైవుడ్-కప్పబడి ఉంది, ఇతర చోట్ల ఫాబ్రిక్ కవరింగ్ ఉంది. ప్రతి వైపు ఒక జత సమాంతర స్టీల్ ట్యూబ్ స్ట్రట్స్ రెక్కను దిగువ ఫ్యూజ్‌లేజ్‌కు కలుపుతుంది. దీని ఐలెరాన్లు ఫ్రైజ్ రకానికి చెందినవి. [1] ఇది 63 కిలోవాట్ల (85 హెచ్‌పి) సిరస్ III నిటారుగా 4-సిలిండర్ ఎయిర్-కూల్డ్ ఇన్లైన్ ఇంజిన్ రెక్కలలో దాని ఇంధన ట్యాంకులతో శక్తినిచ్చింది. M9 యొక్క ఫ్యూజ్‌లేజ్ స్టీల్ గొట్టాల త్రిభుజాకార విభాగం ఫ్రేమ్ చుట్టూ నిర్మించబడింది, ముక్కు మెటల్ కప్పబడి ఉంటుంది మరియు మిగిలినవి తేలికపాటి చెక్క చట్రంపై కప్పబడిన ఫాబ్రిక్‌తో ఓవల్ విభాగాన్ని ఇస్తుంది. దాని పరివేష్టిత క్యాబిన్ వింగ్ కింద ఉంది, దాని విండ్‌స్క్రీన్ ప్రముఖ అంచు కంటే ముందు ఉంది. రెండు సీట్లు ఉన్నాయి, ఒక్కొక్కటి స్టార్‌బోర్డ్-సైడ్ డోర్ మరియు డ్యూయల్ కంట్రోల్స్ మరియు క్యాబిన్ వెనుక సామాను కంపార్ట్మెంట్ ఉన్నాయి. [1] M9 యొక్క క్షితిజ సమాంతర తోక, ఫ్యూజ్‌లేజ్ పైన అమర్చబడి, గుండ్రని చిట్కాలతో నేరుగా టేప్ చేయబడింది మరియు ఫిన్ కూడా నేరుగా టేపర్డ్ చేయబడింది. ఇది పూర్తి, గుండ్రని చుక్కానిని తీసుకువెళ్ళింది, ఇది ఎలివేటర్ల మధ్య అంతరం ద్వారా కీల్‌కు చేరుకుంది. కాంటిలివర్ ఎంపెనేజ్ ఒక చెక్క నిర్మాణాన్ని కలిగి ఉంది, ప్లైవుడ్ కవర్ స్థిర ఉపరితలాలు మరియు ఫాబ్రిక్ కవర్ నియంత్రణ ఉపరితలాలు. [1] [2] M9 స్థిర, టెయిల్స్కిడ్ ల్యాండింగ్ గేర్‌ను పొడవైన, స్ట్రీమ్లైన్డ్ కాంటిలివర్ కాళ్ళతో కంప్రెస్డ్-రబ్బర్ షాక్ అబ్జార్బర్స్ మరియు స్పాట్స్‌లో కప్పబడిన మౌంటు చక్రాలు కలిగి ఉంది. [1] [2] ఇది మొదటిసారిగా ఆగస్టు 1939 ప్రారంభంలో స్టీఫన్ హాన్స్‌చైల్డ్ చేత ఎగురవేయబడింది. పరీక్షలు M9 పర్యటన మరియు శిక్షణ పాత్రలకు సరిపోయే అద్భుతమైన మరియు నిశ్శబ్ద నిర్వహణ లక్షణాలను కలిగి ఉన్నాయని తేలింది. సిలేసియన్ ఏరోక్లబ్ దాని పరీక్షలు పూర్తయినప్పుడు ప్రోటోటైప్ కొనడానికి ముందుకొచ్చింది మరియు మరింత శక్తివంతమైన ఇంజిన్ల శ్రేణి మరియు తేలికపాటి డైహెడ్రల్‌తో కూడిన రెక్కల సమితితో M9 ల ఉత్పత్తికి ప్రణాళికలు రూపొందించారు, కాని ఈ ఆశలు జర్మన్ దండయాత్రతో అధిగమించబడ్డాయి. [1] J. సిన్క్, 1970 నుండి డేటా. [1] పనితీరు గణాంకాలు అంచనాలు. సాధారణ లక్షణాలు పనితీరు</v>
      </c>
      <c r="F164" s="1" t="s">
        <v>2606</v>
      </c>
      <c r="G164" s="1" t="str">
        <f>IFERROR(__xludf.DUMMYFUNCTION("GOOGLETRANSLATE(F:F, ""en"", ""te"")"),"రెండు సీట్ల శిక్షణ మరియు టూరింగ్ విమానాలు")</f>
        <v>రెండు సీట్ల శిక్షణ మరియు టూరింగ్ విమానాలు</v>
      </c>
      <c r="I164" s="1" t="s">
        <v>431</v>
      </c>
      <c r="J164" s="1" t="str">
        <f>IFERROR(__xludf.DUMMYFUNCTION("GOOGLETRANSLATE(I:I, ""en"", ""te"")"),"పోలాండ్")</f>
        <v>పోలాండ్</v>
      </c>
      <c r="K164" s="3" t="s">
        <v>432</v>
      </c>
      <c r="Q164" s="1">
        <v>1.0</v>
      </c>
      <c r="U164" s="1" t="s">
        <v>896</v>
      </c>
      <c r="V164" s="1" t="s">
        <v>562</v>
      </c>
      <c r="W164" s="1" t="s">
        <v>803</v>
      </c>
      <c r="X164" s="1" t="s">
        <v>2607</v>
      </c>
      <c r="Y164" s="1" t="s">
        <v>526</v>
      </c>
      <c r="AA164" s="1" t="s">
        <v>2608</v>
      </c>
      <c r="AB164" s="1" t="s">
        <v>2609</v>
      </c>
      <c r="AC164" s="1" t="s">
        <v>280</v>
      </c>
      <c r="AD164" s="1" t="s">
        <v>2610</v>
      </c>
      <c r="AE164" s="1" t="s">
        <v>2611</v>
      </c>
      <c r="AH164" s="1" t="s">
        <v>2612</v>
      </c>
      <c r="AJ164" s="1" t="s">
        <v>2613</v>
      </c>
      <c r="AM164" s="1" t="s">
        <v>2614</v>
      </c>
      <c r="AP164" s="1" t="s">
        <v>2615</v>
      </c>
      <c r="BD164" s="1" t="s">
        <v>2616</v>
      </c>
    </row>
    <row r="165">
      <c r="A165" s="1" t="s">
        <v>2617</v>
      </c>
      <c r="B165" s="1" t="str">
        <f>IFERROR(__xludf.DUMMYFUNCTION("GOOGLETRANSLATE(A:A, ""en"", ""te"")"),"సాల్మన్ టెన్డం మోనోప్లేన్")</f>
        <v>సాల్మన్ టెన్డం మోనోప్లేన్</v>
      </c>
      <c r="C165" s="1" t="s">
        <v>2618</v>
      </c>
      <c r="D165" s="1" t="str">
        <f>IFERROR(__xludf.DUMMYFUNCTION("GOOGLETRANSLATE(C:C, ""en"", ""te"")"),"సాల్మన్ టెన్డం మోనోప్లేన్ 1923 లింప్నే లైట్ ఎయిర్క్రాఫ్ట్ ట్రయల్స్ కోసం ఉత్పత్తి చేయబడిన సింగిల్-సీట్ స్పోర్ట్ మోనోప్లేన్. మోనోప్లేన్ ఎగరడంలో విఫలమైంది. మొత్తం 7 2,150 విలువైన బహుమతులతో, అక్టోబర్ 1923 నాటి లింప్నే లైట్ ఎయిర్క్రాఫ్ట్ పోటీ 28 ఎంట్రీలను ఆకర్"&amp;"షించింది, దీనికి పోటీ సంఖ్య 27 ఇవ్వబడింది. [1] ఈ విమానం ఇంగ్లాండ్‌లోని ఫర్న్‌బరో వద్ద పెర్సీ సాల్మన్ రూపొందించిన మరియు నిర్మించిన సింగిల్-సీట్ల టెన్డం మోనోప్లేన్. [2] ఇది 3.5 హెచ్‌పి (2.6 కిలోవాట్) బ్రాడ్‌షా మోటార్‌సైకిల్ ఇంజిన్ పషర్ ప్రొపెల్లర్‌ను నడుపుత"&amp;"ుంది. [2] ఇది 23 మార్చి 1923 న G-EBHQ గా నమోదు చేయబడింది మరియు సెప్టెంబర్ 1923 నాటికి ప్రయాణించడానికి సిద్ధంగా ఉంది. [2] విమానం ఎగరలేకపోయింది మరియు తరువాత కాలిపోయే వరకు ఫార్న్‌బరో వద్ద నిల్వ చేయబడింది. [2]")</f>
        <v>సాల్మన్ టెన్డం మోనోప్లేన్ 1923 లింప్నే లైట్ ఎయిర్క్రాఫ్ట్ ట్రయల్స్ కోసం ఉత్పత్తి చేయబడిన సింగిల్-సీట్ స్పోర్ట్ మోనోప్లేన్. మోనోప్లేన్ ఎగరడంలో విఫలమైంది. మొత్తం 7 2,150 విలువైన బహుమతులతో, అక్టోబర్ 1923 నాటి లింప్నే లైట్ ఎయిర్క్రాఫ్ట్ పోటీ 28 ఎంట్రీలను ఆకర్షించింది, దీనికి పోటీ సంఖ్య 27 ఇవ్వబడింది. [1] ఈ విమానం ఇంగ్లాండ్‌లోని ఫర్న్‌బరో వద్ద పెర్సీ సాల్మన్ రూపొందించిన మరియు నిర్మించిన సింగిల్-సీట్ల టెన్డం మోనోప్లేన్. [2] ఇది 3.5 హెచ్‌పి (2.6 కిలోవాట్) బ్రాడ్‌షా మోటార్‌సైకిల్ ఇంజిన్ పషర్ ప్రొపెల్లర్‌ను నడుపుతుంది. [2] ఇది 23 మార్చి 1923 న G-EBHQ గా నమోదు చేయబడింది మరియు సెప్టెంబర్ 1923 నాటికి ప్రయాణించడానికి సిద్ధంగా ఉంది. [2] విమానం ఎగరలేకపోయింది మరియు తరువాత కాలిపోయే వరకు ఫార్న్‌బరో వద్ద నిల్వ చేయబడింది. [2]</v>
      </c>
      <c r="F165" s="1" t="s">
        <v>2619</v>
      </c>
      <c r="G165" s="1" t="str">
        <f>IFERROR(__xludf.DUMMYFUNCTION("GOOGLETRANSLATE(F:F, ""en"", ""te"")"),"లైట్ సింగిల్-సీట్ స్పోర్ట్")</f>
        <v>లైట్ సింగిల్-సీట్ స్పోర్ట్</v>
      </c>
      <c r="I165" s="1" t="s">
        <v>357</v>
      </c>
      <c r="J165" s="1" t="str">
        <f>IFERROR(__xludf.DUMMYFUNCTION("GOOGLETRANSLATE(I:I, ""en"", ""te"")"),"యునైటెడ్ కింగ్‌డమ్")</f>
        <v>యునైటెడ్ కింగ్‌డమ్</v>
      </c>
      <c r="K165" s="1" t="s">
        <v>1344</v>
      </c>
      <c r="L165" s="1" t="s">
        <v>2620</v>
      </c>
      <c r="M165" s="1" t="str">
        <f>IFERROR(__xludf.DUMMYFUNCTION("GOOGLETRANSLATE(L:L, ""en"", ""te"")"),"పెర్సీ సాల్మన్")</f>
        <v>పెర్సీ సాల్మన్</v>
      </c>
      <c r="Q165" s="1">
        <v>1.0</v>
      </c>
      <c r="AH165" s="1" t="s">
        <v>2620</v>
      </c>
    </row>
    <row r="166">
      <c r="A166" s="1" t="s">
        <v>2621</v>
      </c>
      <c r="B166" s="1" t="str">
        <f>IFERROR(__xludf.DUMMYFUNCTION("GOOGLETRANSLATE(A:A, ""en"", ""te"")"),"స్టెల్మాస్జిక్ S.1 బోజెనా")</f>
        <v>స్టెల్మాస్జిక్ S.1 బోజెనా</v>
      </c>
      <c r="C166" s="1" t="s">
        <v>2622</v>
      </c>
      <c r="D166" s="1" t="str">
        <f>IFERROR(__xludf.DUMMYFUNCTION("GOOGLETRANSLATE(C:C, ""en"", ""te"")"),"స్టెల్మాస్జిక్ ఎస్. బోసెనాను 1928 లో లూడమీ నుండి పదిహేడేళ్ల వాయడిస్సావ్ స్టెల్మాజిక్ రూపొందించారు, లోప్ నుండి ఆర్థిక సహాయంతో. కొన్ని బహిరంగ వేడుక మరియు స్థానిక మతాధికారి నుండి మోటరింగ్ పెట్రోల్ విరాళం తరువాత, పోలిష్ ఎయిర్‌మెన్స్ అసోసియేషన్ పైలట్ అయిన జోజె"&amp;"ఫాట్ స్క్ర్జిపెక్ దీనిని 6 డిసెంబర్ 1928 న తన మొదటి విమానంలో తీసుకున్నారు. [1] ఆల్-వుడ్ బోసెనా ఒక బ్రేస్డ్ హై వింగ్ మోనోప్లేన్, రెండు-భాగాలు, స్థిరమైన-తీగ వింగ్ సెమీ ఎలిప్టికల్ చిట్కాలకు బయలుదేరింది. ప్లైవుడ్ కప్పబడి, రెక్కలో స్థిరమైన విభాగం మరియు మందం ఉం"&amp;"ది మరియు రెండు స్పార్స్ చుట్టూ నిర్మించబడింది. ప్రతి సగం-వింగ్ దిగువ ఫ్యూజ్‌లేజ్ కోసం ఒక జత సమాంతర ఉక్కు గొట్టాల ద్వారా కలుపుతారు, స్ట్రీమ్లైన్డ్ ఫెయిరింగ్‌లలో కప్పబడి, వారు కాక్‌పిట్ యొక్క ఫెయిర్‌డ్ పైలాన్ ముందుకు కేంద్రంగా కలుసుకున్నారు. [1] బోయెనా 35 హ"&amp;"ెచ్‌పి (26 కిలోవాట్ల) అంజాని 2 ఎ మూడు సిలిండర్ రేడియల్ ఇంజిన్ ద్వారా శక్తిని కలిగి ఉంది, దాని సిలిండర్లతో అమర్చారు. దాని దీర్ఘచతురస్రాకార విభాగం ఫ్యూజ్‌లేజ్ ప్లైవుడ్-కప్పబడినది, కాక్‌పిట్ వెనుక గుండ్రని డెక్కింగ్ ఉంది. సామ్రాజ్యం కూడా ప్లై-కప్పబడి ఉంది, ద"&amp;"ీర్ఘచతురస్రాకార ప్రణాళిక టెయిల్‌ప్లేన్ మరియు ఎలివేటర్లు ఫ్యూజ్‌లేజ్ పైన అమర్చబడి, లోతైన దీర్ఘచతురస్రాకార చుక్కానిని మోస్తున్న కత్తిరించిన త్రిభుజాకార ఫిన్, ఇది ఎలివేటర్ కటౌట్‌లో కదిలింది. [1] [2] దీని స్థిర ల్యాండింగ్ గేర్ సరళమైనది మరియు సాంప్రదాయికమైనది,"&amp;" దిగువ ఫ్యూజ్‌లేజ్ లాన్స్‌ల నుండి స్టీల్ వి-స్ట్రట్‌లు మరియు రబ్బరు షాక్ శోషకలతో ఒకే ఇరుసు. [1] ప్రారంభ పరీక్ష విమాన నివేదికలు మంచి నియంత్రణ ప్రతిస్పందన మరియు విన్యాసాలతో గాలులతో కూడిన పరిస్థితులలో బోసెనా యొక్క స్థిరత్వాన్ని గుర్తించాయి. దాని చిన్న ల్యాండ"&amp;"ింగ్ రన్ మరియు సులభమైన విధానం కూడా గుర్తించబడింది. ఇది 1928–9 శీతాకాలంలో ఐదు విమానాలను తయారు చేసినట్లు తెలుసు, కొన్ని స్కిస్‌పై, మరియు ఇది ఇంజిన్‌తో సహా అన్ని ఖర్చులను భరించటానికి తగినంత పెద్ద నగదు బహుమతిని కూడా గెలుచుకుంది. [1] [2] తరువాత ఇది పోజ్నాస్‌లో"&amp;"ని పోలిష్ ఆర్మీ మ్యూజియంలో ప్రదర్శించబడింది మరియు 1938 ప్రారంభంలో తిరిగి లుడమీకి తిరిగి వచ్చింది, అక్కడ జర్మన్ పోలాండ్ దండయాత్ర సమయంలో ఇది నాశనం చేయబడింది. [2] 1975 లో, స్టెల్మాస్జిక్ క్రాకోలోని మ్యూజియం ఆఫ్ ఏవియేషన్ అండ్ ఆస్ట్రోనాటిక్స్ కోసం బోసెనా యొక్క"&amp;" ప్రతిరూపాన్ని నిర్మించాడు [2] [3] ఇది ప్రదర్శనలో లేనప్పటికీ, 2009 లో ప్రదర్శనలో లేదు. [4] సింక్, 1971 [1] నుండి డేటా గుర్తించబడిన చోట తప్ప")</f>
        <v>స్టెల్మాస్జిక్ ఎస్. బోసెనాను 1928 లో లూడమీ నుండి పదిహేడేళ్ల వాయడిస్సావ్ స్టెల్మాజిక్ రూపొందించారు, లోప్ నుండి ఆర్థిక సహాయంతో. కొన్ని బహిరంగ వేడుక మరియు స్థానిక మతాధికారి నుండి మోటరింగ్ పెట్రోల్ విరాళం తరువాత, పోలిష్ ఎయిర్‌మెన్స్ అసోసియేషన్ పైలట్ అయిన జోజెఫాట్ స్క్ర్జిపెక్ దీనిని 6 డిసెంబర్ 1928 న తన మొదటి విమానంలో తీసుకున్నారు. [1] ఆల్-వుడ్ బోసెనా ఒక బ్రేస్డ్ హై వింగ్ మోనోప్లేన్, రెండు-భాగాలు, స్థిరమైన-తీగ వింగ్ సెమీ ఎలిప్టికల్ చిట్కాలకు బయలుదేరింది. ప్లైవుడ్ కప్పబడి, రెక్కలో స్థిరమైన విభాగం మరియు మందం ఉంది మరియు రెండు స్పార్స్ చుట్టూ నిర్మించబడింది. ప్రతి సగం-వింగ్ దిగువ ఫ్యూజ్‌లేజ్ కోసం ఒక జత సమాంతర ఉక్కు గొట్టాల ద్వారా కలుపుతారు, స్ట్రీమ్లైన్డ్ ఫెయిరింగ్‌లలో కప్పబడి, వారు కాక్‌పిట్ యొక్క ఫెయిర్‌డ్ పైలాన్ ముందుకు కేంద్రంగా కలుసుకున్నారు. [1] బోయెనా 35 హెచ్‌పి (26 కిలోవాట్ల) అంజాని 2 ఎ మూడు సిలిండర్ రేడియల్ ఇంజిన్ ద్వారా శక్తిని కలిగి ఉంది, దాని సిలిండర్లతో అమర్చారు. దాని దీర్ఘచతురస్రాకార విభాగం ఫ్యూజ్‌లేజ్ ప్లైవుడ్-కప్పబడినది, కాక్‌పిట్ వెనుక గుండ్రని డెక్కింగ్ ఉంది. సామ్రాజ్యం కూడా ప్లై-కప్పబడి ఉంది, దీర్ఘచతురస్రాకార ప్రణాళిక టెయిల్‌ప్లేన్ మరియు ఎలివేటర్లు ఫ్యూజ్‌లేజ్ పైన అమర్చబడి, లోతైన దీర్ఘచతురస్రాకార చుక్కానిని మోస్తున్న కత్తిరించిన త్రిభుజాకార ఫిన్, ఇది ఎలివేటర్ కటౌట్‌లో కదిలింది. [1] [2] దీని స్థిర ల్యాండింగ్ గేర్ సరళమైనది మరియు సాంప్రదాయికమైనది, దిగువ ఫ్యూజ్‌లేజ్ లాన్స్‌ల నుండి స్టీల్ వి-స్ట్రట్‌లు మరియు రబ్బరు షాక్ శోషకలతో ఒకే ఇరుసు. [1] ప్రారంభ పరీక్ష విమాన నివేదికలు మంచి నియంత్రణ ప్రతిస్పందన మరియు విన్యాసాలతో గాలులతో కూడిన పరిస్థితులలో బోసెనా యొక్క స్థిరత్వాన్ని గుర్తించాయి. దాని చిన్న ల్యాండింగ్ రన్ మరియు సులభమైన విధానం కూడా గుర్తించబడింది. ఇది 1928–9 శీతాకాలంలో ఐదు విమానాలను తయారు చేసినట్లు తెలుసు, కొన్ని స్కిస్‌పై, మరియు ఇది ఇంజిన్‌తో సహా అన్ని ఖర్చులను భరించటానికి తగినంత పెద్ద నగదు బహుమతిని కూడా గెలుచుకుంది. [1] [2] తరువాత ఇది పోజ్నాస్‌లోని పోలిష్ ఆర్మీ మ్యూజియంలో ప్రదర్శించబడింది మరియు 1938 ప్రారంభంలో తిరిగి లుడమీకి తిరిగి వచ్చింది, అక్కడ జర్మన్ పోలాండ్ దండయాత్ర సమయంలో ఇది నాశనం చేయబడింది. [2] 1975 లో, స్టెల్మాస్జిక్ క్రాకోలోని మ్యూజియం ఆఫ్ ఏవియేషన్ అండ్ ఆస్ట్రోనాటిక్స్ కోసం బోసెనా యొక్క ప్రతిరూపాన్ని నిర్మించాడు [2] [3] ఇది ప్రదర్శనలో లేనప్పటికీ, 2009 లో ప్రదర్శనలో లేదు. [4] సింక్, 1971 [1] నుండి డేటా గుర్తించబడిన చోట తప్ప</v>
      </c>
      <c r="F166" s="1" t="s">
        <v>2623</v>
      </c>
      <c r="G166" s="1" t="str">
        <f>IFERROR(__xludf.DUMMYFUNCTION("GOOGLETRANSLATE(F:F, ""en"", ""te"")"),"సింగిల్ సీట్ స్పోర్ట్ విమానం")</f>
        <v>సింగిల్ సీట్ స్పోర్ట్ విమానం</v>
      </c>
      <c r="I166" s="1" t="s">
        <v>431</v>
      </c>
      <c r="J166" s="1" t="str">
        <f>IFERROR(__xludf.DUMMYFUNCTION("GOOGLETRANSLATE(I:I, ""en"", ""te"")"),"పోలాండ్")</f>
        <v>పోలాండ్</v>
      </c>
      <c r="K166" s="3" t="s">
        <v>432</v>
      </c>
      <c r="L166" s="1" t="s">
        <v>2624</v>
      </c>
      <c r="M166" s="1" t="str">
        <f>IFERROR(__xludf.DUMMYFUNCTION("GOOGLETRANSLATE(L:L, ""en"", ""te"")"),"Waadysław స్టెల్మాసిక్")</f>
        <v>Waadysław స్టెల్మాసిక్</v>
      </c>
      <c r="Q166" s="1">
        <v>1.0</v>
      </c>
      <c r="S166" s="1" t="s">
        <v>433</v>
      </c>
      <c r="U166" s="1" t="s">
        <v>2625</v>
      </c>
      <c r="V166" s="1" t="s">
        <v>579</v>
      </c>
      <c r="W166" s="1" t="s">
        <v>2626</v>
      </c>
      <c r="X166" s="1" t="s">
        <v>2627</v>
      </c>
      <c r="Y166" s="1" t="s">
        <v>2628</v>
      </c>
      <c r="AA166" s="1" t="s">
        <v>2629</v>
      </c>
      <c r="AB166" s="1" t="s">
        <v>207</v>
      </c>
      <c r="AC166" s="1" t="s">
        <v>2630</v>
      </c>
      <c r="AH166" s="1" t="s">
        <v>2624</v>
      </c>
      <c r="AJ166" s="5">
        <v>10568.0</v>
      </c>
      <c r="AM166" s="1" t="s">
        <v>2631</v>
      </c>
      <c r="AP166" s="1" t="s">
        <v>2632</v>
      </c>
      <c r="BR166" s="1" t="s">
        <v>2633</v>
      </c>
      <c r="DL166" s="1" t="s">
        <v>2634</v>
      </c>
    </row>
    <row r="167">
      <c r="A167" s="1" t="s">
        <v>2635</v>
      </c>
      <c r="B167" s="1" t="str">
        <f>IFERROR(__xludf.DUMMYFUNCTION("GOOGLETRANSLATE(A:A, ""en"", ""te"")"),"సూపర్ మెరైన్ స్పిట్‌ఫైర్ ప్రోటోటైప్ K5054")</f>
        <v>సూపర్ మెరైన్ స్పిట్‌ఫైర్ ప్రోటోటైప్ K5054</v>
      </c>
      <c r="C167" s="1" t="s">
        <v>2636</v>
      </c>
      <c r="D167" s="1" t="str">
        <f>IFERROR(__xludf.DUMMYFUNCTION("GOOGLETRANSLATE(C:C, ""en"", ""te"")"),"సూపర్ మేరిన్ స్పిట్‌ఫైర్ 1930 ల మధ్యలో చీఫ్ డిజైనర్ ఆర్. జె. మిచెల్ చేత స్వల్ప-శ్రేణి, అధిక-పనితీరు గల ఇంటర్‌కప్టర్ విమానంగా అభివృద్ధి చేయబడింది. సైనిక సీరియల్ K5054 ను స్వీకరించిన ఒక నమూనా మాత్రమే జరిగింది. 5 మార్చి 1936 న దాని మొదటి విమానంలో, పైలట్ ""మట"&amp;"్"" సమ్మర్స్ తన ప్రసిద్ధమైన కానీ చాలా తరచుగా తప్పుగా అర్ధం చేసుకున్న వ్యాఖ్యగా, ""నేను తాకడం ఏమీ కోరుకోను!"" దాని అత్యుత్తమ రూపాలు మరియు పనితీరు అది కనిపించిన చోట గణనీయమైన కదిలించింది. ఈ విమానం దాని జీవితమంతా ప్రగతిశీల మార్పులకు గురైంది, చివరికి ప్రొడక్షన"&amp;"్ ప్రమాణంగా మార్చబడుతుంది. ఇది చాలాసార్లు క్రాష్ అయ్యింది, చివరకు ప్రాణాంతకంగా క్రాష్ అయ్యింది మరియు రెండవ ప్రపంచ యుద్ధం విచ్ఛిన్నం కావడంతో వ్రాయబడింది. మిచెల్‌కు స్మారక చిహ్నంగా స్థిరమైన వాటితో సహా అనేక ప్రతిరూపాలు నిర్మించబడ్డాయి. కనీసం ఒకటి ఎగురుతుంది."&amp;" సూపర్ మేరిన్ 1934 లో టైప్ 300 అభివృద్ధిని ప్రారంభించింది, విజయవంతం కాని టైప్ 224 ప్రోటోటైప్ తరువాత ఒక ప్రైవేట్ వెంచర్‌గా. [1] చీఫ్ డిజైనర్ ఆర్. జె. మిచెల్ మరియు అతని బృందం టైప్ 224 ను వారి ప్రారంభ బిందువుగా తీసుకున్నారు మరియు ష్నైడర్ ట్రోఫీ సీప్లేన్స్‌తో"&amp;" వారి అనుభవాన్ని కొనసాగించారు. ముడుచుకునే అండర్ క్యారేజ్, పరివేష్టిత కాక్‌పిట్, ఆక్సిజన్-శ్వాస ఉపకరణం మరియు చిన్న మరియు సన్నని రెక్కలతో సహా ప్రగతిశీల మెరుగుదలలతో టైప్ 300 గణనీయంగా శుభ్రం చేయబడింది. ఈ దశలో విలక్షణమైన ఎలిప్టికల్ వింగ్ అభివృద్ధి చేయబడింది, ఇ"&amp;"ది సన్నని క్రాస్-సెక్షన్‌లో ఆయుధాలు మరియు అండర్ క్యారేజీకి అనుగుణంగా ఉండటానికి వీలు కల్పిస్తుంది, తద్వారా విమానం అధిక గరిష్ట వేగాన్ని సాధించడంలో సహాయపడుతుంది. కొత్తగా అభివృద్ధి చెందిన రోల్స్ రాయిస్ పివి-xii వి -12 ఇంజిన్, త్వరలో మెర్లిన్ అని పిలువబడుతుంది"&amp;", ఇది ప్రారంభం నుండి స్వీకరించబడింది. నవంబర్ 1934 లో, మిచెల్ వివరణాత్మక డిజైన్ పనిని ప్రారంభించాడు. [2] డిసెంబర్ 1 న వైమానిక మంత్రిత్వ శాఖ AM 361140/34 ను జారీ చేసింది, ఒకే నమూనా నిర్మాణానికి £ 10,000 అందిస్తుంది. [3] 1933 లో, ఫ్రెడెరిక్ విలియం హిల్ మరియు"&amp;" అతని 13 ఏళ్ల కుమార్తె హాజెల్ తుపాకీ ఫైరింగ్ ట్రయల్స్ నుండి డేటాను విశ్లేషించారు మరియు కొత్త తరం యోధుల అధిక వేగంతో తగినంత ఫైర్‌పవర్ ఇవ్వడానికి ఎనిమిది .303 మెషిన్ గన్స్ అవసరమని తేల్చారు. వైమానిక మంత్రిత్వ శాఖలో కార్యాచరణ అవసరాల విభాగానికి చెందిన స్క్వాడ్ర"&amp;"న్ నాయకుడు రాల్ఫ్ సోర్లే చేసిన సిఫారసు తరువాత, ఏప్రిల్ 1935 లో స్పిట్‌ఫైర్ యొక్క ఆయుధాల అవసరాన్ని రెండు 0.303 నుండి (7.7 మిమీ) విక్కర్స్ మెషిన్ గన్స్ ప్రతి వింగ్‌లోని నాలుగు 0.303 లో (7.7 మిమీ) M1919 లో మార్చారు. బ్రౌనింగ్ మెషిన్ గన్స్,. [3] [4] [5] అదనపు"&amp;" తుపాకులను పూర్తిగా జతచేయడానికి uter టర్ వింగ్ విభాగం చాలా సన్నగా ఉంది, కాబట్టి చిన్న అండర్ సైడ్ బ్లిస్టర్ ఫెయిరింగ్స్ ప్రొడక్షన్ మెషీన్లకు జోడించబడతాయి. ఇంతలో, పివి-ఎక్స్ఐఐ దాని శీతలకరణిని నీటి నుండి ఇథిలీన్ గ్లైకాల్ గా మార్చింది, వికృతమైన బాష్పీభవన శీతల"&amp;"ీకరణ వ్యవస్థను వదిలివేయడానికి మరియు భర్తీ చేసిన డక్టెడ్ రేడియేటర్ చేత భర్తీ చేయబడటానికి వీలు కల్పించింది, దీనిని ఇటీవల ఫ్రెడెరిక్ మెరెడిత్ రాయల్ ఎయిర్క్రాఫ్ట్ ఎస్టాబ్లిష్మెంట్, ఫర్న్‌బోర్గ్ వద్ద అభివృద్ధి చేశారు మరియు వాస్తవానికి ఒక చిన్నది జెట్ థ్రస్ట్ మ"&amp;"ొత్తం. [6] 1935 ఆగస్టు నాటికి రెండు మార్పులు రూపకల్పనలో చేర్చబడ్డాయి. [7] K5054 లో నిర్మాణం డిసెంబర్ 1934 లో ప్రారంభమైంది, అయినప్పటికీ బిల్డ్ యొక్క ప్రారంభ దశలలో డిజైన్ అభివృద్ధి చెందుతూనే ఉంది, ప్రోటోటైప్ ఓవల్ రియర్ ఫ్యూజ్‌లేజ్, కొద్దిగా తగ్గిన రెక్కల వ్"&amp;"యవధి మరియు స్లైడింగ్ పందిరి వెనుక వెనుక దృష్టి కాక్‌పిట్ గ్లేజింగ్. [8] మాస్-ప్రొడక్షన్ డిజైన్ల యొక్క అనేక ప్రోటోటైప్‌ల మాదిరిగానే, మొదటి రకం 300 ఎక్కువగా చేతితో నిర్మించాల్సి ఉంది మరియు దాని సాధారణ నిర్మాణం ప్రతిపాదిత ఉత్పత్తి రూపకల్పనను అనుసరించినప్పటిక"&amp;"ీ, దాని వివరాలు అనేక విధాలుగా విభిన్నంగా ఉన్నాయి. ప్రాథమిక రెక్కల ప్రణాళిక చాలా ఉత్పత్తి స్పిట్‌ఫైర్‌ల కోసం ఒకే విధంగా ఉండటమే అయినప్పటికీ, ప్రోటోటైప్‌లో సమగ్ర చిట్కాలు ఉన్నాయి మరియు ఎలిప్టికల్ వింగ్ యొక్క డబుల్-కర్వేచర్‌కు సరిపోయేలా ఆల్క్‌క్లాడ్ స్కిన్నిం"&amp;"గ్ చేతితో కత్తిరించబడింది, ఎగువ స్కిన్నింగ్ స్పాన్వైస్ స్ట్రిప్స్‌లో వేయబడింది మరియు తీగ స్ట్రిప్స్‌లో అండర్ సైడ్. అదేవిధంగా, ఫ్యూజ్‌లేజ్ మరియు తోక ఒకే ఇంటిగ్రేటెడ్ అసెంబ్లీ, ఇంజిన్‌కు చాలా చిన్న కౌలింగ్ ప్యానెల్లు ఉన్నాయి. [9] తరువాత మార్చబడిన ఇతర ప్రారం"&amp;"భ రూపకల్పన లక్షణాలలో స్థిర-పిచ్ ప్రొపెల్లర్, మొండి . పోర్ట్ వింగ్ కింద రేడియేటర్ డక్ట్ తీసుకోవడం స్టార్‌బోర్డ్ అండర్ క్యారేజ్ లెగ్ బేతో ఫ్లష్‌ను నడిపింది, ఇది బే యొక్క కోణానికి అనుగుణంగా ఉంది. ప్రముఖ అంచు నుండి అంచనా వేయబడిన పొడవైన పిటోట్ ట్యూబ్ వింగ్టిప్"&amp;" వైపుకు దూరంగా ఉంది. [10] ఎయిర్‌ఫ్రేమ్ పూర్తయినప్పుడు మెర్లిన్ ఇంజిన్ ఇంకా అభివృద్ధిలో ఉంది. ప్రారంభ ట్రయల్స్ కోసం అమర్చిన ఇంజిన్ ఒక ప్రోటోటైప్ మెర్లిన్ సి 990 హెచ్‌పి (738 కిలోవాట్), ఆరు స్టబ్ ఎగ్జాస్ట్ పోర్ట్‌లు ప్రతి వైపు నుండి పొడుచుకు వస్తాయి, ఏరో-ప్"&amp;"రొడక్ట్స్ ""వాట్స్"" రెండు-బ్లేడెడ్, చెక్క స్థిర-పిచ్ ప్రొపెల్లర్‌ను నడుపుతున్నాయి. ప్రోటోటైప్‌కు RAF సీరియల్ నంబర్ K5054 కేటాయించబడింది. ఫిబ్రవరి 1936 లో మొదట గ్రౌండ్ టెస్టుల కోసం ప్రారంభమైనప్పుడు, ఆయుధాలు వ్యవస్థాపించబడలేదు మరియు అండర్ క్యారేజ్ తలుపులు "&amp;"కూడా లేవు. దీని RAF గుర్తులు పెయింట్ చేయని ఎయిర్‌ఫ్రేమ్‌లోకి నేరుగా వర్తించబడ్డాయి. [11] [12] మిచెల్ తన టైప్ 300 ను ఇప్పుడు స్పిట్‌ఫైర్ అని పిలుస్తారు, వీలైనంత వేగంగా మరియు సొగసైనదిగా ఉండాలని కోరుకున్నారు. దాని మొదటి విమానాల తరువాత (క్రింద చూడండి), K5054 "&amp;"కి ఒక సాధారణ విమానం కంటే రోల్స్ రాయిస్ కారులో హై-గ్రేడ్ పెయింట్ ముగింపు ఇవ్వబడింది. కారుపై అనుభవించిన కార్మికులు అన్ని రివెట్స్, ప్యానెల్ జాయింట్లు మరియు ఇతర ఉపరితల మచ్చలను కవర్ చేయడానికి ఫిల్లర్ కోటును ఉపయోగించారు మరియు దానిని మృదువైన ముగింపుకు రుద్దుతార"&amp;"ు. అప్పుడు వారు అధిక గ్లోస్ సాధించడానికి అనేక కోట్ పెయింట్ను ఉపయోగించారు. ఉపయోగించిన రంగు చర్చకు సంబంధించినది. దీనిని ""ఫ్రెంచ్ గ్రే"", ""బ్లూ-గ్రే"", ""లేత బ్లూ"" లేదా ""సెరులియన్ బ్లూ"" అని వర్ణించారు. [గమనికలు 1] ప్రతిరూపం నిర్మించబడుతున్నప్పుడు K5054 "&amp;"యొక్క డెస్క్‌టాప్ మోడల్ కనుగొనబడింది మరియు పెయింట్ ఉపయోగించబడింది దాని లేత నీలం-ఆకుపచ్చ ముగింపు అసలు నుండి మిగిలిపోయినట్లు చెప్పబడింది. శ్రమతో కూడిన ముగింపు విమాన పరిస్థితులలో పెళుసుగా నిరూపించబడింది మరియు విమానం బరువుకు అధికంగా జోడించబడింది. ఇది స్పీడ్ స"&amp;"్పిట్‌ఫైర్ అని పిలువబడే మరొక స్పిట్‌ఫైర్‌కు మాత్రమే వర్తించబడింది. దాని తొలి ఫ్లైట్ కోసం, టేకాఫ్‌లో సహాయపడటానికి ప్రోటోటైప్ టైప్ 300 ను చక్కటి-పిచ్ ప్రొపెల్లర్‌తో అమర్చారు మరియు భద్రత కోసం అండర్ క్యారేజ్ లాక్ చేయబడింది. 5 మార్చి 1936 న, విక్కర్స్ కోసం చీఫ"&amp;"్ టెస్ట్ పైలట్ అయిన కెప్టెన్ జోసెఫ్ ""మట్"" సమ్మర్స్ దీనిని ఈస్ట్లీ ఏరోడ్రోమ్ (ఇప్పుడు సౌతాంప్టన్ విమానాశ్రయం) నుండి తీసుకువెళ్లారు. [13] [14] [9] ఫ్లైట్ ఎనిమిది నిమిషాలు కొనసాగింది. [4] ల్యాండింగ్‌లో, సమ్మర్స్ వెంటనే గ్రౌండ్ క్రూతో, ""నేను తాకడం నాకు ఇష్"&amp;"టం లేదు!"" స్పిట్‌ఫైర్ మచ్చలేనిదని అర్థం చేసుకోవడానికి ఇది తరచుగా తప్పుగా అర్ధం చేసుకోబడుతుంది, కాని వాస్తవానికి సమ్మర్స్ కేవలం ఏదైనా ముందు మిచెల్ మరియు డిజైన్ బృందంతో ఫ్లైట్‌ను మాట్లాడాలని కోరుకున్నారు, ముఖ్యంగా నియంత్రణ సెట్టింగులు మార్చబడ్డాయి. [13] [1"&amp;"5] దాని తదుపరి విమానానికి K5054 కొత్త, ముతక-పిచ్ హై-స్పీడ్ ప్రొపెల్లర్‌తో అమర్చబడింది మరియు దాని అండర్ క్యారేజ్ అన్‌లాక్ చేయబడింది. ఇప్పటి నుండి, ఫ్లైట్ సమయంలో అండర్ క్యారేజ్ ఉపసంహరించబడుతుంది. వేసవికాలం 10 మార్చి 1936 నుండి మరో మూడు విమానాలు చేసింది. [13"&amp;"] అప్పుడు నవీకరించబడిన ఇంజిన్ అమర్చబడింది మరియు మార్చి 24 నుండి వేసవికాలం అతని సహాయకులు జెఫ్రీ క్విల్ మరియు జార్జ్ పికరింగ్‌లకు పరీక్ష-ఎగిరేవారిని వదిలివేసింది. స్పిట్‌ఫైర్ చాలా మంచి విమానం అని వారు త్వరలోనే కనుగొన్నారు, కానీ పరిపూర్ణంగా లేదు. [16] చుక్కా"&amp;"ని అధికంగా ఉంది, మరియు అగ్ర వేగం గంటకు కేవలం 330 మైళ్ళు (గంటకు 530 కిమీ), సిడ్నీ కామ్ యొక్క కొత్త మెర్లిన్-శక్తితో కూడిన హరికేన్ కంటే చాలా వేగంగా ఉంది. [4] ఫార్న్‌బరో వద్ద విమానం యొక్క గ్రౌండ్ రెసొనెన్స్ పరీక్ష ఏప్రిల్‌లో జరిగింది. అధిక వింగ్ ఫ్లట్టర్ గుర"&amp;"్తించబడింది మరియు గంటకు 380 మైళ్ళు (గంటకు 610 కిమీ) వేగ పరిమితి విధించింది. ఈస్ట్లీకి తిరిగి, చుక్కాని బ్యాలెన్స్, ఎయిర్ తీసుకోవడం మరియు ఇంజిన్ కౌనింగ్‌లు సవరించబడ్డాయి, పైన వివరించిన బ్లూ పెయింట్ పథకం ఇచ్చిన విమానం మరియు అండర్ క్యారేజ్ తలుపులు అమర్చారు. "&amp;"విమానంలో ఉన్నప్పుడు చక్రం యొక్క బయటి సగం మూసివేయడానికి వీటిలో రెండవ తలుపు ఉంది, ప్రధానమైనదాన్ని అరికట్టారు. [17] మే 11 న పరీక్ష తిరిగి ప్రారంభమైంది. నిర్వహణ మెరుగుపడింది, కాని గరిష్ట వేగం ఇంకా గంటకు 335 మైళ్ళు (గంటకు 539 కిమీ) మాత్రమే. మే 15 న ఒక కొత్త ప్"&amp;"రొపెల్లర్ రూపకల్పన చేయబడింది మరియు తయారు చేయబడింది, గంటకు 348 మైళ్ళకు (గంటకు 560 కిమీ), చివరికి హరికేన్‌ను అధిగమించి, ప్రపంచంలో అత్యంత వేగవంతమైన సైనిక విమానంగా ఖ్యాతిని సంపాదించింది. [18] [[ ఈ నమూనా మే 26 న RAF మార్టెల్షామ్ హీత్‌కు విమానం &amp; ఆయుధ ప్రయోగాత్"&amp;"మక స్థాపన (A &amp; AEE) సేవా మూల్యాంకనం కోసం పంపిణీ చేయబడింది. RAF పై తమ చేతులను పొందడానికి చాలా ఆసక్తిగా ఉంది, వారు సంప్రదాయంతో విరిగిపోయారు మరియు ఫ్లైట్ లెఫ్టినెంట్ హంఫ్రీ ఎడ్వర్డ్స్-జోన్స్ అదే రోజున దాన్ని మళ్ళీ తీసుకున్నారు. [18] కొత్త విమానాలకు సిబ్బంది "&amp;"బాగా అలవాటు పడ్డారు, కాని స్పిట్‌ఫైర్ అసాధారణమైన ఆసక్తిని సృష్టించింది మరియు కుక్‌లు కూడా చూడటానికి వచ్చారు, ఇప్పటికీ వారి తెల్ల టోపీలలో, చూడటానికి. [18] ఎడ్వర్డ్స్-జోన్స్ విమానం యొక్క సానుకూల నివేదికను ఇచ్చారు, స్పిట్‌ఫైర్‌ను అండర్ క్యారేజ్ పొజిషన్ ఇండిక"&amp;"ేటర్‌తో మాత్రమే కలిగి ఉండాలని కోరింది, ఎందుకంటే అతను దానిని ల్యాండింగ్ కోసం తగ్గించడం మరచిపోయాడు. [4] [20] ట్రయల్స్ కొనసాగుతున్నప్పుడు, వైమానిక మంత్రిత్వ శాఖ పూర్తి మూల్యాంకనం మరియు నివేదిక కోసం వేచి ఉండలేదు, కానీ జూన్ 3 న దాని మొదటి ఉత్పత్తి క్రమాన్ని ఉం"&amp;"చింది. [21] స్పెసిఫికేషన్ F.16/36, ఆర్డర్‌తో పాటు జారీ చేయబడింది, చాలా మెరుగుదలలను కలిగి ఉంది, ఉత్పత్తి సంస్కరణకు పూర్తి కొత్త డిజైన్ డ్రాయింగ్‌లు అవసరమవుతాయి. జూన్ 16 న, రెండు రోజుల తరువాత ఒక ప్రెస్ డే కోసం ఈ నమూనాను ఈస్ట్లీకి తిరిగి మార్చారు, ఫ్లైట్ సమయ"&amp;"ంలో చమురును కోల్పోయింది. జెఫ్రీ క్విల్ ఈ రోజును ఎలాగైనా తీసుకున్నాడు, నిర్ణీత ప్రెస్ ఫోటోగ్రాఫర్‌ల గుంపు మధ్య, మరియు అతని టేకాఫ్ పరుగులో ఉన్నప్పుడు చమురు పీడనం సున్నాకి పడిపోయింది. అప్పటికి టేకాఫ్‌కు కట్టుబడి, అతను శీఘ్ర సర్క్యూట్ పూర్తి చేసి, కనిపెట్టబడల"&amp;"ేదు. చమురు పైపు వదులుగా వచ్చింది, అయితే ఇది ఉన్నప్పటికీ ఇంజిన్ అంతటా సంపూర్ణంగా ప్రదర్శించింది. మరింత ట్రయల్స్ తరువాత, ఎడ్వర్డ్స్-జోన్స్ K5054 లో ఫ్లయింగ్ డిస్ప్లేని ఇచ్చింది, హెండన్ RAF ప్రదర్శనలో భారీ సమూహాల ముందు 27 జూన్ 1936 శనివారం. కొన్ని రోజుల తరువ"&amp;"ాత వేసవికాలం SBAC ప్రదర్శన కోసం హాట్ఫీల్డ్కు తీసుకువెళ్ళింది, ఇది స్టార్ ఎగ్జిబిట్ , ఏరోబాటిక్స్ యొక్క ప్రదర్శనను ఇవ్వడం మరియు మీడియా మరియు పరిశ్రమ నుండి తీవ్రమైన ఆసక్తిని ఆకర్షించడం. [22] [23] మార్టెల్షామ్ హీత్ వద్ద తిరిగి, స్పీడ్ టెస్ట్స్ సమస్యాత్మకమైన "&amp;"ద్వితీయ అండర్ క్యారేజ్ తలుపులు అనవసరంగా ఉన్నాయని నిరూపించాయి మరియు అవి తొలగించబడ్డాయి. ఎనిమిది .303 ""బ్రౌనింగ్ మెషిన్-గన్ ఆయుధాల యొక్క ప్రామాణిక సెట్ రెక్కలతో అమర్చబడింది, ఇప్పటికే వాటికి అనుగుణంగా రూపొందించబడింది, తదనుగుణంగా సవరించబడింది. [24] ఒక అప్‌ప్"&amp;"రేటెడ్ మెర్లిన్ ఎఫ్ కోసం ఇంజిన్ కూడా మార్చబడింది. ట్రయల్స్ స్ప్లిట్ బఠానీలతో కొనసాగాయి. గోపురం-తలల రివెట్‌లను అనుకరించటానికి ఎయిర్‌ఫ్రేమ్, ఇవి తక్కువ ఖర్చుతో మరియు సమయం తీసుకునేవి, కానీ ఫ్లష్ కౌంటర్‌ఎన్‌టంక్ కంటే ఎక్కువ డ్రాగ్‌కు కారణమయ్యాయి. ఉత్పత్తి యంత"&amp;"్రాలపై ప్రతి రకమైన రివెట్ కోసం ప్రాంతాలను నిర్ణయించడానికి ఫలితాలు ఉపయోగించబడ్డాయి. ఒక రేడియో మరియు వైమానిక అమర్చారు, మరియు టెయిల్‌స్కిడ్ ఒక ట్విన్ టెయిల్‌వీల్ అసెంబ్లీతో భర్తీ చేయబడింది. ఈ చివరిది త్వరగా ఒకే టెయిల్‌వీల్ ద్వారా భర్తీ చేయబడింది, బురదతో అడ్డ"&amp;"ుపడే ధోరణి కారణంగా. [25] తక్కువ చమురు పీడనం మరియు పర్యవసానంగా చక్రాల కారణంగా ఇంజిన్ వైఫల్యం తరువాత 22 మార్చి 1937 న సామ్ మెక్కెన్నా చేతిలో బలవంతంగా ల్యాండింగ్ చేయడం, ఒక ప్రోటోటైప్ ట్రిపుల్ ఎజెక్టర్ ఎగ్జాస్ట్ అమర్చబడింది. రోల్స్ రాయిస్ మెర్లిన్ కోసం అభివృద"&amp;"్ధి చేయబడింది, ఇది అన్ని ప్రారంభ ఉత్పత్తి మెర్లిన్ల లక్షణంగా మారుతుంది. అనేక ఇతర వాటితో పాటు చిన్న మెరుగుదలలు, ఈ విమానం ఎగువ ఉపరితలాలపై ముదురు భూమి/ముదురు ఆకుపచ్చ రంగు యొక్క ప్రామాణిక RAF మభ్యపెట్టడంలో వెండి డోప్ ముగింపుతో తిరిగి పెయింట్ చేయబడింది. సెప్టె"&amp;"ంబర్ 19 న, కొత్త ఎగ్జాస్ట్‌లు 70 పౌండ్ల థ్రస్ట్‌ను 300 mph వద్ద 70 హెచ్‌పికి సమానం మరియు గరిష్ట వేగంతో గంటకు 360 మైళ్ల వరకు (580 కిమీ/గం) నెట్టడం జరిగిందని కనుగొనబడింది. . వరల్డ్ స్పీడ్ రికార్డ్‌లో ప్రణాళికాబద్ధమైన ప్రయత్నం నిలిపివేయబడింది మరియు బదులుగా మ"&amp;"ెర్లిన్‌లో అభివృద్ధి పనులను కొనసాగించడానికి యంత్రం ఉపయోగించబడింది. హిట్లర్ పోలాండ్ పై దాడి చేసిన మూడు రోజుల తరువాత, శత్రుత్వాల ప్రారంభాన్ని గుర్తించింది మరియు బ్రిటన్ జర్మనీపై యుద్ధం ప్రకటించిన మరుసటి రోజు, 4 సెప్టెంబర్ 1939 న FLT చేతిలో ఒక ఇబ్బందికరమైన ల"&amp;"్యాండింగ్. లెఫ్టినెంట్ గిల్బర్ట్ స్టాన్బ్రిడ్జ్ ""స్పిన్నర్"" వైట్, ముక్కు-మొదట దాని వెనుక భాగంలో యంత్రం చిట్కా చేయడానికి దారితీసింది. ఫ్యూజ్‌లేజ్ విరిగింది మరియు వైట్ యాంకర్ పాయింట్ నుండి సుట్టన్ భద్రతా జీను వరకు మెడ గాయాలకు గురైంది, మరుసటి రోజు చనిపోతుం"&amp;"ది. ప్రమాదం వ్యవస్థను పున es రూపకల్పన చేయడానికి దారితీసింది. [27] [9] [28] శిధిలాల భాగాలు తరువాత నిఘా కెమెరా ఇన్‌స్టాలేషన్ ట్రయల్స్ కోసం ఉపయోగించబడ్డాయి, కానీ అది ఎప్పుడూ పునర్నిర్మించబడలేదు. రాబిన్సన్ 1977 (జనరల్) నుండి డేటా. క్రాస్ 1971, పే. 17 (పెర్ఫార"&amp;"్మెన్స్) .నెరల్ క్యారెక్టరిస్టిక్స్ పెర్ఫార్మెన్స్ మొదటిది (యుఎస్ మరియు కెనడాలో స్పిట్‌ఫైర్ అని కూడా పిలుస్తారు) (1942) లెస్లీ హోవార్డ్ నిర్మించిన మరియు దర్శకత్వం వహించిన బ్రిటిష్ చిత్రం. [30] ఈ చిత్రం యొక్క చివరి 15 నిమిషాల్లో కనిపించే ఏరోబాటిక్ సీక్వెన్"&amp;"సులు K5054 లో అసలు టెస్ట్ పైలట్ అయిన జెఫ్రీ క్విల్ చేత ఎగిరిపోయాయి, నవంబర్ 1941 ప్రారంభంలో స్పిట్‌ఫైర్ MK II ఎగురుతూ ప్రోటోటైప్‌ను సూచించడానికి ఎగతాళి చేసింది. మాజీ సూపర్మారిన్ టెస్ట్ పైలట్ జెఫ్రీ క్విల్ 1983 లో దాని డిజైనర్ ఆర్.జె.కు స్మారక చిహ్నంగా శాశ్"&amp;"వత బహిరంగ ప్రదర్శన కోసం K5054 యొక్క ఖచ్చితమైన పూర్తి-స్థాయి ప్రతిరూపాన్ని నిర్మించటానికి నిర్ణయించారు. మిచెల్. అసలు సూపర్ మేరిన్ డిజైన్ బృందం మరియు స్పిట్‌ఫైర్ సొసైటీ సభ్యులు మిచెల్ కుమారుడు గోర్డాన్‌తో కలిసి, వారు ప్రతిరూపాన్ని సృష్టించడానికి ఆండోవర్ యొక"&amp;"్క ఏరోఫాబ్ పునరుద్ధరణలను నియమించారు. [31] క్విల్ దాని ఖచ్చితత్వాన్ని ""అసలు ప్రోటోటైప్‌కు 99%"" గా అభివర్ణించింది, అయినప్పటికీ ఇది ఎగిరేది కాదు. మొత్తం రంగు K5054 యొక్క డెస్క్‌టాప్ మోడల్ నుండి కాపీ చేయబడింది, అసలు యంత్రం నుండి మిగిలిపోయిన పెయింట్ ఉపయోగించ"&amp;"ి పూర్తయిందని నమ్ముతారు. క్విల్ ఏప్రిల్ 1993 లో హెండన్లోని RAF మ్యూజియంలో ప్రతిరూపాన్ని ప్రజలకు ఆవిష్కరించారు. టాంగ్మెర్ మిలిటరీ ఏవియేషన్ మ్యూజియంకు దీర్ఘకాలిక రుణ కాలం తరువాత, స్పిట్‌ఫైర్ సొసైటీ దీనిని ఏప్రిల్ 2013 లో శాశ్వతంగా మ్యూజియంకు విరాళంగా ఇచ్చిం"&amp;"ది. [4] [5] స్విండన్ ఆధారిత వైకింగ్ టాక్సీల యజమాని మరియు వైకింగ్ వుడ్ ప్రొడక్ట్స్ మేనేజర్ క్లైవ్ డు క్రాస్ 1984 లో కలప నుండి ఎగిరే ప్రతిరూప స్పైట్‌ఫైర్‌ను నిర్మించారు. సవరించిన జాగ్వార్ వి -12 ఇంజిన్ 350 హార్స్‌పవర్ (260 కిలోవాట్) ద్వారా 2.77 ద్వారా శక్తి"&amp;"ని అందించింది. : 1 తగ్గింపు గేర్‌బాక్స్ దాని స్థిరమైన-స్పీడ్ ప్రొపెల్లర్‌కు. రిజిస్టర్డ్ G-BRDV, ప్రతిరూపం K5054 యొక్క బ్లూ-గ్రీన్ లివరీలో పెయింట్ చేయబడింది. గరిష్ట టేకాఫ్ బరువు (MTOW) 1,134 కిలోలు (2,500 పౌండ్లు). ఆల్-మెటల్ ఒరిజినల్‌తో పోలిస్తే దాని తక్క"&amp;"ువ బరువు ఉన్నందున, ఇది ల్యాండింగ్ విధానంలో తేలుతుంది. క్రొత్త యజమానికి అమ్మిన తరువాత, ఇది 22 సెప్టెంబర్ 1997 న వాయు యోగ్యత విమాన పరీక్షలో క్రాష్ అయ్యింది మరియు పైలట్ గాయపడలేదు. ప్రస్తుతం స్టాటిక్ డిస్ప్లేలో ఉన్న హాకింగేలోని కెంట్ బాటిల్ ఆఫ్ బ్రిటన్ మ్యూజి"&amp;"యం. [35] [36] K5054 యొక్క ఉప-స్థాయి మోడల్ సౌతాంప్టన్ విమానాశ్రయం ప్రవేశద్వారం వద్ద రౌండ్అబౌట్లో స్పిట్ ఫైర్ మెమోరియల్ శిల్పకళ యొక్క ప్రధాన కేంద్రంగా ఏర్పడుతుంది, ఇది ఈస్ట్లీ ఏరోడ్రోమ్ వలె, విమానం యొక్క ప్రారంభ ఇల్లు. ఈ శిల్పాన్ని 2003 లో అలాన్ మన్నింగ్ రూ"&amp;"పొందించారు మరియు ఈస్ట్లీ బరో కౌన్సిల్ నిర్మించారు. దీనిని 2004 లో మిచెల్ కుమారుడు డాక్టర్ గోర్డాన్ మిచెల్ ఆవిష్కరించారు. [37] [38] [39] ఆస్ట్రేలియన్ రిజిస్ట్రేషన్ 19-5054 అనేది K5054 యొక్క te త్సాహిక-నిర్మిత వినోద ప్రతిరూపం, దాని లేత నీలం బ్లూ లివరీలో. ఇద"&amp;"ి మూడు-క్వార్టర్ స్కేల్ సెట్ బాహ్య వింగ్ ప్యానెల్లు మరియు ఆస్ట్రేలియన్ సూపర్మారిన్ స్పిట్‌ఫైర్ MK 25 హోమ్‌బిల్డ్ కిట్ నుండి కొన్ని ఫ్యూజ్‌లేజ్ స్ట్రక్చర్ చుట్టూ ఖచ్చితమైన నిష్పత్తిలో నిర్మించబడింది. 100 హార్స్‌పవర్ (75,000 W) రోటాక్స్ ఇంజిన్‌తో నడిచే ఇది "&amp;"మూడు-బ్లేడెడ్ స్థిరమైన స్పీడ్ ప్రొపెల్లర్ మరియు ముడుచుకునే అండర్ క్యారేజీని కలిగి ఉంది. గరిష్ట క్రూయిజ్ వేగం 130 నాట్లు (గంటకు 240 కిమీ). పెయింట్ రంగు UK స్పిట్‌ఫైర్ మ్యూజియంలోని బొమ్మ ట్రక్కుతో సరిపోతుంది, ఇది అసలు నుండి మిగిలిపోయిన పెయింట్‌లో పూర్తయింది"&amp;" మరియు మిచెల్ కొడుకుకు ఇవ్వబడింది. [40] [గమనికలు 2] క్రిస్ వెబెర్ నిర్మించారు మరియు మొదట 19-6054 నమోదు చేయబడింది, ఇప్పటికీ అసంపూర్ణంగా వర్జిన్ ఆస్ట్రేలియాకు చెందిన కెప్టెన్ నీల్ కూపర్‌కు విక్రయించబడింది. అతను మొదట దీనిని 2017 లో ఆస్ట్రేలియాలోని న్యూ సౌత్ "&amp;"వేల్స్లోని టారి వద్ద ప్రయాణించాడు. [40] [41]")</f>
        <v>సూపర్ మేరిన్ స్పిట్‌ఫైర్ 1930 ల మధ్యలో చీఫ్ డిజైనర్ ఆర్. జె. మిచెల్ చేత స్వల్ప-శ్రేణి, అధిక-పనితీరు గల ఇంటర్‌కప్టర్ విమానంగా అభివృద్ధి చేయబడింది. సైనిక సీరియల్ K5054 ను స్వీకరించిన ఒక నమూనా మాత్రమే జరిగింది. 5 మార్చి 1936 న దాని మొదటి విమానంలో, పైలట్ "మట్" సమ్మర్స్ తన ప్రసిద్ధమైన కానీ చాలా తరచుగా తప్పుగా అర్ధం చేసుకున్న వ్యాఖ్యగా, "నేను తాకడం ఏమీ కోరుకోను!" దాని అత్యుత్తమ రూపాలు మరియు పనితీరు అది కనిపించిన చోట గణనీయమైన కదిలించింది. ఈ విమానం దాని జీవితమంతా ప్రగతిశీల మార్పులకు గురైంది, చివరికి ప్రొడక్షన్ ప్రమాణంగా మార్చబడుతుంది. ఇది చాలాసార్లు క్రాష్ అయ్యింది, చివరకు ప్రాణాంతకంగా క్రాష్ అయ్యింది మరియు రెండవ ప్రపంచ యుద్ధం విచ్ఛిన్నం కావడంతో వ్రాయబడింది. మిచెల్‌కు స్మారక చిహ్నంగా స్థిరమైన వాటితో సహా అనేక ప్రతిరూపాలు నిర్మించబడ్డాయి. కనీసం ఒకటి ఎగురుతుంది. సూపర్ మేరిన్ 1934 లో టైప్ 300 అభివృద్ధిని ప్రారంభించింది, విజయవంతం కాని టైప్ 224 ప్రోటోటైప్ తరువాత ఒక ప్రైవేట్ వెంచర్‌గా. [1] చీఫ్ డిజైనర్ ఆర్. జె. మిచెల్ మరియు అతని బృందం టైప్ 224 ను వారి ప్రారంభ బిందువుగా తీసుకున్నారు మరియు ష్నైడర్ ట్రోఫీ సీప్లేన్స్‌తో వారి అనుభవాన్ని కొనసాగించారు. ముడుచుకునే అండర్ క్యారేజ్, పరివేష్టిత కాక్‌పిట్, ఆక్సిజన్-శ్వాస ఉపకరణం మరియు చిన్న మరియు సన్నని రెక్కలతో సహా ప్రగతిశీల మెరుగుదలలతో టైప్ 300 గణనీయంగా శుభ్రం చేయబడింది. ఈ దశలో విలక్షణమైన ఎలిప్టికల్ వింగ్ అభివృద్ధి చేయబడింది, ఇది సన్నని క్రాస్-సెక్షన్‌లో ఆయుధాలు మరియు అండర్ క్యారేజీకి అనుగుణంగా ఉండటానికి వీలు కల్పిస్తుంది, తద్వారా విమానం అధిక గరిష్ట వేగాన్ని సాధించడంలో సహాయపడుతుంది. కొత్తగా అభివృద్ధి చెందిన రోల్స్ రాయిస్ పివి-xii వి -12 ఇంజిన్, త్వరలో మెర్లిన్ అని పిలువబడుతుంది, ఇది ప్రారంభం నుండి స్వీకరించబడింది. నవంబర్ 1934 లో, మిచెల్ వివరణాత్మక డిజైన్ పనిని ప్రారంభించాడు. [2] డిసెంబర్ 1 న వైమానిక మంత్రిత్వ శాఖ AM 361140/34 ను జారీ చేసింది, ఒకే నమూనా నిర్మాణానికి £ 10,000 అందిస్తుంది. [3] 1933 లో, ఫ్రెడెరిక్ విలియం హిల్ మరియు అతని 13 ఏళ్ల కుమార్తె హాజెల్ తుపాకీ ఫైరింగ్ ట్రయల్స్ నుండి డేటాను విశ్లేషించారు మరియు కొత్త తరం యోధుల అధిక వేగంతో తగినంత ఫైర్‌పవర్ ఇవ్వడానికి ఎనిమిది .303 మెషిన్ గన్స్ అవసరమని తేల్చారు. వైమానిక మంత్రిత్వ శాఖలో కార్యాచరణ అవసరాల విభాగానికి చెందిన స్క్వాడ్రన్ నాయకుడు రాల్ఫ్ సోర్లే చేసిన సిఫారసు తరువాత, ఏప్రిల్ 1935 లో స్పిట్‌ఫైర్ యొక్క ఆయుధాల అవసరాన్ని రెండు 0.303 నుండి (7.7 మిమీ) విక్కర్స్ మెషిన్ గన్స్ ప్రతి వింగ్‌లోని నాలుగు 0.303 లో (7.7 మిమీ) M1919 లో మార్చారు. బ్రౌనింగ్ మెషిన్ గన్స్,. [3] [4] [5] అదనపు తుపాకులను పూర్తిగా జతచేయడానికి uter టర్ వింగ్ విభాగం చాలా సన్నగా ఉంది, కాబట్టి చిన్న అండర్ సైడ్ బ్లిస్టర్ ఫెయిరింగ్స్ ప్రొడక్షన్ మెషీన్లకు జోడించబడతాయి. ఇంతలో, పివి-ఎక్స్ఐఐ దాని శీతలకరణిని నీటి నుండి ఇథిలీన్ గ్లైకాల్ గా మార్చింది, వికృతమైన బాష్పీభవన శీతలీకరణ వ్యవస్థను వదిలివేయడానికి మరియు భర్తీ చేసిన డక్టెడ్ రేడియేటర్ చేత భర్తీ చేయబడటానికి వీలు కల్పించింది, దీనిని ఇటీవల ఫ్రెడెరిక్ మెరెడిత్ రాయల్ ఎయిర్క్రాఫ్ట్ ఎస్టాబ్లిష్మెంట్, ఫర్న్‌బోర్గ్ వద్ద అభివృద్ధి చేశారు మరియు వాస్తవానికి ఒక చిన్నది జెట్ థ్రస్ట్ మొత్తం. [6] 1935 ఆగస్టు నాటికి రెండు మార్పులు రూపకల్పనలో చేర్చబడ్డాయి. [7] K5054 లో నిర్మాణం డిసెంబర్ 1934 లో ప్రారంభమైంది, అయినప్పటికీ బిల్డ్ యొక్క ప్రారంభ దశలలో డిజైన్ అభివృద్ధి చెందుతూనే ఉంది, ప్రోటోటైప్ ఓవల్ రియర్ ఫ్యూజ్‌లేజ్, కొద్దిగా తగ్గిన రెక్కల వ్యవధి మరియు స్లైడింగ్ పందిరి వెనుక వెనుక దృష్టి కాక్‌పిట్ గ్లేజింగ్. [8] మాస్-ప్రొడక్షన్ డిజైన్ల యొక్క అనేక ప్రోటోటైప్‌ల మాదిరిగానే, మొదటి రకం 300 ఎక్కువగా చేతితో నిర్మించాల్సి ఉంది మరియు దాని సాధారణ నిర్మాణం ప్రతిపాదిత ఉత్పత్తి రూపకల్పనను అనుసరించినప్పటికీ, దాని వివరాలు అనేక విధాలుగా విభిన్నంగా ఉన్నాయి. ప్రాథమిక రెక్కల ప్రణాళిక చాలా ఉత్పత్తి స్పిట్‌ఫైర్‌ల కోసం ఒకే విధంగా ఉండటమే అయినప్పటికీ, ప్రోటోటైప్‌లో సమగ్ర చిట్కాలు ఉన్నాయి మరియు ఎలిప్టికల్ వింగ్ యొక్క డబుల్-కర్వేచర్‌కు సరిపోయేలా ఆల్క్‌క్లాడ్ స్కిన్నింగ్ చేతితో కత్తిరించబడింది, ఎగువ స్కిన్నింగ్ స్పాన్వైస్ స్ట్రిప్స్‌లో వేయబడింది మరియు తీగ స్ట్రిప్స్‌లో అండర్ సైడ్. అదేవిధంగా, ఫ్యూజ్‌లేజ్ మరియు తోక ఒకే ఇంటిగ్రేటెడ్ అసెంబ్లీ, ఇంజిన్‌కు చాలా చిన్న కౌలింగ్ ప్యానెల్లు ఉన్నాయి. [9] తరువాత మార్చబడిన ఇతర ప్రారంభ రూపకల్పన లక్షణాలలో స్థిర-పిచ్ ప్రొపెల్లర్, మొండి . పోర్ట్ వింగ్ కింద రేడియేటర్ డక్ట్ తీసుకోవడం స్టార్‌బోర్డ్ అండర్ క్యారేజ్ లెగ్ బేతో ఫ్లష్‌ను నడిపింది, ఇది బే యొక్క కోణానికి అనుగుణంగా ఉంది. ప్రముఖ అంచు నుండి అంచనా వేయబడిన పొడవైన పిటోట్ ట్యూబ్ వింగ్టిప్ వైపుకు దూరంగా ఉంది. [10] ఎయిర్‌ఫ్రేమ్ పూర్తయినప్పుడు మెర్లిన్ ఇంజిన్ ఇంకా అభివృద్ధిలో ఉంది. ప్రారంభ ట్రయల్స్ కోసం అమర్చిన ఇంజిన్ ఒక ప్రోటోటైప్ మెర్లిన్ సి 990 హెచ్‌పి (738 కిలోవాట్), ఆరు స్టబ్ ఎగ్జాస్ట్ పోర్ట్‌లు ప్రతి వైపు నుండి పొడుచుకు వస్తాయి, ఏరో-ప్రొడక్ట్స్ "వాట్స్" రెండు-బ్లేడెడ్, చెక్క స్థిర-పిచ్ ప్రొపెల్లర్‌ను నడుపుతున్నాయి. ప్రోటోటైప్‌కు RAF సీరియల్ నంబర్ K5054 కేటాయించబడింది. ఫిబ్రవరి 1936 లో మొదట గ్రౌండ్ టెస్టుల కోసం ప్రారంభమైనప్పుడు, ఆయుధాలు వ్యవస్థాపించబడలేదు మరియు అండర్ క్యారేజ్ తలుపులు కూడా లేవు. దీని RAF గుర్తులు పెయింట్ చేయని ఎయిర్‌ఫ్రేమ్‌లోకి నేరుగా వర్తించబడ్డాయి. [11] [12] మిచెల్ తన టైప్ 300 ను ఇప్పుడు స్పిట్‌ఫైర్ అని పిలుస్తారు, వీలైనంత వేగంగా మరియు సొగసైనదిగా ఉండాలని కోరుకున్నారు. దాని మొదటి విమానాల తరువాత (క్రింద చూడండి), K5054 కి ఒక సాధారణ విమానం కంటే రోల్స్ రాయిస్ కారులో హై-గ్రేడ్ పెయింట్ ముగింపు ఇవ్వబడింది. కారుపై అనుభవించిన కార్మికులు అన్ని రివెట్స్, ప్యానెల్ జాయింట్లు మరియు ఇతర ఉపరితల మచ్చలను కవర్ చేయడానికి ఫిల్లర్ కోటును ఉపయోగించారు మరియు దానిని మృదువైన ముగింపుకు రుద్దుతారు. అప్పుడు వారు అధిక గ్లోస్ సాధించడానికి అనేక కోట్ పెయింట్ను ఉపయోగించారు. ఉపయోగించిన రంగు చర్చకు సంబంధించినది. దీనిని "ఫ్రెంచ్ గ్రే", "బ్లూ-గ్రే", "లేత బ్లూ" లేదా "సెరులియన్ బ్లూ" అని వర్ణించారు. [గమనికలు 1] ప్రతిరూపం నిర్మించబడుతున్నప్పుడు K5054 యొక్క డెస్క్‌టాప్ మోడల్ కనుగొనబడింది మరియు పెయింట్ ఉపయోగించబడింది దాని లేత నీలం-ఆకుపచ్చ ముగింపు అసలు నుండి మిగిలిపోయినట్లు చెప్పబడింది. శ్రమతో కూడిన ముగింపు విమాన పరిస్థితులలో పెళుసుగా నిరూపించబడింది మరియు విమానం బరువుకు అధికంగా జోడించబడింది. ఇది స్పీడ్ స్పిట్‌ఫైర్ అని పిలువబడే మరొక స్పిట్‌ఫైర్‌కు మాత్రమే వర్తించబడింది. దాని తొలి ఫ్లైట్ కోసం, టేకాఫ్‌లో సహాయపడటానికి ప్రోటోటైప్ టైప్ 300 ను చక్కటి-పిచ్ ప్రొపెల్లర్‌తో అమర్చారు మరియు భద్రత కోసం అండర్ క్యారేజ్ లాక్ చేయబడింది. 5 మార్చి 1936 న, విక్కర్స్ కోసం చీఫ్ టెస్ట్ పైలట్ అయిన కెప్టెన్ జోసెఫ్ "మట్" సమ్మర్స్ దీనిని ఈస్ట్లీ ఏరోడ్రోమ్ (ఇప్పుడు సౌతాంప్టన్ విమానాశ్రయం) నుండి తీసుకువెళ్లారు. [13] [14] [9] ఫ్లైట్ ఎనిమిది నిమిషాలు కొనసాగింది. [4] ల్యాండింగ్‌లో, సమ్మర్స్ వెంటనే గ్రౌండ్ క్రూతో, "నేను తాకడం నాకు ఇష్టం లేదు!" స్పిట్‌ఫైర్ మచ్చలేనిదని అర్థం చేసుకోవడానికి ఇది తరచుగా తప్పుగా అర్ధం చేసుకోబడుతుంది, కాని వాస్తవానికి సమ్మర్స్ కేవలం ఏదైనా ముందు మిచెల్ మరియు డిజైన్ బృందంతో ఫ్లైట్‌ను మాట్లాడాలని కోరుకున్నారు, ముఖ్యంగా నియంత్రణ సెట్టింగులు మార్చబడ్డాయి. [13] [15] దాని తదుపరి విమానానికి K5054 కొత్త, ముతక-పిచ్ హై-స్పీడ్ ప్రొపెల్లర్‌తో అమర్చబడింది మరియు దాని అండర్ క్యారేజ్ అన్‌లాక్ చేయబడింది. ఇప్పటి నుండి, ఫ్లైట్ సమయంలో అండర్ క్యారేజ్ ఉపసంహరించబడుతుంది. వేసవికాలం 10 మార్చి 1936 నుండి మరో మూడు విమానాలు చేసింది. [13] అప్పుడు నవీకరించబడిన ఇంజిన్ అమర్చబడింది మరియు మార్చి 24 నుండి వేసవికాలం అతని సహాయకులు జెఫ్రీ క్విల్ మరియు జార్జ్ పికరింగ్‌లకు పరీక్ష-ఎగిరేవారిని వదిలివేసింది. స్పిట్‌ఫైర్ చాలా మంచి విమానం అని వారు త్వరలోనే కనుగొన్నారు, కానీ పరిపూర్ణంగా లేదు. [16] చుక్కాని అధికంగా ఉంది, మరియు అగ్ర వేగం గంటకు కేవలం 330 మైళ్ళు (గంటకు 530 కిమీ), సిడ్నీ కామ్ యొక్క కొత్త మెర్లిన్-శక్తితో కూడిన హరికేన్ కంటే చాలా వేగంగా ఉంది. [4] ఫార్న్‌బరో వద్ద విమానం యొక్క గ్రౌండ్ రెసొనెన్స్ పరీక్ష ఏప్రిల్‌లో జరిగింది. అధిక వింగ్ ఫ్లట్టర్ గుర్తించబడింది మరియు గంటకు 380 మైళ్ళు (గంటకు 610 కిమీ) వేగ పరిమితి విధించింది. ఈస్ట్లీకి తిరిగి, చుక్కాని బ్యాలెన్స్, ఎయిర్ తీసుకోవడం మరియు ఇంజిన్ కౌనింగ్‌లు సవరించబడ్డాయి, పైన వివరించిన బ్లూ పెయింట్ పథకం ఇచ్చిన విమానం మరియు అండర్ క్యారేజ్ తలుపులు అమర్చారు. విమానంలో ఉన్నప్పుడు చక్రం యొక్క బయటి సగం మూసివేయడానికి వీటిలో రెండవ తలుపు ఉంది, ప్రధానమైనదాన్ని అరికట్టారు. [17] మే 11 న పరీక్ష తిరిగి ప్రారంభమైంది. నిర్వహణ మెరుగుపడింది, కాని గరిష్ట వేగం ఇంకా గంటకు 335 మైళ్ళు (గంటకు 539 కిమీ) మాత్రమే. మే 15 న ఒక కొత్త ప్రొపెల్లర్ రూపకల్పన చేయబడింది మరియు తయారు చేయబడింది, గంటకు 348 మైళ్ళకు (గంటకు 560 కిమీ), చివరికి హరికేన్‌ను అధిగమించి, ప్రపంచంలో అత్యంత వేగవంతమైన సైనిక విమానంగా ఖ్యాతిని సంపాదించింది. [18] [[ ఈ నమూనా మే 26 న RAF మార్టెల్షామ్ హీత్‌కు విమానం &amp; ఆయుధ ప్రయోగాత్మక స్థాపన (A &amp; AEE) సేవా మూల్యాంకనం కోసం పంపిణీ చేయబడింది. RAF పై తమ చేతులను పొందడానికి చాలా ఆసక్తిగా ఉంది, వారు సంప్రదాయంతో విరిగిపోయారు మరియు ఫ్లైట్ లెఫ్టినెంట్ హంఫ్రీ ఎడ్వర్డ్స్-జోన్స్ అదే రోజున దాన్ని మళ్ళీ తీసుకున్నారు. [18] కొత్త విమానాలకు సిబ్బంది బాగా అలవాటు పడ్డారు, కాని స్పిట్‌ఫైర్ అసాధారణమైన ఆసక్తిని సృష్టించింది మరియు కుక్‌లు కూడా చూడటానికి వచ్చారు, ఇప్పటికీ వారి తెల్ల టోపీలలో, చూడటానికి. [18] ఎడ్వర్డ్స్-జోన్స్ విమానం యొక్క సానుకూల నివేదికను ఇచ్చారు, స్పిట్‌ఫైర్‌ను అండర్ క్యారేజ్ పొజిషన్ ఇండికేటర్‌తో మాత్రమే కలిగి ఉండాలని కోరింది, ఎందుకంటే అతను దానిని ల్యాండింగ్ కోసం తగ్గించడం మరచిపోయాడు. [4] [20] ట్రయల్స్ కొనసాగుతున్నప్పుడు, వైమానిక మంత్రిత్వ శాఖ పూర్తి మూల్యాంకనం మరియు నివేదిక కోసం వేచి ఉండలేదు, కానీ జూన్ 3 న దాని మొదటి ఉత్పత్తి క్రమాన్ని ఉంచింది. [21] స్పెసిఫికేషన్ F.16/36, ఆర్డర్‌తో పాటు జారీ చేయబడింది, చాలా మెరుగుదలలను కలిగి ఉంది, ఉత్పత్తి సంస్కరణకు పూర్తి కొత్త డిజైన్ డ్రాయింగ్‌లు అవసరమవుతాయి. జూన్ 16 న, రెండు రోజుల తరువాత ఒక ప్రెస్ డే కోసం ఈ నమూనాను ఈస్ట్లీకి తిరిగి మార్చారు, ఫ్లైట్ సమయంలో చమురును కోల్పోయింది. జెఫ్రీ క్విల్ ఈ రోజును ఎలాగైనా తీసుకున్నాడు, నిర్ణీత ప్రెస్ ఫోటోగ్రాఫర్‌ల గుంపు మధ్య, మరియు అతని టేకాఫ్ పరుగులో ఉన్నప్పుడు చమురు పీడనం సున్నాకి పడిపోయింది. అప్పటికి టేకాఫ్‌కు కట్టుబడి, అతను శీఘ్ర సర్క్యూట్ పూర్తి చేసి, కనిపెట్టబడలేదు. చమురు పైపు వదులుగా వచ్చింది, అయితే ఇది ఉన్నప్పటికీ ఇంజిన్ అంతటా సంపూర్ణంగా ప్రదర్శించింది. మరింత ట్రయల్స్ తరువాత, ఎడ్వర్డ్స్-జోన్స్ K5054 లో ఫ్లయింగ్ డిస్ప్లేని ఇచ్చింది, హెండన్ RAF ప్రదర్శనలో భారీ సమూహాల ముందు 27 జూన్ 1936 శనివారం. కొన్ని రోజుల తరువాత వేసవికాలం SBAC ప్రదర్శన కోసం హాట్ఫీల్డ్కు తీసుకువెళ్ళింది, ఇది స్టార్ ఎగ్జిబిట్ , ఏరోబాటిక్స్ యొక్క ప్రదర్శనను ఇవ్వడం మరియు మీడియా మరియు పరిశ్రమ నుండి తీవ్రమైన ఆసక్తిని ఆకర్షించడం. [22] [23] మార్టెల్షామ్ హీత్ వద్ద తిరిగి, స్పీడ్ టెస్ట్స్ సమస్యాత్మకమైన ద్వితీయ అండర్ క్యారేజ్ తలుపులు అనవసరంగా ఉన్నాయని నిరూపించాయి మరియు అవి తొలగించబడ్డాయి. ఎనిమిది .303 "బ్రౌనింగ్ మెషిన్-గన్ ఆయుధాల యొక్క ప్రామాణిక సెట్ రెక్కలతో అమర్చబడింది, ఇప్పటికే వాటికి అనుగుణంగా రూపొందించబడింది, తదనుగుణంగా సవరించబడింది. [24] ఒక అప్‌ప్రేటెడ్ మెర్లిన్ ఎఫ్ కోసం ఇంజిన్ కూడా మార్చబడింది. ట్రయల్స్ స్ప్లిట్ బఠానీలతో కొనసాగాయి. గోపురం-తలల రివెట్‌లను అనుకరించటానికి ఎయిర్‌ఫ్రేమ్, ఇవి తక్కువ ఖర్చుతో మరియు సమయం తీసుకునేవి, కానీ ఫ్లష్ కౌంటర్‌ఎన్‌టంక్ కంటే ఎక్కువ డ్రాగ్‌కు కారణమయ్యాయి. ఉత్పత్తి యంత్రాలపై ప్రతి రకమైన రివెట్ కోసం ప్రాంతాలను నిర్ణయించడానికి ఫలితాలు ఉపయోగించబడ్డాయి. ఒక రేడియో మరియు వైమానిక అమర్చారు, మరియు టెయిల్‌స్కిడ్ ఒక ట్విన్ టెయిల్‌వీల్ అసెంబ్లీతో భర్తీ చేయబడింది. ఈ చివరిది త్వరగా ఒకే టెయిల్‌వీల్ ద్వారా భర్తీ చేయబడింది, బురదతో అడ్డుపడే ధోరణి కారణంగా. [25] తక్కువ చమురు పీడనం మరియు పర్యవసానంగా చక్రాల కారణంగా ఇంజిన్ వైఫల్యం తరువాత 22 మార్చి 1937 న సామ్ మెక్కెన్నా చేతిలో బలవంతంగా ల్యాండింగ్ చేయడం, ఒక ప్రోటోటైప్ ట్రిపుల్ ఎజెక్టర్ ఎగ్జాస్ట్ అమర్చబడింది. రోల్స్ రాయిస్ మెర్లిన్ కోసం అభివృద్ధి చేయబడింది, ఇది అన్ని ప్రారంభ ఉత్పత్తి మెర్లిన్ల లక్షణంగా మారుతుంది. అనేక ఇతర వాటితో పాటు చిన్న మెరుగుదలలు, ఈ విమానం ఎగువ ఉపరితలాలపై ముదురు భూమి/ముదురు ఆకుపచ్చ రంగు యొక్క ప్రామాణిక RAF మభ్యపెట్టడంలో వెండి డోప్ ముగింపుతో తిరిగి పెయింట్ చేయబడింది. సెప్టెంబర్ 19 న, కొత్త ఎగ్జాస్ట్‌లు 70 పౌండ్ల థ్రస్ట్‌ను 300 mph వద్ద 70 హెచ్‌పికి సమానం మరియు గరిష్ట వేగంతో గంటకు 360 మైళ్ల వరకు (580 కిమీ/గం) నెట్టడం జరిగిందని కనుగొనబడింది. . వరల్డ్ స్పీడ్ రికార్డ్‌లో ప్రణాళికాబద్ధమైన ప్రయత్నం నిలిపివేయబడింది మరియు బదులుగా మెర్లిన్‌లో అభివృద్ధి పనులను కొనసాగించడానికి యంత్రం ఉపయోగించబడింది. హిట్లర్ పోలాండ్ పై దాడి చేసిన మూడు రోజుల తరువాత, శత్రుత్వాల ప్రారంభాన్ని గుర్తించింది మరియు బ్రిటన్ జర్మనీపై యుద్ధం ప్రకటించిన మరుసటి రోజు, 4 సెప్టెంబర్ 1939 న FLT చేతిలో ఒక ఇబ్బందికరమైన ల్యాండింగ్. లెఫ్టినెంట్ గిల్బర్ట్ స్టాన్బ్రిడ్జ్ "స్పిన్నర్" వైట్, ముక్కు-మొదట దాని వెనుక భాగంలో యంత్రం చిట్కా చేయడానికి దారితీసింది. ఫ్యూజ్‌లేజ్ విరిగింది మరియు వైట్ యాంకర్ పాయింట్ నుండి సుట్టన్ భద్రతా జీను వరకు మెడ గాయాలకు గురైంది, మరుసటి రోజు చనిపోతుంది. ప్రమాదం వ్యవస్థను పున es రూపకల్పన చేయడానికి దారితీసింది. [27] [9] [28] శిధిలాల భాగాలు తరువాత నిఘా కెమెరా ఇన్‌స్టాలేషన్ ట్రయల్స్ కోసం ఉపయోగించబడ్డాయి, కానీ అది ఎప్పుడూ పునర్నిర్మించబడలేదు. రాబిన్సన్ 1977 (జనరల్) నుండి డేటా. క్రాస్ 1971, పే. 17 (పెర్ఫార్మెన్స్) .నెరల్ క్యారెక్టరిస్టిక్స్ పెర్ఫార్మెన్స్ మొదటిది (యుఎస్ మరియు కెనడాలో స్పిట్‌ఫైర్ అని కూడా పిలుస్తారు) (1942) లెస్లీ హోవార్డ్ నిర్మించిన మరియు దర్శకత్వం వహించిన బ్రిటిష్ చిత్రం. [30] ఈ చిత్రం యొక్క చివరి 15 నిమిషాల్లో కనిపించే ఏరోబాటిక్ సీక్వెన్సులు K5054 లో అసలు టెస్ట్ పైలట్ అయిన జెఫ్రీ క్విల్ చేత ఎగిరిపోయాయి, నవంబర్ 1941 ప్రారంభంలో స్పిట్‌ఫైర్ MK II ఎగురుతూ ప్రోటోటైప్‌ను సూచించడానికి ఎగతాళి చేసింది. మాజీ సూపర్మారిన్ టెస్ట్ పైలట్ జెఫ్రీ క్విల్ 1983 లో దాని డిజైనర్ ఆర్.జె.కు స్మారక చిహ్నంగా శాశ్వత బహిరంగ ప్రదర్శన కోసం K5054 యొక్క ఖచ్చితమైన పూర్తి-స్థాయి ప్రతిరూపాన్ని నిర్మించటానికి నిర్ణయించారు. మిచెల్. అసలు సూపర్ మేరిన్ డిజైన్ బృందం మరియు స్పిట్‌ఫైర్ సొసైటీ సభ్యులు మిచెల్ కుమారుడు గోర్డాన్‌తో కలిసి, వారు ప్రతిరూపాన్ని సృష్టించడానికి ఆండోవర్ యొక్క ఏరోఫాబ్ పునరుద్ధరణలను నియమించారు. [31] క్విల్ దాని ఖచ్చితత్వాన్ని "అసలు ప్రోటోటైప్‌కు 99%" గా అభివర్ణించింది, అయినప్పటికీ ఇది ఎగిరేది కాదు. మొత్తం రంగు K5054 యొక్క డెస్క్‌టాప్ మోడల్ నుండి కాపీ చేయబడింది, అసలు యంత్రం నుండి మిగిలిపోయిన పెయింట్ ఉపయోగించి పూర్తయిందని నమ్ముతారు. క్విల్ ఏప్రిల్ 1993 లో హెండన్లోని RAF మ్యూజియంలో ప్రతిరూపాన్ని ప్రజలకు ఆవిష్కరించారు. టాంగ్మెర్ మిలిటరీ ఏవియేషన్ మ్యూజియంకు దీర్ఘకాలిక రుణ కాలం తరువాత, స్పిట్‌ఫైర్ సొసైటీ దీనిని ఏప్రిల్ 2013 లో శాశ్వతంగా మ్యూజియంకు విరాళంగా ఇచ్చింది. [4] [5] స్విండన్ ఆధారిత వైకింగ్ టాక్సీల యజమాని మరియు వైకింగ్ వుడ్ ప్రొడక్ట్స్ మేనేజర్ క్లైవ్ డు క్రాస్ 1984 లో కలప నుండి ఎగిరే ప్రతిరూప స్పైట్‌ఫైర్‌ను నిర్మించారు. సవరించిన జాగ్వార్ వి -12 ఇంజిన్ 350 హార్స్‌పవర్ (260 కిలోవాట్) ద్వారా 2.77 ద్వారా శక్తిని అందించింది. : 1 తగ్గింపు గేర్‌బాక్స్ దాని స్థిరమైన-స్పీడ్ ప్రొపెల్లర్‌కు. రిజిస్టర్డ్ G-BRDV, ప్రతిరూపం K5054 యొక్క బ్లూ-గ్రీన్ లివరీలో పెయింట్ చేయబడింది. గరిష్ట టేకాఫ్ బరువు (MTOW) 1,134 కిలోలు (2,500 పౌండ్లు). ఆల్-మెటల్ ఒరిజినల్‌తో పోలిస్తే దాని తక్కువ బరువు ఉన్నందున, ఇది ల్యాండింగ్ విధానంలో తేలుతుంది. క్రొత్త యజమానికి అమ్మిన తరువాత, ఇది 22 సెప్టెంబర్ 1997 న వాయు యోగ్యత విమాన పరీక్షలో క్రాష్ అయ్యింది మరియు పైలట్ గాయపడలేదు. ప్రస్తుతం స్టాటిక్ డిస్ప్లేలో ఉన్న హాకింగేలోని కెంట్ బాటిల్ ఆఫ్ బ్రిటన్ మ్యూజియం. [35] [36] K5054 యొక్క ఉప-స్థాయి మోడల్ సౌతాంప్టన్ విమానాశ్రయం ప్రవేశద్వారం వద్ద రౌండ్అబౌట్లో స్పిట్ ఫైర్ మెమోరియల్ శిల్పకళ యొక్క ప్రధాన కేంద్రంగా ఏర్పడుతుంది, ఇది ఈస్ట్లీ ఏరోడ్రోమ్ వలె, విమానం యొక్క ప్రారంభ ఇల్లు. ఈ శిల్పాన్ని 2003 లో అలాన్ మన్నింగ్ రూపొందించారు మరియు ఈస్ట్లీ బరో కౌన్సిల్ నిర్మించారు. దీనిని 2004 లో మిచెల్ కుమారుడు డాక్టర్ గోర్డాన్ మిచెల్ ఆవిష్కరించారు. [37] [38] [39] ఆస్ట్రేలియన్ రిజిస్ట్రేషన్ 19-5054 అనేది K5054 యొక్క te త్సాహిక-నిర్మిత వినోద ప్రతిరూపం, దాని లేత నీలం బ్లూ లివరీలో. ఇది మూడు-క్వార్టర్ స్కేల్ సెట్ బాహ్య వింగ్ ప్యానెల్లు మరియు ఆస్ట్రేలియన్ సూపర్మారిన్ స్పిట్‌ఫైర్ MK 25 హోమ్‌బిల్డ్ కిట్ నుండి కొన్ని ఫ్యూజ్‌లేజ్ స్ట్రక్చర్ చుట్టూ ఖచ్చితమైన నిష్పత్తిలో నిర్మించబడింది. 100 హార్స్‌పవర్ (75,000 W) రోటాక్స్ ఇంజిన్‌తో నడిచే ఇది మూడు-బ్లేడెడ్ స్థిరమైన స్పీడ్ ప్రొపెల్లర్ మరియు ముడుచుకునే అండర్ క్యారేజీని కలిగి ఉంది. గరిష్ట క్రూయిజ్ వేగం 130 నాట్లు (గంటకు 240 కిమీ). పెయింట్ రంగు UK స్పిట్‌ఫైర్ మ్యూజియంలోని బొమ్మ ట్రక్కుతో సరిపోతుంది, ఇది అసలు నుండి మిగిలిపోయిన పెయింట్‌లో పూర్తయింది మరియు మిచెల్ కొడుకుకు ఇవ్వబడింది. [40] [గమనికలు 2] క్రిస్ వెబెర్ నిర్మించారు మరియు మొదట 19-6054 నమోదు చేయబడింది, ఇప్పటికీ అసంపూర్ణంగా వర్జిన్ ఆస్ట్రేలియాకు చెందిన కెప్టెన్ నీల్ కూపర్‌కు విక్రయించబడింది. అతను మొదట దీనిని 2017 లో ఆస్ట్రేలియాలోని న్యూ సౌత్ వేల్స్లోని టారి వద్ద ప్రయాణించాడు. [40] [41]</v>
      </c>
      <c r="E167" s="1" t="s">
        <v>2637</v>
      </c>
      <c r="L167" s="1" t="s">
        <v>2638</v>
      </c>
      <c r="M167" s="1" t="str">
        <f>IFERROR(__xludf.DUMMYFUNCTION("GOOGLETRANSLATE(L:L, ""en"", ""te"")"),"సూపర్ మేరిన్ ఏవియేషన్ వర్క్స్")</f>
        <v>సూపర్ మేరిన్ ఏవియేషన్ వర్క్స్</v>
      </c>
      <c r="N167" s="1" t="s">
        <v>2639</v>
      </c>
      <c r="S167" s="1">
        <v>1.0</v>
      </c>
      <c r="U167" s="1" t="s">
        <v>1800</v>
      </c>
      <c r="V167" s="1" t="s">
        <v>2640</v>
      </c>
      <c r="W167" s="1" t="s">
        <v>2641</v>
      </c>
      <c r="Y167" s="1" t="s">
        <v>2642</v>
      </c>
      <c r="AA167" s="1" t="s">
        <v>2643</v>
      </c>
      <c r="AB167" s="1" t="s">
        <v>2644</v>
      </c>
      <c r="AF167" s="1" t="s">
        <v>2645</v>
      </c>
      <c r="AJ167" s="5">
        <v>13214.0</v>
      </c>
      <c r="AP167" s="1" t="s">
        <v>2646</v>
      </c>
      <c r="AR167" s="1" t="s">
        <v>2647</v>
      </c>
      <c r="BD167" s="1" t="s">
        <v>2648</v>
      </c>
      <c r="BX167" s="1" t="s">
        <v>2649</v>
      </c>
      <c r="BY167" s="1" t="s">
        <v>2650</v>
      </c>
      <c r="BZ167" s="1" t="s">
        <v>2651</v>
      </c>
      <c r="CM167" s="1" t="s">
        <v>2652</v>
      </c>
      <c r="CN167" s="3" t="s">
        <v>2653</v>
      </c>
      <c r="CO167" s="5">
        <v>14492.0</v>
      </c>
      <c r="CP167" s="1" t="s">
        <v>2654</v>
      </c>
      <c r="DD167" s="4">
        <v>13394.0</v>
      </c>
    </row>
    <row r="168">
      <c r="A168" s="1" t="s">
        <v>2655</v>
      </c>
      <c r="B168" s="1" t="str">
        <f>IFERROR(__xludf.DUMMYFUNCTION("GOOGLETRANSLATE(A:A, ""en"", ""te"")"),"ఎట్రిచ్ VII")</f>
        <v>ఎట్రిచ్ VII</v>
      </c>
      <c r="C168" s="1" t="s">
        <v>2656</v>
      </c>
      <c r="D168" s="1" t="str">
        <f>IFERROR(__xludf.DUMMYFUNCTION("GOOGLETRANSLATE(C:C, ""en"", ""te"")"),"ఎట్రిచ్ VII మోనోప్లేన్‌ను ఇగో ఎట్రిచ్ రూపొందించారు. కొన్ని రష్యా, జర్మనీ మరియు ఆస్ట్రియా-హంగరీతో సహా యూరోపియన్ మిలిటరీలకు విక్రయించబడ్డాయి. [1] సాధారణ లక్షణాల నుండి డేటా")</f>
        <v>ఎట్రిచ్ VII మోనోప్లేన్‌ను ఇగో ఎట్రిచ్ రూపొందించారు. కొన్ని రష్యా, జర్మనీ మరియు ఆస్ట్రియా-హంగరీతో సహా యూరోపియన్ మిలిటరీలకు విక్రయించబడ్డాయి. [1] సాధారణ లక్షణాల నుండి డేటా</v>
      </c>
      <c r="E168" s="1" t="s">
        <v>2657</v>
      </c>
      <c r="F168" s="1" t="s">
        <v>2658</v>
      </c>
      <c r="G168" s="1" t="str">
        <f>IFERROR(__xludf.DUMMYFUNCTION("GOOGLETRANSLATE(F:F, ""en"", ""te"")"),"మోనోప్లేన్")</f>
        <v>మోనోప్లేన్</v>
      </c>
      <c r="H168" s="3" t="s">
        <v>2659</v>
      </c>
      <c r="I168" s="1" t="s">
        <v>2660</v>
      </c>
      <c r="J168" s="1" t="str">
        <f>IFERROR(__xludf.DUMMYFUNCTION("GOOGLETRANSLATE(I:I, ""en"", ""te"")"),"ఆస్ట్రియా-హంగరీ")</f>
        <v>ఆస్ట్రియా-హంగరీ</v>
      </c>
      <c r="K168" s="3" t="s">
        <v>2661</v>
      </c>
      <c r="L168" s="1" t="s">
        <v>2662</v>
      </c>
      <c r="M168" s="1" t="str">
        <f>IFERROR(__xludf.DUMMYFUNCTION("GOOGLETRANSLATE(L:L, ""en"", ""te"")"),"ఎట్రిచ్")</f>
        <v>ఎట్రిచ్</v>
      </c>
      <c r="N168" s="3" t="s">
        <v>2663</v>
      </c>
      <c r="Q168" s="1">
        <v>5.0</v>
      </c>
      <c r="S168" s="1">
        <v>1.0</v>
      </c>
      <c r="U168" s="1" t="s">
        <v>2664</v>
      </c>
      <c r="V168" s="1" t="s">
        <v>2665</v>
      </c>
      <c r="W168" s="1" t="s">
        <v>2666</v>
      </c>
      <c r="AA168" s="1" t="s">
        <v>2667</v>
      </c>
      <c r="AH168" s="1" t="s">
        <v>2668</v>
      </c>
      <c r="AI168" s="1" t="s">
        <v>2669</v>
      </c>
      <c r="BH168" s="1" t="s">
        <v>2670</v>
      </c>
      <c r="BI168" s="1" t="s">
        <v>2671</v>
      </c>
    </row>
    <row r="169">
      <c r="A169" s="1" t="s">
        <v>2672</v>
      </c>
      <c r="B169" s="1" t="str">
        <f>IFERROR(__xludf.DUMMYFUNCTION("GOOGLETRANSLATE(A:A, ""en"", ""te"")"),"ప్రైవేట్ పరిశ్రమలు ప్రైవేట్")</f>
        <v>ప్రైవేట్ పరిశ్రమలు ప్రైవేట్</v>
      </c>
      <c r="C169" s="1" t="s">
        <v>2673</v>
      </c>
      <c r="D169" s="1" t="str">
        <f>IFERROR(__xludf.DUMMYFUNCTION("GOOGLETRANSLATE(C:C, ""en"", ""te"")"),"ప్రైవేట్ ఇండస్ట్రీస్ ప్రైవేట్ అనేది ఒక అమెరికన్ ఉభయచర te త్సాహిక-నిర్మిత విమానం, దీనిని జాన్ మీకిన్స్ మరియు బిల్ హుసా రూపొందించారు మరియు ఫ్లోరిడాలోని ప్రైవేట్ పరిశ్రమలు అభివృద్ధి చెందుతున్నాయి. ఇది మొదట 6 ఆగస్టు 2018 న ఎగురవేయబడింది. ఈ విమానం te త్సాహిక న"&amp;"ిర్మాణానికి కిట్‌గా సరఫరా చేయటానికి ఉద్దేశించబడింది మరియు తరువాత రకం సర్టిఫైడ్ మరియు పూర్తి రెడీ-టు-ఫ్లై-ఎయిర్‌క్రాఫ్ట్‌గా విక్రయించబడింది. [1] [2] ఈ డిజైన్‌ను మీకిన్స్ రూపొందించారు, అతను ఉభయచర విమాన రూపకల్పనను కోరింది, కాని ఇప్పటికే ఉన్న అన్ని వాటికి భద్"&amp;"రత మరియు పనితీరు సమస్యలు ఉన్నాయని కనుగొన్నారు మరియు తద్వారా అతని వ్యక్తిగత అవసరాలకు తగ్గట్టుగా పడిపోయింది. ఫలితంగా, అతను తన సొంత విమానాన్ని రూపొందించాడు. అరిజోనాలోని స్కాట్స్ డేల్‌లోని ఓరియన్ టెక్నాలజీస్ యొక్క బిల్ హుసా నుండి మీకిన్స్ సహాయాన్ని చేర్చుకుంద"&amp;"ి మరియు డిజైన్‌పై పనిచేయడానికి మరియు ప్రోటోటైప్‌ను నిర్మించడానికి అతన్ని చీఫ్ ఇంజనీర్‌ను చేసింది, 2012 లో హుసా మరణించినప్పటికీ, ప్రోటోటైప్ పూర్తయ్యే ముందు. మీకిన్స్ ఎంబ్రీ రిడిల్ ఏరోనాటికల్ యూనివర్శిటీ సమీక్షను కలిగి ఉంది మరియు వారు దానిపై అనుకూలంగా నివేద"&amp;"ించారు. మీకిన్స్ ఈ డిజైన్‌ను తయారు చేయడానికి ప్రైవేట్ పరిశ్రమలను స్థాపించారు మరియు సంస్థ యొక్క ఛైర్మన్ &amp; CEO గా ఉంది. మొదటి విమానానికి విమానం అభివృద్ధికి పదేళ్ళు పట్టింది. [1] [3] ప్రైవేట్లో కాంటిలివర్ లో-వింగ్, తలుపులు యాక్సెస్ చేయబడిన ఏడు-సీట్ల పరివేష్ట"&amp;"ిత క్యాబిన్, ముడుచుకునే ట్రైసైకిల్ ల్యాండింగ్ గేర్, అలాగే నీటి ఆపరేషన్ కోసం స్థిర ఫ్లోట్లు, ఫ్లోట్లపై అమర్చిన జంట బూమ్ తోక మరియు పషర్ కాన్ఫిగరేషన్‌లో ఒకే ఇంజిన్ ఉన్నాయి. [[పట్టు కుములి ఈ విమానం కార్బన్ ఫైబర్ మిశ్రమాల నుండి తయారవుతుంది. దీని 42.9 అడుగుల (1"&amp;"3.1 మీ) స్పాన్ వింగ్ ఫ్యూజ్‌లేజ్‌లో తక్కువగా అమర్చబడి ఉంటుంది, ఇది సమగ్ర స్థిర ఫ్లోట్‌లను కూడా జతచేస్తుంది. ఫ్లోట్స్ యొక్క వెనుక చివర జంట తోక రెక్కల కోసం జంట తోక బూమ్‌లుగా పనిచేస్తుంది, ఒకే టెయిల్‌ప్లేన్ మరియు ఎలివేటర్ పషర్ ప్రొపెల్లర్ పైన ఎత్తైనవి. ఉపయోగ"&amp;"ించిన ప్రామాణిక ఇంజిన్ వాల్టర్ M601 టర్బోప్రాప్, ఇది టేకాఫ్ కోసం 724 SHP (540 kW) మరియు 657 HP (490 kW) నిరంతరాయంగా ఉత్పత్తి చేస్తుంది. ప్రొపెల్లర్ థ్రస్ట్ పెంచడానికి మరియు శబ్దాన్ని తగ్గించడానికి ఒక ముసుగును ఉపయోగిస్తుంది. [1] [4] [5] ఆగష్టు 2018 నాటికి,"&amp;" ఒక ఉదాహరణ, ప్రోటోటైప్, ఫెడరల్ ఏవియేషన్ అడ్మినిస్ట్రేషన్తో యునైటెడ్ స్టేట్స్లో నమోదు చేయబడింది. [6] AVWEB మరియు తయారీదారు నుండి డేటా [1] [4] సాధారణ లక్షణాల పనితీరు")</f>
        <v>ప్రైవేట్ ఇండస్ట్రీస్ ప్రైవేట్ అనేది ఒక అమెరికన్ ఉభయచర te త్సాహిక-నిర్మిత విమానం, దీనిని జాన్ మీకిన్స్ మరియు బిల్ హుసా రూపొందించారు మరియు ఫ్లోరిడాలోని ప్రైవేట్ పరిశ్రమలు అభివృద్ధి చెందుతున్నాయి. ఇది మొదట 6 ఆగస్టు 2018 న ఎగురవేయబడింది. ఈ విమానం te త్సాహిక నిర్మాణానికి కిట్‌గా సరఫరా చేయటానికి ఉద్దేశించబడింది మరియు తరువాత రకం సర్టిఫైడ్ మరియు పూర్తి రెడీ-టు-ఫ్లై-ఎయిర్‌క్రాఫ్ట్‌గా విక్రయించబడింది. [1] [2] ఈ డిజైన్‌ను మీకిన్స్ రూపొందించారు, అతను ఉభయచర విమాన రూపకల్పనను కోరింది, కాని ఇప్పటికే ఉన్న అన్ని వాటికి భద్రత మరియు పనితీరు సమస్యలు ఉన్నాయని కనుగొన్నారు మరియు తద్వారా అతని వ్యక్తిగత అవసరాలకు తగ్గట్టుగా పడిపోయింది. ఫలితంగా, అతను తన సొంత విమానాన్ని రూపొందించాడు. అరిజోనాలోని స్కాట్స్ డేల్‌లోని ఓరియన్ టెక్నాలజీస్ యొక్క బిల్ హుసా నుండి మీకిన్స్ సహాయాన్ని చేర్చుకుంది మరియు డిజైన్‌పై పనిచేయడానికి మరియు ప్రోటోటైప్‌ను నిర్మించడానికి అతన్ని చీఫ్ ఇంజనీర్‌ను చేసింది, 2012 లో హుసా మరణించినప్పటికీ, ప్రోటోటైప్ పూర్తయ్యే ముందు. మీకిన్స్ ఎంబ్రీ రిడిల్ ఏరోనాటికల్ యూనివర్శిటీ సమీక్షను కలిగి ఉంది మరియు వారు దానిపై అనుకూలంగా నివేదించారు. మీకిన్స్ ఈ డిజైన్‌ను తయారు చేయడానికి ప్రైవేట్ పరిశ్రమలను స్థాపించారు మరియు సంస్థ యొక్క ఛైర్మన్ &amp; CEO గా ఉంది. మొదటి విమానానికి విమానం అభివృద్ధికి పదేళ్ళు పట్టింది. [1] [3] ప్రైవేట్లో కాంటిలివర్ లో-వింగ్, తలుపులు యాక్సెస్ చేయబడిన ఏడు-సీట్ల పరివేష్టిత క్యాబిన్, ముడుచుకునే ట్రైసైకిల్ ల్యాండింగ్ గేర్, అలాగే నీటి ఆపరేషన్ కోసం స్థిర ఫ్లోట్లు, ఫ్లోట్లపై అమర్చిన జంట బూమ్ తోక మరియు పషర్ కాన్ఫిగరేషన్‌లో ఒకే ఇంజిన్ ఉన్నాయి. [[పట్టు కుములి ఈ విమానం కార్బన్ ఫైబర్ మిశ్రమాల నుండి తయారవుతుంది. దీని 42.9 అడుగుల (13.1 మీ) స్పాన్ వింగ్ ఫ్యూజ్‌లేజ్‌లో తక్కువగా అమర్చబడి ఉంటుంది, ఇది సమగ్ర స్థిర ఫ్లోట్‌లను కూడా జతచేస్తుంది. ఫ్లోట్స్ యొక్క వెనుక చివర జంట తోక రెక్కల కోసం జంట తోక బూమ్‌లుగా పనిచేస్తుంది, ఒకే టెయిల్‌ప్లేన్ మరియు ఎలివేటర్ పషర్ ప్రొపెల్లర్ పైన ఎత్తైనవి. ఉపయోగించిన ప్రామాణిక ఇంజిన్ వాల్టర్ M601 టర్బోప్రాప్, ఇది టేకాఫ్ కోసం 724 SHP (540 kW) మరియు 657 HP (490 kW) నిరంతరాయంగా ఉత్పత్తి చేస్తుంది. ప్రొపెల్లర్ థ్రస్ట్ పెంచడానికి మరియు శబ్దాన్ని తగ్గించడానికి ఒక ముసుగును ఉపయోగిస్తుంది. [1] [4] [5] ఆగష్టు 2018 నాటికి, ఒక ఉదాహరణ, ప్రోటోటైప్, ఫెడరల్ ఏవియేషన్ అడ్మినిస్ట్రేషన్తో యునైటెడ్ స్టేట్స్లో నమోదు చేయబడింది. [6] AVWEB మరియు తయారీదారు నుండి డేటా [1] [4] సాధారణ లక్షణాల పనితీరు</v>
      </c>
      <c r="E169" s="1" t="s">
        <v>2674</v>
      </c>
      <c r="F169" s="1" t="s">
        <v>125</v>
      </c>
      <c r="G169" s="1" t="str">
        <f>IFERROR(__xludf.DUMMYFUNCTION("GOOGLETRANSLATE(F:F, ""en"", ""te"")"),"Te త్సాహిక నిర్మించిన విమానం")</f>
        <v>Te త్సాహిక నిర్మించిన విమానం</v>
      </c>
      <c r="H169" s="1" t="s">
        <v>126</v>
      </c>
      <c r="I169" s="1" t="s">
        <v>127</v>
      </c>
      <c r="J169" s="1" t="str">
        <f>IFERROR(__xludf.DUMMYFUNCTION("GOOGLETRANSLATE(I:I, ""en"", ""te"")"),"సంయుక్త రాష్ట్రాలు")</f>
        <v>సంయుక్త రాష్ట్రాలు</v>
      </c>
      <c r="K169" s="1" t="s">
        <v>128</v>
      </c>
      <c r="L169" s="1" t="s">
        <v>2675</v>
      </c>
      <c r="M169" s="1" t="str">
        <f>IFERROR(__xludf.DUMMYFUNCTION("GOOGLETRANSLATE(L:L, ""en"", ""te"")"),"ప్రైవేట్ పరిశ్రమలు")</f>
        <v>ప్రైవేట్ పరిశ్రమలు</v>
      </c>
      <c r="N169" s="1" t="s">
        <v>2676</v>
      </c>
      <c r="O169" s="1" t="s">
        <v>2677</v>
      </c>
      <c r="P169" s="1" t="str">
        <f>IFERROR(__xludf.DUMMYFUNCTION("GOOGLETRANSLATE(O:O, ""en"", ""te"")"),"అండర్ డెవలప్‌మెంట్ (2018)")</f>
        <v>అండర్ డెవలప్‌మెంట్ (2018)</v>
      </c>
      <c r="Q169" s="1" t="s">
        <v>2678</v>
      </c>
      <c r="S169" s="1" t="s">
        <v>133</v>
      </c>
      <c r="T169" s="1" t="s">
        <v>2679</v>
      </c>
      <c r="U169" s="1" t="s">
        <v>2680</v>
      </c>
      <c r="V169" s="1" t="s">
        <v>2681</v>
      </c>
      <c r="W169" s="1" t="s">
        <v>2682</v>
      </c>
      <c r="X169" s="1" t="s">
        <v>2683</v>
      </c>
      <c r="Y169" s="1" t="s">
        <v>2133</v>
      </c>
      <c r="AA169" s="1" t="s">
        <v>2684</v>
      </c>
      <c r="AB169" s="1" t="s">
        <v>2685</v>
      </c>
      <c r="AC169" s="1" t="s">
        <v>2686</v>
      </c>
      <c r="AE169" s="1" t="s">
        <v>2687</v>
      </c>
      <c r="AF169" s="1" t="s">
        <v>2688</v>
      </c>
      <c r="AG169" s="1" t="s">
        <v>2689</v>
      </c>
      <c r="AH169" s="1" t="s">
        <v>2690</v>
      </c>
      <c r="AJ169" s="5">
        <v>43318.0</v>
      </c>
      <c r="AM169" s="1" t="s">
        <v>2691</v>
      </c>
      <c r="AR169" s="1" t="s">
        <v>2140</v>
      </c>
    </row>
    <row r="170">
      <c r="A170" s="1" t="s">
        <v>2692</v>
      </c>
      <c r="B170" s="1" t="str">
        <f>IFERROR(__xludf.DUMMYFUNCTION("GOOGLETRANSLATE(A:A, ""en"", ""te"")"),"వోయిసిన్ XII")</f>
        <v>వోయిసిన్ XII</v>
      </c>
      <c r="C170" s="1" t="s">
        <v>2693</v>
      </c>
      <c r="D170" s="1" t="str">
        <f>IFERROR(__xludf.DUMMYFUNCTION("GOOGLETRANSLATE(C:C, ""en"", ""te"")"),"వోయిసిన్ XII అనేది ఒక ప్రోటోటైప్ ఫ్రెంచ్ రెండు-సీట్ల నాలుగు-ఇంజిన్ బిప్‌లేన్ బాంబర్ మొదటి ప్రపంచ యుద్ధం ముగిసే సమయానికి నిర్మించబడింది, కానీ ఇది సేవలోకి ప్రవేశించలేదు. [1] వోయిసిన్ XII అనేది సుదూర రాత్రి బాంబర్, నాలుగు హిస్పానో-సుజా 8BC ఇంజన్లు జతగా జతచేయ"&amp;"బడ్డాయి. సుదూర రాత్రి బాంబర్ కోసం BN2 అవసరానికి ప్రతిస్పందనగా ఈ విమానం నిర్మించబడింది. ఒక నమూనా నిర్మించబడింది మరియు పరీక్ష విమానాలు విజయవంతమయ్యాయి, కాని యుద్ధం యొక్క ముగింపు వోయిసిన్ XII ను ఉత్పత్తిలోకి ఆదేశించకుండా నిరోధించింది. [1] వాయిసన్ XIII నైట్-బా"&amp;"ంబర్ లేదా రకం E.87-2 అనేది వోయిసిన్ XII యొక్క ప్రతిపాదిత అభివృద్ధి, ఇది నిర్మించబడలేదు. [2] మొదటి ప్రపంచ యుద్ధం యొక్క ఫ్రెంచ్ విమానాల నుండి డేటా [1] సాధారణ లక్షణాలు పనితీరు ఆయుధ సంబంధిత జాబితాలు")</f>
        <v>వోయిసిన్ XII అనేది ఒక ప్రోటోటైప్ ఫ్రెంచ్ రెండు-సీట్ల నాలుగు-ఇంజిన్ బిప్‌లేన్ బాంబర్ మొదటి ప్రపంచ యుద్ధం ముగిసే సమయానికి నిర్మించబడింది, కానీ ఇది సేవలోకి ప్రవేశించలేదు. [1] వోయిసిన్ XII అనేది సుదూర రాత్రి బాంబర్, నాలుగు హిస్పానో-సుజా 8BC ఇంజన్లు జతగా జతచేయబడ్డాయి. సుదూర రాత్రి బాంబర్ కోసం BN2 అవసరానికి ప్రతిస్పందనగా ఈ విమానం నిర్మించబడింది. ఒక నమూనా నిర్మించబడింది మరియు పరీక్ష విమానాలు విజయవంతమయ్యాయి, కాని యుద్ధం యొక్క ముగింపు వోయిసిన్ XII ను ఉత్పత్తిలోకి ఆదేశించకుండా నిరోధించింది. [1] వాయిసన్ XIII నైట్-బాంబర్ లేదా రకం E.87-2 అనేది వోయిసిన్ XII యొక్క ప్రతిపాదిత అభివృద్ధి, ఇది నిర్మించబడలేదు. [2] మొదటి ప్రపంచ యుద్ధం యొక్క ఫ్రెంచ్ విమానాల నుండి డేటా [1] సాధారణ లక్షణాలు పనితీరు ఆయుధ సంబంధిత జాబితాలు</v>
      </c>
      <c r="E170" s="1" t="s">
        <v>2694</v>
      </c>
      <c r="F170" s="1" t="s">
        <v>2695</v>
      </c>
      <c r="G170" s="1" t="str">
        <f>IFERROR(__xludf.DUMMYFUNCTION("GOOGLETRANSLATE(F:F, ""en"", ""te"")"),"నైట్ బాంబర్")</f>
        <v>నైట్ బాంబర్</v>
      </c>
      <c r="H170" s="1" t="s">
        <v>2696</v>
      </c>
      <c r="I170" s="1" t="s">
        <v>646</v>
      </c>
      <c r="J170" s="1" t="str">
        <f>IFERROR(__xludf.DUMMYFUNCTION("GOOGLETRANSLATE(I:I, ""en"", ""te"")"),"ఫ్రాన్స్")</f>
        <v>ఫ్రాన్స్</v>
      </c>
      <c r="L170" s="1" t="s">
        <v>2697</v>
      </c>
      <c r="M170" s="1" t="str">
        <f>IFERROR(__xludf.DUMMYFUNCTION("GOOGLETRANSLATE(L:L, ""en"", ""te"")"),"వోయిసిన్")</f>
        <v>వోయిసిన్</v>
      </c>
      <c r="N170" s="3" t="s">
        <v>2698</v>
      </c>
      <c r="Q170" s="1">
        <v>1.0</v>
      </c>
      <c r="S170" s="1">
        <v>2.0</v>
      </c>
      <c r="U170" s="1" t="s">
        <v>2699</v>
      </c>
      <c r="V170" s="1" t="s">
        <v>2700</v>
      </c>
      <c r="W170" s="1" t="s">
        <v>2701</v>
      </c>
      <c r="X170" s="1" t="s">
        <v>2702</v>
      </c>
      <c r="AA170" s="1" t="s">
        <v>2703</v>
      </c>
      <c r="AB170" s="1" t="s">
        <v>2704</v>
      </c>
      <c r="AE170" s="1" t="s">
        <v>2611</v>
      </c>
      <c r="AH170" s="1" t="s">
        <v>2705</v>
      </c>
      <c r="AI170" s="1" t="s">
        <v>2706</v>
      </c>
      <c r="AJ170" s="1">
        <v>1918.0</v>
      </c>
      <c r="AM170" s="1" t="s">
        <v>2707</v>
      </c>
      <c r="AN170" s="1" t="s">
        <v>2708</v>
      </c>
      <c r="AP170" s="1" t="s">
        <v>2709</v>
      </c>
      <c r="AQ170" s="1" t="s">
        <v>2710</v>
      </c>
      <c r="AZ170" s="1" t="s">
        <v>2711</v>
      </c>
      <c r="BJ170" s="1" t="s">
        <v>2712</v>
      </c>
      <c r="DC170" s="1" t="s">
        <v>2713</v>
      </c>
    </row>
    <row r="171">
      <c r="A171" s="1" t="s">
        <v>2714</v>
      </c>
      <c r="B171" s="1" t="str">
        <f>IFERROR(__xludf.DUMMYFUNCTION("GOOGLETRANSLATE(A:A, ""en"", ""te"")"),"Lkl iv")</f>
        <v>Lkl iv</v>
      </c>
      <c r="C171" s="1" t="s">
        <v>2715</v>
      </c>
      <c r="D171" s="1" t="str">
        <f>IFERROR(__xludf.DUMMYFUNCTION("GOOGLETRANSLATE(C:C, ""en"", ""te"")"),"LKL IV మరియు LKL V చాలా సారూప్య పోలిష్ పారాసోల్ వింగ్ రెండు-సీటర్లు, ఇవి 1930 ల ప్రారంభంలో నిర్మించబడ్డాయి. వారు ప్రధానంగా వారి ఇంజిన్లలో విభిన్నంగా ఉన్నారు. లుబ్లిన్ విమానాశ్రయ క్లబ్ (లుబెల్స్కి క్లబ్ లోట్నిట్జీ ఇన్ పోలిష్, అందువల్ల ఎల్కెఎల్) సభ్యులు 193"&amp;"1 లో క్లబ్ యొక్క ఉపయోగం కోసం ఒక జత పారాసోల్ వింగ్, రెండు-సీట్ల విమానాలను రూపొందించడం ప్రారంభించారు. అవి, అండర్ క్యారేజ్ డిజైన్ వైవిధ్యాలు కూడా ఉన్నాయి. LKL IV లో 63 kW (85 HP) ఎయిర్ కూల్డ్, నాలుగు-సిలిండర్ల నిటారుగా ఉన్న ఇన్లైన్ ఇంజిన్ ఉంది మరియు మొదట 193"&amp;"2 శరదృతువులో ఎగురవేయబడింది. LKL V 93 kW (125 HP) వార్నర్ స్కార్బ్ ఏడు-సిలిండర్ రేడియల్ ఇంజిన్ మరియు కొన్ని వారాల తరువాత ప్రయాణించారు. [1] చెక్క వింగ్ గుండ్రని చిట్కాలకు ప్రణాళికలో దీర్ఘచతురస్రాకారంగా ఉంది మరియు రెండు భాగాలలో ఉంది, ప్రతి ఒక్కటి జంట స్పార్ల"&amp;"ు మరియు ఫాబ్రిక్ చుట్టూ నిర్మించబడింది. దిగువ ఫ్యూజ్‌లేజ్ లాంగన్స్ నుండి స్పార్స్‌కు సమాంతర ఫెయిర్‌డ్ స్ట్రట్‌ల జత ద్వారా అవి కలుపుతారు మరియు సెంట్రల్ జాయిన్ ఉక్కు విలోమ విలోమ వి-స్ట్రట్‌ల క్యాబనేపై ఫ్యూజ్‌లేజ్ పైన ఉంచబడింది. [1] సిరస్ నిటారుగా ఉన్న ఇంజిన"&amp;"్ కాబట్టి, దాని పరివేష్టిత కౌలింగ్ కాక్‌పిట్ కంటే ముందు ముక్కును పెంచింది, అయినప్పటికీ అండర్ సైడ్ పైకి వాలుగా ఉంది. పోర్ట్ వైపు పొడవైన ఎగ్జాస్ట్ వింగ్ కింద ఫ్యూజ్‌లేజ్‌పై తక్కువ నుండి నిష్క్రమించింది. LKL V యొక్క రేడియల్ స్కార్బ్ తక్కువ ముక్కును అనుమతించి"&amp;"ంది; దీని సిలిండర్లను టౌనండ్ రింగ్-రకం గృహాలు కలిగి ఉన్నాయి. మరింత కాంపాక్ట్ రేడియల్ కారణంగా, LKL V LKL IV కన్నా 270 mm (10.6 అంగుళాలు) తక్కువ మరియు కొంచెం తక్కువ (12 కిలోల (26 పౌండ్లు)) ఖాళీ బరువును కలిగి ఉంది. దాని ఎక్కువ శక్తి లోడ్ చేసిన బరువులో (22 కి"&amp;"లోల (49 పౌండ్లు)) పెరగడానికి అనుమతించింది. ఇంధన ట్యాంకులు ఫ్యూజ్‌లేజ్‌లో ఉన్నాయి. ఇంజిన్ల వెనుక ఫ్యూజ్‌లేజ్‌లు విభాగంలో దీర్ఘచతురస్రాకారంగా ఉన్నాయి, ఇవి వెల్డెడ్ స్టీల్ ట్యూబ్ నిర్మాణాల చుట్టూ నిర్మించబడ్డాయి మరియు ఎక్కువగా ఫాబ్రిక్ కప్పబడి ఉన్నాయి. రెక్క"&amp;" కింద ద్వంద్వ నియంత్రణలతో రెండు టెన్డం ఓపెన్ కాక్‌పిట్‌లు ఉన్నాయి, దాని వెనుకంజలో ఉన్న అంచులో గుండ్రని కటౌట్ ఉంది. [1] వాటి తోక ఉపరితలాలు ఫాబ్రిక్ కప్పబడిన చెక్క ఫ్రేమ్డ్ నిర్మాణాలు. టెయిల్‌ప్లేన్‌లు సన్నని వెనుక ఫ్యూజ్‌లేజ్ పైన అమర్చబడి, క్రింద నుండి స్ట"&amp;"్రట్-బ్రేస్డ్ మరియు వాటి రెక్కలు చిన్నవి, కత్తిరించిన త్రిభుజాకార ప్రొఫైల్ మరియు పూర్తి, గుండ్రని సమతుల్య రడ్డర్లను మోసుకెళ్ళాయి. రెండూ విభజించబడిన-రకం, స్థిరమైన, సాంప్రదాయిక ల్యాండింగ్ గేర్‌ను సగం-ఆక్సిల్స్‌తో మరియు దిగువ ఫ్యూజ్‌లేజ్ లాన్స్‌ల నుండి వ్యాస"&amp;"ార్థ రాడ్‌లతో ఉన్నాయి. ఫార్వర్డ్, షాక్ శోషక కాళ్ళలో తేడాలు ఉన్నాయి; LKL IV ఎగువ లాంగన్స్ నుండి ఒలియో స్ట్రట్స్ కలిగి ఉంది మరియు LKL V ఫార్వర్డ్ వింగ్ స్ట్రట్స్ యొక్క స్థావరాల నుండి ఫెయిర్డ్, కుదించిన రబ్బరు కాళ్ళను కలిగి ఉంది. [1] 1934 లో జ్యామితిని మార్చ"&amp;"కుండా LKL IV యొక్క అండర్ క్యారేజ్ కుదించబడింది. [1] రెండు విమానాలను ఎల్‌కెఎల్ చాలా సంవత్సరాలు ఉపయోగించారు మరియు స్థానిక పోటీలలో ఎగిరింది. మే 1933 లో వార్సాలో జరిగిన రెండవ అంతర్జాతీయ విమానయాన సమావేశంలో ఇద్దరూ పాల్గొన్నారు, అక్కడ జైగ్మంట్ మార్టినియాక్ LKL I"&amp;"V ను రెండవ స్థానానికి ఎగరేసింది మరియు సెప్టెంబరులో ఐదవ జాతీయ లైట్ ప్లేన్ పోటీలో, కోలాక్స్జ్కోవ్స్కీ చేత ఎల్కెల్ V, తొమ్మిదవ స్థానంలో నిలిచింది. LKL V శరదృతువు 1936 వరకు ఎగురుతూనే ఉంది. [1] [2] J. సిన్క్ (1971) [1] నుండి డేటా గుర్తించబడిన చోట తప్ప")</f>
        <v>LKL IV మరియు LKL V చాలా సారూప్య పోలిష్ పారాసోల్ వింగ్ రెండు-సీటర్లు, ఇవి 1930 ల ప్రారంభంలో నిర్మించబడ్డాయి. వారు ప్రధానంగా వారి ఇంజిన్లలో విభిన్నంగా ఉన్నారు. లుబ్లిన్ విమానాశ్రయ క్లబ్ (లుబెల్స్కి క్లబ్ లోట్నిట్జీ ఇన్ పోలిష్, అందువల్ల ఎల్కెఎల్) సభ్యులు 1931 లో క్లబ్ యొక్క ఉపయోగం కోసం ఒక జత పారాసోల్ వింగ్, రెండు-సీట్ల విమానాలను రూపొందించడం ప్రారంభించారు. అవి, అండర్ క్యారేజ్ డిజైన్ వైవిధ్యాలు కూడా ఉన్నాయి. LKL IV లో 63 kW (85 HP) ఎయిర్ కూల్డ్, నాలుగు-సిలిండర్ల నిటారుగా ఉన్న ఇన్లైన్ ఇంజిన్ ఉంది మరియు మొదట 1932 శరదృతువులో ఎగురవేయబడింది. LKL V 93 kW (125 HP) వార్నర్ స్కార్బ్ ఏడు-సిలిండర్ రేడియల్ ఇంజిన్ మరియు కొన్ని వారాల తరువాత ప్రయాణించారు. [1] చెక్క వింగ్ గుండ్రని చిట్కాలకు ప్రణాళికలో దీర్ఘచతురస్రాకారంగా ఉంది మరియు రెండు భాగాలలో ఉంది, ప్రతి ఒక్కటి జంట స్పార్లు మరియు ఫాబ్రిక్ చుట్టూ నిర్మించబడింది. దిగువ ఫ్యూజ్‌లేజ్ లాంగన్స్ నుండి స్పార్స్‌కు సమాంతర ఫెయిర్‌డ్ స్ట్రట్‌ల జత ద్వారా అవి కలుపుతారు మరియు సెంట్రల్ జాయిన్ ఉక్కు విలోమ విలోమ వి-స్ట్రట్‌ల క్యాబనేపై ఫ్యూజ్‌లేజ్ పైన ఉంచబడింది. [1] సిరస్ నిటారుగా ఉన్న ఇంజిన్ కాబట్టి, దాని పరివేష్టిత కౌలింగ్ కాక్‌పిట్ కంటే ముందు ముక్కును పెంచింది, అయినప్పటికీ అండర్ సైడ్ పైకి వాలుగా ఉంది. పోర్ట్ వైపు పొడవైన ఎగ్జాస్ట్ వింగ్ కింద ఫ్యూజ్‌లేజ్‌పై తక్కువ నుండి నిష్క్రమించింది. LKL V యొక్క రేడియల్ స్కార్బ్ తక్కువ ముక్కును అనుమతించింది; దీని సిలిండర్లను టౌనండ్ రింగ్-రకం గృహాలు కలిగి ఉన్నాయి. మరింత కాంపాక్ట్ రేడియల్ కారణంగా, LKL V LKL IV కన్నా 270 mm (10.6 అంగుళాలు) తక్కువ మరియు కొంచెం తక్కువ (12 కిలోల (26 పౌండ్లు)) ఖాళీ బరువును కలిగి ఉంది. దాని ఎక్కువ శక్తి లోడ్ చేసిన బరువులో (22 కిలోల (49 పౌండ్లు)) పెరగడానికి అనుమతించింది. ఇంధన ట్యాంకులు ఫ్యూజ్‌లేజ్‌లో ఉన్నాయి. ఇంజిన్ల వెనుక ఫ్యూజ్‌లేజ్‌లు విభాగంలో దీర్ఘచతురస్రాకారంగా ఉన్నాయి, ఇవి వెల్డెడ్ స్టీల్ ట్యూబ్ నిర్మాణాల చుట్టూ నిర్మించబడ్డాయి మరియు ఎక్కువగా ఫాబ్రిక్ కప్పబడి ఉన్నాయి. రెక్క కింద ద్వంద్వ నియంత్రణలతో రెండు టెన్డం ఓపెన్ కాక్‌పిట్‌లు ఉన్నాయి, దాని వెనుకంజలో ఉన్న అంచులో గుండ్రని కటౌట్ ఉంది. [1] వాటి తోక ఉపరితలాలు ఫాబ్రిక్ కప్పబడిన చెక్క ఫ్రేమ్డ్ నిర్మాణాలు. టెయిల్‌ప్లేన్‌లు సన్నని వెనుక ఫ్యూజ్‌లేజ్ పైన అమర్చబడి, క్రింద నుండి స్ట్రట్-బ్రేస్డ్ మరియు వాటి రెక్కలు చిన్నవి, కత్తిరించిన త్రిభుజాకార ప్రొఫైల్ మరియు పూర్తి, గుండ్రని సమతుల్య రడ్డర్లను మోసుకెళ్ళాయి. రెండూ విభజించబడిన-రకం, స్థిరమైన, సాంప్రదాయిక ల్యాండింగ్ గేర్‌ను సగం-ఆక్సిల్స్‌తో మరియు దిగువ ఫ్యూజ్‌లేజ్ లాన్స్‌ల నుండి వ్యాసార్థ రాడ్‌లతో ఉన్నాయి. ఫార్వర్డ్, షాక్ శోషక కాళ్ళలో తేడాలు ఉన్నాయి; LKL IV ఎగువ లాంగన్స్ నుండి ఒలియో స్ట్రట్స్ కలిగి ఉంది మరియు LKL V ఫార్వర్డ్ వింగ్ స్ట్రట్స్ యొక్క స్థావరాల నుండి ఫెయిర్డ్, కుదించిన రబ్బరు కాళ్ళను కలిగి ఉంది. [1] 1934 లో జ్యామితిని మార్చకుండా LKL IV యొక్క అండర్ క్యారేజ్ కుదించబడింది. [1] రెండు విమానాలను ఎల్‌కెఎల్ చాలా సంవత్సరాలు ఉపయోగించారు మరియు స్థానిక పోటీలలో ఎగిరింది. మే 1933 లో వార్సాలో జరిగిన రెండవ అంతర్జాతీయ విమానయాన సమావేశంలో ఇద్దరూ పాల్గొన్నారు, అక్కడ జైగ్మంట్ మార్టినియాక్ LKL IV ను రెండవ స్థానానికి ఎగరేసింది మరియు సెప్టెంబరులో ఐదవ జాతీయ లైట్ ప్లేన్ పోటీలో, కోలాక్స్జ్కోవ్స్కీ చేత ఎల్కెల్ V, తొమ్మిదవ స్థానంలో నిలిచింది. LKL V శరదృతువు 1936 వరకు ఎగురుతూనే ఉంది. [1] [2] J. సిన్క్ (1971) [1] నుండి డేటా గుర్తించబడిన చోట తప్ప</v>
      </c>
      <c r="F171" s="1" t="s">
        <v>2716</v>
      </c>
      <c r="G171" s="1" t="str">
        <f>IFERROR(__xludf.DUMMYFUNCTION("GOOGLETRANSLATE(F:F, ""en"", ""te"")"),"రెండు-సీట్ల క్లబ్ విమానం")</f>
        <v>రెండు-సీట్ల క్లబ్ విమానం</v>
      </c>
      <c r="I171" s="1" t="s">
        <v>431</v>
      </c>
      <c r="J171" s="1" t="str">
        <f>IFERROR(__xludf.DUMMYFUNCTION("GOOGLETRANSLATE(I:I, ""en"", ""te"")"),"పోలాండ్")</f>
        <v>పోలాండ్</v>
      </c>
      <c r="K171" s="3" t="s">
        <v>432</v>
      </c>
      <c r="L171" s="1" t="s">
        <v>2717</v>
      </c>
      <c r="M171" s="1" t="str">
        <f>IFERROR(__xludf.DUMMYFUNCTION("GOOGLETRANSLATE(L:L, ""en"", ""te"")"),"లుబెల్స్కి క్లబ్ lotnitczy")</f>
        <v>లుబెల్స్కి క్లబ్ lotnitczy</v>
      </c>
      <c r="Q171" s="1">
        <v>1.0</v>
      </c>
      <c r="R171" s="1" t="s">
        <v>132</v>
      </c>
      <c r="S171" s="1" t="s">
        <v>2718</v>
      </c>
      <c r="T171" s="1" t="s">
        <v>577</v>
      </c>
      <c r="U171" s="1" t="s">
        <v>2719</v>
      </c>
      <c r="V171" s="1" t="s">
        <v>2720</v>
      </c>
      <c r="W171" s="1" t="s">
        <v>2721</v>
      </c>
      <c r="X171" s="1" t="s">
        <v>2722</v>
      </c>
      <c r="Y171" s="1" t="s">
        <v>2723</v>
      </c>
      <c r="AA171" s="1" t="s">
        <v>2724</v>
      </c>
      <c r="AB171" s="1" t="s">
        <v>440</v>
      </c>
      <c r="AC171" s="1" t="s">
        <v>2725</v>
      </c>
      <c r="AD171" s="1" t="s">
        <v>2726</v>
      </c>
      <c r="AE171" s="1" t="s">
        <v>2727</v>
      </c>
      <c r="AF171" s="1" t="s">
        <v>2728</v>
      </c>
      <c r="AJ171" s="1" t="s">
        <v>2729</v>
      </c>
      <c r="AP171" s="1" t="s">
        <v>2730</v>
      </c>
      <c r="AR171" s="1" t="s">
        <v>2731</v>
      </c>
    </row>
    <row r="172">
      <c r="A172" s="1" t="s">
        <v>2732</v>
      </c>
      <c r="B172" s="1" t="str">
        <f>IFERROR(__xludf.DUMMYFUNCTION("GOOGLETRANSLATE(A:A, ""en"", ""te"")"),"చివరి నవ్వును స్క్రోగ్ చేస్తుంది")</f>
        <v>చివరి నవ్వును స్క్రోగ్ చేస్తుంది</v>
      </c>
      <c r="C172" s="1" t="s">
        <v>2733</v>
      </c>
      <c r="D172" s="1" t="str">
        <f>IFERROR(__xludf.DUMMYFUNCTION("GOOGLETRANSLATE(C:C, ""en"", ""te"")"),"చివరి నవ్వు 1929 లో యుఎస్ లో రాయ్ స్క్రోగ్స్ నిర్మించిన టైలెస్ డార్ట్ ఆకారపు విమానం. లిఫ్టింగ్ బాడీగా రూపొందించబడిన ఇది 1917 డెల్టా-రెక్కల పేటెంట్ ఆధారంగా రూపొందించబడింది. ఇది విమాన పరీక్షకు గురైంది, కాని డిజైన్ మరింత అభివృద్ధి చేయబడలేదు. రాయ్ స్క్రోగ్స్ "&amp;"యుఎస్ లోని ఒరెగాన్లోని యూజీన్లో నివసిస్తున్న దర్జీ. అతను రోజువారీ ఎగిరేవారికి భద్రత, ఆర్థిక వ్యవస్థ మరియు STOL పనితీరును తీసుకువచ్చే ఒక విమానాన్ని అభివృద్ధి చేయడానికి ప్రయత్నించాడు మరియు 1917 లో తన మొదటి తక్కువ-కారక-నిష్పత్తి డెల్టా డిజైన్‌కు పేటెంట్ పొంద"&amp;"ాడు. [1] అతని అసాధారణమైన ఆలోచనలను ఏరోనాటికల్ నిపుణులు తిరస్కరించారు మరియు అతని నిలకడ కోసం అతను చాలా ఎగతాళి అందుకున్నాడు. చివరకు అతను 1929 లో పూర్తి-పరిమాణ యంత్రాన్ని నిర్మించినప్పుడు, అతను ఎంచుకున్న పేరు, చివరి నవ్వు, అతని ఆవిష్కరణపై అతని విశ్వాసాన్ని ప్ర"&amp;"తిబింబిస్తుంది. [2] 1961 యొక్క హ్యాండ్లీ పేజ్ HP.115, కాంకోర్డ్ వింగ్ ప్లాన్‌ను తక్కువ వేగంతో పరీక్షించడానికి రూపొందించబడింది, చాలా సారూప్య డెల్టా ప్రముఖ అంచు కోణం ఉంది. ముక్కు కత్తిరించిన పొడవైన, ఇరుకైన డెల్టా ఆకారంలో, విమానం ఒక లిఫ్టింగ్ బాడీగా భావించబడ"&amp;"ింది, లోతైన ట్రాపెజోయిడల్ కైట్-సెక్షన్ ఫ్యూజ్‌లేజ్ ఉంది, ఇది అధిక-మౌంటెడ్, తక్కువ కారక నిష్పత్తి విభాగానికి అనులోమానుపాతంలో దెబ్బతింది. ఫ్యూజ్‌లేజ్ ఈ విధంగా లోతైన కీల్‌ను ఏర్పరుస్తుంది, ఇది లిఫ్ట్ మరియు డైరెక్షనల్ స్టెబిలిటీ రెండింటినీ అందించింది. 1917 యొ"&amp;"క్క అసలు డెల్టా-రెక్కల రూపకల్పన అసాధ్యమని నిరూపించబడింది మరియు ఇంజిన్ మరియు ప్రొపెల్లర్‌కు తగిన మౌంటును అందించడానికి ముక్కును తీవ్రంగా తగ్గించాల్సి వచ్చింది. [3] ఈ నిర్మాణం ప్రధానంగా ఫాబ్రిక్ కవరింగ్‌తో వెల్డెడ్ మెటల్ గొట్టాలను కలిగి ఉంది. ట్విన్ మెయిన్ అ"&amp;"ండర్ క్యారేజ్ వీల్స్ ఇంజిన్ వెనుక వెంటనే స్ట్రట్స్ మీద ఉన్నాయి, ఫార్వర్డ్ ఫ్యూజ్‌లేజ్‌ను భూమికి స్పష్టంగా ఎత్తివేసింది. రెక్కల స్థాయితో వెనుక ఫ్యూజ్‌లేజ్ దాదాపు భూమికి చేరుకుంది మరియు చిన్న తోకతో అమర్చబడి ఉంది. ఈ విమానం 90 హెచ్‌పి కర్టిస్ ఆక్స్ -5 ఇంజిన్ "&amp;"రెండు బ్లేడెడ్ ప్రొపెల్లర్‌ను నడుపుతుంది. [2] [4] పరివేష్టిత కాక్‌పిట్ ఫ్యూజ్‌లేజ్ యొక్క విస్తృత భాగంలో బాగా వెనుకబడి ఉంది మరియు ప్రారంభంలో దృష్టి కోసం రెండు చిన్న సైడ్ కిటికీలు మాత్రమే ఉన్నాయి. విమాన పరీక్ష ప్రారంభమయ్యే ముందు ఇవి పరిమాణంలో చాలా పెరిగాయి."&amp;" దాని వెనుక భాగం ప్రత్యేక ఫిన్ లేని కోణీయ తోకకు మరింత తీవ్రంగా దెబ్బతింది. పార్శ్వ నియంత్రణ కోసం ఒక స్ప్లిట్ చుక్కాని అమర్చారు, ప్రతి సగం దాని విశాలమైన మరియు లోతైన బిందువు వద్ద ఫ్యూజ్‌లేజ్‌తో జతచేయబడుతుంది. ఎలివేన్ నియంత్రణ ఉపరితలాలు కూడా రెక్క వెనుకంజలో "&amp;"ఉన్న అంచున అమర్చబడ్డాయి. విమాన పరీక్ష సమయంలో మార్పులు జంట చుక్కాని ఉపరితలాలను చేర్చడం, చిన్న స్ట్రట్‌లలో ఫ్యూజ్‌లేజ్ యొక్క వెనుకకు అమర్చబడి ఉన్నాయి. [1] చివరి నవ్వు US లో NC10648 గా నమోదు చేయబడింది. [5] ఇది విమానంలో సుమారు 10 అడుగుల (3 మీ) కు పెరిగిందని ప"&amp;"ేర్కొన్నారు. [2] ప్రారంభ విమాన పరీక్షల తరువాత అతను జూలై 1930 లో దాని రూపకల్పనపై కొత్త పేటెంట్ కోసం దాఖలు చేశాడు. [3] యూజీన్ మునిసిపల్ విమానాశ్రయంలో ఫ్లైట్ ట్రయల్స్ ప్రయత్నించినప్పుడు ఈ యంత్రం దెబ్బతింది, అది టాక్సీవేను కోల్పోయింది. [6] దీని నమోదు 1934 లో "&amp;"రద్దు చేయబడింది. [7] యూజీన్ గార్డ్ 1929 నుండి డేటా, పేర్కొనకపోతే. జనరల్ లక్షణాల పనితీరు")</f>
        <v>చివరి నవ్వు 1929 లో యుఎస్ లో రాయ్ స్క్రోగ్స్ నిర్మించిన టైలెస్ డార్ట్ ఆకారపు విమానం. లిఫ్టింగ్ బాడీగా రూపొందించబడిన ఇది 1917 డెల్టా-రెక్కల పేటెంట్ ఆధారంగా రూపొందించబడింది. ఇది విమాన పరీక్షకు గురైంది, కాని డిజైన్ మరింత అభివృద్ధి చేయబడలేదు. రాయ్ స్క్రోగ్స్ యుఎస్ లోని ఒరెగాన్లోని యూజీన్లో నివసిస్తున్న దర్జీ. అతను రోజువారీ ఎగిరేవారికి భద్రత, ఆర్థిక వ్యవస్థ మరియు STOL పనితీరును తీసుకువచ్చే ఒక విమానాన్ని అభివృద్ధి చేయడానికి ప్రయత్నించాడు మరియు 1917 లో తన మొదటి తక్కువ-కారక-నిష్పత్తి డెల్టా డిజైన్‌కు పేటెంట్ పొందాడు. [1] అతని అసాధారణమైన ఆలోచనలను ఏరోనాటికల్ నిపుణులు తిరస్కరించారు మరియు అతని నిలకడ కోసం అతను చాలా ఎగతాళి అందుకున్నాడు. చివరకు అతను 1929 లో పూర్తి-పరిమాణ యంత్రాన్ని నిర్మించినప్పుడు, అతను ఎంచుకున్న పేరు, చివరి నవ్వు, అతని ఆవిష్కరణపై అతని విశ్వాసాన్ని ప్రతిబింబిస్తుంది. [2] 1961 యొక్క హ్యాండ్లీ పేజ్ HP.115, కాంకోర్డ్ వింగ్ ప్లాన్‌ను తక్కువ వేగంతో పరీక్షించడానికి రూపొందించబడింది, చాలా సారూప్య డెల్టా ప్రముఖ అంచు కోణం ఉంది. ముక్కు కత్తిరించిన పొడవైన, ఇరుకైన డెల్టా ఆకారంలో, విమానం ఒక లిఫ్టింగ్ బాడీగా భావించబడింది, లోతైన ట్రాపెజోయిడల్ కైట్-సెక్షన్ ఫ్యూజ్‌లేజ్ ఉంది, ఇది అధిక-మౌంటెడ్, తక్కువ కారక నిష్పత్తి విభాగానికి అనులోమానుపాతంలో దెబ్బతింది. ఫ్యూజ్‌లేజ్ ఈ విధంగా లోతైన కీల్‌ను ఏర్పరుస్తుంది, ఇది లిఫ్ట్ మరియు డైరెక్షనల్ స్టెబిలిటీ రెండింటినీ అందించింది. 1917 యొక్క అసలు డెల్టా-రెక్కల రూపకల్పన అసాధ్యమని నిరూపించబడింది మరియు ఇంజిన్ మరియు ప్రొపెల్లర్‌కు తగిన మౌంటును అందించడానికి ముక్కును తీవ్రంగా తగ్గించాల్సి వచ్చింది. [3] ఈ నిర్మాణం ప్రధానంగా ఫాబ్రిక్ కవరింగ్‌తో వెల్డెడ్ మెటల్ గొట్టాలను కలిగి ఉంది. ట్విన్ మెయిన్ అండర్ క్యారేజ్ వీల్స్ ఇంజిన్ వెనుక వెంటనే స్ట్రట్స్ మీద ఉన్నాయి, ఫార్వర్డ్ ఫ్యూజ్‌లేజ్‌ను భూమికి స్పష్టంగా ఎత్తివేసింది. రెక్కల స్థాయితో వెనుక ఫ్యూజ్‌లేజ్ దాదాపు భూమికి చేరుకుంది మరియు చిన్న తోకతో అమర్చబడి ఉంది. ఈ విమానం 90 హెచ్‌పి కర్టిస్ ఆక్స్ -5 ఇంజిన్ రెండు బ్లేడెడ్ ప్రొపెల్లర్‌ను నడుపుతుంది. [2] [4] పరివేష్టిత కాక్‌పిట్ ఫ్యూజ్‌లేజ్ యొక్క విస్తృత భాగంలో బాగా వెనుకబడి ఉంది మరియు ప్రారంభంలో దృష్టి కోసం రెండు చిన్న సైడ్ కిటికీలు మాత్రమే ఉన్నాయి. విమాన పరీక్ష ప్రారంభమయ్యే ముందు ఇవి పరిమాణంలో చాలా పెరిగాయి. దాని వెనుక భాగం ప్రత్యేక ఫిన్ లేని కోణీయ తోకకు మరింత తీవ్రంగా దెబ్బతింది. పార్శ్వ నియంత్రణ కోసం ఒక స్ప్లిట్ చుక్కాని అమర్చారు, ప్రతి సగం దాని విశాలమైన మరియు లోతైన బిందువు వద్ద ఫ్యూజ్‌లేజ్‌తో జతచేయబడుతుంది. ఎలివేన్ నియంత్రణ ఉపరితలాలు కూడా రెక్క వెనుకంజలో ఉన్న అంచున అమర్చబడ్డాయి. విమాన పరీక్ష సమయంలో మార్పులు జంట చుక్కాని ఉపరితలాలను చేర్చడం, చిన్న స్ట్రట్‌లలో ఫ్యూజ్‌లేజ్ యొక్క వెనుకకు అమర్చబడి ఉన్నాయి. [1] చివరి నవ్వు US లో NC10648 గా నమోదు చేయబడింది. [5] ఇది విమానంలో సుమారు 10 అడుగుల (3 మీ) కు పెరిగిందని పేర్కొన్నారు. [2] ప్రారంభ విమాన పరీక్షల తరువాత అతను జూలై 1930 లో దాని రూపకల్పనపై కొత్త పేటెంట్ కోసం దాఖలు చేశాడు. [3] యూజీన్ మునిసిపల్ విమానాశ్రయంలో ఫ్లైట్ ట్రయల్స్ ప్రయత్నించినప్పుడు ఈ యంత్రం దెబ్బతింది, అది టాక్సీవేను కోల్పోయింది. [6] దీని నమోదు 1934 లో రద్దు చేయబడింది. [7] యూజీన్ గార్డ్ 1929 నుండి డేటా, పేర్కొనకపోతే. జనరల్ లక్షణాల పనితీరు</v>
      </c>
      <c r="E172" s="1" t="s">
        <v>2734</v>
      </c>
      <c r="F172" s="1" t="s">
        <v>2735</v>
      </c>
      <c r="G172" s="1" t="str">
        <f>IFERROR(__xludf.DUMMYFUNCTION("GOOGLETRANSLATE(F:F, ""en"", ""te"")"),"ప్రైవేట్ హోమ్‌బిల్డ్")</f>
        <v>ప్రైవేట్ హోమ్‌బిల్డ్</v>
      </c>
      <c r="I172" s="1" t="s">
        <v>127</v>
      </c>
      <c r="J172" s="1" t="str">
        <f>IFERROR(__xludf.DUMMYFUNCTION("GOOGLETRANSLATE(I:I, ""en"", ""te"")"),"సంయుక్త రాష్ట్రాలు")</f>
        <v>సంయుక్త రాష్ట్రాలు</v>
      </c>
      <c r="K172" s="1" t="s">
        <v>128</v>
      </c>
      <c r="Q172" s="1">
        <v>1.0</v>
      </c>
      <c r="U172" s="1" t="s">
        <v>2736</v>
      </c>
      <c r="W172" s="1" t="s">
        <v>2737</v>
      </c>
      <c r="Y172" s="1" t="s">
        <v>1866</v>
      </c>
      <c r="AA172" s="1" t="s">
        <v>2738</v>
      </c>
      <c r="AB172" s="1" t="s">
        <v>2739</v>
      </c>
      <c r="AG172" s="1" t="s">
        <v>2740</v>
      </c>
      <c r="AH172" s="1" t="s">
        <v>2741</v>
      </c>
    </row>
    <row r="173">
      <c r="A173" s="1" t="s">
        <v>2742</v>
      </c>
      <c r="B173" s="1" t="str">
        <f>IFERROR(__xludf.DUMMYFUNCTION("GOOGLETRANSLATE(A:A, ""en"", ""te"")"),"కాస్టైబర్ట్ III")</f>
        <v>కాస్టైబర్ట్ III</v>
      </c>
      <c r="C173" s="1" t="s">
        <v>2743</v>
      </c>
      <c r="D173" s="1" t="str">
        <f>IFERROR(__xludf.DUMMYFUNCTION("GOOGLETRANSLATE(C:C, ""en"", ""te"")"),"కాస్టైబర్ట్ III 3 వ, కానీ పాబ్లో కాస్టైబర్ట్ చేత ఎగురుతూ 2 వ విజయవంతమైన ప్రయత్నం. ఇది 1912 లో సంభవించింది మరియు ఇది బోలెటిన్ డెల్ ఏ. అర్జెంటీనాలో వివరించబడింది. [1] సాధారణ లక్షణాల పనితీరు అర్జెంటీనా 1910 ల విమానంలో ఈ వ్యాసం ఒక స్టబ్. వికీపీడియా విస్తరించడ"&amp;"ం ద్వారా మీరు సహాయపడవచ్చు.")</f>
        <v>కాస్టైబర్ట్ III 3 వ, కానీ పాబ్లో కాస్టైబర్ట్ చేత ఎగురుతూ 2 వ విజయవంతమైన ప్రయత్నం. ఇది 1912 లో సంభవించింది మరియు ఇది బోలెటిన్ డెల్ ఏ. అర్జెంటీనాలో వివరించబడింది. [1] సాధారణ లక్షణాల పనితీరు అర్జెంటీనా 1910 ల విమానంలో ఈ వ్యాసం ఒక స్టబ్. వికీపీడియా విస్తరించడం ద్వారా మీరు సహాయపడవచ్చు.</v>
      </c>
      <c r="F173" s="1" t="s">
        <v>2744</v>
      </c>
      <c r="G173" s="1" t="str">
        <f>IFERROR(__xludf.DUMMYFUNCTION("GOOGLETRANSLATE(F:F, ""en"", ""te"")"),"మోనోప్లేన్")</f>
        <v>మోనోప్లేన్</v>
      </c>
      <c r="I173" s="1" t="s">
        <v>1784</v>
      </c>
      <c r="J173" s="1" t="str">
        <f>IFERROR(__xludf.DUMMYFUNCTION("GOOGLETRANSLATE(I:I, ""en"", ""te"")"),"అర్జెంటీనా")</f>
        <v>అర్జెంటీనా</v>
      </c>
      <c r="K173" s="3" t="s">
        <v>1785</v>
      </c>
      <c r="L173" s="1" t="s">
        <v>2745</v>
      </c>
      <c r="M173" s="1" t="str">
        <f>IFERROR(__xludf.DUMMYFUNCTION("GOOGLETRANSLATE(L:L, ""en"", ""te"")"),"కాస్టైబర్ట్")</f>
        <v>కాస్టైబర్ట్</v>
      </c>
      <c r="N173" s="3" t="s">
        <v>2746</v>
      </c>
      <c r="U173" s="1" t="s">
        <v>2747</v>
      </c>
      <c r="V173" s="1" t="s">
        <v>2748</v>
      </c>
      <c r="W173" s="1" t="s">
        <v>2749</v>
      </c>
      <c r="Y173" s="1" t="s">
        <v>2750</v>
      </c>
      <c r="AA173" s="1" t="s">
        <v>2751</v>
      </c>
      <c r="AJ173" s="1">
        <v>1912.0</v>
      </c>
      <c r="AP173" s="1" t="s">
        <v>1099</v>
      </c>
    </row>
    <row r="174">
      <c r="A174" s="1" t="s">
        <v>2752</v>
      </c>
      <c r="B174" s="1" t="str">
        <f>IFERROR(__xludf.DUMMYFUNCTION("GOOGLETRANSLATE(A:A, ""en"", ""te"")"),"Dziaayowski bydgoszczanka")</f>
        <v>Dziaayowski bydgoszczanka</v>
      </c>
      <c r="C174" s="1" t="s">
        <v>2753</v>
      </c>
      <c r="D174" s="1" t="str">
        <f>IFERROR(__xludf.DUMMYFUNCTION("GOOGLETRANSLATE(C:C, ""en"", ""te"")"),"1925 లో నిర్మించిన నగరం బైడ్గోజ్జ్జ్ పేరు పెట్టబడిన డిజియావోవ్స్కీ బైడ్గోస్జాంకా, రెండవ జాతీయ గ్లైడింగ్ పోటీలో పోటీ చేయడానికి రూపొందించిన పోలిష్ గ్లైడర్. జార్నా గోరా 1923 లో జరిగిన మొదటి పోలిష్ గ్లైడర్ పోటీకి అవసరమైన గాలి వేగాన్ని అందించలేదు. 1925 లో జరిగ"&amp;"ిన రెండవ పోటీ యొక్క నిర్వాహకులు గ్డినియా సమీపంలో ఓక్సీవీని ఎన్నుకున్నారు, మంచి గాలుల కోసం అన్వేషణలో మరియు వారి ఆశలు ఇవ్వబడలేదు మరియు ఉత్తమమైనవి 1923 నాటి విమానాలను సంప్రదించలేదు, అయినప్పటికీ ఎక్కువ విమానాలు తయారు చేయబడ్డాయి మరియు తక్కువ క్రాష్లతో ఉన్నాయి."&amp;" రెండవ పోటీ మే 17 న ప్రారంభమై జూన్ 14 న ముగిసింది, అయితే ఇరవై ఏడు పోటీదారులలో పదిహేను మంది మాత్రమే ఎగిరిపోయారు. Dziaayski బ్రదర్స్ స్టానిస్సా మరియు మిసిజినా రూపొందించిన బైడ్గోస్జాంకా, బహుమతులు గెలుచుకోలేదు. [1] సోదరులు బైడ్గోస్జాంకాను బైడ్గోజ్జ్జ్‌లోని పై"&amp;"లట్ యొక్క దిగువ పాఠశాల వర్క్‌షాప్‌లలో నిర్మించారు. ఇది పోటీలో ఓపెన్ ఫ్రేమ్ గ్లైడర్ మాత్రమే కాదు, దాని ఫ్రేమ్ మరియు వింగ్ స్థానం అసాధారణమైనవి. కలప యొక్క పొడవైన స్ట్రిప్స్‌ను అతుక్కొని ఉంచడం ద్వారా ఫ్రేమ్ తయారు చేయబడింది, తరువాత వాటిని తిరిగి వంగి, ఐదు నిలు"&amp;"వు బ్రేసింగ్ సభ్యులు మరియు క్రాస్-వైర్లతో ఆకారంలో పరిష్కరించబడింది. తత్ఫలితంగా, ఇది ప్రొఫైల్ ఫార్వర్డ్ లో దాదాపు అర్ధ వృత్తాకారంగా ఉంది మరియు తోక వైపు దెబ్బతింది. [1] [2] వాలిస్ ఎస్. ఎగువ మరియు దిగువ ఫ్రేమ్. వింగ్ ప్రణాళికలో సుమారు దీర్ఘచతురస్రాకారంగా ఉంద"&amp;"ి, ప్లైవుడ్ ఫార్వర్డ్ స్పార్ మరియు ఫాబ్రిక్ కవరింగ్ కంటే ముందు కప్పబడి ఉంది. బైడ్గోస్జ్కాంకా బ్రాడ్-నటుల ఐలెరాన్స్, కలిసి లేదా భేదాత్మకంగా నిర్వహించబడతాయి, పూర్తి-విస్తరణలో విలీనం చేయబడతాయి, వింగ్టిప్స్ తిరిగే వింగ్టిప్స్ ఏరోడైనమిక్ బ్యాలెన్స్‌లుగా పనిచేస"&amp;"్తాయి. పైలట్ వింగ్ లీడింగ్ ఎడ్జ్ కింద బహిర్గతమైంది, స్టీరింగ్ వీల్‌తో సహా అతని నియంత్రణలు. [1] [2] వెనుక భాగంలో ఫ్రేమ్ క్రాస్-సభ్యులపై ఫిన్‌ లేకుండా చుక్కాని అమర్చబడింది, ఇది ఎగువ తీగ పైన పైకి విస్తరించింది. పోటీ సమయంలో ఇది రెండు వేర్వేరు రూపాలను కలిగి ఉం"&amp;"ది. రెండూ వంపు-అగ్రస్థానంలో ఉన్నాయి, కానీ ఒకటి దాని దిగువ అంచుని క్షితిజ సమాంతర తోక పైన మరియు మరొకటి దిగువ తీగ వరకు విస్తరించింది. ఒక త్రిభుజాకార టెయిల్‌ప్లేన్ ఇద్దరు వెనుక భాగంలో నిలువు సభ్యులతో చేరారు మరియు కోణ చిట్కాలతో ఒక ఎలివేటర్‌ను అమర్చారు; చిన్న చ"&amp;"ుక్కాని సంస్కరణలో ఇది వంగిన సెంట్రల్ కట్-అవేను కలిగి ఉంది, కాని పొడవైన చుక్కాతో దీనిని చుక్కాని ఆపరేషన్ కోసం V- ఆకారపు గ్యాప్ ద్వారా రెండుగా విభజించారు. పోటీ సమయంలో క్రాష్ వల్ల కలిగే నష్టం యొక్క మరమ్మత్తు సమయంలో సవరణ జరిగిందని సిన్క్ మరియు గ్లాస్ అంగీకరిస"&amp;"్తున్నాయి, కాని మొదట ఏ రూపం వచ్చింది. [1] [2] పోటీ సమయంలో అండర్ క్యారేజీకి కూడా మార్పులు చేయబడ్డాయి, మళ్ళీ ఏ రూపం మొదట వచ్చిందనే దానిపై అనిశ్చితితో. ఒక అమరికలో, బైడ్గోస్జాంకాకు స్కిడ్లు లేకుండా ఫ్రేమ్-మౌంటెడ్ క్రాస్ యాక్సిల్‌పై చక్రాలు ఉన్నాయి, ఒక ఛాయాచిత"&amp;"్రం చక్రాలు మరియు స్కిడ్‌లతో చూపిస్తుంది మరియు రెండు వనరులు కేవలం స్కిడ్‌లతో కూడిన సంస్కరణను సూచిస్తాయి. చక్రాల రూపం మొదట వచ్చిందని, తరువాత స్కిడ్స్-మాత్రమే గేర్ వచ్చిందని సిన్క్ పేర్కొన్నాడు; గాజు ఈ క్రమాన్ని తిప్పికొడుతుంది. [1] [2] పోటీ యొక్క రెండవ రోజ"&amp;"ున, స్ట్రాజెల్జిక్ చేత పైలట్ చేయబడిన బైడ్గోస్జాంకా, కేవలం 15 సెకన్లకు పైగా విమానంలో ప్రయాణించాడు. ఇది క్రాష్ మరియు మార్పుల తర్వాత ఎక్కువ విమానాలను చేసింది, దాని మొత్తం విమాన సమయాన్ని 72 సెకన్లకు తీసుకువచ్చింది, కాని తరువాత మళ్ళీ క్రాష్ అయ్యింది మరియు మరమ్"&amp;"మతులు చేయబడలేదు. [1] J. సిన్క్, 1971 [1] నుండి డేటా గుర్తించబడిన చోట తప్ప")</f>
        <v>1925 లో నిర్మించిన నగరం బైడ్గోజ్జ్జ్ పేరు పెట్టబడిన డిజియావోవ్స్కీ బైడ్గోస్జాంకా, రెండవ జాతీయ గ్లైడింగ్ పోటీలో పోటీ చేయడానికి రూపొందించిన పోలిష్ గ్లైడర్. జార్నా గోరా 1923 లో జరిగిన మొదటి పోలిష్ గ్లైడర్ పోటీకి అవసరమైన గాలి వేగాన్ని అందించలేదు. 1925 లో జరిగిన రెండవ పోటీ యొక్క నిర్వాహకులు గ్డినియా సమీపంలో ఓక్సీవీని ఎన్నుకున్నారు, మంచి గాలుల కోసం అన్వేషణలో మరియు వారి ఆశలు ఇవ్వబడలేదు మరియు ఉత్తమమైనవి 1923 నాటి విమానాలను సంప్రదించలేదు, అయినప్పటికీ ఎక్కువ విమానాలు తయారు చేయబడ్డాయి మరియు తక్కువ క్రాష్లతో ఉన్నాయి. రెండవ పోటీ మే 17 న ప్రారంభమై జూన్ 14 న ముగిసింది, అయితే ఇరవై ఏడు పోటీదారులలో పదిహేను మంది మాత్రమే ఎగిరిపోయారు. Dziaayski బ్రదర్స్ స్టానిస్సా మరియు మిసిజినా రూపొందించిన బైడ్గోస్జాంకా, బహుమతులు గెలుచుకోలేదు. [1] సోదరులు బైడ్గోస్జాంకాను బైడ్గోజ్జ్జ్‌లోని పైలట్ యొక్క దిగువ పాఠశాల వర్క్‌షాప్‌లలో నిర్మించారు. ఇది పోటీలో ఓపెన్ ఫ్రేమ్ గ్లైడర్ మాత్రమే కాదు, దాని ఫ్రేమ్ మరియు వింగ్ స్థానం అసాధారణమైనవి. కలప యొక్క పొడవైన స్ట్రిప్స్‌ను అతుక్కొని ఉంచడం ద్వారా ఫ్రేమ్ తయారు చేయబడింది, తరువాత వాటిని తిరిగి వంగి, ఐదు నిలువు బ్రేసింగ్ సభ్యులు మరియు క్రాస్-వైర్లతో ఆకారంలో పరిష్కరించబడింది. తత్ఫలితంగా, ఇది ప్రొఫైల్ ఫార్వర్డ్ లో దాదాపు అర్ధ వృత్తాకారంగా ఉంది మరియు తోక వైపు దెబ్బతింది. [1] [2] వాలిస్ ఎస్. ఎగువ మరియు దిగువ ఫ్రేమ్. వింగ్ ప్రణాళికలో సుమారు దీర్ఘచతురస్రాకారంగా ఉంది, ప్లైవుడ్ ఫార్వర్డ్ స్పార్ మరియు ఫాబ్రిక్ కవరింగ్ కంటే ముందు కప్పబడి ఉంది. బైడ్గోస్జ్కాంకా బ్రాడ్-నటుల ఐలెరాన్స్, కలిసి లేదా భేదాత్మకంగా నిర్వహించబడతాయి, పూర్తి-విస్తరణలో విలీనం చేయబడతాయి, వింగ్టిప్స్ తిరిగే వింగ్టిప్స్ ఏరోడైనమిక్ బ్యాలెన్స్‌లుగా పనిచేస్తాయి. పైలట్ వింగ్ లీడింగ్ ఎడ్జ్ కింద బహిర్గతమైంది, స్టీరింగ్ వీల్‌తో సహా అతని నియంత్రణలు. [1] [2] వెనుక భాగంలో ఫ్రేమ్ క్రాస్-సభ్యులపై ఫిన్‌ లేకుండా చుక్కాని అమర్చబడింది, ఇది ఎగువ తీగ పైన పైకి విస్తరించింది. పోటీ సమయంలో ఇది రెండు వేర్వేరు రూపాలను కలిగి ఉంది. రెండూ వంపు-అగ్రస్థానంలో ఉన్నాయి, కానీ ఒకటి దాని దిగువ అంచుని క్షితిజ సమాంతర తోక పైన మరియు మరొకటి దిగువ తీగ వరకు విస్తరించింది. ఒక త్రిభుజాకార టెయిల్‌ప్లేన్ ఇద్దరు వెనుక భాగంలో నిలువు సభ్యులతో చేరారు మరియు కోణ చిట్కాలతో ఒక ఎలివేటర్‌ను అమర్చారు; చిన్న చుక్కాని సంస్కరణలో ఇది వంగిన సెంట్రల్ కట్-అవేను కలిగి ఉంది, కాని పొడవైన చుక్కాతో దీనిని చుక్కాని ఆపరేషన్ కోసం V- ఆకారపు గ్యాప్ ద్వారా రెండుగా విభజించారు. పోటీ సమయంలో క్రాష్ వల్ల కలిగే నష్టం యొక్క మరమ్మత్తు సమయంలో సవరణ జరిగిందని సిన్క్ మరియు గ్లాస్ అంగీకరిస్తున్నాయి, కాని మొదట ఏ రూపం వచ్చింది. [1] [2] పోటీ సమయంలో అండర్ క్యారేజీకి కూడా మార్పులు చేయబడ్డాయి, మళ్ళీ ఏ రూపం మొదట వచ్చిందనే దానిపై అనిశ్చితితో. ఒక అమరికలో, బైడ్గోస్జాంకాకు స్కిడ్లు లేకుండా ఫ్రేమ్-మౌంటెడ్ క్రాస్ యాక్సిల్‌పై చక్రాలు ఉన్నాయి, ఒక ఛాయాచిత్రం చక్రాలు మరియు స్కిడ్‌లతో చూపిస్తుంది మరియు రెండు వనరులు కేవలం స్కిడ్‌లతో కూడిన సంస్కరణను సూచిస్తాయి. చక్రాల రూపం మొదట వచ్చిందని, తరువాత స్కిడ్స్-మాత్రమే గేర్ వచ్చిందని సిన్క్ పేర్కొన్నాడు; గాజు ఈ క్రమాన్ని తిప్పికొడుతుంది. [1] [2] పోటీ యొక్క రెండవ రోజున, స్ట్రాజెల్జిక్ చేత పైలట్ చేయబడిన బైడ్గోస్జాంకా, కేవలం 15 సెకన్లకు పైగా విమానంలో ప్రయాణించాడు. ఇది క్రాష్ మరియు మార్పుల తర్వాత ఎక్కువ విమానాలను చేసింది, దాని మొత్తం విమాన సమయాన్ని 72 సెకన్లకు తీసుకువచ్చింది, కాని తరువాత మళ్ళీ క్రాష్ అయ్యింది మరియు మరమ్మతులు చేయబడలేదు. [1] J. సిన్క్, 1971 [1] నుండి డేటా గుర్తించబడిన చోట తప్ప</v>
      </c>
      <c r="F174" s="1" t="s">
        <v>319</v>
      </c>
      <c r="G174" s="1" t="str">
        <f>IFERROR(__xludf.DUMMYFUNCTION("GOOGLETRANSLATE(F:F, ""en"", ""te"")"),"సింగిల్-సీట్ గ్లైడర్")</f>
        <v>సింగిల్-సీట్ గ్లైడర్</v>
      </c>
      <c r="H174" s="1" t="s">
        <v>320</v>
      </c>
      <c r="I174" s="1" t="s">
        <v>431</v>
      </c>
      <c r="J174" s="1" t="str">
        <f>IFERROR(__xludf.DUMMYFUNCTION("GOOGLETRANSLATE(I:I, ""en"", ""te"")"),"పోలాండ్")</f>
        <v>పోలాండ్</v>
      </c>
      <c r="K174" s="3" t="s">
        <v>432</v>
      </c>
      <c r="Q174" s="1">
        <v>1.0</v>
      </c>
      <c r="S174" s="1" t="s">
        <v>433</v>
      </c>
      <c r="U174" s="1" t="s">
        <v>2754</v>
      </c>
      <c r="V174" s="1" t="s">
        <v>2755</v>
      </c>
      <c r="W174" s="1" t="s">
        <v>826</v>
      </c>
      <c r="X174" s="1" t="s">
        <v>2756</v>
      </c>
      <c r="Y174" s="1" t="s">
        <v>2757</v>
      </c>
      <c r="AH174" s="1" t="s">
        <v>2758</v>
      </c>
      <c r="AJ174" s="1" t="s">
        <v>2759</v>
      </c>
      <c r="AM174" s="1" t="s">
        <v>2760</v>
      </c>
      <c r="AS174" s="1">
        <v>7.0</v>
      </c>
    </row>
    <row r="175">
      <c r="A175" s="1" t="s">
        <v>2761</v>
      </c>
      <c r="B175" s="1" t="str">
        <f>IFERROR(__xludf.DUMMYFUNCTION("GOOGLETRANSLATE(A:A, ""en"", ""te"")"),"కార్పిస్కి Sl.1 akar")</f>
        <v>కార్పిస్కి Sl.1 akar</v>
      </c>
      <c r="C175" s="1" t="s">
        <v>2762</v>
      </c>
      <c r="D175" s="1" t="str">
        <f>IFERROR(__xludf.DUMMYFUNCTION("GOOGLETRANSLATE(C:C, ""en"", ""te"")"),"SL.1 AKAR (GNAT) అనేది 1923 లో జరిగిన మొదటి పోలిష్ గ్లైడర్ పోటీలో పోటీ చేయడానికి నిర్మించిన పోలిష్ గ్లైడర్. ఇది దాని పైలట్లు మొదటి మరియు రెండవ స్థానాలను సాధించడంతో పోటీలో ఆధిపత్యం చెలాయించింది. 1920 వేసవి చివరలో వాస్సెర్కుప్పేలో జరిగిన మొదటి జర్మన్ గ్లైడర"&amp;"్ పోటీ యొక్క నివేదికలు పోలాండ్‌లో గణనీయమైన ఆసక్తిని కలిగించాయి, ఇది ఆగస్టు 30 మరియు 13 సెప్టెంబర్ 1923 మధ్య జర్నా గోరాలో జరిగిన మొదటి పోలిష్ గ్లైడర్ పోటీకి దారితీసింది. ఈ పోటీ గొప్ప విజయం కాదు . దీనిని 1922 లో ఆడమ్ కార్పియస్కి అనే విద్యార్థి, వార్సా టెక్న"&amp;"ికల్ యూనివర్శిటీ యొక్క ఏవియేషన్ విభాగమైన SEKCJA LOTNICZA (SL) లో విద్యార్థి రూపొందించారు మరియు దీనిని ఇతర SL విద్యార్థులు నిర్మించారు. [1] ఆల్-వుడ్ అకార్ ఒక కాంటిలివర్ మోనోప్లేన్, ఇది మూడు-భాగాల రెక్కతో జంట స్పార్స్ చుట్టూ నిర్మించబడింది. రెక్కలో ట్రాపెజో"&amp;"యిడల్ uter టర్ ప్యానెల్స్‌తో దీర్ఘచతురస్రాకార ప్రణాళిక సెంటర్ సెక్షన్ ఉంది మరియు ఇది ఫాబ్రిక్ కప్పబడి ఉంది. [1] [2] ఇది రెండు సమాంతర ఓపెన్ ఫ్రేమ్‌ల పైన అమర్చబడి, 2 మీ (6 అడుగుల 7 అంగుళాలు) దూరంలో ఉంది, దాని ఫ్యూజ్‌లేజ్‌ను ఏర్పరుస్తుంది. వీటిలో ప్రతి ఒక్కట"&amp;"ి చిన్న వాలుగా ఉన్న వెబ్ సభ్యులచే ఒకదానితో ఒకటి అనుసంధానించబడిన రేఖాంశ స్ట్రెయిట్ ఎగువ మరియు వంగిన దిగువ తీగలను కలిగి ఉన్నాయి మరియు మూడు విలోమ స్ట్రట్‌ల ద్వారా కలిసి ఉన్నాయి. రెండు, రెండు ఫార్వర్డ్-వెబ్ సభ్యులలో ఒకరు, పైలట్ సీటును తీసుకువెళ్లారు. ప్రతి ఫ్"&amp;"రేమ్ యొక్క తీగలు వెనుక భాగంలో కలుస్తాయి, ఇక్కడ మూడవ విలోమ సభ్యుడు ఎంపెనేజ్‌ను తీసుకువెళ్లారు. టెయిల్‌ప్లేన్ ఫ్యూజ్‌లేజ్ ఫ్రేమ్‌ల మధ్య పరిమితం చేయబడింది, కాని ఎలివేటర్లు మించి అంచనా వేశాయి, బ్యాలెన్స్‌లను కలిగి ఉన్నాయి. రెక్కలు లేవు కాని జంట సుమారు దీర్ఘచత"&amp;"ురస్రాకార రడ్డర్లు. ఫ్యూజ్‌లేజ్ ఫ్రేమ్‌లకు మించి విస్తరించి ఉన్న ఫార్వర్డ్ క్రాస్-యాక్సిల్ పెద్ద చక్రాలకు విస్తృత ట్రాక్‌ను ఇచ్చింది మరియు ముక్కు-ఓవర్లను నివారించడానికి పైకి-కర్వింగ్ దిగువ తీగలు స్కిడ్‌లుగా పనిచేస్తాయి. [1] [2] చాలా మంది గ్లైడర్‌లు పోటీలో"&amp;"కి ప్రవేశించకపోయినా, దాని ప్రారంభానికి ముందే ఎగురవేయబడనప్పటికీ, ACKAR 24 ఆగస్టు 1923 న మొదటి విమానంలో సాధించింది, ఇది డిజైనర్ సోదరుడు తడేస్జ్ చేత పైలట్ చేయబడింది. పోటీ ప్రారంభమయ్యే ముందు ఏడు విమానాలు జరిగాయి, కార్పియస్కీ మరియు రైస్‌జార్డ్ బార్టెల్ చేత ఎగి"&amp;"రిపోయాయి; వీటిలో పొడవైనది 96 సెకన్ల పాటు కొనసాగింది మరియు దీనిని బార్టెల్ తయారు చేశారు. ఈ పరీక్ష విమానాలు సమర్థవంతమైన మరియు సమతుల్య నియంత్రణలతో మంచి నిర్వహణను వెల్లడించాయి. [1] ఈ పోటీలో ఆకర్ ఆధిపత్యం చెలాయించింది, ఇద్దరినీ ఎగురవేసిన కార్పిస్కి మొదట మరియు "&amp;"బార్టెల్ చేత రెండవ స్థానంలో నిలిచాడు. దాని పొడవైన విమానం 186 సెకన్ల పాటు కొనసాగింది; ఇది 3 కిమీ (1.9 మైళ్ళు) పై విమానాన్ని చేసింది మరియు 20 మీ (66 అడుగులు) ఎత్తును పొందింది. తరువాతి వసంతకాలంలో బాబియా గోరాలో మంచి గ్లైడింగ్ సైట్ల కోసం ఎస్‌ఎల్ ఎస్‌ఎల్ చేత ఉప"&amp;"యోగించబడింది. స్కిస్‌తో అమర్చబడి, ఇది 3 ఏప్రిల్ 1924 న విమానంలో ప్రయాణించింది (మరొక మూలం తేదీని ఏప్రిల్ 8 [2] గా ఇస్తుంది), ఇది 325 సెకన్ల పాటు, 2.5 కిమీ (1.6 మైళ్ళు) కవర్ చేసి, నాలుగు సంవత్సరాలుగా పాలిష్ రికార్డును నెలకొల్పింది. [[పట్టు కుములి ఇది ఈ ఫ్లై"&amp;"ట్ చివరిలో [2] లేదా తరువాత దానిలో క్రాష్ అయ్యింది. [1] క్రాష్ తరువాత గ్లైడర్‌ను స్టానిస్సావ్ రౌస్ అకార్ II గా పున es రూపకల్పన చేసింది, దీర్ఘచతురస్రాకార విభాగం, ప్లై-కప్పబడిన ఫ్యూజ్‌లేజ్ మరియు కొత్త సామ్రాజ్యం. ఇది 1925 నాటి రెండవ పోలిష్ పోలిష్ గ్లైడర్ పోట"&amp;"ీ కోసం నమోదు చేయబడింది, అయినప్పటికీ అది అక్కడ కనిపించలేదు. [1] AKAR II నిర్మించబడిందని సింకె నివేదించినప్పటికీ, మరొక మూలం విద్యార్థులను విశ్వవిద్యాలయ వర్క్‌షాప్‌ను ఉపయోగించకుండా నిరోధించారని మరియు AKAR యొక్క పునర్నిర్మాణం జరగలేదని పేర్కొంది. 1925 శరదృతువు"&amp;"లో దీని అవశేషాలు నాశనం చేయబడ్డాయి. [2] నుండి డేటా: జనరల్ జె. సింక్ (1971); [1] పనితీరు సమోలోటైపోల్స్కీ.పిఎల్. [2] సాధారణ లక్షణాల పనితీరు 9")</f>
        <v>SL.1 AKAR (GNAT) అనేది 1923 లో జరిగిన మొదటి పోలిష్ గ్లైడర్ పోటీలో పోటీ చేయడానికి నిర్మించిన పోలిష్ గ్లైడర్. ఇది దాని పైలట్లు మొదటి మరియు రెండవ స్థానాలను సాధించడంతో పోటీలో ఆధిపత్యం చెలాయించింది. 1920 వేసవి చివరలో వాస్సెర్కుప్పేలో జరిగిన మొదటి జర్మన్ గ్లైడర్ పోటీ యొక్క నివేదికలు పోలాండ్‌లో గణనీయమైన ఆసక్తిని కలిగించాయి, ఇది ఆగస్టు 30 మరియు 13 సెప్టెంబర్ 1923 మధ్య జర్నా గోరాలో జరిగిన మొదటి పోలిష్ గ్లైడర్ పోటీకి దారితీసింది. ఈ పోటీ గొప్ప విజయం కాదు . దీనిని 1922 లో ఆడమ్ కార్పియస్కి అనే విద్యార్థి, వార్సా టెక్నికల్ యూనివర్శిటీ యొక్క ఏవియేషన్ విభాగమైన SEKCJA LOTNICZA (SL) లో విద్యార్థి రూపొందించారు మరియు దీనిని ఇతర SL విద్యార్థులు నిర్మించారు. [1] ఆల్-వుడ్ అకార్ ఒక కాంటిలివర్ మోనోప్లేన్, ఇది మూడు-భాగాల రెక్కతో జంట స్పార్స్ చుట్టూ నిర్మించబడింది. రెక్కలో ట్రాపెజోయిడల్ uter టర్ ప్యానెల్స్‌తో దీర్ఘచతురస్రాకార ప్రణాళిక సెంటర్ సెక్షన్ ఉంది మరియు ఇది ఫాబ్రిక్ కప్పబడి ఉంది. [1] [2] ఇది రెండు సమాంతర ఓపెన్ ఫ్రేమ్‌ల పైన అమర్చబడి, 2 మీ (6 అడుగుల 7 అంగుళాలు) దూరంలో ఉంది, దాని ఫ్యూజ్‌లేజ్‌ను ఏర్పరుస్తుంది. వీటిలో ప్రతి ఒక్కటి చిన్న వాలుగా ఉన్న వెబ్ సభ్యులచే ఒకదానితో ఒకటి అనుసంధానించబడిన రేఖాంశ స్ట్రెయిట్ ఎగువ మరియు వంగిన దిగువ తీగలను కలిగి ఉన్నాయి మరియు మూడు విలోమ స్ట్రట్‌ల ద్వారా కలిసి ఉన్నాయి. రెండు, రెండు ఫార్వర్డ్-వెబ్ సభ్యులలో ఒకరు, పైలట్ సీటును తీసుకువెళ్లారు. ప్రతి ఫ్రేమ్ యొక్క తీగలు వెనుక భాగంలో కలుస్తాయి, ఇక్కడ మూడవ విలోమ సభ్యుడు ఎంపెనేజ్‌ను తీసుకువెళ్లారు. టెయిల్‌ప్లేన్ ఫ్యూజ్‌లేజ్ ఫ్రేమ్‌ల మధ్య పరిమితం చేయబడింది, కాని ఎలివేటర్లు మించి అంచనా వేశాయి, బ్యాలెన్స్‌లను కలిగి ఉన్నాయి. రెక్కలు లేవు కాని జంట సుమారు దీర్ఘచతురస్రాకార రడ్డర్లు. ఫ్యూజ్‌లేజ్ ఫ్రేమ్‌లకు మించి విస్తరించి ఉన్న ఫార్వర్డ్ క్రాస్-యాక్సిల్ పెద్ద చక్రాలకు విస్తృత ట్రాక్‌ను ఇచ్చింది మరియు ముక్కు-ఓవర్లను నివారించడానికి పైకి-కర్వింగ్ దిగువ తీగలు స్కిడ్‌లుగా పనిచేస్తాయి. [1] [2] చాలా మంది గ్లైడర్‌లు పోటీలోకి ప్రవేశించకపోయినా, దాని ప్రారంభానికి ముందే ఎగురవేయబడనప్పటికీ, ACKAR 24 ఆగస్టు 1923 న మొదటి విమానంలో సాధించింది, ఇది డిజైనర్ సోదరుడు తడేస్జ్ చేత పైలట్ చేయబడింది. పోటీ ప్రారంభమయ్యే ముందు ఏడు విమానాలు జరిగాయి, కార్పియస్కీ మరియు రైస్‌జార్డ్ బార్టెల్ చేత ఎగిరిపోయాయి; వీటిలో పొడవైనది 96 సెకన్ల పాటు కొనసాగింది మరియు దీనిని బార్టెల్ తయారు చేశారు. ఈ పరీక్ష విమానాలు సమర్థవంతమైన మరియు సమతుల్య నియంత్రణలతో మంచి నిర్వహణను వెల్లడించాయి. [1] ఈ పోటీలో ఆకర్ ఆధిపత్యం చెలాయించింది, ఇద్దరినీ ఎగురవేసిన కార్పిస్కి మొదట మరియు బార్టెల్ చేత రెండవ స్థానంలో నిలిచాడు. దాని పొడవైన విమానం 186 సెకన్ల పాటు కొనసాగింది; ఇది 3 కిమీ (1.9 మైళ్ళు) పై విమానాన్ని చేసింది మరియు 20 మీ (66 అడుగులు) ఎత్తును పొందింది. తరువాతి వసంతకాలంలో బాబియా గోరాలో మంచి గ్లైడింగ్ సైట్ల కోసం ఎస్‌ఎల్ ఎస్‌ఎల్ చేత ఉపయోగించబడింది. స్కిస్‌తో అమర్చబడి, ఇది 3 ఏప్రిల్ 1924 న విమానంలో ప్రయాణించింది (మరొక మూలం తేదీని ఏప్రిల్ 8 [2] గా ఇస్తుంది), ఇది 325 సెకన్ల పాటు, 2.5 కిమీ (1.6 మైళ్ళు) కవర్ చేసి, నాలుగు సంవత్సరాలుగా పాలిష్ రికార్డును నెలకొల్పింది. [[పట్టు కుములి ఇది ఈ ఫ్లైట్ చివరిలో [2] లేదా తరువాత దానిలో క్రాష్ అయ్యింది. [1] క్రాష్ తరువాత గ్లైడర్‌ను స్టానిస్సావ్ రౌస్ అకార్ II గా పున es రూపకల్పన చేసింది, దీర్ఘచతురస్రాకార విభాగం, ప్లై-కప్పబడిన ఫ్యూజ్‌లేజ్ మరియు కొత్త సామ్రాజ్యం. ఇది 1925 నాటి రెండవ పోలిష్ పోలిష్ గ్లైడర్ పోటీ కోసం నమోదు చేయబడింది, అయినప్పటికీ అది అక్కడ కనిపించలేదు. [1] AKAR II నిర్మించబడిందని సింకె నివేదించినప్పటికీ, మరొక మూలం విద్యార్థులను విశ్వవిద్యాలయ వర్క్‌షాప్‌ను ఉపయోగించకుండా నిరోధించారని మరియు AKAR యొక్క పునర్నిర్మాణం జరగలేదని పేర్కొంది. 1925 శరదృతువులో దీని అవశేషాలు నాశనం చేయబడ్డాయి. [2] నుండి డేటా: జనరల్ జె. సింక్ (1971); [1] పనితీరు సమోలోటైపోల్స్కీ.పిఎల్. [2] సాధారణ లక్షణాల పనితీరు 9</v>
      </c>
      <c r="F175" s="1" t="s">
        <v>2763</v>
      </c>
      <c r="G175" s="1" t="str">
        <f>IFERROR(__xludf.DUMMYFUNCTION("GOOGLETRANSLATE(F:F, ""en"", ""te"")"),"గ్లైడర్")</f>
        <v>గ్లైడర్</v>
      </c>
      <c r="H175" s="3" t="s">
        <v>2764</v>
      </c>
      <c r="I175" s="1" t="s">
        <v>431</v>
      </c>
      <c r="J175" s="1" t="str">
        <f>IFERROR(__xludf.DUMMYFUNCTION("GOOGLETRANSLATE(I:I, ""en"", ""te"")"),"పోలాండ్")</f>
        <v>పోలాండ్</v>
      </c>
      <c r="K175" s="3" t="s">
        <v>432</v>
      </c>
      <c r="Q175" s="1">
        <v>1.0</v>
      </c>
      <c r="S175" s="1" t="s">
        <v>433</v>
      </c>
      <c r="V175" s="1" t="s">
        <v>2765</v>
      </c>
      <c r="W175" s="1" t="s">
        <v>2766</v>
      </c>
      <c r="X175" s="1" t="s">
        <v>2767</v>
      </c>
      <c r="Y175" s="1" t="s">
        <v>2768</v>
      </c>
      <c r="AH175" s="1" t="s">
        <v>2769</v>
      </c>
      <c r="AJ175" s="5">
        <v>8637.0</v>
      </c>
      <c r="AS175" s="1">
        <v>7.1</v>
      </c>
      <c r="BE175" s="1">
        <v>9.0</v>
      </c>
      <c r="BF175" s="1" t="s">
        <v>2770</v>
      </c>
      <c r="DM175" s="1" t="s">
        <v>2771</v>
      </c>
    </row>
    <row r="176">
      <c r="A176" s="1" t="s">
        <v>2772</v>
      </c>
      <c r="B176" s="1" t="str">
        <f>IFERROR(__xludf.DUMMYFUNCTION("GOOGLETRANSLATE(A:A, ""en"", ""te"")"),"Nowotny n-y 4bis")</f>
        <v>Nowotny n-y 4bis</v>
      </c>
      <c r="C176" s="1" t="s">
        <v>2773</v>
      </c>
      <c r="D176" s="1" t="str">
        <f>IFERROR(__xludf.DUMMYFUNCTION("GOOGLETRANSLATE(C:C, ""en"", ""te"")"),"నౌట్నీ N-Y 4BIS అనేది పోలాండ్‌లో నిర్మించిన రెండు-సీట్ల తేలికపాటి విమానం, ఇది ఎగిరే క్లబ్‌ల కోసం చాలా తేలికైన, తక్కువ శక్తితో కూడిన శిక్షణా విమానాల వైపు ఒక అడుగు. దాని డిజైనర్ తన శిక్షకుడి మొదటి ఫ్లైట్ మరియు దాని అభివృద్ధిని వదిలిపెట్టిన వెంటనే గ్లైడర్‌లో"&amp;" చంపబడ్డాడు. 1932 లో ఆడమ్ నోవోట్నీ తక్కువ శక్తితో కూడిన, తేలికపాటి రెండు-సీట్ల శిక్షకుడిని రూపొందించాడు, గ్లైడర్ పైలట్లను శక్తితో కూడిన విమానంలో మార్చడానికి సహాయపడటానికి ఉద్దేశించిన నోవోట్నీ N-Y 4 ను నియమించారు. LWáw ఏరోక్లబ్ దాని భవనానికి ఆర్థిక సహాయం చే"&amp;"యడానికి సిద్ధంగా ఉంది, కాని తక్కువ శక్తి ఇంజిన్ అందుబాటులో లేదు. క్లబ్‌లో వృద్ధులు ఉన్నందున, 85 హెచ్‌పి (63 కిలోవాట్) వాల్టర్ ఎన్‌జెడ్ రేడియల్ ఇంజిన్, నోవోట్నీ దీనిని కలుపుకొని పూర్తిగా కొత్త డిజైన్‌ను రూపొందించాడు. మార్పులు ఉన్నప్పటికీ, నోవోట్నీ దీనిని న"&amp;"ౌట్నీ N-Y 4BIS ను నియమించాడు, ఎందుకంటే అతను దానిని తన మార్పిడి శిక్షకుడి వైపు ఒక అడుగుగా భావించాడు. [1] LWáw ఏరోక్లబ్ స్థానిక విశ్వవిద్యాలయం యొక్క విండ్ టన్నెల్ లో డిజైన్ పరీక్షించారు మరియు మే 1933 లో దాని నిర్మాణాన్ని LUBLIN ఏరోక్లబ్ యొక్క స్వల్పకాలిక వా"&amp;"ణిజ్య వెంచర్ అయిన C.W.A. కు ఒప్పందం కుదుర్చుకుంది. C.W.A. యొక్క కూలిపోయిన తరువాత, E. ప్లేజ్ &amp; T. లాకివిచ్ యొక్క లుబ్లిన్ ఫ్యాక్టరీలో నౌట్నీ N-Y 4BIS పూర్తయింది. దాని మొదటి ఫ్లైట్, దాని డిజైనర్ చేత పైలట్ చేయబడింది, ఏప్రిల్ 1934 లో జరిగింది. [1] N-Y 4BIS ఒక"&amp;" మోనోప్లేన్, ఇది ఒకే బిర్చ్ బాక్స్ స్పార్ చుట్టూ నిర్మించిన కాంటిలివర్ తక్కువ వింగ్. ఒక చిన్న కేంద్రం విభాగానికి మించి, జాగ్రత్తగా వెనుకంజలో ఉన్న అంచుతో ఫ్యూజ్‌లేజ్ యొక్క అంతర్భాగం, రెక్కలు గుండ్రని చిట్కాలకు ప్రణాళిక మరియు విభాగం రెండింటిలోనూ బలంగా దెబ్బ"&amp;"తిన్నాయి మరియు డైహెడ్రల్ గా గుర్తించబడ్డాయి. రెక్కలో కొంత భాగం ప్లైవుడ్ కప్పబడి ఉంది, మరెక్కడా ఫాబ్రిక్ ఉంది. రెక్క చిట్కాలకు చేరుకున్న ఐలెరాన్లు స్లాట్ మరియు సమతుల్యతను కలిగి ఉన్నాయి. [1] [2] వాల్టర్ ఇంజిన్, వింగ్ సెంటర్ విభాగంలో దాని ఇంధన ట్యాంక్‌తో, టౌ"&amp;"నెండ్ రింగ్-టైప్ కౌలింగ్‌తో జతచేయబడింది. దాని వెనుక, దీర్ఘచతురస్రాకార విభాగం ఫ్యూజ్‌లేజ్ వెల్డెడ్ స్టీల్ ట్యూబ్‌లు మరియు ఫాబ్రిక్ నుండి నిర్మించబడింది, ఇది ఒక గుండ్రని ప్లైవుడ్ ఎగువ డెక్కింగ్ నుండి కప్పబడి ఉంటుంది, ఇది ఇంజిన్ వెనుక వెంటనే ప్రారంభమైంది, రె"&amp;"ండు టెన్డం కాక్‌పిట్‌లలో సరసమైనదిగా మరియు వాటికి హెడ్‌రెస్ట్‌లను అందించింది. రెండు కాక్‌పిట్‌లు, వెనుక భాగంలో బోధకుడితో పెంచబడినవి, రెక్కపై ఉన్నాయి మరియు ద్వంద్వ నియంత్రణతో అమర్చబడ్డాయి. కాక్‌పిట్స్ వెనుక ఫ్యూజ్‌లేజ్ నిర్మాణం అంతర్గతంగా వైర్-బ్రేస్డ్. N-Y"&amp;" 4BIS యొక్క చిన్న, ట్రాపెజోయిడల్ ఫిన్ ఉక్కు చట్రాన్ని కలిగి ఉంది మరియు ఇది ఫ్యూజ్‌లేజ్‌లో అంతర్భాగం. ఇది ప్లై-కప్పబడి ఉంది, కానీ చాలా ఉదారంగా, గుండ్రని, సమతుల్య చుక్కాని, కీల్ వరకు చేరుకుంది, మిగిలిన సామ్రాజ్యం వలె కప్పబడిన ఫాబ్రిక్ ఉంది. దాని క్షితిజ సమా"&amp;"ంతర తోక భూమి-సర్దుబాటు చేయదగినది మరియు గుండ్రని చిట్కాలకు ప్రణాళికలో ఉంటుంది, అసమతుల్య ఎలివేటర్లు చుక్కాని కదలికను అనుమతించడానికి అంతరం ద్వారా వేరు చేయబడతాయి. [1] [2] అండర్ క్యారేజ్ సాంప్రదాయికమైనది, స్థిర మెయిన్‌వీల్స్ మరియు టెయిల్‌స్కిడ్. చక్రాలు దిగువ "&amp;"కేంద్ర ఫ్యూజ్‌లేజ్ నుండి స్ప్లిట్ ఇరుసులపై ఉన్నాయి; దాని ల్యాండింగ్ కాళ్ళు, రబ్బరు డిస్క్ షాక్ అబ్జార్బర్స్ మరియు డ్రాగ్ స్ట్రట్‌లను కలుపుకొని దిగువ లాంగన్స్‌కు జతచేయబడ్డాయి. [1] [2] ప్రారంభ పరీక్షలు N-Y 4BI లు బాగా మరియు అవుట్-పెర్ఫార్మ్డ్ అంచనాలను చూపిం"&amp;"చాయి. అధికారిక ధృవీకరణ కోసం వెళ్ళే ముందు, ఇప్పుడు 13 జూలై 1934 న గ్లైడర్ ప్రమాదంలో ఇప్పుడు మరణించాడు మరియు విమానం వదిలివేయబడింది. [1] జె.")</f>
        <v>నౌట్నీ N-Y 4BIS అనేది పోలాండ్‌లో నిర్మించిన రెండు-సీట్ల తేలికపాటి విమానం, ఇది ఎగిరే క్లబ్‌ల కోసం చాలా తేలికైన, తక్కువ శక్తితో కూడిన శిక్షణా విమానాల వైపు ఒక అడుగు. దాని డిజైనర్ తన శిక్షకుడి మొదటి ఫ్లైట్ మరియు దాని అభివృద్ధిని వదిలిపెట్టిన వెంటనే గ్లైడర్‌లో చంపబడ్డాడు. 1932 లో ఆడమ్ నోవోట్నీ తక్కువ శక్తితో కూడిన, తేలికపాటి రెండు-సీట్ల శిక్షకుడిని రూపొందించాడు, గ్లైడర్ పైలట్లను శక్తితో కూడిన విమానంలో మార్చడానికి సహాయపడటానికి ఉద్దేశించిన నోవోట్నీ N-Y 4 ను నియమించారు. LWáw ఏరోక్లబ్ దాని భవనానికి ఆర్థిక సహాయం చేయడానికి సిద్ధంగా ఉంది, కాని తక్కువ శక్తి ఇంజిన్ అందుబాటులో లేదు. క్లబ్‌లో వృద్ధులు ఉన్నందున, 85 హెచ్‌పి (63 కిలోవాట్) వాల్టర్ ఎన్‌జెడ్ రేడియల్ ఇంజిన్, నోవోట్నీ దీనిని కలుపుకొని పూర్తిగా కొత్త డిజైన్‌ను రూపొందించాడు. మార్పులు ఉన్నప్పటికీ, నోవోట్నీ దీనిని నౌట్నీ N-Y 4BIS ను నియమించాడు, ఎందుకంటే అతను దానిని తన మార్పిడి శిక్షకుడి వైపు ఒక అడుగుగా భావించాడు. [1] LWáw ఏరోక్లబ్ స్థానిక విశ్వవిద్యాలయం యొక్క విండ్ టన్నెల్ లో డిజైన్ పరీక్షించారు మరియు మే 1933 లో దాని నిర్మాణాన్ని LUBLIN ఏరోక్లబ్ యొక్క స్వల్పకాలిక వాణిజ్య వెంచర్ అయిన C.W.A. కు ఒప్పందం కుదుర్చుకుంది. C.W.A. యొక్క కూలిపోయిన తరువాత, E. ప్లేజ్ &amp; T. లాకివిచ్ యొక్క లుబ్లిన్ ఫ్యాక్టరీలో నౌట్నీ N-Y 4BIS పూర్తయింది. దాని మొదటి ఫ్లైట్, దాని డిజైనర్ చేత పైలట్ చేయబడింది, ఏప్రిల్ 1934 లో జరిగింది. [1] N-Y 4BIS ఒక మోనోప్లేన్, ఇది ఒకే బిర్చ్ బాక్స్ స్పార్ చుట్టూ నిర్మించిన కాంటిలివర్ తక్కువ వింగ్. ఒక చిన్న కేంద్రం విభాగానికి మించి, జాగ్రత్తగా వెనుకంజలో ఉన్న అంచుతో ఫ్యూజ్‌లేజ్ యొక్క అంతర్భాగం, రెక్కలు గుండ్రని చిట్కాలకు ప్రణాళిక మరియు విభాగం రెండింటిలోనూ బలంగా దెబ్బతిన్నాయి మరియు డైహెడ్రల్ గా గుర్తించబడ్డాయి. రెక్కలో కొంత భాగం ప్లైవుడ్ కప్పబడి ఉంది, మరెక్కడా ఫాబ్రిక్ ఉంది. రెక్క చిట్కాలకు చేరుకున్న ఐలెరాన్లు స్లాట్ మరియు సమతుల్యతను కలిగి ఉన్నాయి. [1] [2] వాల్టర్ ఇంజిన్, వింగ్ సెంటర్ విభాగంలో దాని ఇంధన ట్యాంక్‌తో, టౌనెండ్ రింగ్-టైప్ కౌలింగ్‌తో జతచేయబడింది. దాని వెనుక, దీర్ఘచతురస్రాకార విభాగం ఫ్యూజ్‌లేజ్ వెల్డెడ్ స్టీల్ ట్యూబ్‌లు మరియు ఫాబ్రిక్ నుండి నిర్మించబడింది, ఇది ఒక గుండ్రని ప్లైవుడ్ ఎగువ డెక్కింగ్ నుండి కప్పబడి ఉంటుంది, ఇది ఇంజిన్ వెనుక వెంటనే ప్రారంభమైంది, రెండు టెన్డం కాక్‌పిట్‌లలో సరసమైనదిగా మరియు వాటికి హెడ్‌రెస్ట్‌లను అందించింది. రెండు కాక్‌పిట్‌లు, వెనుక భాగంలో బోధకుడితో పెంచబడినవి, రెక్కపై ఉన్నాయి మరియు ద్వంద్వ నియంత్రణతో అమర్చబడ్డాయి. కాక్‌పిట్స్ వెనుక ఫ్యూజ్‌లేజ్ నిర్మాణం అంతర్గతంగా వైర్-బ్రేస్డ్. N-Y 4BIS యొక్క చిన్న, ట్రాపెజోయిడల్ ఫిన్ ఉక్కు చట్రాన్ని కలిగి ఉంది మరియు ఇది ఫ్యూజ్‌లేజ్‌లో అంతర్భాగం. ఇది ప్లై-కప్పబడి ఉంది, కానీ చాలా ఉదారంగా, గుండ్రని, సమతుల్య చుక్కాని, కీల్ వరకు చేరుకుంది, మిగిలిన సామ్రాజ్యం వలె కప్పబడిన ఫాబ్రిక్ ఉంది. దాని క్షితిజ సమాంతర తోక భూమి-సర్దుబాటు చేయదగినది మరియు గుండ్రని చిట్కాలకు ప్రణాళికలో ఉంటుంది, అసమతుల్య ఎలివేటర్లు చుక్కాని కదలికను అనుమతించడానికి అంతరం ద్వారా వేరు చేయబడతాయి. [1] [2] అండర్ క్యారేజ్ సాంప్రదాయికమైనది, స్థిర మెయిన్‌వీల్స్ మరియు టెయిల్‌స్కిడ్. చక్రాలు దిగువ కేంద్ర ఫ్యూజ్‌లేజ్ నుండి స్ప్లిట్ ఇరుసులపై ఉన్నాయి; దాని ల్యాండింగ్ కాళ్ళు, రబ్బరు డిస్క్ షాక్ అబ్జార్బర్స్ మరియు డ్రాగ్ స్ట్రట్‌లను కలుపుకొని దిగువ లాంగన్స్‌కు జతచేయబడ్డాయి. [1] [2] ప్రారంభ పరీక్షలు N-Y 4BI లు బాగా మరియు అవుట్-పెర్ఫార్మ్డ్ అంచనాలను చూపించాయి. అధికారిక ధృవీకరణ కోసం వెళ్ళే ముందు, ఇప్పుడు 13 జూలై 1934 న గ్లైడర్ ప్రమాదంలో ఇప్పుడు మరణించాడు మరియు విమానం వదిలివేయబడింది. [1] జె.</v>
      </c>
      <c r="E176" s="1" t="s">
        <v>2774</v>
      </c>
      <c r="F176" s="1" t="s">
        <v>2775</v>
      </c>
      <c r="G176" s="1" t="str">
        <f>IFERROR(__xludf.DUMMYFUNCTION("GOOGLETRANSLATE(F:F, ""en"", ""te"")"),"రెండు సీట్ల శిక్షకుడు")</f>
        <v>రెండు సీట్ల శిక్షకుడు</v>
      </c>
      <c r="H176" s="1" t="s">
        <v>2776</v>
      </c>
      <c r="I176" s="1" t="s">
        <v>431</v>
      </c>
      <c r="J176" s="1" t="str">
        <f>IFERROR(__xludf.DUMMYFUNCTION("GOOGLETRANSLATE(I:I, ""en"", ""te"")"),"పోలాండ్")</f>
        <v>పోలాండ్</v>
      </c>
      <c r="K176" s="3" t="s">
        <v>432</v>
      </c>
      <c r="Q176" s="1">
        <v>1.0</v>
      </c>
      <c r="S176" s="1" t="s">
        <v>1233</v>
      </c>
      <c r="U176" s="1" t="s">
        <v>2777</v>
      </c>
      <c r="V176" s="1" t="s">
        <v>2778</v>
      </c>
      <c r="W176" s="1" t="s">
        <v>1094</v>
      </c>
      <c r="X176" s="1" t="s">
        <v>2779</v>
      </c>
      <c r="Y176" s="1" t="s">
        <v>2780</v>
      </c>
      <c r="Z176" s="1" t="s">
        <v>806</v>
      </c>
      <c r="AA176" s="1" t="s">
        <v>2781</v>
      </c>
      <c r="AB176" s="1" t="s">
        <v>2782</v>
      </c>
      <c r="AC176" s="1" t="s">
        <v>2783</v>
      </c>
      <c r="AE176" s="1" t="s">
        <v>2784</v>
      </c>
      <c r="AF176" s="1" t="s">
        <v>2785</v>
      </c>
      <c r="AH176" s="1" t="s">
        <v>2786</v>
      </c>
      <c r="AI176" s="1" t="s">
        <v>2787</v>
      </c>
      <c r="AJ176" s="2">
        <v>12510.0</v>
      </c>
      <c r="AM176" s="1" t="s">
        <v>832</v>
      </c>
      <c r="AP176" s="1" t="s">
        <v>1405</v>
      </c>
      <c r="AR176" s="1" t="s">
        <v>1693</v>
      </c>
      <c r="BD176" s="1" t="s">
        <v>2788</v>
      </c>
      <c r="BS176" s="1" t="s">
        <v>2789</v>
      </c>
    </row>
    <row r="177">
      <c r="A177" s="1" t="s">
        <v>2790</v>
      </c>
      <c r="B177" s="1" t="str">
        <f>IFERROR(__xludf.DUMMYFUNCTION("GOOGLETRANSLATE(A:A, ""en"", ""te"")"),"సాల్మ్సన్ 3")</f>
        <v>సాల్మ్సన్ 3</v>
      </c>
      <c r="C177" s="1" t="s">
        <v>2791</v>
      </c>
      <c r="D177" s="1" t="str">
        <f>IFERROR(__xludf.DUMMYFUNCTION("GOOGLETRANSLATE(C:C, ""en"", ""te"")"),"సాల్మ్సన్ 3 సి. SAL 3 C1 ఆల్-వుడ్ నిర్మాణం యొక్క బిప్‌లేన్, ఇది మొదట 230 HP (170 kW) సాల్మ్సన్ 9Z తో నిర్మించబడింది, అయితే పనితీరులో లోపాలను సరిదిద్దే ప్రయత్నంలో 260 HP (190 kW) సాల్మ్సన్ 9ZM తో తిరిగి ఇంజిన్ చేయబడింది. 1] విమాన పరీక్షలు 1917 చివరలో ప్రార"&amp;"ంభమయ్యాయి, కాని పైలట్లు పేలవమైన దృశ్యమానత మరియు యంత్రాన్ని నిర్వహించడంలో ఇబ్బందులు గురించి ఫిర్యాదు చేశారు. సాల్మ్సన్ 3 ప్రోటోటైప్ మార్పుల కోసం ఫ్యాక్టరీకి తిరిగి ఇవ్వబడినప్పటికీ, మరిన్ని పరీక్షలు లోపాలను తగినంతగా పరిష్కరించలేకపోయాయి, మరియు ఫ్రెంచ్ మిలిటర"&amp;"ీ సాల్మ్సన్ 3 ను పనితీరులో స్పాడ్ XIII కంటే హీనంగా ఉందని నిర్ధారించింది. [1] మొదటి ప్రపంచ యుద్ధం యొక్క సాల్మ్సన్ విమానం నుండి డేటా; [2] ఎయిర్వార్: సాల్మ్సన్ సాల్ .3 [3] సాధారణ లక్షణాలు పనితీరు ఆయుధాలు")</f>
        <v>సాల్మ్సన్ 3 సి. SAL 3 C1 ఆల్-వుడ్ నిర్మాణం యొక్క బిప్‌లేన్, ఇది మొదట 230 HP (170 kW) సాల్మ్సన్ 9Z తో నిర్మించబడింది, అయితే పనితీరులో లోపాలను సరిదిద్దే ప్రయత్నంలో 260 HP (190 kW) సాల్మ్సన్ 9ZM తో తిరిగి ఇంజిన్ చేయబడింది. 1] విమాన పరీక్షలు 1917 చివరలో ప్రారంభమయ్యాయి, కాని పైలట్లు పేలవమైన దృశ్యమానత మరియు యంత్రాన్ని నిర్వహించడంలో ఇబ్బందులు గురించి ఫిర్యాదు చేశారు. సాల్మ్సన్ 3 ప్రోటోటైప్ మార్పుల కోసం ఫ్యాక్టరీకి తిరిగి ఇవ్వబడినప్పటికీ, మరిన్ని పరీక్షలు లోపాలను తగినంతగా పరిష్కరించలేకపోయాయి, మరియు ఫ్రెంచ్ మిలిటరీ సాల్మ్సన్ 3 ను పనితీరులో స్పాడ్ XIII కంటే హీనంగా ఉందని నిర్ధారించింది. [1] మొదటి ప్రపంచ యుద్ధం యొక్క సాల్మ్సన్ విమానం నుండి డేటా; [2] ఎయిర్వార్: సాల్మ్సన్ సాల్ .3 [3] సాధారణ లక్షణాలు పనితీరు ఆయుధాలు</v>
      </c>
      <c r="F177" s="1" t="s">
        <v>356</v>
      </c>
      <c r="G177" s="1" t="str">
        <f>IFERROR(__xludf.DUMMYFUNCTION("GOOGLETRANSLATE(F:F, ""en"", ""te"")"),"యుద్ధ")</f>
        <v>యుద్ధ</v>
      </c>
      <c r="I177" s="1" t="s">
        <v>646</v>
      </c>
      <c r="J177" s="1" t="str">
        <f>IFERROR(__xludf.DUMMYFUNCTION("GOOGLETRANSLATE(I:I, ""en"", ""te"")"),"ఫ్రాన్స్")</f>
        <v>ఫ్రాన్స్</v>
      </c>
      <c r="K177" s="3" t="s">
        <v>647</v>
      </c>
      <c r="L177" s="1" t="s">
        <v>2792</v>
      </c>
      <c r="M177" s="1" t="str">
        <f>IFERROR(__xludf.DUMMYFUNCTION("GOOGLETRANSLATE(L:L, ""en"", ""te"")"),"సాల్మ్సన్")</f>
        <v>సాల్మ్సన్</v>
      </c>
      <c r="N177" s="3" t="s">
        <v>2793</v>
      </c>
      <c r="O177" s="1" t="s">
        <v>2794</v>
      </c>
      <c r="P177" s="1" t="str">
        <f>IFERROR(__xludf.DUMMYFUNCTION("GOOGLETRANSLATE(O:O, ""en"", ""te"")"),"వదిలివేయబడింది")</f>
        <v>వదిలివేయబడింది</v>
      </c>
      <c r="Q177" s="1">
        <v>1.0</v>
      </c>
      <c r="S177" s="1">
        <v>1.0</v>
      </c>
      <c r="U177" s="1" t="s">
        <v>2625</v>
      </c>
      <c r="V177" s="1" t="s">
        <v>2795</v>
      </c>
      <c r="W177" s="1" t="s">
        <v>2796</v>
      </c>
      <c r="X177" s="1" t="s">
        <v>2797</v>
      </c>
      <c r="Y177" s="1" t="s">
        <v>2798</v>
      </c>
      <c r="AA177" s="1" t="s">
        <v>2799</v>
      </c>
      <c r="AB177" s="1" t="s">
        <v>2800</v>
      </c>
      <c r="AC177" s="1" t="s">
        <v>2801</v>
      </c>
      <c r="AE177" s="1" t="s">
        <v>2802</v>
      </c>
      <c r="AJ177" s="1">
        <v>1917.0</v>
      </c>
      <c r="AM177" s="1" t="s">
        <v>2803</v>
      </c>
      <c r="AP177" s="1" t="s">
        <v>2804</v>
      </c>
      <c r="AR177" s="1" t="s">
        <v>2805</v>
      </c>
      <c r="AT177" s="1" t="s">
        <v>2806</v>
      </c>
      <c r="AU177" s="1" t="s">
        <v>2807</v>
      </c>
      <c r="AZ177" s="1" t="s">
        <v>2808</v>
      </c>
      <c r="BJ177" s="1" t="s">
        <v>2809</v>
      </c>
    </row>
    <row r="178">
      <c r="A178" s="1" t="s">
        <v>2810</v>
      </c>
      <c r="B178" s="1" t="str">
        <f>IFERROR(__xludf.DUMMYFUNCTION("GOOGLETRANSLATE(A:A, ""en"", ""te"")"),"అమా మోటారు-గ్లైడర్")</f>
        <v>అమా మోటారు-గ్లైడర్</v>
      </c>
      <c r="C178" s="1" t="s">
        <v>2811</v>
      </c>
      <c r="D178" s="1" t="str">
        <f>IFERROR(__xludf.DUMMYFUNCTION("GOOGLETRANSLATE(C:C, ""en"", ""te"")"),"AMA, దాని డిజైనర్ల పేరు పెట్టబడినది, 1930 ల మధ్యలో పోలాండ్‌లో నిర్మించిన వన్-ఆఫ్ మోటార్ గ్లైడర్. ప్రారంభ పరీక్షలు తీర్చలేని ఇంజిన్-మౌంటు వైబ్రేషన్ సమస్యలను వెల్లడించిన తరువాత దాని అభివృద్ధి వదిలివేయబడింది. 1930 ల మధ్యకాలం వరకు పోలిష్ ప్రభుత్వం te త్సాహిక "&amp;"ఏరోనాటికల్ కార్యకలాపాలకు మద్దతు ఇచ్చింది. ఈ మద్దతు ముగింపు డిజైనర్లు తక్కువ ఖర్చుతో కూడిన గ్లైడర్లు మరియు ఇతర చిన్న, తక్కువ శక్తితో కూడిన, నిర్మాణాత్మకంగా సాధారణ విమానాలను పరిగణించవలసి వచ్చింది. వార్సా టెక్నికల్ విశ్వవిద్యాలయానికి చెందిన ఆండ్రేజ్ అంకెజుటి"&amp;"న్, హెన్రిక్ మాలినోవ్స్కీ మరియు రోసిస్లా అలెక్సాండ్రోవిక్జ్ రూపొందించిన అమా, అటువంటి అనేక డిజైన్లలో ఒకటి. [1] ఆగష్టు 1935 లో తయారు చేయబడిన మరియు స్జ్జెపాన్ గ్రెజెజ్జిక్ చేత పైలట్ చేయబడిన దాని మొట్టమొదటి ఫ్లైట్, ఒక గ్లైడర్‌గా ఉంది, ఇది RWD 8 చేత లాగబడింది."&amp;" దీనిని మొదట 13 సెప్టెంబర్ 1935 న అలెక్సాండర్ ఒనోస్కో దాని స్వంత శక్తితో ఎగురవేసింది. తరువాతి రెండు రోజులలో ఇది ఎగిరింది కాజిమియర్జ్ చోర్జ్వెస్కీ వార్సా-ఆధారిత 23 వ గోర్డాన్-బెన్నెట్ ఛాంపియన్‌షిప్‌ల ప్రారంభాన్ని జరుపుకునే ప్రదర్శనలలో. [1] ఈ విమానాలు రెండు"&amp;" ముఖ్యమైన సమస్యలను వెల్లడించాయి: స్థిరత్వం మరియు ఇంజిన్ వైబ్రేషన్. మునుపటిది సామ్రాజ్యం మార్పుల ద్వారా తగ్గించబడింది, కాని రెండోది తీర్చలేనిది. ఆరు శక్తితో కూడిన విమానాల తర్వాత అభివృద్ధి వదిలివేయబడింది. [1] AMA ఒక చెక్క నిర్మాణంతో ఎత్తైన వింగ్ మోనోప్లేన్."&amp;" దీని రెక్క మూడు భాగాలలో ఉంది, ఒక చిన్న, పాక్షికంగా మెటల్ స్కిన్డ్ సెంటర్ విభాగం మరియు రెండు బాహ్య ప్యానెల్లు స్థిరమైన తీగ మరియు మందం గుండ్రని, సన్నగా ఉన్న చిట్కాలకు. బయటి ప్యానెల్లు ఒకే బాక్స్ స్పార్ చుట్టూ ప్లై-కప్పబడిన డి-బాక్స్‌తో నిర్మించబడ్డాయి, ఇది"&amp;" ప్రముఖ అంచుని ఏర్పరుస్తుంది. మిగతా చోట్ల రెక్క ఫాబ్రిక్ కప్పబడి ఉంది. ఐలెరాన్లు రెక్క చిట్కాలకు చేరుకున్నాయి. రెక్కకు స్ట్రీమ్లైన్డ్ పైలాన్‌పై కేంద్రీకృతమై ఉంది మరియు ప్రతి వైపు బంధించిన సింగిల్, స్ట్రీమ్లైన్డ్ స్టీల్ స్ట్రట్‌తో స్పార్ మరియు తక్కువ ఫ్యూజ"&amp;"్‌లేజ్ లాంగన్. [1] దాని 25 kW (34 HP) పాయినార్డ్ ఎయిర్-కూల్డ్ ఫ్లాట్ ట్విన్ ఇంజన్ సెంట్రల్ పైలాన్ పైన ఉన్న రెక్కపై పషర్ కాన్ఫిగరేషన్‌లో అమర్చబడింది, ఇది BAC ప్లానెట్‌లో ముందు ఉపయోగించిన అమరిక. [1] AMA యొక్క ఫ్యూజ్‌లేజ్ విభాగంలో దీర్ఘచతురస్రాకారంగా ఉంది, వ"&amp;"ైర్ మరియు ఫాబ్రిక్ కప్పబడిన క్రాస్-బ్రెడ్, సింగిల్-సీట్, ఓపెన్ కాక్‌పిట్‌తో వింగ్ పైలాన్ కంటే వెంటనే. స్థిర ఎంపెనేజ్ ఉపరితలాలు ప్లై మరియు నియంత్రణ ఉపరితలాలతో కప్పబడి ఉన్నాయి. కలిసి, పొడవైన ఫిన్ మరియు చుక్కాని మొద్దుబారిన త్రిభుజాకార ప్రొఫైల్‌ను కలిగి ఉన్న"&amp;"ారు. AMA యొక్క తక్కువ, విభజించబడిన-రకం అండర్ క్యారేజ్ ఫ్యూజ్‌లేజ్ అండర్‌సైడ్‌ను భూమికి దగ్గరగా ఉంచింది, ప్రతి చక్రంలో V- స్ట్రట్‌పై ప్రతి చక్రం దిగువ ఫ్యూజ్‌లేజ్ లాంగన్‌పై అతుక్కొని ఎగువ ఫ్యూజ్‌లేజ్‌కు బ్రేసింగ్ స్ట్రట్. ఈ స్ట్రట్‌లు దృ g ంగా ఉన్నాయి మరియ"&amp;"ు ల్యాండింగ్ షాక్‌లను గ్రహించడానికి AMA 270 mm (10.63 in) డన్‌లాప్ తక్కువ-పీడన టైర్లపై ఆధారపడింది. [1] [2] జె.")</f>
        <v>AMA, దాని డిజైనర్ల పేరు పెట్టబడినది, 1930 ల మధ్యలో పోలాండ్‌లో నిర్మించిన వన్-ఆఫ్ మోటార్ గ్లైడర్. ప్రారంభ పరీక్షలు తీర్చలేని ఇంజిన్-మౌంటు వైబ్రేషన్ సమస్యలను వెల్లడించిన తరువాత దాని అభివృద్ధి వదిలివేయబడింది. 1930 ల మధ్యకాలం వరకు పోలిష్ ప్రభుత్వం te త్సాహిక ఏరోనాటికల్ కార్యకలాపాలకు మద్దతు ఇచ్చింది. ఈ మద్దతు ముగింపు డిజైనర్లు తక్కువ ఖర్చుతో కూడిన గ్లైడర్లు మరియు ఇతర చిన్న, తక్కువ శక్తితో కూడిన, నిర్మాణాత్మకంగా సాధారణ విమానాలను పరిగణించవలసి వచ్చింది. వార్సా టెక్నికల్ విశ్వవిద్యాలయానికి చెందిన ఆండ్రేజ్ అంకెజుటిన్, హెన్రిక్ మాలినోవ్స్కీ మరియు రోసిస్లా అలెక్సాండ్రోవిక్జ్ రూపొందించిన అమా, అటువంటి అనేక డిజైన్లలో ఒకటి. [1] ఆగష్టు 1935 లో తయారు చేయబడిన మరియు స్జ్జెపాన్ గ్రెజెజ్జిక్ చేత పైలట్ చేయబడిన దాని మొట్టమొదటి ఫ్లైట్, ఒక గ్లైడర్‌గా ఉంది, ఇది RWD 8 చేత లాగబడింది. దీనిని మొదట 13 సెప్టెంబర్ 1935 న అలెక్సాండర్ ఒనోస్కో దాని స్వంత శక్తితో ఎగురవేసింది. తరువాతి రెండు రోజులలో ఇది ఎగిరింది కాజిమియర్జ్ చోర్జ్వెస్కీ వార్సా-ఆధారిత 23 వ గోర్డాన్-బెన్నెట్ ఛాంపియన్‌షిప్‌ల ప్రారంభాన్ని జరుపుకునే ప్రదర్శనలలో. [1] ఈ విమానాలు రెండు ముఖ్యమైన సమస్యలను వెల్లడించాయి: స్థిరత్వం మరియు ఇంజిన్ వైబ్రేషన్. మునుపటిది సామ్రాజ్యం మార్పుల ద్వారా తగ్గించబడింది, కాని రెండోది తీర్చలేనిది. ఆరు శక్తితో కూడిన విమానాల తర్వాత అభివృద్ధి వదిలివేయబడింది. [1] AMA ఒక చెక్క నిర్మాణంతో ఎత్తైన వింగ్ మోనోప్లేన్. దీని రెక్క మూడు భాగాలలో ఉంది, ఒక చిన్న, పాక్షికంగా మెటల్ స్కిన్డ్ సెంటర్ విభాగం మరియు రెండు బాహ్య ప్యానెల్లు స్థిరమైన తీగ మరియు మందం గుండ్రని, సన్నగా ఉన్న చిట్కాలకు. బయటి ప్యానెల్లు ఒకే బాక్స్ స్పార్ చుట్టూ ప్లై-కప్పబడిన డి-బాక్స్‌తో నిర్మించబడ్డాయి, ఇది ప్రముఖ అంచుని ఏర్పరుస్తుంది. మిగతా చోట్ల రెక్క ఫాబ్రిక్ కప్పబడి ఉంది. ఐలెరాన్లు రెక్క చిట్కాలకు చేరుకున్నాయి. రెక్కకు స్ట్రీమ్లైన్డ్ పైలాన్‌పై కేంద్రీకృతమై ఉంది మరియు ప్రతి వైపు బంధించిన సింగిల్, స్ట్రీమ్లైన్డ్ స్టీల్ స్ట్రట్‌తో స్పార్ మరియు తక్కువ ఫ్యూజ్‌లేజ్ లాంగన్. [1] దాని 25 kW (34 HP) పాయినార్డ్ ఎయిర్-కూల్డ్ ఫ్లాట్ ట్విన్ ఇంజన్ సెంట్రల్ పైలాన్ పైన ఉన్న రెక్కపై పషర్ కాన్ఫిగరేషన్‌లో అమర్చబడింది, ఇది BAC ప్లానెట్‌లో ముందు ఉపయోగించిన అమరిక. [1] AMA యొక్క ఫ్యూజ్‌లేజ్ విభాగంలో దీర్ఘచతురస్రాకారంగా ఉంది, వైర్ మరియు ఫాబ్రిక్ కప్పబడిన క్రాస్-బ్రెడ్, సింగిల్-సీట్, ఓపెన్ కాక్‌పిట్‌తో వింగ్ పైలాన్ కంటే వెంటనే. స్థిర ఎంపెనేజ్ ఉపరితలాలు ప్లై మరియు నియంత్రణ ఉపరితలాలతో కప్పబడి ఉన్నాయి. కలిసి, పొడవైన ఫిన్ మరియు చుక్కాని మొద్దుబారిన త్రిభుజాకార ప్రొఫైల్‌ను కలిగి ఉన్నారు. AMA యొక్క తక్కువ, విభజించబడిన-రకం అండర్ క్యారేజ్ ఫ్యూజ్‌లేజ్ అండర్‌సైడ్‌ను భూమికి దగ్గరగా ఉంచింది, ప్రతి చక్రంలో V- స్ట్రట్‌పై ప్రతి చక్రం దిగువ ఫ్యూజ్‌లేజ్ లాంగన్‌పై అతుక్కొని ఎగువ ఫ్యూజ్‌లేజ్‌కు బ్రేసింగ్ స్ట్రట్. ఈ స్ట్రట్‌లు దృ g ంగా ఉన్నాయి మరియు ల్యాండింగ్ షాక్‌లను గ్రహించడానికి AMA 270 mm (10.63 in) డన్‌లాప్ తక్కువ-పీడన టైర్లపై ఆధారపడింది. [1] [2] జె.</v>
      </c>
      <c r="F178" s="1" t="s">
        <v>381</v>
      </c>
      <c r="G178" s="1" t="str">
        <f>IFERROR(__xludf.DUMMYFUNCTION("GOOGLETRANSLATE(F:F, ""en"", ""te"")"),"మోటార్ గ్లైడర్")</f>
        <v>మోటార్ గ్లైడర్</v>
      </c>
      <c r="H178" s="1" t="s">
        <v>382</v>
      </c>
      <c r="I178" s="1" t="s">
        <v>431</v>
      </c>
      <c r="J178" s="1" t="str">
        <f>IFERROR(__xludf.DUMMYFUNCTION("GOOGLETRANSLATE(I:I, ""en"", ""te"")"),"పోలాండ్")</f>
        <v>పోలాండ్</v>
      </c>
      <c r="K178" s="3" t="s">
        <v>432</v>
      </c>
      <c r="Q178" s="1">
        <v>1.0</v>
      </c>
      <c r="S178" s="1" t="s">
        <v>433</v>
      </c>
      <c r="U178" s="1" t="s">
        <v>2625</v>
      </c>
      <c r="V178" s="1" t="s">
        <v>2812</v>
      </c>
      <c r="W178" s="1" t="s">
        <v>1094</v>
      </c>
      <c r="X178" s="1" t="s">
        <v>564</v>
      </c>
      <c r="Y178" s="1" t="s">
        <v>226</v>
      </c>
      <c r="AA178" s="1" t="s">
        <v>2813</v>
      </c>
      <c r="AB178" s="1" t="s">
        <v>2814</v>
      </c>
      <c r="AD178" s="1" t="s">
        <v>1791</v>
      </c>
      <c r="AF178" s="1" t="s">
        <v>1521</v>
      </c>
      <c r="AH178" s="1" t="s">
        <v>2815</v>
      </c>
      <c r="AJ178" s="2">
        <v>12997.0</v>
      </c>
      <c r="AM178" s="1" t="s">
        <v>2816</v>
      </c>
      <c r="BE178" s="1">
        <v>1.0</v>
      </c>
      <c r="BF178" s="1" t="s">
        <v>2817</v>
      </c>
    </row>
    <row r="179">
      <c r="A179" s="1" t="s">
        <v>2818</v>
      </c>
      <c r="B179" s="1" t="str">
        <f>IFERROR(__xludf.DUMMYFUNCTION("GOOGLETRANSLATE(A:A, ""en"", ""te"")"),"బోయింగ్ మోడల్ 908-909")</f>
        <v>బోయింగ్ మోడల్ 908-909</v>
      </c>
      <c r="C179" s="1" t="s">
        <v>2819</v>
      </c>
      <c r="D179" s="1" t="str">
        <f>IFERROR(__xludf.DUMMYFUNCTION("GOOGLETRANSLATE(C:C, ""en"", ""te"")"),"బోయింగ్ మోడల్ 908-909 ఒక ప్రోటోటైప్ సింగిల్-ఇంజిన్ సూపర్సోనిక్ మల్టీరోల్ ఫైటర్ విమానం మొదట యునైటెడ్ స్టేట్స్ ఎయిర్ ఫోర్స్ (యుఎస్ఎఎఫ్) లైట్ వెయిట్ ఫైటర్ ప్రోగ్రామ్ కోసం అభివృద్ధి చేయబడింది, ఈ కార్యక్రమం తరువాత ఎయిర్ కంబాట్ ఫైటర్ (ఎసిఎఫ్) కార్యక్రమంలో అభివృ"&amp;"ద్ధి చేయబడింది. ఇది మొదట్లో ఇష్టపడే డిజైన్ కాని జనరల్ డైనమిక్స్ 401, తరువాత YF-16 (ఇప్పుడు లాక్‌హీడ్ F-16) కు పోటీ ముగింపులో ఓడిపోయింది. బోయింగ్ మోడల్ 908-909 లక్షణాలలో మెరుగైన దృశ్యమానత కోసం ఫ్రేమ్‌లెస్ బబుల్ పందిరి మరియు ప్రాట్ &amp; విట్నీ ఎఫ్ 100 టర్బోఫాన"&amp;"్ ఇంజిన్ ఉన్నాయి. విండ్ టన్నెల్ పరీక్షలు లాంగ్లీ రీసెర్చ్ సెంటర్‌లో టెస్ట్ 281 ​​గా జరిగాయి. [1] తేలికపాటి ఫైటర్ ప్రతిపాదనలు ఫిబ్రవరి 18, 1972 గడువు నాటికి వైమానిక దళానికి పంపిణీ చేయబడ్డాయి. బోయింగ్ మోడల్ 908-909 ప్రాథమిక విశ్లేషణ విజేత. సమర్పించిన ఇతర డి"&amp;"జైన్లలో జనరల్ డైనమిక్స్ మోడల్ 401 మరియు నార్త్రోప్ మోడల్ పి -600 ఉన్నాయి, ఇవి వరుసగా రెండవ మరియు మూడవ స్థానంలో ఉన్నాయి. జనరల్ డైనమిక్స్ మోడల్ 401 పేరును YF-16 గా మార్చారు మరియు చివరికి విజేత. P-600 ను YF-17 గా మార్చారు, తరువాత F/A-18 మరింత మార్పు. వోట్ మో"&amp;"డల్ V-1100 మరియు లాక్‌హీడ్ మోడల్ CL-1200 ప్రాథమిక విశ్లేషణలో నాల్గవ మరియు ఐదవ స్థానం. [2]")</f>
        <v>బోయింగ్ మోడల్ 908-909 ఒక ప్రోటోటైప్ సింగిల్-ఇంజిన్ సూపర్సోనిక్ మల్టీరోల్ ఫైటర్ విమానం మొదట యునైటెడ్ స్టేట్స్ ఎయిర్ ఫోర్స్ (యుఎస్ఎఎఫ్) లైట్ వెయిట్ ఫైటర్ ప్రోగ్రామ్ కోసం అభివృద్ధి చేయబడింది, ఈ కార్యక్రమం తరువాత ఎయిర్ కంబాట్ ఫైటర్ (ఎసిఎఫ్) కార్యక్రమంలో అభివృద్ధి చేయబడింది. ఇది మొదట్లో ఇష్టపడే డిజైన్ కాని జనరల్ డైనమిక్స్ 401, తరువాత YF-16 (ఇప్పుడు లాక్‌హీడ్ F-16) కు పోటీ ముగింపులో ఓడిపోయింది. బోయింగ్ మోడల్ 908-909 లక్షణాలలో మెరుగైన దృశ్యమానత కోసం ఫ్రేమ్‌లెస్ బబుల్ పందిరి మరియు ప్రాట్ &amp; విట్నీ ఎఫ్ 100 టర్బోఫాన్ ఇంజిన్ ఉన్నాయి. విండ్ టన్నెల్ పరీక్షలు లాంగ్లీ రీసెర్చ్ సెంటర్‌లో టెస్ట్ 281 ​​గా జరిగాయి. [1] తేలికపాటి ఫైటర్ ప్రతిపాదనలు ఫిబ్రవరి 18, 1972 గడువు నాటికి వైమానిక దళానికి పంపిణీ చేయబడ్డాయి. బోయింగ్ మోడల్ 908-909 ప్రాథమిక విశ్లేషణ విజేత. సమర్పించిన ఇతర డిజైన్లలో జనరల్ డైనమిక్స్ మోడల్ 401 మరియు నార్త్రోప్ మోడల్ పి -600 ఉన్నాయి, ఇవి వరుసగా రెండవ మరియు మూడవ స్థానంలో ఉన్నాయి. జనరల్ డైనమిక్స్ మోడల్ 401 పేరును YF-16 గా మార్చారు మరియు చివరికి విజేత. P-600 ను YF-17 గా మార్చారు, తరువాత F/A-18 మరింత మార్పు. వోట్ మోడల్ V-1100 మరియు లాక్‌హీడ్ మోడల్ CL-1200 ప్రాథమిక విశ్లేషణలో నాల్గవ మరియు ఐదవ స్థానం. [2]</v>
      </c>
      <c r="F179" s="1" t="s">
        <v>2820</v>
      </c>
      <c r="G179" s="1" t="str">
        <f>IFERROR(__xludf.DUMMYFUNCTION("GOOGLETRANSLATE(F:F, ""en"", ""te"")"),"మల్టీరోల్ పోరాట విమానం")</f>
        <v>మల్టీరోల్ పోరాట విమానం</v>
      </c>
      <c r="H179" s="1" t="s">
        <v>2821</v>
      </c>
      <c r="I179" s="1" t="s">
        <v>127</v>
      </c>
      <c r="J179" s="1" t="str">
        <f>IFERROR(__xludf.DUMMYFUNCTION("GOOGLETRANSLATE(I:I, ""en"", ""te"")"),"సంయుక్త రాష్ట్రాలు")</f>
        <v>సంయుక్త రాష్ట్రాలు</v>
      </c>
      <c r="L179" s="1" t="s">
        <v>2822</v>
      </c>
      <c r="M179" s="1" t="str">
        <f>IFERROR(__xludf.DUMMYFUNCTION("GOOGLETRANSLATE(L:L, ""en"", ""te"")"),"బోయింగ్")</f>
        <v>బోయింగ్</v>
      </c>
      <c r="O179" s="1" t="s">
        <v>779</v>
      </c>
      <c r="P179" s="1" t="str">
        <f>IFERROR(__xludf.DUMMYFUNCTION("GOOGLETRANSLATE(O:O, ""en"", ""te"")"),"ప్రోటోటైప్")</f>
        <v>ప్రోటోటైప్</v>
      </c>
      <c r="Q179" s="1">
        <v>1.0</v>
      </c>
    </row>
    <row r="180">
      <c r="A180" s="1" t="s">
        <v>2823</v>
      </c>
      <c r="B180" s="1" t="str">
        <f>IFERROR(__xludf.DUMMYFUNCTION("GOOGLETRANSLATE(A:A, ""en"", ""te"")"),"బౌల్టన్ పాల్ పే .116")</f>
        <v>బౌల్టన్ పాల్ పే .116</v>
      </c>
      <c r="C180" s="1" t="s">
        <v>2824</v>
      </c>
      <c r="D180" s="1" t="str">
        <f>IFERROR(__xludf.DUMMYFUNCTION("GOOGLETRANSLATE(C:C, ""en"", ""te"")"),"బౌల్టన్ పాల్ పి .115 మరియు బౌల్టన్ పాల్ పి. నుండి డేటా: బౌల్టన్ పాల్ విమానం 1915 నుండి [1] పెర్సివాల్ ప్రోవోస్ట్ శిక్షకులకు స్పెక్ కోసం ఆర్డర్‌ను గెలుచుకుంది. T.16/48, 1915 నుండి బౌల్టన్ పాల్ విమానం నుండి హ్యాండ్లీ పేజీ H.P.R.2 డేటాతో పోటీ ప్రయత్నాల తరువా"&amp;"త. [1] సాధారణ లక్షణాలు పనితీరు సంబంధిత అభివృద్ధి విమానం పోల్చదగిన పాత్ర, ఆకృతీకరణ మరియు యుగం")</f>
        <v>బౌల్టన్ పాల్ పి .115 మరియు బౌల్టన్ పాల్ పి. నుండి డేటా: బౌల్టన్ పాల్ విమానం 1915 నుండి [1] పెర్సివాల్ ప్రోవోస్ట్ శిక్షకులకు స్పెక్ కోసం ఆర్డర్‌ను గెలుచుకుంది. T.16/48, 1915 నుండి బౌల్టన్ పాల్ విమానం నుండి హ్యాండ్లీ పేజీ H.P.R.2 డేటాతో పోటీ ప్రయత్నాల తరువాత. [1] సాధారణ లక్షణాలు పనితీరు సంబంధిత అభివృద్ధి విమానం పోల్చదగిన పాత్ర, ఆకృతీకరణ మరియు యుగం</v>
      </c>
      <c r="F180" s="1" t="s">
        <v>2825</v>
      </c>
      <c r="G180" s="1" t="str">
        <f>IFERROR(__xludf.DUMMYFUNCTION("GOOGLETRANSLATE(F:F, ""en"", ""te"")"),"రెండు సీట్ల శిక్షకుడు")</f>
        <v>రెండు సీట్ల శిక్షకుడు</v>
      </c>
      <c r="H180" s="1" t="s">
        <v>2826</v>
      </c>
      <c r="L180" s="1" t="s">
        <v>2827</v>
      </c>
      <c r="M180" s="1" t="str">
        <f>IFERROR(__xludf.DUMMYFUNCTION("GOOGLETRANSLATE(L:L, ""en"", ""te"")"),"బౌల్టన్ పాల్ విమానం")</f>
        <v>బౌల్టన్ పాల్ విమానం</v>
      </c>
      <c r="N180" s="1" t="s">
        <v>2828</v>
      </c>
      <c r="O180" s="1" t="s">
        <v>2829</v>
      </c>
      <c r="P180" s="1" t="str">
        <f>IFERROR(__xludf.DUMMYFUNCTION("GOOGLETRANSLATE(O:O, ""en"", ""te"")"),"మొదటి ప్రోటోటైప్ పూర్తయ్యే ముందు రద్దు చేయబడింది")</f>
        <v>మొదటి ప్రోటోటైప్ పూర్తయ్యే ముందు రద్దు చేయబడింది</v>
      </c>
      <c r="R180" s="1" t="s">
        <v>2830</v>
      </c>
      <c r="S180" s="1">
        <v>2.0</v>
      </c>
      <c r="AA180" s="1" t="s">
        <v>2831</v>
      </c>
      <c r="AC180" s="1" t="s">
        <v>2832</v>
      </c>
      <c r="AH180" s="1" t="s">
        <v>2833</v>
      </c>
      <c r="AI180" s="1" t="s">
        <v>2834</v>
      </c>
      <c r="AP180" s="1" t="s">
        <v>2835</v>
      </c>
      <c r="BJ180" s="1" t="s">
        <v>2836</v>
      </c>
    </row>
    <row r="181">
      <c r="A181" s="1" t="s">
        <v>2837</v>
      </c>
      <c r="B181" s="1" t="str">
        <f>IFERROR(__xludf.DUMMYFUNCTION("GOOGLETRANSLATE(A:A, ""en"", ""te"")"),"షోన్లెబెర్ వెంటో")</f>
        <v>షోన్లెబెర్ వెంటో</v>
      </c>
      <c r="C181" s="1" t="s">
        <v>2838</v>
      </c>
      <c r="D181" s="1" t="str">
        <f>IFERROR(__xludf.DUMMYFUNCTION("GOOGLETRANSLATE(C:C, ""en"", ""te"")"),"షాన్లెబెర్ వెంటో (ట్రాన్స్. విండ్) అనేది జర్మన్ అల్ట్రాలైట్ ట్రైక్, ఇది షానెచ్ యొక్క షోన్లెబెర్ మెటాల్బావ్ జిబిఆర్ చేత రూపొందించబడింది మరియు ఉత్పత్తి చేయబడింది మరియు గతంలో రెజెన్స్బర్గ్లో ఉంది. విమానం పూర్తి మరియు రెడీ టు-ఫ్లై సరఫరా చేయబడుతుంది. [1] 1990 "&amp;"ల నుండి ఈ సంస్థ అల్ట్రాలైట్ ట్రైక్‌లను ఉత్పత్తి చేస్తోంది, ఎక్కువగా స్థానిక కస్టమర్లను సరఫరా చేయడానికి మరియు ప్రకటనలు లేకుండా. సంస్థ యొక్క ప్రధాన వ్యాపారం లోహ కల్పన. [1] వర్గం యొక్క గరిష్ట స్థూల బరువు 450 కిలోల (992 పౌండ్లు) తో సహా, ఈ వెంటో ఫెడెరేషన్ ఏరోన"&amp;"ాటిక్ ఇంటర్నేషనల్ మైక్రోలైట్ వర్గానికి అనుగుణంగా రూపొందించబడింది. ఈ విమానం గరిష్టంగా స్థూల బరువు 400 కిలోల (882 పౌండ్లు). [1] విమాన రూపకల్పనలో కేబుల్-బ్రేస్డ్ హాంగ్ గ్లైడర్-స్టైల్ హై-వింగ్, వెయిట్-షిఫ్ట్ కంట్రోల్స్, ఐచ్ఛిక కాక్‌పిట్ ఫెయిరింగ్, ట్రైసైకిల్ "&amp;"ల్యాండింగ్ గేర్ మరియు పషర్ కాన్ఫిగరేషన్‌లో ఒకే ఇంజిన్ ఉన్న రెండు-సీట్ల తేమ ఓపెన్ కాక్‌పిట్ ఉన్నాయి. [1 ] ఈ విమానం బోల్ట్-టుగెథర్ అల్యూమినియం గొట్టాల నుండి తయారవుతుంది, దాని డబుల్ ఉపరితల వింగ్ డాక్రాన్ సెయిల్‌క్లాత్‌లో కప్పబడి ఉంటుంది. దీని 9.5 మీ (31.2 అడ"&amp;"ుగులు) స్పాన్ వింగ్‌కు ఒకే ట్యూబ్-రకం కింగ్‌పోస్ట్ మద్దతు ఇస్తుంది మరియు ""ఎ"" ఫ్రేమ్ వెయిట్-షిఫ్ట్ కంట్రోల్ బార్‌ను ఉపయోగిస్తుంది. పవర్‌ప్లాంట్ ఒక ట్విన్ సిలిండర్, లిక్విడ్-కూల్డ్, టూ-స్ట్రోక్, డ్యూయల్-ఇగ్నిషన్ 64 హెచ్‌పి (48 కిలోవాట్) రోటాక్స్ 582 ఇంజిన"&amp;"్, విమానం యొక్క శబ్దం సంతకాన్ని తగ్గించడానికి 4: 1 బెల్ట్ తగ్గింపు డ్రైవ్‌తో అమర్చబడి ఉంటుంది. [1] ఈ విమానం ఖాళీ బరువు 160 కిలోల (353 పౌండ్లు) మరియు స్థూల బరువు 400 కిలోల (882 పౌండ్లు), ఇది 240 కిలోల (529 పౌండ్లు) ఉపయోగకరమైన లోడ్ ఇస్తుంది. 60 లీటర్ల పూర్త"&amp;"ి ఇంధనంతో (13 ఇంప్ గల్; 16 యుఎస్ గాల్) పేలోడ్ 197 కిలోలు (434 ఎల్బి). [1] హాంగ్ గ్లైడర్ వెళ్ళుట కోసం ప్రత్యేక రెక్కతో సహా అనేక విభిన్న రెక్కలను ప్రాథమిక క్యారేజీకి అమర్చవచ్చు. [1] టాక్ నుండి డేటా [1] సాధారణ లక్షణాల పనితీరు")</f>
        <v>షాన్లెబెర్ వెంటో (ట్రాన్స్. విండ్) అనేది జర్మన్ అల్ట్రాలైట్ ట్రైక్, ఇది షానెచ్ యొక్క షోన్లెబెర్ మెటాల్బావ్ జిబిఆర్ చేత రూపొందించబడింది మరియు ఉత్పత్తి చేయబడింది మరియు గతంలో రెజెన్స్బర్గ్లో ఉంది. విమానం పూర్తి మరియు రెడీ టు-ఫ్లై సరఫరా చేయబడుతుంది. [1] 1990 ల నుండి ఈ సంస్థ అల్ట్రాలైట్ ట్రైక్‌లను ఉత్పత్తి చేస్తోంది, ఎక్కువగా స్థానిక కస్టమర్లను సరఫరా చేయడానికి మరియు ప్రకటనలు లేకుండా. సంస్థ యొక్క ప్రధాన వ్యాపారం లోహ కల్పన. [1] వర్గం యొక్క గరిష్ట స్థూల బరువు 450 కిలోల (992 పౌండ్లు) తో సహా, ఈ వెంటో ఫెడెరేషన్ ఏరోనాటిక్ ఇంటర్నేషనల్ మైక్రోలైట్ వర్గానికి అనుగుణంగా రూపొందించబడింది. ఈ విమానం గరిష్టంగా స్థూల బరువు 400 కిలోల (882 పౌండ్లు). [1] విమాన రూపకల్పనలో కేబుల్-బ్రేస్డ్ హాంగ్ గ్లైడర్-స్టైల్ హై-వింగ్, వెయిట్-షిఫ్ట్ కంట్రోల్స్, ఐచ్ఛిక కాక్‌పిట్ ఫెయిరింగ్, ట్రైసైకిల్ ల్యాండింగ్ గేర్ మరియు పషర్ కాన్ఫిగరేషన్‌లో ఒకే ఇంజిన్ ఉన్న రెండు-సీట్ల తేమ ఓపెన్ కాక్‌పిట్ ఉన్నాయి. [1 ] ఈ విమానం బోల్ట్-టుగెథర్ అల్యూమినియం గొట్టాల నుండి తయారవుతుంది, దాని డబుల్ ఉపరితల వింగ్ డాక్రాన్ సెయిల్‌క్లాత్‌లో కప్పబడి ఉంటుంది. దీని 9.5 మీ (31.2 అడుగులు) స్పాన్ వింగ్‌కు ఒకే ట్యూబ్-రకం కింగ్‌పోస్ట్ మద్దతు ఇస్తుంది మరియు "ఎ" ఫ్రేమ్ వెయిట్-షిఫ్ట్ కంట్రోల్ బార్‌ను ఉపయోగిస్తుంది. పవర్‌ప్లాంట్ ఒక ట్విన్ సిలిండర్, లిక్విడ్-కూల్డ్, టూ-స్ట్రోక్, డ్యూయల్-ఇగ్నిషన్ 64 హెచ్‌పి (48 కిలోవాట్) రోటాక్స్ 582 ఇంజిన్, విమానం యొక్క శబ్దం సంతకాన్ని తగ్గించడానికి 4: 1 బెల్ట్ తగ్గింపు డ్రైవ్‌తో అమర్చబడి ఉంటుంది. [1] ఈ విమానం ఖాళీ బరువు 160 కిలోల (353 పౌండ్లు) మరియు స్థూల బరువు 400 కిలోల (882 పౌండ్లు), ఇది 240 కిలోల (529 పౌండ్లు) ఉపయోగకరమైన లోడ్ ఇస్తుంది. 60 లీటర్ల పూర్తి ఇంధనంతో (13 ఇంప్ గల్; 16 యుఎస్ గాల్) పేలోడ్ 197 కిలోలు (434 ఎల్బి). [1] హాంగ్ గ్లైడర్ వెళ్ళుట కోసం ప్రత్యేక రెక్కతో సహా అనేక విభిన్న రెక్కలను ప్రాథమిక క్యారేజీకి అమర్చవచ్చు. [1] టాక్ నుండి డేటా [1] సాధారణ లక్షణాల పనితీరు</v>
      </c>
      <c r="F181" s="1" t="s">
        <v>184</v>
      </c>
      <c r="G181" s="1" t="str">
        <f>IFERROR(__xludf.DUMMYFUNCTION("GOOGLETRANSLATE(F:F, ""en"", ""te"")"),"అల్ట్రాలైట్ ట్రైక్")</f>
        <v>అల్ట్రాలైట్ ట్రైక్</v>
      </c>
      <c r="H181" s="1" t="s">
        <v>185</v>
      </c>
      <c r="I181" s="1" t="s">
        <v>321</v>
      </c>
      <c r="J181" s="1" t="str">
        <f>IFERROR(__xludf.DUMMYFUNCTION("GOOGLETRANSLATE(I:I, ""en"", ""te"")"),"జర్మనీ")</f>
        <v>జర్మనీ</v>
      </c>
      <c r="K181" s="3" t="s">
        <v>322</v>
      </c>
      <c r="L181" s="1" t="s">
        <v>2839</v>
      </c>
      <c r="M181" s="1" t="str">
        <f>IFERROR(__xludf.DUMMYFUNCTION("GOOGLETRANSLATE(L:L, ""en"", ""te"")"),"షోన్లెబెర్ మెటాల్బావ్ జిబిఆర్")</f>
        <v>షోన్లెబెర్ మెటాల్బావ్ జిబిఆర్</v>
      </c>
      <c r="N181" s="1" t="s">
        <v>2840</v>
      </c>
      <c r="O181" s="1" t="s">
        <v>885</v>
      </c>
      <c r="P181" s="1" t="str">
        <f>IFERROR(__xludf.DUMMYFUNCTION("GOOGLETRANSLATE(O:O, ""en"", ""te"")"),"ఉత్పత్తిలో (2015)")</f>
        <v>ఉత్పత్తిలో (2015)</v>
      </c>
      <c r="S181" s="1" t="s">
        <v>133</v>
      </c>
      <c r="T181" s="1" t="s">
        <v>134</v>
      </c>
      <c r="V181" s="1" t="s">
        <v>1444</v>
      </c>
      <c r="W181" s="1" t="s">
        <v>651</v>
      </c>
      <c r="X181" s="1" t="s">
        <v>346</v>
      </c>
      <c r="Y181" s="1" t="s">
        <v>1082</v>
      </c>
      <c r="Z181" s="1" t="s">
        <v>1255</v>
      </c>
      <c r="AA181" s="1" t="s">
        <v>2841</v>
      </c>
      <c r="AB181" s="1" t="s">
        <v>276</v>
      </c>
      <c r="AC181" s="1" t="s">
        <v>1372</v>
      </c>
      <c r="AD181" s="1" t="s">
        <v>168</v>
      </c>
      <c r="AF181" s="1" t="s">
        <v>2842</v>
      </c>
      <c r="AG181" s="1" t="s">
        <v>259</v>
      </c>
      <c r="AP181" s="1" t="s">
        <v>622</v>
      </c>
    </row>
    <row r="182">
      <c r="A182" s="1" t="s">
        <v>2843</v>
      </c>
      <c r="B182" s="1" t="str">
        <f>IFERROR(__xludf.DUMMYFUNCTION("GOOGLETRANSLATE(A:A, ""en"", ""te"")"),"వాసైక్-టైరాలా WT-1")</f>
        <v>వాసైక్-టైరాలా WT-1</v>
      </c>
      <c r="C182" s="1" t="s">
        <v>2844</v>
      </c>
      <c r="D182" s="1" t="str">
        <f>IFERROR(__xludf.DUMMYFUNCTION("GOOGLETRANSLATE(C:C, ""en"", ""te"")"),"WT-1 పోలాండ్‌లో రూపొందించిన 1931 హై పెర్ఫార్మెన్స్ స్పోర్ట్స్ విమానం. ఇది రెండు విమానాలు మాత్రమే చేసింది. స్టానిస్సావ్ వాసైక్ మరియు తడేజ్ టైరాలా 1930 లో WT-1 ను రూపొందించారు మరియు వారు క్రాకోవ్ వద్ద పారిశ్రామిక పాఠశాల మరియు వింగ్స్ యొక్క విమానయాన వృత్తంలో"&amp;" దాని ఫ్యూజ్‌లేజ్ నిర్మాణానికి ఎక్కువగా ఆర్థిక సహాయం చేశారు. ఇది 1931 వేసవిలో పూర్తయింది. [1] అధిక పనితీరు గల స్పోర్ట్స్ విమానం ఏరోడైనమిక్‌గా శుభ్రమైన కాంటిలివర్ వింగ్ మోనోప్లేన్. దాని అధిక-మౌంటెడ్, ఒక ముక్క వింగ్ రెండు స్పార్‌ల చుట్టూ నిర్మించబడింది, ప్ల"&amp;"ైవుడ్ కప్పబడిన ప్రముఖ అంచు మరియు ఫాబ్రిక్ కవరింగ్. ఇరుకైన తీగ ఐలెరాన్లు వెనుకంజలో ఉన్న అంచులను ఆక్రమించాయి. [1] WT-1 యొక్క 67–73 kW (90–98 హెచ్‌పి) డి హవిలాండ్ జిప్సీ ఐ నాలుగు సిలిండర్ నిటారుగా ఉన్న ఇన్లైన్ ఇంజిన్ ఎక్కువగా బహిర్గతమైంది, అయినప్పటికీ దాని వ"&amp;"ెనుక ఫెయిరింగ్ ఉంది. ప్లై-కప్పబడిన ఫ్యూజ్‌లేజ్ గుండ్రంగా ఉండే డెక్కింగ్‌ను కలిగి ఉంది; ఇంధన ట్యాంక్ ఫార్వర్డ్ ఫ్యూజ్‌లేజ్‌లో ఉంది మరియు దాని రెండు సీటు, సైడ్-బై-సైడ్ కాక్‌పిట్ వింగ్ వెనుకంజలో ఉన్న అంచు వెనుక ఉంది. ఫ్యూజ్‌లేజ్ టేపర్డ్ వెనుక వైపు, టెయిల్‌ప్"&amp;"లేన్ పైన అమర్చబడి ఉంటుంది. ఒక పొడవైన త్రిభుజాకార ఫిన్ ఒక గుండ్రని చుక్కానిని తీసుకువెళ్ళింది, ఇది కీల్ వరకు చేరుకుంది. వివరాలు తెలియకపోయినా దాని స్థిర ల్యాండింగ్ గేర్ సాంప్రదాయికమైనది. [1] ఇంధన సరఫరా సమస్య కారణంగా ప్రారంభ మొదటి ఫ్లైట్ వదిలివేయబడింది. ఈ వ్"&amp;"యవస్థ సవరించబడింది మరియు కొత్త ఇంధన పంపు అమర్చబడి ఉంది, ఆ తరువాత స్టానిస్సావ్ స్జుబ్కా తన మొదటి ఫ్లైట్‌ను పైలట్ చేసింది, తప్పుగా ఉంచిన గురుత్వాకర్షణ కేంద్రం (C.G.) కారణంగా WT-1 ను ఎగరడం కష్టమని మరియు ల్యాండింగ్‌లో దెబ్బతింది. ప్రమాద మరమ్మత్తు తరువాత మరియు"&amp;" సి.జి. సర్దుబాటు WT-1 ను జెర్జీ బజన్ ఎగురవేసింది. టేక్-ఆఫ్ రన్ చిన్నది మరియు పనితీరు ఎక్కువగా ఉంది, కానీ బజన్ దాని నిర్వహణ ప్రమాదకరమైనది. ఈ సమయంలో రుణ గిప్సీ ఇంజిన్‌ను క్రాకోవ్ ఎయిర్ రెజిమెంట్‌కు తిరిగి ఇవ్వవలసి వచ్చింది మరియు WT-1 యొక్క అభివృద్ధి వదిలివ"&amp;"ేయబడింది. [1] SAMOLOTYPOLSKIE.PL నుండి డేటా [2] సాధారణ లక్షణాల పనితీరు")</f>
        <v>WT-1 పోలాండ్‌లో రూపొందించిన 1931 హై పెర్ఫార్మెన్స్ స్పోర్ట్స్ విమానం. ఇది రెండు విమానాలు మాత్రమే చేసింది. స్టానిస్సావ్ వాసైక్ మరియు తడేజ్ టైరాలా 1930 లో WT-1 ను రూపొందించారు మరియు వారు క్రాకోవ్ వద్ద పారిశ్రామిక పాఠశాల మరియు వింగ్స్ యొక్క విమానయాన వృత్తంలో దాని ఫ్యూజ్‌లేజ్ నిర్మాణానికి ఎక్కువగా ఆర్థిక సహాయం చేశారు. ఇది 1931 వేసవిలో పూర్తయింది. [1] అధిక పనితీరు గల స్పోర్ట్స్ విమానం ఏరోడైనమిక్‌గా శుభ్రమైన కాంటిలివర్ వింగ్ మోనోప్లేన్. దాని అధిక-మౌంటెడ్, ఒక ముక్క వింగ్ రెండు స్పార్‌ల చుట్టూ నిర్మించబడింది, ప్లైవుడ్ కప్పబడిన ప్రముఖ అంచు మరియు ఫాబ్రిక్ కవరింగ్. ఇరుకైన తీగ ఐలెరాన్లు వెనుకంజలో ఉన్న అంచులను ఆక్రమించాయి. [1] WT-1 యొక్క 67–73 kW (90–98 హెచ్‌పి) డి హవిలాండ్ జిప్సీ ఐ నాలుగు సిలిండర్ నిటారుగా ఉన్న ఇన్లైన్ ఇంజిన్ ఎక్కువగా బహిర్గతమైంది, అయినప్పటికీ దాని వెనుక ఫెయిరింగ్ ఉంది. ప్లై-కప్పబడిన ఫ్యూజ్‌లేజ్ గుండ్రంగా ఉండే డెక్కింగ్‌ను కలిగి ఉంది; ఇంధన ట్యాంక్ ఫార్వర్డ్ ఫ్యూజ్‌లేజ్‌లో ఉంది మరియు దాని రెండు సీటు, సైడ్-బై-సైడ్ కాక్‌పిట్ వింగ్ వెనుకంజలో ఉన్న అంచు వెనుక ఉంది. ఫ్యూజ్‌లేజ్ టేపర్డ్ వెనుక వైపు, టెయిల్‌ప్లేన్ పైన అమర్చబడి ఉంటుంది. ఒక పొడవైన త్రిభుజాకార ఫిన్ ఒక గుండ్రని చుక్కానిని తీసుకువెళ్ళింది, ఇది కీల్ వరకు చేరుకుంది. వివరాలు తెలియకపోయినా దాని స్థిర ల్యాండింగ్ గేర్ సాంప్రదాయికమైనది. [1] ఇంధన సరఫరా సమస్య కారణంగా ప్రారంభ మొదటి ఫ్లైట్ వదిలివేయబడింది. ఈ వ్యవస్థ సవరించబడింది మరియు కొత్త ఇంధన పంపు అమర్చబడి ఉంది, ఆ తరువాత స్టానిస్సావ్ స్జుబ్కా తన మొదటి ఫ్లైట్‌ను పైలట్ చేసింది, తప్పుగా ఉంచిన గురుత్వాకర్షణ కేంద్రం (C.G.) కారణంగా WT-1 ను ఎగరడం కష్టమని మరియు ల్యాండింగ్‌లో దెబ్బతింది. ప్రమాద మరమ్మత్తు తరువాత మరియు సి.జి. సర్దుబాటు WT-1 ను జెర్జీ బజన్ ఎగురవేసింది. టేక్-ఆఫ్ రన్ చిన్నది మరియు పనితీరు ఎక్కువగా ఉంది, కానీ బజన్ దాని నిర్వహణ ప్రమాదకరమైనది. ఈ సమయంలో రుణ గిప్సీ ఇంజిన్‌ను క్రాకోవ్ ఎయిర్ రెజిమెంట్‌కు తిరిగి ఇవ్వవలసి వచ్చింది మరియు WT-1 యొక్క అభివృద్ధి వదిలివేయబడింది. [1] SAMOLOTYPOLSKIE.PL నుండి డేటా [2] సాధారణ లక్షణాల పనితీరు</v>
      </c>
      <c r="F182" s="1" t="s">
        <v>2845</v>
      </c>
      <c r="G182" s="1" t="str">
        <f>IFERROR(__xludf.DUMMYFUNCTION("GOOGLETRANSLATE(F:F, ""en"", ""te"")"),"క్రీడా విమానం")</f>
        <v>క్రీడా విమానం</v>
      </c>
      <c r="I182" s="1" t="s">
        <v>431</v>
      </c>
      <c r="J182" s="1" t="str">
        <f>IFERROR(__xludf.DUMMYFUNCTION("GOOGLETRANSLATE(I:I, ""en"", ""te"")"),"పోలాండ్")</f>
        <v>పోలాండ్</v>
      </c>
      <c r="K182" s="3" t="s">
        <v>432</v>
      </c>
      <c r="Q182" s="1">
        <v>1.0</v>
      </c>
      <c r="S182" s="1" t="s">
        <v>433</v>
      </c>
      <c r="T182" s="1" t="s">
        <v>577</v>
      </c>
      <c r="U182" s="1" t="s">
        <v>2846</v>
      </c>
      <c r="V182" s="1" t="s">
        <v>2847</v>
      </c>
      <c r="W182" s="1" t="s">
        <v>1217</v>
      </c>
      <c r="X182" s="1" t="s">
        <v>1052</v>
      </c>
      <c r="Y182" s="1" t="s">
        <v>600</v>
      </c>
      <c r="AA182" s="1" t="s">
        <v>2848</v>
      </c>
      <c r="AB182" s="1" t="s">
        <v>2849</v>
      </c>
      <c r="AC182" s="1" t="s">
        <v>2084</v>
      </c>
      <c r="AD182" s="1" t="s">
        <v>2850</v>
      </c>
      <c r="AE182" s="1" t="s">
        <v>2611</v>
      </c>
      <c r="AF182" s="1" t="s">
        <v>1781</v>
      </c>
      <c r="AH182" s="1" t="s">
        <v>2851</v>
      </c>
      <c r="AJ182" s="1" t="s">
        <v>2852</v>
      </c>
      <c r="AM182" s="1" t="s">
        <v>2853</v>
      </c>
      <c r="AP182" s="1" t="s">
        <v>240</v>
      </c>
      <c r="AR182" s="1" t="s">
        <v>816</v>
      </c>
    </row>
    <row r="183">
      <c r="A183" s="1" t="s">
        <v>2854</v>
      </c>
      <c r="B183" s="1" t="str">
        <f>IFERROR(__xludf.DUMMYFUNCTION("GOOGLETRANSLATE(A:A, ""en"", ""te"")"),"Ctrm aludra")</f>
        <v>Ctrm aludra</v>
      </c>
      <c r="C183" s="1" t="s">
        <v>2855</v>
      </c>
      <c r="D183" s="1" t="str">
        <f>IFERROR(__xludf.DUMMYFUNCTION("GOOGLETRANSLATE(C:C, ""en"", ""te"")"),"అలుద్రా అనేది 2010 నుండి మలేషియా మానవరహిత వైమానిక వాహనం. అలుద్ర కాంపోజిట్స్ టెక్నాలజీ రీసెర్చ్ మలేషియా చేత రూపొందించబడింది మరియు తయారు చేయబడింది, ఇది ఇప్పుడు డెఫ్టెక్ కింద ఉంది. [3] [4] [5] యుఎవి ఆపరేషన్‌లో మలేషియా సాయుధ దళాల అవసరాలను తీర్చడానికి, మలేషియా"&amp;" 15 జనవరి 2007 న ఒక కన్సార్టియంను ఏర్పాటు చేసింది, ఇది స్థానిక సంస్థ, ఇది మిశ్రమ సాంకేతిక పరిశోధన మలేషియా (సిటిఆర్‌ఎం), మానవరహిత సిస్టమ్స్ టెక్నాలజీ (యుఎస్‌టి) మరియు ఇక్రామాటిక్, స్వదేశీ తయారు చేసిన యుఎవిని అభివృద్ధి చేస్తుంది. [6] కిరామ్ యొక్క మిలిటెంట్ "&amp;"ఉద్యమాన్ని పర్యవేక్షించడానికి అలుద్ర ఇప్పటికే 2013 న OPS డౌలాట్‌లో పోరాటంలో ఉపయోగించారు. సబా చొరబాటు తరువాత, సబా సరిహద్దులో నిఘా మరియు నిఘా మిషన్ నిర్వహించడానికి అలుద్ర సబా వద్ద ఉంచబడ్డాడు. [7] UAV యొక్క మొదటి ఉత్పత్తి. మూడు బిల్డ్ మరియు ప్రస్తుతం మలేషియా"&amp;" సాయుధ దళాలతో సేవలో ఉన్నారు. [8] మెరుగైన ఇంజిన్, పేలోడ్ మరియు ఓర్పుతో అలుద్రా యొక్క మెరుగైన వెర్షన్. [9] అలుద్రా కామర్ జూలై 2017 లో తన తొలి విమానంలో సాధించింది మరియు ఇది 2019 నాటికి పూర్తవుతుందని భావిస్తున్నారు. యుఎవి నిఘా మరియు మ్యాపింగ్ మిషన్లను నిర్వహి"&amp;"ంచడానికి రూపొందించబడింది. [10] తేలికపాటి UAV తేలికపాటి నిఘా పాత్ర కోసం రూపొందించబడింది. [11]")</f>
        <v>అలుద్రా అనేది 2010 నుండి మలేషియా మానవరహిత వైమానిక వాహనం. అలుద్ర కాంపోజిట్స్ టెక్నాలజీ రీసెర్చ్ మలేషియా చేత రూపొందించబడింది మరియు తయారు చేయబడింది, ఇది ఇప్పుడు డెఫ్టెక్ కింద ఉంది. [3] [4] [5] యుఎవి ఆపరేషన్‌లో మలేషియా సాయుధ దళాల అవసరాలను తీర్చడానికి, మలేషియా 15 జనవరి 2007 న ఒక కన్సార్టియంను ఏర్పాటు చేసింది, ఇది స్థానిక సంస్థ, ఇది మిశ్రమ సాంకేతిక పరిశోధన మలేషియా (సిటిఆర్‌ఎం), మానవరహిత సిస్టమ్స్ టెక్నాలజీ (యుఎస్‌టి) మరియు ఇక్రామాటిక్, స్వదేశీ తయారు చేసిన యుఎవిని అభివృద్ధి చేస్తుంది. [6] కిరామ్ యొక్క మిలిటెంట్ ఉద్యమాన్ని పర్యవేక్షించడానికి అలుద్ర ఇప్పటికే 2013 న OPS డౌలాట్‌లో పోరాటంలో ఉపయోగించారు. సబా చొరబాటు తరువాత, సబా సరిహద్దులో నిఘా మరియు నిఘా మిషన్ నిర్వహించడానికి అలుద్ర సబా వద్ద ఉంచబడ్డాడు. [7] UAV యొక్క మొదటి ఉత్పత్తి. మూడు బిల్డ్ మరియు ప్రస్తుతం మలేషియా సాయుధ దళాలతో సేవలో ఉన్నారు. [8] మెరుగైన ఇంజిన్, పేలోడ్ మరియు ఓర్పుతో అలుద్రా యొక్క మెరుగైన వెర్షన్. [9] అలుద్రా కామర్ జూలై 2017 లో తన తొలి విమానంలో సాధించింది మరియు ఇది 2019 నాటికి పూర్తవుతుందని భావిస్తున్నారు. యుఎవి నిఘా మరియు మ్యాపింగ్ మిషన్లను నిర్వహించడానికి రూపొందించబడింది. [10] తేలికపాటి UAV తేలికపాటి నిఘా పాత్ర కోసం రూపొందించబడింది. [11]</v>
      </c>
      <c r="E183" s="1" t="s">
        <v>2856</v>
      </c>
      <c r="F183" s="1" t="s">
        <v>2857</v>
      </c>
      <c r="G183" s="1" t="str">
        <f>IFERROR(__xludf.DUMMYFUNCTION("GOOGLETRANSLATE(F:F, ""en"", ""te"")"),"మానవరహిత వైమానిక వాహనం (యుఎవి)")</f>
        <v>మానవరహిత వైమానిక వాహనం (యుఎవి)</v>
      </c>
      <c r="H183" s="1" t="s">
        <v>2858</v>
      </c>
      <c r="I183" s="1" t="s">
        <v>2859</v>
      </c>
      <c r="J183" s="1" t="str">
        <f>IFERROR(__xludf.DUMMYFUNCTION("GOOGLETRANSLATE(I:I, ""en"", ""te"")"),"మలేషియా")</f>
        <v>మలేషియా</v>
      </c>
      <c r="K183" s="3" t="s">
        <v>2860</v>
      </c>
      <c r="O183" s="1" t="s">
        <v>101</v>
      </c>
      <c r="P183" s="1" t="str">
        <f>IFERROR(__xludf.DUMMYFUNCTION("GOOGLETRANSLATE(O:O, ""en"", ""te"")"),"సేవలో")</f>
        <v>సేవలో</v>
      </c>
      <c r="Q183" s="1" t="s">
        <v>2861</v>
      </c>
      <c r="AH183" s="1" t="s">
        <v>2862</v>
      </c>
      <c r="AI183" s="1" t="s">
        <v>2863</v>
      </c>
      <c r="AJ183" s="1" t="s">
        <v>2864</v>
      </c>
      <c r="AL183" s="1" t="s">
        <v>2865</v>
      </c>
      <c r="BH183" s="1" t="s">
        <v>2866</v>
      </c>
      <c r="BI183" s="1" t="s">
        <v>2867</v>
      </c>
    </row>
    <row r="184">
      <c r="A184" s="1" t="s">
        <v>2868</v>
      </c>
      <c r="B184" s="1" t="str">
        <f>IFERROR(__xludf.DUMMYFUNCTION("GOOGLETRANSLATE(A:A, ""en"", ""te"")"),"చెకోవ్స్కి")</f>
        <v>చెకోవ్స్కి</v>
      </c>
      <c r="C184" s="1" t="s">
        <v>2869</v>
      </c>
      <c r="D184" s="1" t="str">
        <f>IFERROR(__xludf.DUMMYFUNCTION("GOOGLETRANSLATE(C:C, ""en"", ""te"")"),"Śpiesz się povoli (ట్రాన్స్. 1925 లో జరిగిన రెండవ పోటీ నిర్వాహకులు, మంచి గాలుల కోసం శోధనలో గ్డినియా సమీపంలో ఓక్సీవీని ఎంచుకున్నారు, కాని వారి ఆశలకు బహుమతి ఇవ్వబడలేదు మరియు 1923 యొక్క ఉత్తమ విమానాలు సంప్రదించబడలేదు, అయినప్పటికీ ఎక్కువ విమానాలు తయారు చేయబడ్"&amp;"డాయి మరియు తక్కువ క్రాష్‌లతో. రెండవ పోటీ మే 17 న ప్రారంభమై జూన్ 14 న ముగిసింది, అయితే ఇరవై ఏడు పోటీదారులలో పదిహేను మంది మాత్రమే ఎగిరిపోయారు. లెఫ్ట్ చెకోవ్స్కీ రూపొందించిన śpiesz się povoli, పుక్ వద్ద ఉన్న నావికాదళ విమానయాన వర్క్‌షాప్‌లలో నిర్మించిన బోహాతే"&amp;"వ్ మియాకు రెండవ స్థానంలో నిలిచింది, śpiesz się povoli యొక్క రూపకల్పన కార్పియస్కి SL.1 AKAR కి చాలా రుణపడి ఉంది, ఇది 1923 ను హాయిగా గెలిచింది. అకర్ మాదిరిగానే దాని ఫ్యూజ్‌లేజ్ రెక్క వెనుక నుండి ఒకదానికొకటి సమాంతరంగా రెండు ఓపెన్ ఫ్రేమ్‌లను కలిగి ఉంది మరియు "&amp;"జంటలను కలిగి ఉంటుంది, వాటి చివర్లలో రీకాంగ్యులర్ రడ్డర్లు, ఇక్కడ ఎలివేటర్ రెండు ఫ్రేమ్‌లను అనుసంధానించింది. AKAR తో విభేదించిన ఫ్రేమ్‌లు తక్కువ క్రాస్-సభ్యులతో సరళీకృతం చేయబడ్డాయి. దీర్ఘచతురస్రాకార ప్రణాళిక, ఫాబ్రిక్ కప్పబడిన రెక్క ఫ్రేమ్‌ల పైన అమర్చబడింద"&amp;"ి. పూర్తి ఫ్రేమ్ వింగ్ లీడింగ్ ఎడ్జ్ వద్ద ప్రారంభమైంది, కాని వారి కన్వర్జింగ్ దిగువ లాంగన్స్ ముందుకు అంచనా వేసింది, పైలట్ యొక్క సీటుకు వింగ్ కింద కాకుండా ఎకర్ వైపు కాకుండా రెక్క కంటే ముందు, మరియు అకార్ యొక్క చక్రాల స్థానంలో ల్యాండింగ్ స్కిడ్లను పెంచుతుంది"&amp;". [1] [ 2] పోటీలో స్టెంప్కోవ్స్కీ చేత వినిపించిన śpiesz się povoli రెండవ పొడవైన విమానంలో (48 సెకన్లు), రెండవ ఉత్తమ ఎత్తుకు (19 మీ (62 అడుగులు)) చేరుకుంది మరియు పదమూడు విమానాలకు పైగా మొత్తం 7 నిమిషాల 6 సెకన్ల ఎగిరే సమయాన్ని సేకరించారు. [[[ 1] పోటీ సమయంలో గ"&amp;"్లైడర్ గణనీయంగా దెబ్బతింది [2] మరియు అది మళ్లీ ఎగిరిపోతుందో తెలియదు. సమోలోటైపోల్స్కీ నుండి డేటా [2] సాధారణ లక్షణాలు")</f>
        <v>Śpiesz się povoli (ట్రాన్స్. 1925 లో జరిగిన రెండవ పోటీ నిర్వాహకులు, మంచి గాలుల కోసం శోధనలో గ్డినియా సమీపంలో ఓక్సీవీని ఎంచుకున్నారు, కాని వారి ఆశలకు బహుమతి ఇవ్వబడలేదు మరియు 1923 యొక్క ఉత్తమ విమానాలు సంప్రదించబడలేదు, అయినప్పటికీ ఎక్కువ విమానాలు తయారు చేయబడ్డాయి మరియు తక్కువ క్రాష్‌లతో. రెండవ పోటీ మే 17 న ప్రారంభమై జూన్ 14 న ముగిసింది, అయితే ఇరవై ఏడు పోటీదారులలో పదిహేను మంది మాత్రమే ఎగిరిపోయారు. లెఫ్ట్ చెకోవ్స్కీ రూపొందించిన śpiesz się povoli, పుక్ వద్ద ఉన్న నావికాదళ విమానయాన వర్క్‌షాప్‌లలో నిర్మించిన బోహాతేవ్ మియాకు రెండవ స్థానంలో నిలిచింది, śpiesz się povoli యొక్క రూపకల్పన కార్పియస్కి SL.1 AKAR కి చాలా రుణపడి ఉంది, ఇది 1923 ను హాయిగా గెలిచింది. అకర్ మాదిరిగానే దాని ఫ్యూజ్‌లేజ్ రెక్క వెనుక నుండి ఒకదానికొకటి సమాంతరంగా రెండు ఓపెన్ ఫ్రేమ్‌లను కలిగి ఉంది మరియు జంటలను కలిగి ఉంటుంది, వాటి చివర్లలో రీకాంగ్యులర్ రడ్డర్లు, ఇక్కడ ఎలివేటర్ రెండు ఫ్రేమ్‌లను అనుసంధానించింది. AKAR తో విభేదించిన ఫ్రేమ్‌లు తక్కువ క్రాస్-సభ్యులతో సరళీకృతం చేయబడ్డాయి. దీర్ఘచతురస్రాకార ప్రణాళిక, ఫాబ్రిక్ కప్పబడిన రెక్క ఫ్రేమ్‌ల పైన అమర్చబడింది. పూర్తి ఫ్రేమ్ వింగ్ లీడింగ్ ఎడ్జ్ వద్ద ప్రారంభమైంది, కాని వారి కన్వర్జింగ్ దిగువ లాంగన్స్ ముందుకు అంచనా వేసింది, పైలట్ యొక్క సీటుకు వింగ్ కింద కాకుండా ఎకర్ వైపు కాకుండా రెక్క కంటే ముందు, మరియు అకార్ యొక్క చక్రాల స్థానంలో ల్యాండింగ్ స్కిడ్లను పెంచుతుంది. [1] [ 2] పోటీలో స్టెంప్కోవ్స్కీ చేత వినిపించిన śpiesz się povoli రెండవ పొడవైన విమానంలో (48 సెకన్లు), రెండవ ఉత్తమ ఎత్తుకు (19 మీ (62 అడుగులు)) చేరుకుంది మరియు పదమూడు విమానాలకు పైగా మొత్తం 7 నిమిషాల 6 సెకన్ల ఎగిరే సమయాన్ని సేకరించారు. [[[ 1] పోటీ సమయంలో గ్లైడర్ గణనీయంగా దెబ్బతింది [2] మరియు అది మళ్లీ ఎగిరిపోతుందో తెలియదు. సమోలోటైపోల్స్కీ నుండి డేటా [2] సాధారణ లక్షణాలు</v>
      </c>
      <c r="F184" s="1" t="s">
        <v>319</v>
      </c>
      <c r="G184" s="1" t="str">
        <f>IFERROR(__xludf.DUMMYFUNCTION("GOOGLETRANSLATE(F:F, ""en"", ""te"")"),"సింగిల్-సీట్ గ్లైడర్")</f>
        <v>సింగిల్-సీట్ గ్లైడర్</v>
      </c>
      <c r="H184" s="1" t="s">
        <v>320</v>
      </c>
      <c r="I184" s="1" t="s">
        <v>431</v>
      </c>
      <c r="J184" s="1" t="str">
        <f>IFERROR(__xludf.DUMMYFUNCTION("GOOGLETRANSLATE(I:I, ""en"", ""te"")"),"పోలాండ్")</f>
        <v>పోలాండ్</v>
      </c>
      <c r="K184" s="3" t="s">
        <v>432</v>
      </c>
      <c r="Q184" s="1">
        <v>1.0</v>
      </c>
      <c r="S184" s="1" t="s">
        <v>433</v>
      </c>
      <c r="U184" s="1" t="s">
        <v>2754</v>
      </c>
      <c r="V184" s="1" t="s">
        <v>2870</v>
      </c>
      <c r="W184" s="1" t="s">
        <v>2871</v>
      </c>
      <c r="AH184" s="1" t="s">
        <v>2872</v>
      </c>
      <c r="AJ184" s="2">
        <v>9253.0</v>
      </c>
      <c r="AM184" s="1" t="s">
        <v>2853</v>
      </c>
    </row>
    <row r="185">
      <c r="A185" s="1" t="s">
        <v>2873</v>
      </c>
      <c r="B185" s="1" t="str">
        <f>IFERROR(__xludf.DUMMYFUNCTION("GOOGLETRANSLATE(A:A, ""en"", ""te"")"),"బూమ్ XB-1")</f>
        <v>బూమ్ XB-1</v>
      </c>
      <c r="C185" s="1" t="s">
        <v>2874</v>
      </c>
      <c r="D185" s="1" t="str">
        <f>IFERROR(__xludf.DUMMYFUNCTION("GOOGLETRANSLATE(C:C, ""en"", ""te"")"),"బూమ్ XB-1 ""బేబీ బూమ్"" అనేది బూమ్ ఓవర్‌చర్ సూపర్సోనిక్ ట్రాన్స్‌పోర్ట్‌లైనర్ అభివృద్ధిలో భాగంగా బూమ్ టెక్నాలజీ (DBA ""బూమ్ సూపర్సోనిక్"" [2]) రూపొందించిన మూడింట ఒక వంతు-స్కేల్ ట్రైజెట్ సూపర్సోనిక్ ప్రదర్శన. ఇది మాక్ 2.2 ను నిర్వహించడానికి ప్రణాళిక చేయబడి"&amp;"ంది, 1,000 ఎన్‌ఎంఐ (1,900 కిమీ) పరిధిలో ఉంది. మూడు జనరల్ ఎలక్ట్రిక్ J85 లతో నడిచేది, ఇది 2022 ప్రారంభంలో విమానంలో పరీక్షించబడుతుందని భావిస్తున్నారు. [3] ఈ డిజైన్ నవంబర్ 15, 2016 న డెన్వర్‌లో ఆవిష్కరించబడింది [4] మరియు ఇది మొదట 2017 చివరలో తన మొదటి సబ్సోని"&amp;"క్ ఫ్లైట్ చేయడానికి ఉద్దేశించబడింది, ఇది మూడు జనరల్ ఎలక్ట్రిక్ సిజె 610 టర్బోజెట్స్ (సివిలియన్ జె 85) చేత శక్తినిచ్చింది, తరువాత ఎడ్వర్డ్స్ ఎఎఫ్‌బిలో సూపర్సోనిక్ విమాన పరీక్ష . [[ ఏప్రిల్ 2017 నాటికి, దానిని నిర్మించడానికి మరియు ఎగరడానికి తగినంత ఫైనాన్సిం"&amp;"గ్ భద్రపరచబడింది. [6] దీని ప్రాథమిక రూపకల్పన సమీక్ష జూన్ 2017 నాటికి పూర్తయింది, దాని అదనపు థ్రస్ట్‌ను సద్వినియోగం చేసుకోవడానికి ఇంజిన్‌ను J85 యొక్క మిలిటరీ వెర్షన్‌కు మార్చడం. విమాన పరీక్షలు 2018 చివరిలో ప్రారంభమవుతాయని is హించబడింది. [7] 2017 లో, 300 ° "&amp;"F (149 ° C) వద్ద హైడ్రాలిక్ టెస్ట్‌బెడ్‌లో వేడి చేయబడుతున్నప్పుడు మిశ్రమ వింగ్ స్పార్ లోడ్ పరీక్షించబడింది, వేడి కార్యాచరణ ఉష్ణోగ్రతకు పైన. మొదట expected హించిన సూపర్సోనిక్ ఫ్లైట్ 2019 కి పడిపోయింది. [8] జూలై 2018 నాటికి, ఏరోడైనమిక్ డిజైన్ పూర్తయింది, క్ష"&amp;"ితిజ సమాంతర తోక సమావేశమైంది మరియు ఇంజన్లు అందుకున్నాయి. వర్జిన్ గెలాక్టిక్ వాహనాల తయారీదారు స్పేస్ షిప్ కో. కాలిఫోర్నియాలోని మొజావేలో విమాన పరీక్షలకు భాగస్వామిగా ప్రకటించబడింది. [9] సవాలు చేసే ఏరోడైనమిక్స్ మరియు మరింత ఇంజిన్ మార్పు కారణంగా 2019 కోసం విమాన"&amp;" పరీక్షలు మళ్లీ ఆలస్యం అయ్యాయి; 3,500 ఎల్బిఎఫ్ (16 కెఎన్) జె 85-21 నుండి 4,300 ఎల్బిఎఫ్ (19 కెఎన్) జె 85-15 వరకు. [9] XB-1 డిజైన్ మూడు సెట్ల విండ్-టన్నెల్ పరీక్షల ద్వారా వెళ్ళింది. మొదటిది icted హించిన క్రమాంకనం 30%ఆఫ్‌లో ఉందని సూచించింది. రెండవ పరీక్ష పర"&amp;"ీక్షలు ఖచ్చితమైన క్రమాంకనాన్ని నిర్ధారించాయి మరియు మూడవ పరీక్ష పరీక్షలు డిజైన్ భద్రతను నిర్ధారించాయి. టన్నెల్ పరీక్ష నవంబర్ 2018 లో పూర్తయింది, టేకాఫ్ మరియు ల్యాండింగ్ తో గేర్ డోర్స్ యొక్క స్థిరత్వంతో పాటు సూపర్సోనిక్ ఇన్లెట్ టెస్టింగ్. ఈ పరీక్షలు కాంకోర్"&amp;"డ్‌లో ఒక దశాబ్దం పట్టింది. వసంత ప్రారంభంలో ఫార్వర్డ్ ఫ్యూజ్‌లేజ్ యొక్క తుది అసెంబ్లీ కోసం ఫ్యూజ్‌లేజ్ భాగాల కార్బన్-ఫైబర్ లేఅప్ 2019 ప్రారంభంలో ప్రారంభం కానుంది. మొత్తం పెట్టుబడి 200 మిలియన్ డాలర్లకు పెరగడంతో, 2020 చివరి వరకు XB-1 ఫ్లైట్-టెస్టింగ్ కోసం బూ"&amp;"మ్ నిధులు సమకూర్చింది. [10] జూన్ 2019 పారిస్ ఎయిర్ షోలో, బ్లేక్ స్కోల్ మొదటి విమానానికి తేదీని 2020 కి నెట్టివేసినట్లు ప్రకటించారు, ఆరు నెలల తరువాత గతంలో ప్రణాళిక చేయబడిన దానికంటే ఆరు నెలల తరువాత, అధిక వేగంతో మరియు టేకాఫ్ మరియు ల్యాండింగ్ వద్ద మెరుగైన భద్"&amp;"రత కోసం స్థిరత్వం బలోపేత వ్యవస్థను చేర్చారు. [11 ] మార్చి 2020 లో స్టాటిక్ వింగ్ లోడింగ్ పరీక్షలు జరిగాయి, మరియు రెక్కలు ఏప్రిల్ [12] అక్టోబర్ 7, 2020 న, బూమ్ XB-1 ను విడుదల చేసింది, 2021 లో తొలి ఫ్లైట్ expected హించింది. [14] జూలై 26, 2021 న, XB-1 యొక్క "&amp;"విమాన పరీక్షలకు సన్నాహాలలో భాగంగా బూమ్ ఫార్వర్డ్-లుకింగ్ విజన్ సిస్టమ్ (FLVS) ను పరీక్షించడం మరియు అంచనా వేయడం ప్రారంభించింది. [15] FLVS X-59 క్వెస్ట్ యొక్క బాహ్య దృష్టి వ్యవస్థ (EVS) మాదిరిగానే ఉంటుంది. జనవరి 2022 లో, టాక్సీ పరీక్షల తయారీలో మరియు 2022 లో"&amp;" మొదటి విమానంలో XB-1 ను ఉపయోగించి బూమ్ ఇంజిన్ రన్-అప్‌లను నిర్వహించడం ప్రారంభించింది. [16] XB-1 బేబీ బూమ్ 68 అడుగుల (21 మీ) పొడవు, 17 అడుగుల (5.2 మీ) రెక్కలు మరియు 13,500 ఎల్బి (6,100 కిలోల) గరిష్ట టేకాఫ్ బరువును కలిగి ఉంది. వేరియబుల్ జ్యామితి ఇన్లెట్స్ మ"&amp;"రియు ఎగ్జాస్ట్‌తో మూడు (నాన్-(నాన్-(నాన్-యాన్-అన్‌బర్నింగ్ J85-15 ఇంజిన్‌లతో నడిచే, ప్రోటోటైప్ 1,000 ఎన్‌ఎంఐ (1,900 కిమీ) కంటే ఎక్కువ పరిధిలో మాక్ 2.2 ను కొనసాగించగలగాలి. ఇది రెండు-క్రూ కాక్‌పిట్, చిన్డ్ ఫోర్‌బాడీ మరియు తుడిచిపెట్టిన అంచులను కలిగి ఉంది. ["&amp;"4] ఉష్ణ నియంత్రణ కోసం, పర్యావరణ నియంత్రణ వ్యవస్థ ఇంధనాన్ని హీట్ సింక్‌గా క్యాబిన్ వేడిని డంప్ చేయడానికి ఉపయోగిస్తుంది. [8] XB-1 తేలికపాటి మిశ్రమాలతో నిర్మించబడింది. వేడి ప్రముఖ అంచుల కోసం పదార్థాలు మరియు 307 ° F (153 ° C) ముక్కు, మరియు చల్లటి భాగాల కోసం ఎ"&amp;"పోక్సీ పదార్థాలు, డచ్ టెన్కేట్ అధునాతన మిశ్రమాలు, స్పేస్‌ఎక్స్ ఫాల్కన్ కోసం అధిక-ఉష్ణోగ్రత పదార్థాల సరఫరాదారు 9. ఎయిర్‌ఫ్రేమ్ ప్రధానంగా ఇంటర్మీడియట్ అవుతుంది- మాడ్యులస్ కార్బన్ ఫైబర్/ఎపోక్సీ, వింగ్ స్పార్ క్యాప్స్ కోసం అధిక-మాడ్యులస్ ఫైబర్స్ మరియు అధిక-ఉష"&amp;"్ణోగ్రత ప్రముఖ అంచులు మరియు పక్కటెముకల కోసం బిస్మాలిమైడ్ ప్రిప్రెగ్. ఏవియేషన్ వీక్ నుండి డేటా [4] [నవీకరణ అవసరం] సాధారణ లక్షణాలు పనితీరు సంబంధిత అభివృద్ధి")</f>
        <v>బూమ్ XB-1 "బేబీ బూమ్" అనేది బూమ్ ఓవర్‌చర్ సూపర్సోనిక్ ట్రాన్స్‌పోర్ట్‌లైనర్ అభివృద్ధిలో భాగంగా బూమ్ టెక్నాలజీ (DBA "బూమ్ సూపర్సోనిక్" [2]) రూపొందించిన మూడింట ఒక వంతు-స్కేల్ ట్రైజెట్ సూపర్సోనిక్ ప్రదర్శన. ఇది మాక్ 2.2 ను నిర్వహించడానికి ప్రణాళిక చేయబడింది, 1,000 ఎన్‌ఎంఐ (1,900 కిమీ) పరిధిలో ఉంది. మూడు జనరల్ ఎలక్ట్రిక్ J85 లతో నడిచేది, ఇది 2022 ప్రారంభంలో విమానంలో పరీక్షించబడుతుందని భావిస్తున్నారు. [3] ఈ డిజైన్ నవంబర్ 15, 2016 న డెన్వర్‌లో ఆవిష్కరించబడింది [4] మరియు ఇది మొదట 2017 చివరలో తన మొదటి సబ్సోనిక్ ఫ్లైట్ చేయడానికి ఉద్దేశించబడింది, ఇది మూడు జనరల్ ఎలక్ట్రిక్ సిజె 610 టర్బోజెట్స్ (సివిలియన్ జె 85) చేత శక్తినిచ్చింది, తరువాత ఎడ్వర్డ్స్ ఎఎఫ్‌బిలో సూపర్సోనిక్ విమాన పరీక్ష . [[ ఏప్రిల్ 2017 నాటికి, దానిని నిర్మించడానికి మరియు ఎగరడానికి తగినంత ఫైనాన్సింగ్ భద్రపరచబడింది. [6] దీని ప్రాథమిక రూపకల్పన సమీక్ష జూన్ 2017 నాటికి పూర్తయింది, దాని అదనపు థ్రస్ట్‌ను సద్వినియోగం చేసుకోవడానికి ఇంజిన్‌ను J85 యొక్క మిలిటరీ వెర్షన్‌కు మార్చడం. విమాన పరీక్షలు 2018 చివరిలో ప్రారంభమవుతాయని is హించబడింది. [7] 2017 లో, 300 ° F (149 ° C) వద్ద హైడ్రాలిక్ టెస్ట్‌బెడ్‌లో వేడి చేయబడుతున్నప్పుడు మిశ్రమ వింగ్ స్పార్ లోడ్ పరీక్షించబడింది, వేడి కార్యాచరణ ఉష్ణోగ్రతకు పైన. మొదట expected హించిన సూపర్సోనిక్ ఫ్లైట్ 2019 కి పడిపోయింది. [8] జూలై 2018 నాటికి, ఏరోడైనమిక్ డిజైన్ పూర్తయింది, క్షితిజ సమాంతర తోక సమావేశమైంది మరియు ఇంజన్లు అందుకున్నాయి. వర్జిన్ గెలాక్టిక్ వాహనాల తయారీదారు స్పేస్ షిప్ కో. కాలిఫోర్నియాలోని మొజావేలో విమాన పరీక్షలకు భాగస్వామిగా ప్రకటించబడింది. [9] సవాలు చేసే ఏరోడైనమిక్స్ మరియు మరింత ఇంజిన్ మార్పు కారణంగా 2019 కోసం విమాన పరీక్షలు మళ్లీ ఆలస్యం అయ్యాయి; 3,500 ఎల్బిఎఫ్ (16 కెఎన్) జె 85-21 నుండి 4,300 ఎల్బిఎఫ్ (19 కెఎన్) జె 85-15 వరకు. [9] XB-1 డిజైన్ మూడు సెట్ల విండ్-టన్నెల్ పరీక్షల ద్వారా వెళ్ళింది. మొదటిది icted హించిన క్రమాంకనం 30%ఆఫ్‌లో ఉందని సూచించింది. రెండవ పరీక్ష పరీక్షలు ఖచ్చితమైన క్రమాంకనాన్ని నిర్ధారించాయి మరియు మూడవ పరీక్ష పరీక్షలు డిజైన్ భద్రతను నిర్ధారించాయి. టన్నెల్ పరీక్ష నవంబర్ 2018 లో పూర్తయింది, టేకాఫ్ మరియు ల్యాండింగ్ తో గేర్ డోర్స్ యొక్క స్థిరత్వంతో పాటు సూపర్సోనిక్ ఇన్లెట్ టెస్టింగ్. ఈ పరీక్షలు కాంకోర్డ్‌లో ఒక దశాబ్దం పట్టింది. వసంత ప్రారంభంలో ఫార్వర్డ్ ఫ్యూజ్‌లేజ్ యొక్క తుది అసెంబ్లీ కోసం ఫ్యూజ్‌లేజ్ భాగాల కార్బన్-ఫైబర్ లేఅప్ 2019 ప్రారంభంలో ప్రారంభం కానుంది. మొత్తం పెట్టుబడి 200 మిలియన్ డాలర్లకు పెరగడంతో, 2020 చివరి వరకు XB-1 ఫ్లైట్-టెస్టింగ్ కోసం బూమ్ నిధులు సమకూర్చింది. [10] జూన్ 2019 పారిస్ ఎయిర్ షోలో, బ్లేక్ స్కోల్ మొదటి విమానానికి తేదీని 2020 కి నెట్టివేసినట్లు ప్రకటించారు, ఆరు నెలల తరువాత గతంలో ప్రణాళిక చేయబడిన దానికంటే ఆరు నెలల తరువాత, అధిక వేగంతో మరియు టేకాఫ్ మరియు ల్యాండింగ్ వద్ద మెరుగైన భద్రత కోసం స్థిరత్వం బలోపేత వ్యవస్థను చేర్చారు. [11 ] మార్చి 2020 లో స్టాటిక్ వింగ్ లోడింగ్ పరీక్షలు జరిగాయి, మరియు రెక్కలు ఏప్రిల్ [12] అక్టోబర్ 7, 2020 న, బూమ్ XB-1 ను విడుదల చేసింది, 2021 లో తొలి ఫ్లైట్ expected హించింది. [14] జూలై 26, 2021 న, XB-1 యొక్క విమాన పరీక్షలకు సన్నాహాలలో భాగంగా బూమ్ ఫార్వర్డ్-లుకింగ్ విజన్ సిస్టమ్ (FLVS) ను పరీక్షించడం మరియు అంచనా వేయడం ప్రారంభించింది. [15] FLVS X-59 క్వెస్ట్ యొక్క బాహ్య దృష్టి వ్యవస్థ (EVS) మాదిరిగానే ఉంటుంది. జనవరి 2022 లో, టాక్సీ పరీక్షల తయారీలో మరియు 2022 లో మొదటి విమానంలో XB-1 ను ఉపయోగించి బూమ్ ఇంజిన్ రన్-అప్‌లను నిర్వహించడం ప్రారంభించింది. [16] XB-1 బేబీ బూమ్ 68 అడుగుల (21 మీ) పొడవు, 17 అడుగుల (5.2 మీ) రెక్కలు మరియు 13,500 ఎల్బి (6,100 కిలోల) గరిష్ట టేకాఫ్ బరువును కలిగి ఉంది. వేరియబుల్ జ్యామితి ఇన్లెట్స్ మరియు ఎగ్జాస్ట్‌తో మూడు (నాన్-(నాన్-(నాన్-యాన్-అన్‌బర్నింగ్ J85-15 ఇంజిన్‌లతో నడిచే, ప్రోటోటైప్ 1,000 ఎన్‌ఎంఐ (1,900 కిమీ) కంటే ఎక్కువ పరిధిలో మాక్ 2.2 ను కొనసాగించగలగాలి. ఇది రెండు-క్రూ కాక్‌పిట్, చిన్డ్ ఫోర్‌బాడీ మరియు తుడిచిపెట్టిన అంచులను కలిగి ఉంది. [4] ఉష్ణ నియంత్రణ కోసం, పర్యావరణ నియంత్రణ వ్యవస్థ ఇంధనాన్ని హీట్ సింక్‌గా క్యాబిన్ వేడిని డంప్ చేయడానికి ఉపయోగిస్తుంది. [8] XB-1 తేలికపాటి మిశ్రమాలతో నిర్మించబడింది. వేడి ప్రముఖ అంచుల కోసం పదార్థాలు మరియు 307 ° F (153 ° C) ముక్కు, మరియు చల్లటి భాగాల కోసం ఎపోక్సీ పదార్థాలు, డచ్ టెన్కేట్ అధునాతన మిశ్రమాలు, స్పేస్‌ఎక్స్ ఫాల్కన్ కోసం అధిక-ఉష్ణోగ్రత పదార్థాల సరఫరాదారు 9. ఎయిర్‌ఫ్రేమ్ ప్రధానంగా ఇంటర్మీడియట్ అవుతుంది- మాడ్యులస్ కార్బన్ ఫైబర్/ఎపోక్సీ, వింగ్ స్పార్ క్యాప్స్ కోసం అధిక-మాడ్యులస్ ఫైబర్స్ మరియు అధిక-ఉష్ణోగ్రత ప్రముఖ అంచులు మరియు పక్కటెముకల కోసం బిస్మాలిమైడ్ ప్రిప్రెగ్. ఏవియేషన్ వీక్ నుండి డేటా [4] [నవీకరణ అవసరం] సాధారణ లక్షణాలు పనితీరు సంబంధిత అభివృద్ధి</v>
      </c>
      <c r="E185" s="1" t="s">
        <v>2875</v>
      </c>
      <c r="F185" s="1" t="s">
        <v>2876</v>
      </c>
      <c r="G185" s="1" t="str">
        <f>IFERROR(__xludf.DUMMYFUNCTION("GOOGLETRANSLATE(F:F, ""en"", ""te"")"),"సూపర్సోనిక్ టెక్నాలజీ ప్రదర్శనకారుడు విమానం")</f>
        <v>సూపర్సోనిక్ టెక్నాలజీ ప్రదర్శనకారుడు విమానం</v>
      </c>
      <c r="H185" s="1" t="s">
        <v>2877</v>
      </c>
      <c r="I185" s="1" t="s">
        <v>127</v>
      </c>
      <c r="J185" s="1" t="str">
        <f>IFERROR(__xludf.DUMMYFUNCTION("GOOGLETRANSLATE(I:I, ""en"", ""te"")"),"సంయుక్త రాష్ట్రాలు")</f>
        <v>సంయుక్త రాష్ట్రాలు</v>
      </c>
      <c r="L185" s="1" t="s">
        <v>2878</v>
      </c>
      <c r="M185" s="1" t="str">
        <f>IFERROR(__xludf.DUMMYFUNCTION("GOOGLETRANSLATE(L:L, ""en"", ""te"")"),"బూమ్ టెక్నాలజీ")</f>
        <v>బూమ్ టెక్నాలజీ</v>
      </c>
      <c r="N185" s="1" t="s">
        <v>2879</v>
      </c>
      <c r="O185" s="1" t="s">
        <v>2880</v>
      </c>
      <c r="P185" s="1" t="str">
        <f>IFERROR(__xludf.DUMMYFUNCTION("GOOGLETRANSLATE(O:O, ""en"", ""te"")"),"మెరుగుపరచబడుతున్నది")</f>
        <v>మెరుగుపరచబడుతున్నది</v>
      </c>
      <c r="Q185" s="1">
        <v>1.0</v>
      </c>
      <c r="S185" s="1">
        <v>1.0</v>
      </c>
      <c r="U185" s="1" t="s">
        <v>2881</v>
      </c>
      <c r="V185" s="1" t="s">
        <v>2882</v>
      </c>
      <c r="AA185" s="1" t="s">
        <v>2883</v>
      </c>
      <c r="AE185" s="1" t="s">
        <v>2884</v>
      </c>
      <c r="AJ185" s="1" t="s">
        <v>2885</v>
      </c>
      <c r="AN185" s="1" t="s">
        <v>2886</v>
      </c>
      <c r="AP185" s="1" t="s">
        <v>2887</v>
      </c>
    </row>
    <row r="186">
      <c r="A186" s="1" t="s">
        <v>2888</v>
      </c>
      <c r="B186" s="1" t="str">
        <f>IFERROR(__xludf.DUMMYFUNCTION("GOOGLETRANSLATE(A:A, ""en"", ""te"")"),"బౌల్టన్ పాల్ పే .112")</f>
        <v>బౌల్టన్ పాల్ పే .112</v>
      </c>
      <c r="C186" s="1" t="s">
        <v>2889</v>
      </c>
      <c r="D186" s="1" t="str">
        <f>IFERROR(__xludf.DUMMYFUNCTION("GOOGLETRANSLATE(C:C, ""en"", ""te"")"),"బౌల్టన్ పాల్ పి .112 రాయల్ ఎయిర్ ఫోర్స్ కోసం బౌల్టన్ పాల్ ఎయిర్క్రాఫ్ట్ రూపొందించిన ఒక ప్రాథమిక శిక్షకుడు. P.112 విజయవంతమైన బౌల్టన్ పాల్ బల్లియోల్ నుండి అభివృద్ధి చేయబడింది, ఇది రోల్స్ రాయిస్ మెర్లిన్ పిస్టన్ ఇంజిన్ చేత నడిచే ఒక అధునాతన శిక్షకుడు, బల్లియో"&amp;"ల్ వలె అదే ఫ్యూజ్‌లేజ్‌ను పంచుకుంది, కానీ కొత్త అధిక కారక నిష్పత్తి రెక్కలు మరియు 15 అడుగుల రీట్రాక్టబుల్ స్పాటెటెడ్ స్పాట్డ్ అండర్ క్యారేజీతో 2 (4.62 మీ) ట్రాక్‌లో. 1. [1. [[3] ఏదేమైనా, రాయల్ వైమానిక దళం చిన్న డి హవిలాండ్ కెనడా DHC-1 చిప్‌మంక్‌ను p.112 క"&amp;"ు ఇష్టపడింది మరియు అందువల్ల ఉత్పత్తి జరగలేదు. [3] బౌల్టన్ పాల్ విమానం నుండి డేటా [4] సాధారణ లక్షణాలు పనితీరు సంబంధిత అభివృద్ధి విమానం పోల్చదగిన పాత్ర, కాన్ఫిగరేషన్ మరియు ERA")</f>
        <v>బౌల్టన్ పాల్ పి .112 రాయల్ ఎయిర్ ఫోర్స్ కోసం బౌల్టన్ పాల్ ఎయిర్క్రాఫ్ట్ రూపొందించిన ఒక ప్రాథమిక శిక్షకుడు. P.112 విజయవంతమైన బౌల్టన్ పాల్ బల్లియోల్ నుండి అభివృద్ధి చేయబడింది, ఇది రోల్స్ రాయిస్ మెర్లిన్ పిస్టన్ ఇంజిన్ చేత నడిచే ఒక అధునాతన శిక్షకుడు, బల్లియోల్ వలె అదే ఫ్యూజ్‌లేజ్‌ను పంచుకుంది, కానీ కొత్త అధిక కారక నిష్పత్తి రెక్కలు మరియు 15 అడుగుల రీట్రాక్టబుల్ స్పాటెటెడ్ స్పాట్డ్ అండర్ క్యారేజీతో 2 (4.62 మీ) ట్రాక్‌లో. 1. [1. [[3] ఏదేమైనా, రాయల్ వైమానిక దళం చిన్న డి హవిలాండ్ కెనడా DHC-1 చిప్‌మంక్‌ను p.112 కు ఇష్టపడింది మరియు అందువల్ల ఉత్పత్తి జరగలేదు. [3] బౌల్టన్ పాల్ విమానం నుండి డేటా [4] సాధారణ లక్షణాలు పనితీరు సంబంధిత అభివృద్ధి విమానం పోల్చదగిన పాత్ర, కాన్ఫిగరేషన్ మరియు ERA</v>
      </c>
      <c r="F186" s="1" t="s">
        <v>2890</v>
      </c>
      <c r="G186" s="1" t="str">
        <f>IFERROR(__xludf.DUMMYFUNCTION("GOOGLETRANSLATE(F:F, ""en"", ""te"")"),"మూడు సీట్ల శిక్షకుడు")</f>
        <v>మూడు సీట్ల శిక్షకుడు</v>
      </c>
      <c r="H186" s="1" t="s">
        <v>2891</v>
      </c>
      <c r="L186" s="1" t="s">
        <v>2827</v>
      </c>
      <c r="M186" s="1" t="str">
        <f>IFERROR(__xludf.DUMMYFUNCTION("GOOGLETRANSLATE(L:L, ""en"", ""te"")"),"బౌల్టన్ పాల్ విమానం")</f>
        <v>బౌల్టన్ పాల్ విమానం</v>
      </c>
      <c r="N186" s="1" t="s">
        <v>2828</v>
      </c>
      <c r="O186" s="1" t="s">
        <v>2829</v>
      </c>
      <c r="P186" s="1" t="str">
        <f>IFERROR(__xludf.DUMMYFUNCTION("GOOGLETRANSLATE(O:O, ""en"", ""te"")"),"మొదటి ప్రోటోటైప్ పూర్తయ్యే ముందు రద్దు చేయబడింది")</f>
        <v>మొదటి ప్రోటోటైప్ పూర్తయ్యే ముందు రద్దు చేయబడింది</v>
      </c>
      <c r="Q186" s="1">
        <v>0.0</v>
      </c>
      <c r="R186" s="1" t="s">
        <v>132</v>
      </c>
      <c r="S186" s="1">
        <v>2.0</v>
      </c>
      <c r="T186" s="1" t="s">
        <v>2892</v>
      </c>
      <c r="U186" s="1" t="s">
        <v>2893</v>
      </c>
      <c r="V186" s="1" t="s">
        <v>2894</v>
      </c>
      <c r="AA186" s="1" t="s">
        <v>2895</v>
      </c>
      <c r="AB186" s="1" t="s">
        <v>2896</v>
      </c>
      <c r="AH186" s="1" t="s">
        <v>2833</v>
      </c>
      <c r="AI186" s="1" t="s">
        <v>2834</v>
      </c>
      <c r="AM186" s="1" t="s">
        <v>2897</v>
      </c>
    </row>
    <row r="187">
      <c r="A187" s="1" t="s">
        <v>2898</v>
      </c>
      <c r="B187" s="1" t="str">
        <f>IFERROR(__xludf.DUMMYFUNCTION("GOOGLETRANSLATE(A:A, ""en"", ""te"")"),"LKL II")</f>
        <v>LKL II</v>
      </c>
      <c r="C187" s="1" t="s">
        <v>2899</v>
      </c>
      <c r="D187" s="1" t="str">
        <f>IFERROR(__xludf.DUMMYFUNCTION("GOOGLETRANSLATE(C:C, ""en"", ""te"")"),"LKL II అనేది 1930 లో మొదట ఎగిరిన పోలిష్ మూడు-సీట్ల పోటీ పర్యటన విమానం. LKL II లుబెల్స్కి క్లబ్ లాట్నిక్జీ (LKL) యొక్క వర్క్‌షాప్‌లో నిర్మించిన మొదటి విమానం మరియు 1930 సెకండ్ ఛాలెంజ్ డి టూరిస్మే ఇంటర్నేషనల్‌లో పోటీ పడటానికి ఉద్దేశించబడింది. మూడు-సీట్ల క్యా"&amp;"బిన్ మోనోప్లేన్ యొక్క రెండు ఉదాహరణలు కలిసి నిర్మించబడ్డాయి, 1929 వేసవిలో ప్రారంభమై మరుసటి సంవత్సరం జూలై 1930 లో మొదటి విమానంతో జోజెఫ్ జురోమ్స్కి ఎగురుతుంది. [1] రెండవ ఎయిర్ఫ్రేమ్ దాని మొదటి టేక్-ఆఫ్ ప్రయత్నంలో అగ్నిప్రమాదం ద్వారా నాశనం చేయబడింది. [2] LKL "&amp;"II మిశ్రమ నిర్మాణం యొక్క అధిక, కాంటిలివర్ వింగ్ విమానం, ఇది ఒక ముక్క, ప్లైవుడ్ కవరింగ్ తో రెండు స్పార్ చెక్క వింగ్, ప్రణాళికలో ఎలిప్టికల్ మరియు వెల్డెడ్ స్టీల్ ట్యూబ్ ఫ్యూజ్‌లేజ్ స్ట్రక్చర్ పైభాగంలో నేరుగా బోల్ట్ చేయబడింది. ఇది 63 కిలోవాట్ల (85 హెచ్‌పి) వ"&amp;"ాల్టర్ వేగా ఫైవ్-సిలిండర్ రేడియల్ ఇంజిన్‌తో శక్తిని పొందింది, దాని సిలిండర్లతో శీతలీకరణ కోసం బహిర్గతమైంది. ఇంజిన్ వెనుక ఫ్యూజ్‌లేజ్ ఫాబ్రిక్ కప్పబడి ఉంది. దాని పెద్ద, పరివేష్టిత క్యాబిన్ పైలట్ వెనుక ఇద్దరు ప్రయాణీకులకు బెంచ్ సీటు మరియు వెనుక భాగంలో సామాను"&amp;" కంపార్ట్మెంట్ కలిగి ఉంది. ఎంట్రీ స్టార్‌బోర్డ్ సైడ్ డోర్ ద్వారా ఉంది. దీని ఎంపెనేజ్ ఫాబ్రిక్ కవరింగ్ ఉన్న స్టీల్ ట్యూబ్ నిర్మాణం. ఫిన్ త్రిభుజాకారంగా ఉంది మరియు ఎలివేటర్ల మధ్య పనిచేసిన లోతైన సెమీ వృత్తాకార చుక్కానిని కలిగి ఉంది. దాని టెయిల్‌ప్లేన్ ఫ్యూజ్"&amp;"‌లేజ్ పైన అమర్చబడింది మరియు సర్దుబాటు అవుతుంది. LKL II ఒక స్థిరమైన, సాంప్రదాయిక అండర్ క్యారేజీని కలిగి ఉంది, ఇది మెయిన్‌వియెల్స్‌తో కూడిన స్ట్రీమ్లైన్డ్ స్ట్రట్‌లపై దిగువ లాంగన్స్‌పై ఆధారపడి ఉంటుంది. ఇవి ఫ్యూజ్‌లేజ్‌లో ఉంచిన రబ్బరు షాక్ అబ్జార్బర్స్‌లో చే"&amp;"రారు. [1] రెండవ ఎయిర్‌ఫ్రేమ్ యొక్క నష్టం మొదటి అభివృద్ధిని మందగించింది, ఇది సవాలులో పాల్గొనకుండా నిరోధించింది, కాని తరువాత దీనిని ఎల్‌కెఎల్ ఎక్కువగా ఉపయోగించింది, తరువాత అనేక పోటీలలో పాల్గొంది. ఇది 1931 ప్రారంభంలో మొదటి లుబ్లినియన్-పోడ్లాసియన్ పోటీలో ఐదవ "&amp;"స్థానంలో ఉంది మరియు సెప్టెంబర్ 1931 లో నాల్గవ జాతీయ లైట్ ప్లేన్ పోటీలో ఇరవై రెండులో ఏడవది, జురోమ్స్కి ఎగురుతున్న రెండు సందర్భాలలో. [1] ఇది 1934 లో 1932 వరకు స్థానిక కార్యక్రమాలలో పాల్గొనడం కొనసాగించింది. [2] బార్టోలెవ్స్కీ మరియు టీస్సేర్ LKL II యొక్క అంబు"&amp;"లెన్స్ అభివృద్ధిని పరిగణించారు మరియు అధ్యయనం చేశారు మరియు బహుశా LKL III ని నిర్మించడం ప్రారంభించారు, ఇది శుభ్రపరిచే ఫ్యూజ్‌లేజ్ మరియు మరింత శక్తివంతమైన ఇంజిన్‌ను కలిగి ఉండేది, కాని వాటిని పూర్తి చేయడానికి ప్రతిపాదన కూడా తగినంత నిధులను కలిగించలేదు. [1 ] సి"&amp;"ంక్, 1971, [1] నుండి డేటా గుర్తించబడిన చోట తప్ప")</f>
        <v>LKL II అనేది 1930 లో మొదట ఎగిరిన పోలిష్ మూడు-సీట్ల పోటీ పర్యటన విమానం. LKL II లుబెల్స్కి క్లబ్ లాట్నిక్జీ (LKL) యొక్క వర్క్‌షాప్‌లో నిర్మించిన మొదటి విమానం మరియు 1930 సెకండ్ ఛాలెంజ్ డి టూరిస్మే ఇంటర్నేషనల్‌లో పోటీ పడటానికి ఉద్దేశించబడింది. మూడు-సీట్ల క్యాబిన్ మోనోప్లేన్ యొక్క రెండు ఉదాహరణలు కలిసి నిర్మించబడ్డాయి, 1929 వేసవిలో ప్రారంభమై మరుసటి సంవత్సరం జూలై 1930 లో మొదటి విమానంతో జోజెఫ్ జురోమ్స్కి ఎగురుతుంది. [1] రెండవ ఎయిర్ఫ్రేమ్ దాని మొదటి టేక్-ఆఫ్ ప్రయత్నంలో అగ్నిప్రమాదం ద్వారా నాశనం చేయబడింది. [2] LKL II మిశ్రమ నిర్మాణం యొక్క అధిక, కాంటిలివర్ వింగ్ విమానం, ఇది ఒక ముక్క, ప్లైవుడ్ కవరింగ్ తో రెండు స్పార్ చెక్క వింగ్, ప్రణాళికలో ఎలిప్టికల్ మరియు వెల్డెడ్ స్టీల్ ట్యూబ్ ఫ్యూజ్‌లేజ్ స్ట్రక్చర్ పైభాగంలో నేరుగా బోల్ట్ చేయబడింది. ఇది 63 కిలోవాట్ల (85 హెచ్‌పి) వాల్టర్ వేగా ఫైవ్-సిలిండర్ రేడియల్ ఇంజిన్‌తో శక్తిని పొందింది, దాని సిలిండర్లతో శీతలీకరణ కోసం బహిర్గతమైంది. ఇంజిన్ వెనుక ఫ్యూజ్‌లేజ్ ఫాబ్రిక్ కప్పబడి ఉంది. దాని పెద్ద, పరివేష్టిత క్యాబిన్ పైలట్ వెనుక ఇద్దరు ప్రయాణీకులకు బెంచ్ సీటు మరియు వెనుక భాగంలో సామాను కంపార్ట్మెంట్ కలిగి ఉంది. ఎంట్రీ స్టార్‌బోర్డ్ సైడ్ డోర్ ద్వారా ఉంది. దీని ఎంపెనేజ్ ఫాబ్రిక్ కవరింగ్ ఉన్న స్టీల్ ట్యూబ్ నిర్మాణం. ఫిన్ త్రిభుజాకారంగా ఉంది మరియు ఎలివేటర్ల మధ్య పనిచేసిన లోతైన సెమీ వృత్తాకార చుక్కానిని కలిగి ఉంది. దాని టెయిల్‌ప్లేన్ ఫ్యూజ్‌లేజ్ పైన అమర్చబడింది మరియు సర్దుబాటు అవుతుంది. LKL II ఒక స్థిరమైన, సాంప్రదాయిక అండర్ క్యారేజీని కలిగి ఉంది, ఇది మెయిన్‌వియెల్స్‌తో కూడిన స్ట్రీమ్లైన్డ్ స్ట్రట్‌లపై దిగువ లాంగన్స్‌పై ఆధారపడి ఉంటుంది. ఇవి ఫ్యూజ్‌లేజ్‌లో ఉంచిన రబ్బరు షాక్ అబ్జార్బర్స్‌లో చేరారు. [1] రెండవ ఎయిర్‌ఫ్రేమ్ యొక్క నష్టం మొదటి అభివృద్ధిని మందగించింది, ఇది సవాలులో పాల్గొనకుండా నిరోధించింది, కాని తరువాత దీనిని ఎల్‌కెఎల్ ఎక్కువగా ఉపయోగించింది, తరువాత అనేక పోటీలలో పాల్గొంది. ఇది 1931 ప్రారంభంలో మొదటి లుబ్లినియన్-పోడ్లాసియన్ పోటీలో ఐదవ స్థానంలో ఉంది మరియు సెప్టెంబర్ 1931 లో నాల్గవ జాతీయ లైట్ ప్లేన్ పోటీలో ఇరవై రెండులో ఏడవది, జురోమ్స్కి ఎగురుతున్న రెండు సందర్భాలలో. [1] ఇది 1934 లో 1932 వరకు స్థానిక కార్యక్రమాలలో పాల్గొనడం కొనసాగించింది. [2] బార్టోలెవ్స్కీ మరియు టీస్సేర్ LKL II యొక్క అంబులెన్స్ అభివృద్ధిని పరిగణించారు మరియు అధ్యయనం చేశారు మరియు బహుశా LKL III ని నిర్మించడం ప్రారంభించారు, ఇది శుభ్రపరిచే ఫ్యూజ్‌లేజ్ మరియు మరింత శక్తివంతమైన ఇంజిన్‌ను కలిగి ఉండేది, కాని వాటిని పూర్తి చేయడానికి ప్రతిపాదన కూడా తగినంత నిధులను కలిగించలేదు. [1 ] సింక్, 1971, [1] నుండి డేటా గుర్తించబడిన చోట తప్ప</v>
      </c>
      <c r="E187" s="1" t="s">
        <v>2900</v>
      </c>
      <c r="F187" s="1" t="s">
        <v>2901</v>
      </c>
      <c r="G187" s="1" t="str">
        <f>IFERROR(__xludf.DUMMYFUNCTION("GOOGLETRANSLATE(F:F, ""en"", ""te"")"),"మూడు సీట్ల టూరర్")</f>
        <v>మూడు సీట్ల టూరర్</v>
      </c>
      <c r="I187" s="1" t="s">
        <v>431</v>
      </c>
      <c r="J187" s="1" t="str">
        <f>IFERROR(__xludf.DUMMYFUNCTION("GOOGLETRANSLATE(I:I, ""en"", ""te"")"),"పోలాండ్")</f>
        <v>పోలాండ్</v>
      </c>
      <c r="K187" s="3" t="s">
        <v>432</v>
      </c>
      <c r="L187" s="1" t="s">
        <v>2902</v>
      </c>
      <c r="M187" s="1" t="str">
        <f>IFERROR(__xludf.DUMMYFUNCTION("GOOGLETRANSLATE(L:L, ""en"", ""te"")"),"లుబెల్స్కి క్లబ్ లాట్నిక్జీ (లుబ్లిన్ ఏరో క్లబ్)")</f>
        <v>లుబెల్స్కి క్లబ్ లాట్నిక్జీ (లుబ్లిన్ ఏరో క్లబ్)</v>
      </c>
      <c r="Q187" s="1">
        <v>2.0</v>
      </c>
      <c r="S187" s="1" t="s">
        <v>433</v>
      </c>
      <c r="T187" s="1" t="s">
        <v>2903</v>
      </c>
      <c r="U187" s="1" t="s">
        <v>1894</v>
      </c>
      <c r="V187" s="1" t="s">
        <v>1597</v>
      </c>
      <c r="W187" s="1" t="s">
        <v>898</v>
      </c>
      <c r="X187" s="1" t="s">
        <v>2904</v>
      </c>
      <c r="AA187" s="1" t="s">
        <v>2905</v>
      </c>
      <c r="AB187" s="1" t="s">
        <v>2906</v>
      </c>
      <c r="AC187" s="1" t="s">
        <v>622</v>
      </c>
      <c r="AE187" s="1" t="s">
        <v>2907</v>
      </c>
      <c r="AF187" s="1" t="s">
        <v>2908</v>
      </c>
      <c r="AH187" s="1" t="s">
        <v>2909</v>
      </c>
      <c r="AJ187" s="2">
        <v>11140.0</v>
      </c>
      <c r="AM187" s="1" t="s">
        <v>2910</v>
      </c>
      <c r="AN187" s="1" t="s">
        <v>1238</v>
      </c>
      <c r="AP187" s="1" t="s">
        <v>2911</v>
      </c>
      <c r="AR187" s="1" t="s">
        <v>607</v>
      </c>
      <c r="AS187" s="1">
        <v>7.0</v>
      </c>
      <c r="BS187" s="1" t="s">
        <v>2912</v>
      </c>
    </row>
    <row r="188">
      <c r="A188" s="1" t="s">
        <v>2913</v>
      </c>
      <c r="B188" s="1" t="str">
        <f>IFERROR(__xludf.DUMMYFUNCTION("GOOGLETRANSLATE(A:A, ""en"", ""te"")"),"వాలిస్ S.1")</f>
        <v>వాలిస్ S.1</v>
      </c>
      <c r="C188" s="1" t="s">
        <v>2914</v>
      </c>
      <c r="D188" s="1" t="str">
        <f>IFERROR(__xludf.DUMMYFUNCTION("GOOGLETRANSLATE(C:C, ""en"", ""te"")"),"వాలిస్ ఎస్. జార్నా గోరా 1923 లో జరిగిన మొదటి పోలిష్ గ్లైడర్ పోటీకి అవసరమైన గాలి వేగాన్ని అందించలేదు. 1925 లో జరిగిన రెండవ పోటీ యొక్క నిర్వాహకులు గ్డినియా సమీపంలో ఓక్సీవీని ఎన్నుకున్నారు, మంచి గాలుల కోసం అన్వేషణలో మరియు వారి ఆశలు ఇవ్వబడలేదు మరియు ఉత్తమమైనవ"&amp;"ి 1923 నాటి విమానాలను సంప్రదించలేదు, అయినప్పటికీ ఎక్కువ విమానాలు తయారు చేయబడ్డాయి మరియు తక్కువ క్రాష్లతో ఉన్నాయి. రెండవ పోటీ మే 17 న ప్రారంభమై జూన్ 14 న ముగిసింది, అయితే ఇరవై ఏడు పోటీదారులలో పదిహేను మంది మాత్రమే ఎగిరిపోయారు. జజెఫ్ వాలిస్ రూపొందించిన S.1, "&amp;"ఉత్తమ ఎత్తు లాభం కోసం బహుమతిని మరియు దాని మొత్తం ఎగిరే సమయానికి మూడవ బహుమతిని గెలుచుకుంది. [1] S.1 ను 3 వ ఎయిర్ రెజిమెంట్ ప్రవేశించింది మరియు పోజ్నాన్ సమీపంలోని ఓవైకా ఎయిర్ఫీల్డ్ వద్ద వారి వర్క్‌షాప్‌లలో నిర్మించబడింది. దాని చెక్క వింగ్, ఫ్యూజ్‌లేజ్ ఫ్రేమ"&amp;"్ పైన అమర్చబడి, కొంచెం మొద్దుబారిన చిట్కాలు కాకుండా ప్రణాళికలో దీర్ఘచతురస్రాకారంగా ఉంది. ఇది ట్విన్ స్పార్స్ చుట్టూ నిర్మించబడింది, ఫాబ్రిక్ కప్పబడి, స్పార్స్ నుండి V- స్ట్రట్స్‌తో సుమారు 25% వ్యవధిలో తక్కువ ఫ్యూజ్‌లేజ్ లాంగ్‌కు కట్టుబడి ఉంది. ఇరుకైన తీగ,"&amp;" సగం స్పాన్ ఐలెరాన్లు చిట్కాలకు విస్తరించాయి. [1] [2] ఫ్యూజ్‌లేజ్, చెక్క, ఒక సాధారణ, వెలికితీసిన చదునైన చెక్క చట్రం, ఇది క్షితిజ సమాంతర ఎగువ లాంగన్ మరియు తక్కువ లాంగన్ తో తోకకు పైకి కోసింది. లాంగన్స్ అనేక నిలువు సభ్యులు మరియు మరింత వైర్ బ్రేసింగ్‌తో క్రాస"&amp;"్ బ్రేస్ చేయబడ్డారు. పైలట్ యొక్క ఓపెన్ సీటు, నియంత్రణలు మరియు ల్యాండింగ్ స్కిడ్ను తీసుకువెళ్ళడానికి దిగువ లాంగన్ వింగ్ లీడింగ్ ఎడ్జ్ యొక్క ముందుకు విస్తరించింది. వెనుక భాగంలో ఫాబ్రిక్ కప్పబడిన టెయిల్‌ప్లేన్, ప్రణాళికలో కత్తిరించిన దీర్ఘచతురస్రం, ఎగువ లింగ"&amp;"్‌లో ఉంది మరియు చుక్కాని యొక్క ఆపరేషన్‌ను అనుమతించడానికి డివైడెడ్ ఎలివేటర్లను కట్‌అవేను తీసుకువెళ్ళింది, ఇది దిగువ లాంగన్ వరకు విస్తరించింది. [1] [2] S.1 ను వాయడిస్సావ్ స్జుల్జ్వెస్కీ పోటీలో ఎగురవేశారు. అతను 25 మీ (82 అడుగులు) ఉత్తమ ఎత్తుకు మొదటి బహుమతిని"&amp;" మరియు మొత్తం 405 సెకన్ల ఎగిరే సమయానికి మూడవ బహుమతిని గెలుచుకున్నాడు, పద్దెనిమిది విమానాలలో చేరుకున్నాడు. [1] సమోలోటైపోల్స్కీ నుండి డేటా [2] సాధారణ లక్షణాలు")</f>
        <v>వాలిస్ ఎస్. జార్నా గోరా 1923 లో జరిగిన మొదటి పోలిష్ గ్లైడర్ పోటీకి అవసరమైన గాలి వేగాన్ని అందించలేదు. 1925 లో జరిగిన రెండవ పోటీ యొక్క నిర్వాహకులు గ్డినియా సమీపంలో ఓక్సీవీని ఎన్నుకున్నారు, మంచి గాలుల కోసం అన్వేషణలో మరియు వారి ఆశలు ఇవ్వబడలేదు మరియు ఉత్తమమైనవి 1923 నాటి విమానాలను సంప్రదించలేదు, అయినప్పటికీ ఎక్కువ విమానాలు తయారు చేయబడ్డాయి మరియు తక్కువ క్రాష్లతో ఉన్నాయి. రెండవ పోటీ మే 17 న ప్రారంభమై జూన్ 14 న ముగిసింది, అయితే ఇరవై ఏడు పోటీదారులలో పదిహేను మంది మాత్రమే ఎగిరిపోయారు. జజెఫ్ వాలిస్ రూపొందించిన S.1, ఉత్తమ ఎత్తు లాభం కోసం బహుమతిని మరియు దాని మొత్తం ఎగిరే సమయానికి మూడవ బహుమతిని గెలుచుకుంది. [1] S.1 ను 3 వ ఎయిర్ రెజిమెంట్ ప్రవేశించింది మరియు పోజ్నాన్ సమీపంలోని ఓవైకా ఎయిర్ఫీల్డ్ వద్ద వారి వర్క్‌షాప్‌లలో నిర్మించబడింది. దాని చెక్క వింగ్, ఫ్యూజ్‌లేజ్ ఫ్రేమ్ పైన అమర్చబడి, కొంచెం మొద్దుబారిన చిట్కాలు కాకుండా ప్రణాళికలో దీర్ఘచతురస్రాకారంగా ఉంది. ఇది ట్విన్ స్పార్స్ చుట్టూ నిర్మించబడింది, ఫాబ్రిక్ కప్పబడి, స్పార్స్ నుండి V- స్ట్రట్స్‌తో సుమారు 25% వ్యవధిలో తక్కువ ఫ్యూజ్‌లేజ్ లాంగ్‌కు కట్టుబడి ఉంది. ఇరుకైన తీగ, సగం స్పాన్ ఐలెరాన్లు చిట్కాలకు విస్తరించాయి. [1] [2] ఫ్యూజ్‌లేజ్, చెక్క, ఒక సాధారణ, వెలికితీసిన చదునైన చెక్క చట్రం, ఇది క్షితిజ సమాంతర ఎగువ లాంగన్ మరియు తక్కువ లాంగన్ తో తోకకు పైకి కోసింది. లాంగన్స్ అనేక నిలువు సభ్యులు మరియు మరింత వైర్ బ్రేసింగ్‌తో క్రాస్ బ్రేస్ చేయబడ్డారు. పైలట్ యొక్క ఓపెన్ సీటు, నియంత్రణలు మరియు ల్యాండింగ్ స్కిడ్ను తీసుకువెళ్ళడానికి దిగువ లాంగన్ వింగ్ లీడింగ్ ఎడ్జ్ యొక్క ముందుకు విస్తరించింది. వెనుక భాగంలో ఫాబ్రిక్ కప్పబడిన టెయిల్‌ప్లేన్, ప్రణాళికలో కత్తిరించిన దీర్ఘచతురస్రం, ఎగువ లింగ్‌లో ఉంది మరియు చుక్కాని యొక్క ఆపరేషన్‌ను అనుమతించడానికి డివైడెడ్ ఎలివేటర్లను కట్‌అవేను తీసుకువెళ్ళింది, ఇది దిగువ లాంగన్ వరకు విస్తరించింది. [1] [2] S.1 ను వాయడిస్సావ్ స్జుల్జ్వెస్కీ పోటీలో ఎగురవేశారు. అతను 25 మీ (82 అడుగులు) ఉత్తమ ఎత్తుకు మొదటి బహుమతిని మరియు మొత్తం 405 సెకన్ల ఎగిరే సమయానికి మూడవ బహుమతిని గెలుచుకున్నాడు, పద్దెనిమిది విమానాలలో చేరుకున్నాడు. [1] సమోలోటైపోల్స్కీ నుండి డేటా [2] సాధారణ లక్షణాలు</v>
      </c>
      <c r="F188" s="1" t="s">
        <v>319</v>
      </c>
      <c r="G188" s="1" t="str">
        <f>IFERROR(__xludf.DUMMYFUNCTION("GOOGLETRANSLATE(F:F, ""en"", ""te"")"),"సింగిల్-సీట్ గ్లైడర్")</f>
        <v>సింగిల్-సీట్ గ్లైడర్</v>
      </c>
      <c r="H188" s="1" t="s">
        <v>320</v>
      </c>
      <c r="I188" s="1" t="s">
        <v>431</v>
      </c>
      <c r="J188" s="1" t="str">
        <f>IFERROR(__xludf.DUMMYFUNCTION("GOOGLETRANSLATE(I:I, ""en"", ""te"")"),"పోలాండ్")</f>
        <v>పోలాండ్</v>
      </c>
      <c r="K188" s="3" t="s">
        <v>432</v>
      </c>
      <c r="Q188" s="1">
        <v>1.0</v>
      </c>
      <c r="S188" s="1" t="s">
        <v>433</v>
      </c>
      <c r="U188" s="1" t="s">
        <v>2625</v>
      </c>
      <c r="V188" s="1" t="s">
        <v>2915</v>
      </c>
      <c r="W188" s="1" t="s">
        <v>187</v>
      </c>
      <c r="X188" s="1" t="s">
        <v>2916</v>
      </c>
      <c r="Y188" s="1" t="s">
        <v>564</v>
      </c>
      <c r="AH188" s="1" t="s">
        <v>2917</v>
      </c>
      <c r="AJ188" s="1">
        <v>1925.0</v>
      </c>
      <c r="AM188" s="1" t="s">
        <v>1223</v>
      </c>
      <c r="AS188" s="1">
        <v>8.2</v>
      </c>
    </row>
    <row r="189">
      <c r="A189" s="1" t="s">
        <v>2918</v>
      </c>
      <c r="B189" s="1" t="str">
        <f>IFERROR(__xludf.DUMMYFUNCTION("GOOGLETRANSLATE(A:A, ""en"", ""te"")"),"అరాడో E.377")</f>
        <v>అరాడో E.377</v>
      </c>
      <c r="C189" s="1" t="s">
        <v>2919</v>
      </c>
      <c r="D189" s="1" t="str">
        <f>IFERROR(__xludf.DUMMYFUNCTION("GOOGLETRANSLATE(C:C, ""en"", ""te"")"),"అరాడో E.377 అనేది రిమోట్-కంట్రోల్డ్ గ్లైడ్ బాంబు, ఇది అరాడో ఫ్లూగ్జీగ్వెర్కే చేత తయారు చేయబడిన శక్తితో మరియు శక్తితో లేని వేరియంట్లతో. [1] క్షిపణులకు సంబంధించిన ఈ వ్యాసం ఒక స్టబ్. వికీపీడియా విస్తరించడం ద్వారా మీరు సహాయపడవచ్చు.")</f>
        <v>అరాడో E.377 అనేది రిమోట్-కంట్రోల్డ్ గ్లైడ్ బాంబు, ఇది అరాడో ఫ్లూగ్జీగ్వెర్కే చేత తయారు చేయబడిన శక్తితో మరియు శక్తితో లేని వేరియంట్లతో. [1] క్షిపణులకు సంబంధించిన ఈ వ్యాసం ఒక స్టబ్. వికీపీడియా విస్తరించడం ద్వారా మీరు సహాయపడవచ్చు.</v>
      </c>
      <c r="L189" s="1" t="s">
        <v>2920</v>
      </c>
      <c r="M189" s="1" t="str">
        <f>IFERROR(__xludf.DUMMYFUNCTION("GOOGLETRANSLATE(L:L, ""en"", ""te"")"),"అరాడో ఫ్లూగ్జీగ్వెర్కే")</f>
        <v>అరాడో ఫ్లూగ్జీగ్వెర్కే</v>
      </c>
      <c r="N189" s="1" t="s">
        <v>2921</v>
      </c>
      <c r="U189" s="1" t="s">
        <v>2922</v>
      </c>
      <c r="V189" s="1" t="s">
        <v>2923</v>
      </c>
      <c r="AH189" s="1" t="s">
        <v>2924</v>
      </c>
      <c r="AI189" s="1" t="s">
        <v>2925</v>
      </c>
      <c r="AL189" s="1" t="s">
        <v>2926</v>
      </c>
      <c r="BX189" s="1" t="s">
        <v>2927</v>
      </c>
      <c r="BY189" s="1" t="s">
        <v>2928</v>
      </c>
      <c r="DN189" s="1" t="s">
        <v>321</v>
      </c>
      <c r="DO189" s="3" t="s">
        <v>322</v>
      </c>
      <c r="DP189" s="1" t="s">
        <v>2929</v>
      </c>
      <c r="DQ189" s="1" t="s">
        <v>2930</v>
      </c>
      <c r="DR189" s="1" t="s">
        <v>2931</v>
      </c>
      <c r="DS189" s="1" t="s">
        <v>2932</v>
      </c>
      <c r="DT189" s="1" t="s">
        <v>2933</v>
      </c>
      <c r="DU189" s="1" t="s">
        <v>2934</v>
      </c>
      <c r="DV189" s="1" t="s">
        <v>2935</v>
      </c>
      <c r="DW189" s="3" t="s">
        <v>2936</v>
      </c>
      <c r="DX189" s="1" t="s">
        <v>2937</v>
      </c>
    </row>
    <row r="190">
      <c r="A190" s="1" t="s">
        <v>2938</v>
      </c>
      <c r="B190" s="1" t="str">
        <f>IFERROR(__xludf.DUMMYFUNCTION("GOOGLETRANSLATE(A:A, ""en"", ""te"")"),"AIDC T-5 బ్రేవ్ ఈగిల్")</f>
        <v>AIDC T-5 బ్రేవ్ ఈగిల్</v>
      </c>
      <c r="C190" s="1" t="s">
        <v>2939</v>
      </c>
      <c r="D190" s="1" t="str">
        <f>IFERROR(__xludf.DUMMYFUNCTION("GOOGLETRANSLATE(C:C, ""en"", ""te"")"),"ఎయిడ్ టి -5 బ్రేవ్ ఈగిల్ (చైనీస్: 勇鷹; అడ్వాన్స్‌డ్ జెట్ ట్రైనర్ ప్రోగ్రామ్ (AJT) 2000 ల ప్రారంభంలో ప్రారంభమైంది, ఎందుకంటే రిపబ్లిక్ ఆఫ్ చైనా వైమానిక దళం దాని AIDC AT-3 మరియు నార్త్రోప్ ఎఫ్ -5 అధునాతన శిక్షకులను కొత్తగా నిర్మించిన 66 విమానాలతో భర్తీ చేసింద"&amp;"ి. మూడు నమూనాలు ప్రతిపాదించబడ్డాయి, ఆధునికీకరించబడిన AT-3 AT-3 గరిష్టంగా బ్రాండ్ చేయబడింది, ఇది AIDC F-CK-1 CHING-కుయో యొక్క పరిణామం XAT-5 లేదా అలెనియా ఎర్మాచీ M-346 మాస్టర్. [3] 2014 లో, తైవాన్‌లో M-346 ను సమీకరించటానికి AIDC అలెనియా ఎర్మాచీతో అవగాహన మెమ"&amp;"ోరాండం సంతకం చేసింది. అన్ని M-346 యొక్క ఇంజిన్లు తైవాన్‌లో ఇంటర్నేషనల్ టర్బైన్ ఇంజిన్ కంపెనీ (ITEC) చేత సమీకరించబడ్డాయి, ఇది హనీవెల్ మరియు AIDC యొక్క ఉమ్మడి భాగస్వామ్యం. [4] మోడ్ దక్షిణ కొరియా కై టి -50 గోల్డెన్ ఈగిల్ విమానాన్ని కూడా అంచనా వేసింది. [5] 20"&amp;"26 లో ప్రారంభం కానున్న డెలివరీతో AIDC మరియు నేషనల్ చుంగ్-షాన్ ఇన్స్టిట్యూట్ ఆఫ్ సైన్స్ అండ్ టెక్నాలజీ యొక్క భాగస్వామ్యం చేపట్టడానికి XAT-5 అభివృద్ధి మరియు ఉత్పత్తితో టెండర్‌ను గెలుచుకున్నట్లు 2017 లో ప్రకటించారు. నాలుగు ప్రోటోటైప్‌లు ఉండాలి ఉత్పత్తి చేయబడ"&amp;"ింది మరియు మొత్తం ప్రోగ్రామ్ ఖర్చు TWD68.6 బిలియన్ (US $ 2.2 బిలియన్) గా అంచనా వేయబడింది. [6] AIDC బ్లూ మాగ్పీని తైవాన్ బ్లూ మాగ్పీ కోసం ప్రాజెక్ట్ పేరుగా ఉపయోగించింది. అయితే 2018 లో జాతీయ రక్షణ మంత్రిత్వ శాఖ ఈ విమానం కోసం అధికారిక పేరును ఎంచుకోవడానికి ఒక"&amp;" పోటీని ప్రకటించింది. తైవానీస్ పౌరులను ఒక చిన్న ప్రతిపాదనతో ఒక పేరు సమర్పించమని ఆహ్వానించబడ్డారు, విజేత NTD 30,000 బహుమతిని అందుకున్నారు. [7] 24 సెప్టెంబర్ 2019 న, ప్రెసిడెంట్ సాయ్ ఇంగ్-వెన్ మొదటి ప్రోటోటైప్ విమాన రోల్-అవుట్ వేడుకలో కొత్త విమానం ""బ్రేవ్ "&amp;"ఈగిల్"" (యాంగీంగ్) కు అధికారికంగా పేరు పెట్టారు. [8] [9] 2017 లో, XAT/AT-5 కోసం 132 హనీవెల్/ITEC F124 ఇంజిన్ల కోసం భాగాల ఎగుమతిని యునైటెడ్ స్టేట్స్ ఆమోదించింది. [10] జూన్ 2020 లో ప్రారంభమయ్యే విమాన పరీక్షలతో మొదటి నమూనా 2019 సెప్టెంబర్‌లో మొదటి నమూనాను వి"&amp;"డుదల చేస్తుందని 2018 లో ఐఎడిసి ప్రకటించింది. [11] 2019 లో తైవాన్ యొక్క జాతీయ రక్షణ మంత్రిత్వ శాఖ దేశ శాసనసభకు సాక్ష్యమిచ్చింది, తొలి ఫ్లైట్ జూన్ 2020 లో షెడ్యూల్ చేయబడిందని, చిన్న తరహా ఉత్పత్తి నవంబర్ 2021 లో ప్రారంభం కానుంది, మరియు సామూహిక ఉత్పత్తి మార్చ"&amp;"ి 2023 లో ప్రారంభం కానుంది. [12] సెప్టెంబర్ 2019 లో A1 A2 T1 T2 నాలుగు ప్రోటోటైప్‌లలో మొదటిది తైవానీస్ ప్రెసిడెంట్ సాయ్ ఇంగ్-వెన్ చేత రూపొందించబడింది. [13] మార్చి 2021 లో, వారు అంతర్గత విమాన పరీక్షలను పూర్తి చేశారని మరియు రెండు ప్రోటోటైప్‌ల పరీక్ష మరియు ఈ"&amp;" సంవత్సరం చివరి నాటికి రెండు ప్రారంభ విమానాలను పంపిణీ చేయబోతున్నాయని ప్రకటించారు. అప్పటి నుండి తైవానీస్ వైమానిక దళం నిర్వహిస్తుంది. [14] పసిఫిక్ మహాసముద్రం మీదుగా కొన్ని కార్యకలాపాలు సంభవించడంతో జూలై 2021 లో టైటుంగ్ ఎయిర్ బేస్ నుండి అనేక అంతర్గత మరియు కార"&amp;"్యాచరణ పరీక్ష విమానాలు పూర్తయ్యాయి. [15] మొదటి ఉత్పత్తి నమూనా టి -5 అక్టోబర్ 21, 2021 న మొదటి విమానంలో ఉంది. [16] మొదటి ఉత్పత్తి నమూనాకు క్రమ సంఖ్య 11003 ఉంది. [17] ఈ డిజైన్ AIDC F-CK-1 చింగ్-కుయోపై ఆధారపడి ఉంటుంది మరియు అదే ఇంజిన్లను పంచుకుంటుంది, కాని మ"&amp;"ిశ్రమ శరీరంతో సహా 80% కొత్త భాగాలను కలిగి ఉంటుంది. F-CK-1 తో పోలిస్తే, ఇది మరింత అధునాతన ఏవియానిక్స్, పెరిగిన ఇంధన సామర్థ్యం కలిగి ఉంటుంది మరియు కొంచెం పెద్దదిగా ఉంటుంది. [18] ఏరోఫాయిల్ కొద్దిగా సవరించబడింది, తక్కువ వేగంతో మరియు తక్కువ ఎత్తులో స్థిరత్వాన్"&amp;"ని పెంచడానికి, అలాగే పెరిగిన ఇంధన నిల్వను అందించడానికి రెక్కలు F-CK-1 [19] కంటే మందంగా ఉంటాయి. [13] F-CK-1 యొక్క RAM ఎయిర్ స్కూప్ ఈటన్ కార్పొరేషన్‌తో పున es రూపకల్పన చేయబడింది, రెండు అల్యూమినియం లేజర్ పౌడర్ బెడ్ ఫ్యూజన్ 22 అసలు భాగాలను భర్తీ చేస్తుంది. [2"&amp;"0] మెగ్గిట్ ప్రధాన చక్రాలు, కార్బన్ బ్రేక్‌లు మరియు బ్రేక్ కంట్రోల్ సిస్టమ్‌లను AT-3 మరియు F-CK-1 లలో సరఫరా చేస్తుంది. [21] మార్టిన్-బేకర్ ఎజెక్షన్ సీటు వ్యవస్థలను అందిస్తుంది. [22] దాని భాగాలలో 55% కంటే ఎక్కువ తైవాన్‌లో తయారు చేయబడింది. ఈ విమానం ద్వంద్వ "&amp;"శాంతికాల శిక్షణ మరియు యుద్ధకాల పోరాట పాత్రలను అందించడానికి మొదటి నుండి రూపొందించబడిందని నివేదించబడింది. [23] ఎన్‌సిసిస్ట్ టి -5 బ్రేవ్ ఈగిల్ కోసం వాయుమార్గాన AESA రాడార్‌ను అభివృద్ధి చేస్తోంది, కాని ప్రైవేట్ తైవానీస్ సంస్థ ట్రోన్ ఫ్యూచర్ టెక్ కూడా వారి గల"&amp;"్లియం నైట్రైడ్ ఆధారిత AESA ని ప్రోగ్రామ్ కోసం వేలం వేసింది. [24] ప్లాట్‌ఫాం కోసం పైరాస్ టెక్నాలజీ రాడార్ మరియు కమ్యూనికేషన్ యాంటెన్నాలను సరఫరా చేస్తుందని 2019 లో ప్రకటించారు. [13] నార్త్రోప్ F-5E/F టైగర్ II విమానాలను భర్తీ చేయడానికి లైట్ ఫైటర్ AT-5 వేరియం"&amp;"ట్‌ను ప్లాన్ చేసినట్లు 2019 లో జేన్ నివేదించింది. [25] [27] పోల్చదగిన పాత్ర, కాన్ఫిగరేషన్ మరియు యుగం యొక్క సంబంధిత అభివృద్ధి విమానం")</f>
        <v>ఎయిడ్ టి -5 బ్రేవ్ ఈగిల్ (చైనీస్: 勇鷹; అడ్వాన్స్‌డ్ జెట్ ట్రైనర్ ప్రోగ్రామ్ (AJT) 2000 ల ప్రారంభంలో ప్రారంభమైంది, ఎందుకంటే రిపబ్లిక్ ఆఫ్ చైనా వైమానిక దళం దాని AIDC AT-3 మరియు నార్త్రోప్ ఎఫ్ -5 అధునాతన శిక్షకులను కొత్తగా నిర్మించిన 66 విమానాలతో భర్తీ చేసింది. మూడు నమూనాలు ప్రతిపాదించబడ్డాయి, ఆధునికీకరించబడిన AT-3 AT-3 గరిష్టంగా బ్రాండ్ చేయబడింది, ఇది AIDC F-CK-1 CHING-కుయో యొక్క పరిణామం XAT-5 లేదా అలెనియా ఎర్మాచీ M-346 మాస్టర్. [3] 2014 లో, తైవాన్‌లో M-346 ను సమీకరించటానికి AIDC అలెనియా ఎర్మాచీతో అవగాహన మెమోరాండం సంతకం చేసింది. అన్ని M-346 యొక్క ఇంజిన్లు తైవాన్‌లో ఇంటర్నేషనల్ టర్బైన్ ఇంజిన్ కంపెనీ (ITEC) చేత సమీకరించబడ్డాయి, ఇది హనీవెల్ మరియు AIDC యొక్క ఉమ్మడి భాగస్వామ్యం. [4] మోడ్ దక్షిణ కొరియా కై టి -50 గోల్డెన్ ఈగిల్ విమానాన్ని కూడా అంచనా వేసింది. [5] 2026 లో ప్రారంభం కానున్న డెలివరీతో AIDC మరియు నేషనల్ చుంగ్-షాన్ ఇన్స్టిట్యూట్ ఆఫ్ సైన్స్ అండ్ టెక్నాలజీ యొక్క భాగస్వామ్యం చేపట్టడానికి XAT-5 అభివృద్ధి మరియు ఉత్పత్తితో టెండర్‌ను గెలుచుకున్నట్లు 2017 లో ప్రకటించారు. నాలుగు ప్రోటోటైప్‌లు ఉండాలి ఉత్పత్తి చేయబడింది మరియు మొత్తం ప్రోగ్రామ్ ఖర్చు TWD68.6 బిలియన్ (US $ 2.2 బిలియన్) గా అంచనా వేయబడింది. [6] AIDC బ్లూ మాగ్పీని తైవాన్ బ్లూ మాగ్పీ కోసం ప్రాజెక్ట్ పేరుగా ఉపయోగించింది. అయితే 2018 లో జాతీయ రక్షణ మంత్రిత్వ శాఖ ఈ విమానం కోసం అధికారిక పేరును ఎంచుకోవడానికి ఒక పోటీని ప్రకటించింది. తైవానీస్ పౌరులను ఒక చిన్న ప్రతిపాదనతో ఒక పేరు సమర్పించమని ఆహ్వానించబడ్డారు, విజేత NTD 30,000 బహుమతిని అందుకున్నారు. [7] 24 సెప్టెంబర్ 2019 న, ప్రెసిడెంట్ సాయ్ ఇంగ్-వెన్ మొదటి ప్రోటోటైప్ విమాన రోల్-అవుట్ వేడుకలో కొత్త విమానం "బ్రేవ్ ఈగిల్" (యాంగీంగ్) కు అధికారికంగా పేరు పెట్టారు. [8] [9] 2017 లో, XAT/AT-5 కోసం 132 హనీవెల్/ITEC F124 ఇంజిన్ల కోసం భాగాల ఎగుమతిని యునైటెడ్ స్టేట్స్ ఆమోదించింది. [10] జూన్ 2020 లో ప్రారంభమయ్యే విమాన పరీక్షలతో మొదటి నమూనా 2019 సెప్టెంబర్‌లో మొదటి నమూనాను విడుదల చేస్తుందని 2018 లో ఐఎడిసి ప్రకటించింది. [11] 2019 లో తైవాన్ యొక్క జాతీయ రక్షణ మంత్రిత్వ శాఖ దేశ శాసనసభకు సాక్ష్యమిచ్చింది, తొలి ఫ్లైట్ జూన్ 2020 లో షెడ్యూల్ చేయబడిందని, చిన్న తరహా ఉత్పత్తి నవంబర్ 2021 లో ప్రారంభం కానుంది, మరియు సామూహిక ఉత్పత్తి మార్చి 2023 లో ప్రారంభం కానుంది. [12] సెప్టెంబర్ 2019 లో A1 A2 T1 T2 నాలుగు ప్రోటోటైప్‌లలో మొదటిది తైవానీస్ ప్రెసిడెంట్ సాయ్ ఇంగ్-వెన్ చేత రూపొందించబడింది. [13] మార్చి 2021 లో, వారు అంతర్గత విమాన పరీక్షలను పూర్తి చేశారని మరియు రెండు ప్రోటోటైప్‌ల పరీక్ష మరియు ఈ సంవత్సరం చివరి నాటికి రెండు ప్రారంభ విమానాలను పంపిణీ చేయబోతున్నాయని ప్రకటించారు. అప్పటి నుండి తైవానీస్ వైమానిక దళం నిర్వహిస్తుంది. [14] పసిఫిక్ మహాసముద్రం మీదుగా కొన్ని కార్యకలాపాలు సంభవించడంతో జూలై 2021 లో టైటుంగ్ ఎయిర్ బేస్ నుండి అనేక అంతర్గత మరియు కార్యాచరణ పరీక్ష విమానాలు పూర్తయ్యాయి. [15] మొదటి ఉత్పత్తి నమూనా టి -5 అక్టోబర్ 21, 2021 న మొదటి విమానంలో ఉంది. [16] మొదటి ఉత్పత్తి నమూనాకు క్రమ సంఖ్య 11003 ఉంది. [17] ఈ డిజైన్ AIDC F-CK-1 చింగ్-కుయోపై ఆధారపడి ఉంటుంది మరియు అదే ఇంజిన్లను పంచుకుంటుంది, కాని మిశ్రమ శరీరంతో సహా 80% కొత్త భాగాలను కలిగి ఉంటుంది. F-CK-1 తో పోలిస్తే, ఇది మరింత అధునాతన ఏవియానిక్స్, పెరిగిన ఇంధన సామర్థ్యం కలిగి ఉంటుంది మరియు కొంచెం పెద్దదిగా ఉంటుంది. [18] ఏరోఫాయిల్ కొద్దిగా సవరించబడింది, తక్కువ వేగంతో మరియు తక్కువ ఎత్తులో స్థిరత్వాన్ని పెంచడానికి, అలాగే పెరిగిన ఇంధన నిల్వను అందించడానికి రెక్కలు F-CK-1 [19] కంటే మందంగా ఉంటాయి. [13] F-CK-1 యొక్క RAM ఎయిర్ స్కూప్ ఈటన్ కార్పొరేషన్‌తో పున es రూపకల్పన చేయబడింది, రెండు అల్యూమినియం లేజర్ పౌడర్ బెడ్ ఫ్యూజన్ 22 అసలు భాగాలను భర్తీ చేస్తుంది. [20] మెగ్గిట్ ప్రధాన చక్రాలు, కార్బన్ బ్రేక్‌లు మరియు బ్రేక్ కంట్రోల్ సిస్టమ్‌లను AT-3 మరియు F-CK-1 లలో సరఫరా చేస్తుంది. [21] మార్టిన్-బేకర్ ఎజెక్షన్ సీటు వ్యవస్థలను అందిస్తుంది. [22] దాని భాగాలలో 55% కంటే ఎక్కువ తైవాన్‌లో తయారు చేయబడింది. ఈ విమానం ద్వంద్వ శాంతికాల శిక్షణ మరియు యుద్ధకాల పోరాట పాత్రలను అందించడానికి మొదటి నుండి రూపొందించబడిందని నివేదించబడింది. [23] ఎన్‌సిసిస్ట్ టి -5 బ్రేవ్ ఈగిల్ కోసం వాయుమార్గాన AESA రాడార్‌ను అభివృద్ధి చేస్తోంది, కాని ప్రైవేట్ తైవానీస్ సంస్థ ట్రోన్ ఫ్యూచర్ టెక్ కూడా వారి గల్లియం నైట్రైడ్ ఆధారిత AESA ని ప్రోగ్రామ్ కోసం వేలం వేసింది. [24] ప్లాట్‌ఫాం కోసం పైరాస్ టెక్నాలజీ రాడార్ మరియు కమ్యూనికేషన్ యాంటెన్నాలను సరఫరా చేస్తుందని 2019 లో ప్రకటించారు. [13] నార్త్రోప్ F-5E/F టైగర్ II విమానాలను భర్తీ చేయడానికి లైట్ ఫైటర్ AT-5 వేరియంట్‌ను ప్లాన్ చేసినట్లు 2019 లో జేన్ నివేదించింది. [25] [27] పోల్చదగిన పాత్ర, కాన్ఫిగరేషన్ మరియు యుగం యొక్క సంబంధిత అభివృద్ధి విమానం</v>
      </c>
      <c r="E190" s="1" t="s">
        <v>2940</v>
      </c>
      <c r="F190" s="1" t="s">
        <v>2941</v>
      </c>
      <c r="G190" s="1" t="str">
        <f>IFERROR(__xludf.DUMMYFUNCTION("GOOGLETRANSLATE(F:F, ""en"", ""te"")"),"అడ్వాన్స్‌డ్ జెట్ ట్రైనర్")</f>
        <v>అడ్వాన్స్‌డ్ జెట్ ట్రైనర్</v>
      </c>
      <c r="H190" s="1" t="s">
        <v>2942</v>
      </c>
      <c r="I190" s="1" t="s">
        <v>2943</v>
      </c>
      <c r="J190" s="1" t="str">
        <f>IFERROR(__xludf.DUMMYFUNCTION("GOOGLETRANSLATE(I:I, ""en"", ""te"")"),"తైవన్")</f>
        <v>తైవన్</v>
      </c>
      <c r="K190" s="1" t="s">
        <v>2944</v>
      </c>
      <c r="L190" s="1" t="s">
        <v>2945</v>
      </c>
      <c r="M190" s="1" t="str">
        <f>IFERROR(__xludf.DUMMYFUNCTION("GOOGLETRANSLATE(L:L, ""en"", ""te"")"),"ఏరోస్పేస్ ఇండస్ట్రియల్ డెవలప్‌మెంట్ కార్పొరేషన్")</f>
        <v>ఏరోస్పేస్ ఇండస్ట్రియల్ డెవలప్‌మెంట్ కార్పొరేషన్</v>
      </c>
      <c r="N190" s="1" t="s">
        <v>2946</v>
      </c>
      <c r="O190" s="1" t="s">
        <v>179</v>
      </c>
      <c r="P190" s="1" t="str">
        <f>IFERROR(__xludf.DUMMYFUNCTION("GOOGLETRANSLATE(O:O, ""en"", ""te"")"),"ఉత్పత్తిలో")</f>
        <v>ఉత్పత్తిలో</v>
      </c>
      <c r="Q190" s="1" t="s">
        <v>2947</v>
      </c>
      <c r="R190" s="1" t="s">
        <v>132</v>
      </c>
      <c r="AH190" s="1" t="s">
        <v>2948</v>
      </c>
      <c r="AI190" s="1" t="s">
        <v>2949</v>
      </c>
      <c r="AJ190" s="1" t="s">
        <v>2950</v>
      </c>
      <c r="AL190" s="1" t="s">
        <v>2951</v>
      </c>
      <c r="AT190" s="1" t="s">
        <v>2952</v>
      </c>
      <c r="AU190" s="1" t="s">
        <v>2953</v>
      </c>
      <c r="BH190" s="1" t="s">
        <v>2954</v>
      </c>
      <c r="BI190" s="1" t="s">
        <v>2955</v>
      </c>
    </row>
    <row r="191">
      <c r="A191" s="1" t="s">
        <v>2956</v>
      </c>
      <c r="B191" s="1" t="str">
        <f>IFERROR(__xludf.DUMMYFUNCTION("GOOGLETRANSLATE(A:A, ""en"", ""te"")"),"సిమెన్స్-ఫ్లైకో మాగ్నస్ ఎఫ్యూజన్")</f>
        <v>సిమెన్స్-ఫ్లైకో మాగ్నస్ ఎఫ్యూజన్</v>
      </c>
      <c r="C191" s="1" t="s">
        <v>2957</v>
      </c>
      <c r="D191" s="1" t="str">
        <f>IFERROR(__xludf.DUMMYFUNCTION("GOOGLETRANSLATE(C:C, ""en"", ""te"")"),"సిమెన్స్-ఫ్లైకో మాగ్నస్ ఎఫ్యూజన్ అనేది జర్మన్ హైబ్రిడ్ డీజిల్-ఎలక్ట్రిక్ విమానం, ఇది సిమెన్స్ మరియు ఫ్లైకో చేత రూపొందించబడింది, దీనిని 2018 లో ఏరో ఫ్రీడ్రిచ్‌షాఫెన్ షోలో ప్రవేశపెట్టారు. ఈ విమానం సిరీస్ ఉత్పత్తికి సిద్ధంగా ఉన్న రూపకల్పనగా ఉద్దేశించబడింది. "&amp;"[1] ఈ డిజైన్ మొదట 11 ఏప్రిల్ 2018 న హంగరీలో ఎగురవేయబడింది. [1] 31 మే 2018 న, హంగరీలో ప్రోటోటైప్ కూలిపోయింది, శిక్షణా విమానంలో ఉన్నప్పుడు, దాని ఇద్దరు యజమానులను చంపింది. [2] ఈ విమానం ఒక కాంటిలివర్ లో-వింగ్, బబుల్ పందిరి కింద రెండు-సీట్ల సైడ్-బై-సైడ్ కాన్ఫి"&amp;"గరేషన్ పరివేష్టిత కాక్‌పిట్, స్థిర ట్రైసైకిల్ ల్యాండింగ్ గేర్ మరియు ట్రాక్టర్ కాన్ఫిగరేషన్‌లో ఒకే ఇంజిన్ కలిగి ఉంది. [1] ఈ విమానం మిశ్రమాల నుండి తయారు చేయబడింది. పవర్ రైలులో సిమెన్స్ SP55D ఎలక్ట్రిక్ మోటారు ఉంది, ఇది టేకాఫ్ మరియు ల్యాండింగ్ కోసం బ్యాటరీల "&amp;"ద్వారా శక్తినివ్వడానికి ఉద్దేశించబడింది. సాధారణ రైలు ఇంజెక్షన్ మరియు ఎలక్ట్రానిక్ నియంత్రణలతో స్మార్ట్ కార్ ఇంజిన్ నుండి తీసుకోబడిన ఫ్లైకో త్రీ-సిలిండర్ డీజిల్ ఇంజిన్, విస్తరించిన పరిధికి విమానంలో బ్యాటరీలను రీఛార్జ్ చేయడానికి ఉద్దేశించబడింది. [1] 31 మే 2"&amp;"018 న హంగేరిలో ఈ నమూనా కుప్పకూలింది. ఆ సమయంలో విమానం శిక్షణా విమానంలో ఉంది. ప్రమాద దర్యాప్తులో ఈ ప్రమాదం పైలట్ లోపం కారణంగా భూమికి దగ్గరగా అధిక బ్యాంక్ కోణం స్టాల్‌కు కారణమవుతుందని తేల్చింది. [2] [3] [4] బేకర్ నుండి డేటా [1] సాధారణ లక్షణాలు")</f>
        <v>సిమెన్స్-ఫ్లైకో మాగ్నస్ ఎఫ్యూజన్ అనేది జర్మన్ హైబ్రిడ్ డీజిల్-ఎలక్ట్రిక్ విమానం, ఇది సిమెన్స్ మరియు ఫ్లైకో చేత రూపొందించబడింది, దీనిని 2018 లో ఏరో ఫ్రీడ్రిచ్‌షాఫెన్ షోలో ప్రవేశపెట్టారు. ఈ విమానం సిరీస్ ఉత్పత్తికి సిద్ధంగా ఉన్న రూపకల్పనగా ఉద్దేశించబడింది. [1] ఈ డిజైన్ మొదట 11 ఏప్రిల్ 2018 న హంగరీలో ఎగురవేయబడింది. [1] 31 మే 2018 న, హంగరీలో ప్రోటోటైప్ కూలిపోయింది, శిక్షణా విమానంలో ఉన్నప్పుడు, దాని ఇద్దరు యజమానులను చంపింది. [2] ఈ విమానం ఒక కాంటిలివర్ లో-వింగ్, బబుల్ పందిరి కింద రెండు-సీట్ల సైడ్-బై-సైడ్ కాన్ఫిగరేషన్ పరివేష్టిత కాక్‌పిట్, స్థిర ట్రైసైకిల్ ల్యాండింగ్ గేర్ మరియు ట్రాక్టర్ కాన్ఫిగరేషన్‌లో ఒకే ఇంజిన్ కలిగి ఉంది. [1] ఈ విమానం మిశ్రమాల నుండి తయారు చేయబడింది. పవర్ రైలులో సిమెన్స్ SP55D ఎలక్ట్రిక్ మోటారు ఉంది, ఇది టేకాఫ్ మరియు ల్యాండింగ్ కోసం బ్యాటరీల ద్వారా శక్తినివ్వడానికి ఉద్దేశించబడింది. సాధారణ రైలు ఇంజెక్షన్ మరియు ఎలక్ట్రానిక్ నియంత్రణలతో స్మార్ట్ కార్ ఇంజిన్ నుండి తీసుకోబడిన ఫ్లైకో త్రీ-సిలిండర్ డీజిల్ ఇంజిన్, విస్తరించిన పరిధికి విమానంలో బ్యాటరీలను రీఛార్జ్ చేయడానికి ఉద్దేశించబడింది. [1] 31 మే 2018 న హంగేరిలో ఈ నమూనా కుప్పకూలింది. ఆ సమయంలో విమానం శిక్షణా విమానంలో ఉంది. ప్రమాద దర్యాప్తులో ఈ ప్రమాదం పైలట్ లోపం కారణంగా భూమికి దగ్గరగా అధిక బ్యాంక్ కోణం స్టాల్‌కు కారణమవుతుందని తేల్చింది. [2] [3] [4] బేకర్ నుండి డేటా [1] సాధారణ లక్షణాలు</v>
      </c>
      <c r="E191" s="1" t="s">
        <v>2958</v>
      </c>
      <c r="F191" s="1" t="s">
        <v>2959</v>
      </c>
      <c r="G191" s="1" t="str">
        <f>IFERROR(__xludf.DUMMYFUNCTION("GOOGLETRANSLATE(F:F, ""en"", ""te"")"),"హైబ్రిడ్ ఎలక్ట్రిక్ విమానం")</f>
        <v>హైబ్రిడ్ ఎలక్ట్రిక్ విమానం</v>
      </c>
      <c r="H191" s="1" t="s">
        <v>2960</v>
      </c>
      <c r="I191" s="1" t="s">
        <v>2961</v>
      </c>
      <c r="J191" s="1" t="str">
        <f>IFERROR(__xludf.DUMMYFUNCTION("GOOGLETRANSLATE(I:I, ""en"", ""te"")"),"జర్మనీ/హంగరీ")</f>
        <v>జర్మనీ/హంగరీ</v>
      </c>
      <c r="K191" s="3" t="s">
        <v>2962</v>
      </c>
      <c r="L191" s="1" t="s">
        <v>2963</v>
      </c>
      <c r="M191" s="1" t="str">
        <f>IFERROR(__xludf.DUMMYFUNCTION("GOOGLETRANSLATE(L:L, ""en"", ""te"")"),"సిమెన్స్ మరియు ఫ్లైకో")</f>
        <v>సిమెన్స్ మరియు ఫ్లైకో</v>
      </c>
      <c r="N191" s="1" t="s">
        <v>2964</v>
      </c>
      <c r="O191" s="1" t="s">
        <v>2965</v>
      </c>
      <c r="P191" s="1" t="str">
        <f>IFERROR(__xludf.DUMMYFUNCTION("GOOGLETRANSLATE(O:O, ""en"", ""te"")"),"ఉత్పత్తి ప్రణాళిక (2018)")</f>
        <v>ఉత్పత్తి ప్రణాళిక (2018)</v>
      </c>
      <c r="S191" s="1" t="s">
        <v>133</v>
      </c>
      <c r="T191" s="1" t="s">
        <v>134</v>
      </c>
      <c r="AA191" s="1" t="s">
        <v>2966</v>
      </c>
      <c r="AB191" s="1" t="s">
        <v>276</v>
      </c>
      <c r="AJ191" s="5">
        <v>43201.0</v>
      </c>
    </row>
    <row r="192">
      <c r="A192" s="1" t="s">
        <v>2967</v>
      </c>
      <c r="B192" s="1" t="str">
        <f>IFERROR(__xludf.DUMMYFUNCTION("GOOGLETRANSLATE(A:A, ""en"", ""te"")"),"DUS III Ptapta")</f>
        <v>DUS III Ptapta</v>
      </c>
      <c r="C192" s="1" t="s">
        <v>2968</v>
      </c>
      <c r="D192" s="1" t="str">
        <f>IFERROR(__xludf.DUMMYFUNCTION("GOOGLETRANSLATE(C:C, ""en"", ""te"")"),"D.U.S. III Ptapta రెండు-సీట్ల క్రీడలు మరియు టూరింగ్ బిప్‌లేన్ మరియు అల్యూమినియం మిశ్రమం నిర్మాణాన్ని ఉపయోగించి రెండవ పోలిష్ విమానం మాత్రమే. PTAPTA ను జెర్జీ డాబ్రోవ్స్కీ మరియు ఆంటోని ఉస్జాకి (అందుకే డిజైన్ గ్రూప్ పేరు D.U.S. లేదా DUS) రూపొందించారు మరియు 1"&amp;"927 లో ఎగిరిన స్క్రాబా S.T.3 చేత బలంగా ప్రభావితమైంది. ఫ్యాక్టరీ, 1928 లో లుబెల్స్కి క్లబ్ లోట్నిక్జీ (లుబ్లియన్ ఏవియేషన్ క్లబ్) ను ఏర్పాటు చేసింది, Ptapta ను LKL I గా పేర్కొంది. ఫ్యాక్టరీ వారి వర్క్‌షాప్ మరియు LOPP ని నిధులు సమకూర్చింది మరియు ఇంజిన్‌ను రు"&amp;"ణం ఇచ్చింది. ఇది మొదటిసారి 21 సెప్టెంబర్ 1928 న అంటోని మ్రోజ్కోవ్స్కీ [1] లేదా 10 అక్టోబర్. [2] తేలికపాటి లోడ్‌తో దీనిని ఏరోబాటిక్‌గా ఎగురవేయవచ్చు. [1] ఎక్కువగా అల్యూమినియం-అల్లాయ్ ఫ్రేమ్డ్ Ptapta ఒక పెద్ద విస్తీర్ణం మరియు తీగ ఎగువ వింగ్ కలిగిన బైప్‌లేన్."&amp;" ఎగువ మరియు దిగువ రెక్కలు రెండూ రెండు డ్యూరాలిమిన్ స్పార్స్ చుట్టూ నిర్మించబడ్డాయి, చెక్క పక్కటెముకలు మరియు ఫాబ్రిక్ కవరింగ్ ఉన్నాయి. అవి కొంచెం కోణ చిట్కాలు కాకుండా ప్రణాళికలో దీర్ఘచతురస్రాకారంగా ఉన్నాయి మరియు గుర్తించదగిన అస్థిరంతో అమర్చబడ్డాయి. ఎగువ రె"&amp;"క్కలు మాత్రమే ఐలెరాన్లను తీసుకువెళ్ళాయి. ఎగువ మరియు దిగువ రెక్కలు ఒకే ఇంటర్‌ప్లేన్ స్ట్రట్‌తో కలిసి ప్రతి వైపు మంటలు మరియు ఎగువ రెక్కలు ఫ్యూజ్‌లేజ్‌కు కేంద్రంగా జతచేయబడ్డాయి, ఒక జత విలోమ క్యాబనే విలోమ వి-స్ట్రట్‌ల ద్వారా స్పార్స్‌కు. [1] [2] దాని 45 kW (6"&amp;"0 HP) వాల్టర్ NZ 60 ఐదు-సిలిండర్ రేడియల్ ఇంజిన్ వ్యవస్థాపించబడింది, దాని సిలిండర్లు శీతలీకరణ కోసం బహిర్గతమయ్యాయి, కోణాల ముక్కులో ఓవల్ విభాగం డ్యూరాలిమిన్ ఫ్యూజ్‌లేజ్ నిర్మాణం డ్యూరల్ షీట్‌లో కప్పబడి ఉంది. ఫ్యూజ్‌లేజ్‌లో డ్యూరల్ డెక్కింగ్‌తో సుదీర్ఘమైన కటౌ"&amp;"ట్ దాని ముందు రెండు ఓపెన్ టాండమ్ కాక్‌పిట్‌లను కలిగి ఉంది. ఫార్వర్డ్ స్థానం వింగ్ వెనుకంజలో ఉన్న అంచు క్రింద ఉంది, దీనిలో కటౌట్ మెరుగైన వీక్షణ క్షేత్రాన్ని అందించింది మరియు ప్రాప్యతను సడలించింది. మిగతా చోట్ల ఫ్యూజ్‌లేజ్ ఫాబ్రిక్ కప్పబడి ఉంది. PTPTA యొక్క "&amp;"ఫిన్ ప్రొఫైల్‌లో త్రిభుజాకారంగా ఉంది మరియు లోతైన, దీర్ఘచతురస్రాకార చుక్కానిని తీసుకువెళ్ళింది. ఒక త్రిభుజాకార టెయిల్‌ప్లేన్ దీర్ఘచతురస్రాకార ఎలివేటర్లను చుక్కాని కదలిక కోసం కటౌట్‌తో తీసుకువెళ్ళింది; ఇది ఫ్యూజ్‌లేజ్ పైభాగంలో ఉంచబడింది మరియు ప్రతి వైపు ఒకే "&amp;"స్ట్రట్ ద్వారా క్రింద నుండి కలుపుతారు. [1] [2] PTAPTA లో విభజించబడిన రకం యొక్క సాంప్రదాయిక, తోక స్కిడ్ ల్యాండింగ్ గేర్ ఉంది, సెంట్రల్ ఫ్యూజ్‌లేజ్ అండర్‌సైడ్ నుండి క్రాంక్ చేసిన ఇరుసులపై మెయిన్‌వీల్స్ ఉన్నాయి, వెనుకంజలో ఉన్న స్ట్రట్‌లు వ్యాసార్థ చేతులు మరి"&amp;"యు రబ్బరు షాక్ శోషకలతో కూడిన నిలువు ప్రధాన కాళ్ళు. [1] మొదటి ఫ్లైట్ తరువాత ఆరు వారాల తరువాత Ptapta రెండవ జాతీయ లైట్ ప్లేన్ పోటీలో పాల్గొంది, మళ్ళీ మ్రోజ్కోవ్స్కీ చేత ఎగిరింది. ఇది ఎనిమిదవ స్థానంలో ముగిసింది. [1] 1929 వేసవిలో, ఫ్రంట్ కాక్‌పిట్ యొక్క తొలగిం"&amp;"పు మరియు కవరింగ్-ఓవర్ మరియు దాని స్థానంలో పెద్ద ఇంధన ట్యాంక్ ద్వారా లైట్‌ప్లేన్ దూర రికార్డుపై ప్రయత్నం చేయడానికి Ptapta సవరించబడింది. అదనపు ఇంధనం లెక్కించిన పరిధిని 2,800 కిమీ (1,700 మైళ్ళు) ఇచ్చింది, అయితే రికార్డు త్వరలోనే ఇతరులు బద్దలు కొట్టింది, ఇంకా"&amp;" ఎక్కువ ఇంధనం అవసరం. కొత్త, 52 kW (70 HP), వాల్టర్ NZ ఇంజిన్ కూడా అమర్చారు. రికార్డ్ ఫ్లైట్ కోసం ప్రయత్నించే ముందు, పిటిఎప్టా అక్టోబర్ 1929 లో నైరుతి పోలాండ్ యొక్క మొదటి పర్యటనలో పాల్గొంది, తరువాత, వనాడిస్సావ్ స్జుల్జ్వెస్కీ చేత ఎగిరింది, ట్రయల్ ఎండ్యూరెన"&amp;"్స్ ఫ్లైట్ చేసింది, ఇది చెడు వాతావరణం ద్వారా తగ్గించబడింది. 30 ఏప్రిల్ 1930 న రికార్డు ప్రయత్నం జరిగింది, కాని చాలా భారీగా లోడ్ చేయబడిన విమానాలను నాశనం చేసిన వెంటనే ముగిసింది, ఇది పోజ్నాస్ నుండి టేకాఫ్ చేసినప్పుడు నిలిచిపోయింది. [1] ఈ నష్టం యొక్క ఇతర ఖాతా"&amp;"లు వేర్వేరు తేదీలు మరియు ప్రదేశాలను ఇస్తాయి. [2] సింక్, 1971 [1] నుండి డేటా గుర్తించబడిన చోట తప్ప")</f>
        <v>D.U.S. III Ptapta రెండు-సీట్ల క్రీడలు మరియు టూరింగ్ బిప్‌లేన్ మరియు అల్యూమినియం మిశ్రమం నిర్మాణాన్ని ఉపయోగించి రెండవ పోలిష్ విమానం మాత్రమే. PTAPTA ను జెర్జీ డాబ్రోవ్స్కీ మరియు ఆంటోని ఉస్జాకి (అందుకే డిజైన్ గ్రూప్ పేరు D.U.S. లేదా DUS) రూపొందించారు మరియు 1927 లో ఎగిరిన స్క్రాబా S.T.3 చేత బలంగా ప్రభావితమైంది. ఫ్యాక్టరీ, 1928 లో లుబెల్స్కి క్లబ్ లోట్నిక్జీ (లుబ్లియన్ ఏవియేషన్ క్లబ్) ను ఏర్పాటు చేసింది, Ptapta ను LKL I గా పేర్కొంది. ఫ్యాక్టరీ వారి వర్క్‌షాప్ మరియు LOPP ని నిధులు సమకూర్చింది మరియు ఇంజిన్‌ను రుణం ఇచ్చింది. ఇది మొదటిసారి 21 సెప్టెంబర్ 1928 న అంటోని మ్రోజ్కోవ్స్కీ [1] లేదా 10 అక్టోబర్. [2] తేలికపాటి లోడ్‌తో దీనిని ఏరోబాటిక్‌గా ఎగురవేయవచ్చు. [1] ఎక్కువగా అల్యూమినియం-అల్లాయ్ ఫ్రేమ్డ్ Ptapta ఒక పెద్ద విస్తీర్ణం మరియు తీగ ఎగువ వింగ్ కలిగిన బైప్‌లేన్. ఎగువ మరియు దిగువ రెక్కలు రెండూ రెండు డ్యూరాలిమిన్ స్పార్స్ చుట్టూ నిర్మించబడ్డాయి, చెక్క పక్కటెముకలు మరియు ఫాబ్రిక్ కవరింగ్ ఉన్నాయి. అవి కొంచెం కోణ చిట్కాలు కాకుండా ప్రణాళికలో దీర్ఘచతురస్రాకారంగా ఉన్నాయి మరియు గుర్తించదగిన అస్థిరంతో అమర్చబడ్డాయి. ఎగువ రెక్కలు మాత్రమే ఐలెరాన్లను తీసుకువెళ్ళాయి. ఎగువ మరియు దిగువ రెక్కలు ఒకే ఇంటర్‌ప్లేన్ స్ట్రట్‌తో కలిసి ప్రతి వైపు మంటలు మరియు ఎగువ రెక్కలు ఫ్యూజ్‌లేజ్‌కు కేంద్రంగా జతచేయబడ్డాయి, ఒక జత విలోమ క్యాబనే విలోమ వి-స్ట్రట్‌ల ద్వారా స్పార్స్‌కు. [1] [2] దాని 45 kW (60 HP) వాల్టర్ NZ 60 ఐదు-సిలిండర్ రేడియల్ ఇంజిన్ వ్యవస్థాపించబడింది, దాని సిలిండర్లు శీతలీకరణ కోసం బహిర్గతమయ్యాయి, కోణాల ముక్కులో ఓవల్ విభాగం డ్యూరాలిమిన్ ఫ్యూజ్‌లేజ్ నిర్మాణం డ్యూరల్ షీట్‌లో కప్పబడి ఉంది. ఫ్యూజ్‌లేజ్‌లో డ్యూరల్ డెక్కింగ్‌తో సుదీర్ఘమైన కటౌట్ దాని ముందు రెండు ఓపెన్ టాండమ్ కాక్‌పిట్‌లను కలిగి ఉంది. ఫార్వర్డ్ స్థానం వింగ్ వెనుకంజలో ఉన్న అంచు క్రింద ఉంది, దీనిలో కటౌట్ మెరుగైన వీక్షణ క్షేత్రాన్ని అందించింది మరియు ప్రాప్యతను సడలించింది. మిగతా చోట్ల ఫ్యూజ్‌లేజ్ ఫాబ్రిక్ కప్పబడి ఉంది. PTPTA యొక్క ఫిన్ ప్రొఫైల్‌లో త్రిభుజాకారంగా ఉంది మరియు లోతైన, దీర్ఘచతురస్రాకార చుక్కానిని తీసుకువెళ్ళింది. ఒక త్రిభుజాకార టెయిల్‌ప్లేన్ దీర్ఘచతురస్రాకార ఎలివేటర్లను చుక్కాని కదలిక కోసం కటౌట్‌తో తీసుకువెళ్ళింది; ఇది ఫ్యూజ్‌లేజ్ పైభాగంలో ఉంచబడింది మరియు ప్రతి వైపు ఒకే స్ట్రట్ ద్వారా క్రింద నుండి కలుపుతారు. [1] [2] PTAPTA లో విభజించబడిన రకం యొక్క సాంప్రదాయిక, తోక స్కిడ్ ల్యాండింగ్ గేర్ ఉంది, సెంట్రల్ ఫ్యూజ్‌లేజ్ అండర్‌సైడ్ నుండి క్రాంక్ చేసిన ఇరుసులపై మెయిన్‌వీల్స్ ఉన్నాయి, వెనుకంజలో ఉన్న స్ట్రట్‌లు వ్యాసార్థ చేతులు మరియు రబ్బరు షాక్ శోషకలతో కూడిన నిలువు ప్రధాన కాళ్ళు. [1] మొదటి ఫ్లైట్ తరువాత ఆరు వారాల తరువాత Ptapta రెండవ జాతీయ లైట్ ప్లేన్ పోటీలో పాల్గొంది, మళ్ళీ మ్రోజ్కోవ్స్కీ చేత ఎగిరింది. ఇది ఎనిమిదవ స్థానంలో ముగిసింది. [1] 1929 వేసవిలో, ఫ్రంట్ కాక్‌పిట్ యొక్క తొలగింపు మరియు కవరింగ్-ఓవర్ మరియు దాని స్థానంలో పెద్ద ఇంధన ట్యాంక్ ద్వారా లైట్‌ప్లేన్ దూర రికార్డుపై ప్రయత్నం చేయడానికి Ptapta సవరించబడింది. అదనపు ఇంధనం లెక్కించిన పరిధిని 2,800 కిమీ (1,700 మైళ్ళు) ఇచ్చింది, అయితే రికార్డు త్వరలోనే ఇతరులు బద్దలు కొట్టింది, ఇంకా ఎక్కువ ఇంధనం అవసరం. కొత్త, 52 kW (70 HP), వాల్టర్ NZ ఇంజిన్ కూడా అమర్చారు. రికార్డ్ ఫ్లైట్ కోసం ప్రయత్నించే ముందు, పిటిఎప్టా అక్టోబర్ 1929 లో నైరుతి పోలాండ్ యొక్క మొదటి పర్యటనలో పాల్గొంది, తరువాత, వనాడిస్సావ్ స్జుల్జ్వెస్కీ చేత ఎగిరింది, ట్రయల్ ఎండ్యూరెన్స్ ఫ్లైట్ చేసింది, ఇది చెడు వాతావరణం ద్వారా తగ్గించబడింది. 30 ఏప్రిల్ 1930 న రికార్డు ప్రయత్నం జరిగింది, కాని చాలా భారీగా లోడ్ చేయబడిన విమానాలను నాశనం చేసిన వెంటనే ముగిసింది, ఇది పోజ్నాస్ నుండి టేకాఫ్ చేసినప్పుడు నిలిచిపోయింది. [1] ఈ నష్టం యొక్క ఇతర ఖాతాలు వేర్వేరు తేదీలు మరియు ప్రదేశాలను ఇస్తాయి. [2] సింక్, 1971 [1] నుండి డేటా గుర్తించబడిన చోట తప్ప</v>
      </c>
      <c r="E192" s="1" t="s">
        <v>2969</v>
      </c>
      <c r="F192" s="1" t="s">
        <v>2970</v>
      </c>
      <c r="G192" s="1" t="str">
        <f>IFERROR(__xludf.DUMMYFUNCTION("GOOGLETRANSLATE(F:F, ""en"", ""te"")"),"రెండు సీట్ల స్పోర్ట్ మరియు టూరర్")</f>
        <v>రెండు సీట్ల స్పోర్ట్ మరియు టూరర్</v>
      </c>
      <c r="I192" s="1" t="s">
        <v>431</v>
      </c>
      <c r="J192" s="1" t="str">
        <f>IFERROR(__xludf.DUMMYFUNCTION("GOOGLETRANSLATE(I:I, ""en"", ""te"")"),"పోలాండ్")</f>
        <v>పోలాండ్</v>
      </c>
      <c r="K192" s="3" t="s">
        <v>432</v>
      </c>
      <c r="Q192" s="1">
        <v>1.0</v>
      </c>
      <c r="S192" s="1" t="s">
        <v>433</v>
      </c>
      <c r="T192" s="1" t="s">
        <v>577</v>
      </c>
      <c r="U192" s="1" t="s">
        <v>2971</v>
      </c>
      <c r="V192" s="1" t="s">
        <v>2972</v>
      </c>
      <c r="W192" s="1" t="s">
        <v>826</v>
      </c>
      <c r="X192" s="1" t="s">
        <v>1007</v>
      </c>
      <c r="Y192" s="1" t="s">
        <v>2973</v>
      </c>
      <c r="AA192" s="1" t="s">
        <v>2974</v>
      </c>
      <c r="AB192" s="1" t="s">
        <v>440</v>
      </c>
      <c r="AC192" s="1" t="s">
        <v>280</v>
      </c>
      <c r="AH192" s="1" t="s">
        <v>2975</v>
      </c>
      <c r="AJ192" s="5">
        <v>10492.0</v>
      </c>
      <c r="AM192" s="1" t="s">
        <v>2976</v>
      </c>
      <c r="AP192" s="1" t="s">
        <v>1447</v>
      </c>
      <c r="AR192" s="1" t="s">
        <v>2977</v>
      </c>
      <c r="BJ192" s="1" t="s">
        <v>2978</v>
      </c>
      <c r="DL192" s="1" t="s">
        <v>2979</v>
      </c>
    </row>
    <row r="193">
      <c r="A193" s="1" t="s">
        <v>2980</v>
      </c>
      <c r="B193" s="1" t="str">
        <f>IFERROR(__xludf.DUMMYFUNCTION("GOOGLETRANSLATE(A:A, ""en"", ""te"")"),"దాని -8")</f>
        <v>దాని -8</v>
      </c>
      <c r="C193" s="1" t="s">
        <v>2981</v>
      </c>
      <c r="D193" s="1" t="str">
        <f>IFERROR(__xludf.DUMMYFUNCTION("GOOGLETRANSLATE(C:C, ""en"", ""te"")"),"ITS-8 1936 లో పోలిష్ ట్విన్-బూమ్ మోటార్ గ్లైడర్. చిన్న, తక్కువ శక్తితో కూడిన, నిర్మాణాత్మకంగా సాధారణ విమానం. LWAW విశ్వవిద్యాలయంలోని ఇన్స్టిట్యూట్ ఆఫ్ గ్లైడింగ్ టెక్నిక్స్ మోటార్ గ్లైడర్స్ అధ్యయనం చేసింది, కొత్త అంతర్జాతీయ శక్తితో కూడిన గ్లైడర్ క్లాస్ కోస"&amp;"ం FAI స్పెసిఫికేషన్లచే మార్గనిర్దేశం చేయబడింది. సాంప్రదాయిక గ్లైడర్ ముక్కు మరియు ఫార్వర్డ్ ఫ్యూజ్‌లేజ్ అవసరమని వారు తేల్చారు, అందుకే పషర్ ఇంజిన్ మరియు, పైలాన్ ఇంజిన్ మౌంటు, ట్విన్-బూమ్ లేఅవుట్ యొక్క లాగడాన్ని నివారించడానికి. సమకాలీన ఇంటర్మీడియట్ మరియు అధి"&amp;"క పనితీరు లేని యంత్రాలతో పోటీపడే గ్లైడింగ్ పనితీరును కలిగి ఉండటానికి రూపొందించిన ITS-8, ఈ స్పెసిఫికేషన్లను అనుసరించింది. దీని నిర్మాణానికి లోప్ నిధులు సమకూర్చింది [1] చెక్క దాని -8 ఒక ఎత్తైన రెక్కను కలిగి ఉంది, ఇది ఒకే పెట్టె స్పార్ చుట్టూ నిర్మించబడింది,"&amp;" ఇది ప్లైవుడ్ కప్పబడిన ప్రముఖ అంచుతో టోర్షన్ బాక్స్‌ను ఏర్పరుస్తుంది. సహాయక స్పార్ అవకలన ఐలెరాన్‌లను కలిగి ఉంది. ప్రణాళికలో బయటి రెక్కలు ప్రముఖ అంచులు మరియు వెనుకబడిన అంచులను తుడిచిపెట్టాయి. తక్కువ ఫ్యూజ్‌లేజ్ నుండి ఒక జత సమాంతర స్టీల్ ట్యూబ్ స్ట్రట్‌లతో "&amp;"ప్రతి వైపు బంధించిన దీర్ఘచతురస్రాకార కేంద్రం విభాగం మొత్తంమీద ప్లై-కప్పబడి ఉంది, కాని బాహ్య వింగ్ ప్యానెల్లు టోర్షన్ బాక్స్ వెనుక బట్టలు కప్పబడి ఉన్నాయి. విమానం యొక్క రెండు వెర్షన్లు మొదటి నుండి ప్రణాళిక చేయబడ్డాయి: తక్కువ శక్తితో కూడిన దాని -8, 13.6 మీ ("&amp;"44 అడుగుల 7 అంగుళాలు) వ్యవధి మరియు 10.1 యొక్క కారక నిష్పత్తి మరియు అధిక శక్తితో కూడిన దాని -8W పొడవైన బాహ్య ప్యానెల్స్‌తో, దీనికి 14.2 మీ (46 అడుగుల 7 అంగుళాలు) స్పాన్ మరియు ఒక కారక నిష్పత్తి 12.5 ఇస్తుంది. ITS-8W లో అధిక స్పీడ్ ఏరోఫాయిల్ ఉన్న సెంటర్ విభా"&amp;"గం కూడా ఉంది, అయినప్పటికీ రెండూ వాటి బాహ్య ప్యానెల్స్‌కు ఒకే ఏరోఫాయిల్‌ను ఉపయోగించాయి. ఈ తేడాలు ITS-8 ను శిక్షకుడిగా మరియు పోటీ సంఘటనలలో ITS-8W ను ఉపయోగించాలనే ప్రారంభ ఉద్దేశ్యాన్ని ప్రతిబింబిస్తాయి. [1] [2] ITS-8 యొక్క పైలట్ వింగ్ లీడింగ్ ఎడ్జ్ కింద ఒక డ"&amp;"్రాప్-ఆకారపు, ప్లై-స్కిన్డ్ నాసెల్లెలో పరివేష్టిత కాక్‌పిట్‌లో కూర్చుంది, దాని ముగింపు ముగింపు వెనుకకు వెనుక ఉంది. ఒక సన్నని, ఫెయిర్‌డ్ నిర్మాణం నాసెల్లెను రెక్క మధ్యలో అనుసంధానించింది, అది మరియు ఇంజిన్ బ్రేసింగ్, మిడ్-టార్డ్ వద్ద జాగ్రత్తగా ఉండే గాలి తీస"&amp;"ుకోవడం మరియు శీతలీకరణకు బహిర్గతమయ్యే సిలిండర్ తలలు కాకుండా రెక్కలో ఎక్కువగా ఖననం చేయబడింది. ITS-8 లో 13 kW (18 HP) క్రోబెర్ M3 Köller ఫ్లాట్ ట్విన్ ఇంజన్ ఉంది మరియు ITS-8W మొదట్లో మరొక ఫ్లాట్-ట్విన్, 17-27 kW (23–36 HP) ష్లిహాను స్టాప్-గ్యాప్‌గా ఉపయోగించి"&amp;"ంది, తరువాత భర్తీ చేయబడింది ఉద్దేశించిన 22–24 కిలోవాట్ (30–32 హెచ్‌పి) సరోలియా ఆల్బాట్రోస్ ఫ్లాట్-ట్విన్ ద్వారా. సామ్రాజ్యం ట్విన్ దీర్ఘచతురస్రాకార విభాగం స్ప్రూస్ బాక్స్ గిర్డర్ బూమ్‌లపై అమర్చబడింది, ఇవి అంతర్గతంగా వైర్-బ్రెడ్. గుండ్రని చిట్కాలతో దెబ్బతి"&amp;"న్న టెయిల్‌ప్లేన్ కిరణాల పైభాగంలో ఉంచబడింది. ITS-8 టెయిల్‌ప్లేన్‌పై కేంద్రంగా అమర్చిన ఇరుకైన ఫిన్ కలిగి ఉంది, పెద్ద సమతుల్య చుక్కానిని మోసుకెళ్ళింది, కాని దాని -8W లో దీనిని ట్విన్ రెక్కలు మరియు బూమ్‌లపై రడ్డర్‌లతో భర్తీ చేశారు. [1] [2] నాసెల్లెలో మొలకెత్"&amp;"తిన ల్యాండింగ్ స్కిడ్, రెక్క కింద సెమీ-రిట్రాక్టబుల్ మోనోహీల్ మరియు పొడవైన ఆకు వసంత టెయిల్‌వీల్ ఉన్నాయి. ITS-8W లో రెండోది ఫెయిర్-ఇన్ మరియు టెయిల్‌వీల్‌తో ముగిసింది. [1] [2] ITS-8 ను మొదట గ్లైడర్‌గా ఎగురవేసింది, ఆగష్టు 1936 చివరలో, కారు చేత లాగబడింది మరియ"&amp;"ు వైస్‌లా స్టెప్నియెస్కీ చేత పైలట్ చేయబడింది. ZBigniew zabski చేత పైలట్ చేయబడిన శక్తితో కూడిన విమానాలు అక్టోబర్‌లో ప్రారంభమయ్యాయి మరియు ఇంజిన్ కంపనాలను దాని మౌంటులను దెబ్బతీసేంత తీవ్రంగా వెల్లడించాయి. రబ్బరు డంపర్లపై కొత్త మౌంటులతో సమస్య పరిష్కరించబడింది."&amp;" కొంతకాలం 25–28 హెచ్‌పి (19–21 కిలోవాట్) అవా 4, ఎయిర్-కూల్డ్ ఫ్లాట్ ఫోర్ ఇంజిన్, ట్రయల్ చేయబడింది కాని నమ్మదగనిదిగా తిరస్కరించబడింది. టెస్ట్ ఫ్లైట్ ప్రోగ్రామ్‌లో పెరుగుతున్న విమానాలు మరియు వాయుమార్గాన ఇంజిన్ పున ar ప్రారంభాలు ఉన్నాయి. [1] ITS-8W నిర్మాణం "&amp;"ITS-8 యొక్క అదే సమయంలో ప్రారంభమైంది. ఇది మొదట మరింత శక్తివంతమైన ఇంజిన్ మరియు పొడవైన, మార్చుకోగలిగిన, uter టర్ వింగ్ ప్యానెల్‌ల ఉపయోగం కాకుండా దానికి సమానంగా ఉండటానికి ఉద్దేశించబడింది. ITS-8 యొక్క ఇంజిన్ వైబ్రేషన్ సమస్యల వల్ల కలిగే ఆలస్యం 18 మే 1938 న మొదట"&amp;"ి విమానానికి ముందు సవరించిన సెంటర్ విభాగం మరియు ట్విన్-ఫిన్డ్ ఎంపెనేజ్ అందించిన ఏరోడైనమిక్ ప్రయోజనాలను చేర్చడానికి అవకాశాన్ని కల్పించింది. ITS-8W ఉత్పత్తి కోసం ప్రణాళికాబద్ధమైన సన్నాహాలు 1939 లో జర్మన్ పోలాండ్ దండయాత్రతో ముగిసింది. [1] ఈ దండయాత్ర దాని -8 "&amp;"ఎమ్ పూర్తి చేయడాన్ని నిరోధించింది, ఇది 35 హెచ్‌పి (26 కిలోవాట్ల) సరోలియాతో నడిచింది, ఇది ఫ్లాప్‌లతో అమర్చిన పూర్తిగా కాంటిలివర్ వింగ్ మరియు పూర్తిగా ముడుచుకునే, ట్విన్ వీల్ అండర్ క్యారేజీని కలిగి ఉంది. ఇది వాతావరణ పరిశోధన కోసం ఉద్దేశించబడింది. [1] సింక్ ప"&amp;"్రకారం, దాని -8R హోదా ప్రతిపాదిత రికార్డ్ బ్రేకింగ్ వెర్షన్‌ను సూచిస్తుంది, ఇది వివరణాత్మక డిజైన్ దశకు చేరుకోలేదు. ఏదేమైనా, అదే హోదా రాకెట్-అసిస్టెడ్ వెర్షన్‌తో సంబంధం కలిగి ఉంది మరియు దాని -8 ఖచ్చితంగా రాకెట్-సహాయక టేకాఫ్‌ల అభ్యర్థిగా ప్రతిపాదనలలో ఉదహరిం"&amp;"చబడింది. రాకెట్-చోదక వేరియంట్ నిర్మించబడలేదని సిన్క్ పేర్కొన్నాడు, కాని మరొకటి అది అని సూచిస్తుంది; విమాన పరీక్షలకు ఆధారాలు లేవని రెండూ అంగీకరించబడ్డాయి. [1] [3] J. సిన్క్ (1971) నుండి డేటా [1] సాధారణ లక్షణాల పనితీరు")</f>
        <v>ITS-8 1936 లో పోలిష్ ట్విన్-బూమ్ మోటార్ గ్లైడర్. చిన్న, తక్కువ శక్తితో కూడిన, నిర్మాణాత్మకంగా సాధారణ విమానం. LWAW విశ్వవిద్యాలయంలోని ఇన్స్టిట్యూట్ ఆఫ్ గ్లైడింగ్ టెక్నిక్స్ మోటార్ గ్లైడర్స్ అధ్యయనం చేసింది, కొత్త అంతర్జాతీయ శక్తితో కూడిన గ్లైడర్ క్లాస్ కోసం FAI స్పెసిఫికేషన్లచే మార్గనిర్దేశం చేయబడింది. సాంప్రదాయిక గ్లైడర్ ముక్కు మరియు ఫార్వర్డ్ ఫ్యూజ్‌లేజ్ అవసరమని వారు తేల్చారు, అందుకే పషర్ ఇంజిన్ మరియు, పైలాన్ ఇంజిన్ మౌంటు, ట్విన్-బూమ్ లేఅవుట్ యొక్క లాగడాన్ని నివారించడానికి. సమకాలీన ఇంటర్మీడియట్ మరియు అధిక పనితీరు లేని యంత్రాలతో పోటీపడే గ్లైడింగ్ పనితీరును కలిగి ఉండటానికి రూపొందించిన ITS-8, ఈ స్పెసిఫికేషన్లను అనుసరించింది. దీని నిర్మాణానికి లోప్ నిధులు సమకూర్చింది [1] చెక్క దాని -8 ఒక ఎత్తైన రెక్కను కలిగి ఉంది, ఇది ఒకే పెట్టె స్పార్ చుట్టూ నిర్మించబడింది, ఇది ప్లైవుడ్ కప్పబడిన ప్రముఖ అంచుతో టోర్షన్ బాక్స్‌ను ఏర్పరుస్తుంది. సహాయక స్పార్ అవకలన ఐలెరాన్‌లను కలిగి ఉంది. ప్రణాళికలో బయటి రెక్కలు ప్రముఖ అంచులు మరియు వెనుకబడిన అంచులను తుడిచిపెట్టాయి. తక్కువ ఫ్యూజ్‌లేజ్ నుండి ఒక జత సమాంతర స్టీల్ ట్యూబ్ స్ట్రట్‌లతో ప్రతి వైపు బంధించిన దీర్ఘచతురస్రాకార కేంద్రం విభాగం మొత్తంమీద ప్లై-కప్పబడి ఉంది, కాని బాహ్య వింగ్ ప్యానెల్లు టోర్షన్ బాక్స్ వెనుక బట్టలు కప్పబడి ఉన్నాయి. విమానం యొక్క రెండు వెర్షన్లు మొదటి నుండి ప్రణాళిక చేయబడ్డాయి: తక్కువ శక్తితో కూడిన దాని -8, 13.6 మీ (44 అడుగుల 7 అంగుళాలు) వ్యవధి మరియు 10.1 యొక్క కారక నిష్పత్తి మరియు అధిక శక్తితో కూడిన దాని -8W పొడవైన బాహ్య ప్యానెల్స్‌తో, దీనికి 14.2 మీ (46 అడుగుల 7 అంగుళాలు) స్పాన్ మరియు ఒక కారక నిష్పత్తి 12.5 ఇస్తుంది. ITS-8W లో అధిక స్పీడ్ ఏరోఫాయిల్ ఉన్న సెంటర్ విభాగం కూడా ఉంది, అయినప్పటికీ రెండూ వాటి బాహ్య ప్యానెల్స్‌కు ఒకే ఏరోఫాయిల్‌ను ఉపయోగించాయి. ఈ తేడాలు ITS-8 ను శిక్షకుడిగా మరియు పోటీ సంఘటనలలో ITS-8W ను ఉపయోగించాలనే ప్రారంభ ఉద్దేశ్యాన్ని ప్రతిబింబిస్తాయి. [1] [2] ITS-8 యొక్క పైలట్ వింగ్ లీడింగ్ ఎడ్జ్ కింద ఒక డ్రాప్-ఆకారపు, ప్లై-స్కిన్డ్ నాసెల్లెలో పరివేష్టిత కాక్‌పిట్‌లో కూర్చుంది, దాని ముగింపు ముగింపు వెనుకకు వెనుక ఉంది. ఒక సన్నని, ఫెయిర్‌డ్ నిర్మాణం నాసెల్లెను రెక్క మధ్యలో అనుసంధానించింది, అది మరియు ఇంజిన్ బ్రేసింగ్, మిడ్-టార్డ్ వద్ద జాగ్రత్తగా ఉండే గాలి తీసుకోవడం మరియు శీతలీకరణకు బహిర్గతమయ్యే సిలిండర్ తలలు కాకుండా రెక్కలో ఎక్కువగా ఖననం చేయబడింది. ITS-8 లో 13 kW (18 HP) క్రోబెర్ M3 Köller ఫ్లాట్ ట్విన్ ఇంజన్ ఉంది మరియు ITS-8W మొదట్లో మరొక ఫ్లాట్-ట్విన్, 17-27 kW (23–36 HP) ష్లిహాను స్టాప్-గ్యాప్‌గా ఉపయోగించింది, తరువాత భర్తీ చేయబడింది ఉద్దేశించిన 22–24 కిలోవాట్ (30–32 హెచ్‌పి) సరోలియా ఆల్బాట్రోస్ ఫ్లాట్-ట్విన్ ద్వారా. సామ్రాజ్యం ట్విన్ దీర్ఘచతురస్రాకార విభాగం స్ప్రూస్ బాక్స్ గిర్డర్ బూమ్‌లపై అమర్చబడింది, ఇవి అంతర్గతంగా వైర్-బ్రెడ్. గుండ్రని చిట్కాలతో దెబ్బతిన్న టెయిల్‌ప్లేన్ కిరణాల పైభాగంలో ఉంచబడింది. ITS-8 టెయిల్‌ప్లేన్‌పై కేంద్రంగా అమర్చిన ఇరుకైన ఫిన్ కలిగి ఉంది, పెద్ద సమతుల్య చుక్కానిని మోసుకెళ్ళింది, కాని దాని -8W లో దీనిని ట్విన్ రెక్కలు మరియు బూమ్‌లపై రడ్డర్‌లతో భర్తీ చేశారు. [1] [2] నాసెల్లెలో మొలకెత్తిన ల్యాండింగ్ స్కిడ్, రెక్క కింద సెమీ-రిట్రాక్టబుల్ మోనోహీల్ మరియు పొడవైన ఆకు వసంత టెయిల్‌వీల్ ఉన్నాయి. ITS-8W లో రెండోది ఫెయిర్-ఇన్ మరియు టెయిల్‌వీల్‌తో ముగిసింది. [1] [2] ITS-8 ను మొదట గ్లైడర్‌గా ఎగురవేసింది, ఆగష్టు 1936 చివరలో, కారు చేత లాగబడింది మరియు వైస్‌లా స్టెప్నియెస్కీ చేత పైలట్ చేయబడింది. ZBigniew zabski చేత పైలట్ చేయబడిన శక్తితో కూడిన విమానాలు అక్టోబర్‌లో ప్రారంభమయ్యాయి మరియు ఇంజిన్ కంపనాలను దాని మౌంటులను దెబ్బతీసేంత తీవ్రంగా వెల్లడించాయి. రబ్బరు డంపర్లపై కొత్త మౌంటులతో సమస్య పరిష్కరించబడింది. కొంతకాలం 25–28 హెచ్‌పి (19–21 కిలోవాట్) అవా 4, ఎయిర్-కూల్డ్ ఫ్లాట్ ఫోర్ ఇంజిన్, ట్రయల్ చేయబడింది కాని నమ్మదగనిదిగా తిరస్కరించబడింది. టెస్ట్ ఫ్లైట్ ప్రోగ్రామ్‌లో పెరుగుతున్న విమానాలు మరియు వాయుమార్గాన ఇంజిన్ పున ar ప్రారంభాలు ఉన్నాయి. [1] ITS-8W నిర్మాణం ITS-8 యొక్క అదే సమయంలో ప్రారంభమైంది. ఇది మొదట మరింత శక్తివంతమైన ఇంజిన్ మరియు పొడవైన, మార్చుకోగలిగిన, uter టర్ వింగ్ ప్యానెల్‌ల ఉపయోగం కాకుండా దానికి సమానంగా ఉండటానికి ఉద్దేశించబడింది. ITS-8 యొక్క ఇంజిన్ వైబ్రేషన్ సమస్యల వల్ల కలిగే ఆలస్యం 18 మే 1938 న మొదటి విమానానికి ముందు సవరించిన సెంటర్ విభాగం మరియు ట్విన్-ఫిన్డ్ ఎంపెనేజ్ అందించిన ఏరోడైనమిక్ ప్రయోజనాలను చేర్చడానికి అవకాశాన్ని కల్పించింది. ITS-8W ఉత్పత్తి కోసం ప్రణాళికాబద్ధమైన సన్నాహాలు 1939 లో జర్మన్ పోలాండ్ దండయాత్రతో ముగిసింది. [1] ఈ దండయాత్ర దాని -8 ఎమ్ పూర్తి చేయడాన్ని నిరోధించింది, ఇది 35 హెచ్‌పి (26 కిలోవాట్ల) సరోలియాతో నడిచింది, ఇది ఫ్లాప్‌లతో అమర్చిన పూర్తిగా కాంటిలివర్ వింగ్ మరియు పూర్తిగా ముడుచుకునే, ట్విన్ వీల్ అండర్ క్యారేజీని కలిగి ఉంది. ఇది వాతావరణ పరిశోధన కోసం ఉద్దేశించబడింది. [1] సింక్ ప్రకారం, దాని -8R హోదా ప్రతిపాదిత రికార్డ్ బ్రేకింగ్ వెర్షన్‌ను సూచిస్తుంది, ఇది వివరణాత్మక డిజైన్ దశకు చేరుకోలేదు. ఏదేమైనా, అదే హోదా రాకెట్-అసిస్టెడ్ వెర్షన్‌తో సంబంధం కలిగి ఉంది మరియు దాని -8 ఖచ్చితంగా రాకెట్-సహాయక టేకాఫ్‌ల అభ్యర్థిగా ప్రతిపాదనలలో ఉదహరించబడింది. రాకెట్-చోదక వేరియంట్ నిర్మించబడలేదని సిన్క్ పేర్కొన్నాడు, కాని మరొకటి అది అని సూచిస్తుంది; విమాన పరీక్షలకు ఆధారాలు లేవని రెండూ అంగీకరించబడ్డాయి. [1] [3] J. సిన్క్ (1971) నుండి డేటా [1] సాధారణ లక్షణాల పనితీరు</v>
      </c>
      <c r="E193" s="1" t="s">
        <v>2982</v>
      </c>
      <c r="F193" s="1" t="s">
        <v>2983</v>
      </c>
      <c r="G193" s="1" t="str">
        <f>IFERROR(__xludf.DUMMYFUNCTION("GOOGLETRANSLATE(F:F, ""en"", ""te"")"),"మోటారు-గ్లైడర్")</f>
        <v>మోటారు-గ్లైడర్</v>
      </c>
      <c r="H193" s="3" t="s">
        <v>2984</v>
      </c>
      <c r="I193" s="1" t="s">
        <v>431</v>
      </c>
      <c r="J193" s="1" t="str">
        <f>IFERROR(__xludf.DUMMYFUNCTION("GOOGLETRANSLATE(I:I, ""en"", ""te"")"),"పోలాండ్")</f>
        <v>పోలాండ్</v>
      </c>
      <c r="K193" s="3" t="s">
        <v>432</v>
      </c>
      <c r="L193" s="1" t="s">
        <v>2985</v>
      </c>
      <c r="M193" s="1" t="str">
        <f>IFERROR(__xludf.DUMMYFUNCTION("GOOGLETRANSLATE(L:L, ""en"", ""te"")"),"ఇన్స్టిట్యూట్ ఆఫ్ గ్లైడింగ్ టెక్నిక్స్ (I.T.S.), LWAW విశ్వవిద్యాలయం")</f>
        <v>ఇన్స్టిట్యూట్ ఆఫ్ గ్లైడింగ్ టెక్నిక్స్ (I.T.S.), LWAW విశ్వవిద్యాలయం</v>
      </c>
      <c r="N193" s="1" t="s">
        <v>2986</v>
      </c>
      <c r="Q193" s="1">
        <v>2.0</v>
      </c>
      <c r="R193" s="1" t="s">
        <v>132</v>
      </c>
      <c r="S193" s="1" t="s">
        <v>433</v>
      </c>
      <c r="U193" s="1" t="s">
        <v>2625</v>
      </c>
      <c r="V193" s="1" t="s">
        <v>2987</v>
      </c>
      <c r="W193" s="1" t="s">
        <v>2988</v>
      </c>
      <c r="X193" s="1" t="s">
        <v>2627</v>
      </c>
      <c r="Y193" s="1" t="s">
        <v>226</v>
      </c>
      <c r="AA193" s="1" t="s">
        <v>2989</v>
      </c>
      <c r="AB193" s="1" t="s">
        <v>2990</v>
      </c>
      <c r="AC193" s="1" t="s">
        <v>517</v>
      </c>
      <c r="AF193" s="1" t="s">
        <v>2770</v>
      </c>
      <c r="AH193" s="1" t="s">
        <v>2991</v>
      </c>
      <c r="AJ193" s="1" t="s">
        <v>2992</v>
      </c>
      <c r="AP193" s="1" t="s">
        <v>588</v>
      </c>
      <c r="AR193" s="1" t="s">
        <v>2993</v>
      </c>
      <c r="BF193" s="1" t="s">
        <v>2994</v>
      </c>
      <c r="BS193" s="1" t="s">
        <v>2771</v>
      </c>
    </row>
    <row r="194">
      <c r="A194" s="1" t="s">
        <v>2995</v>
      </c>
      <c r="B194" s="1" t="str">
        <f>IFERROR(__xludf.DUMMYFUNCTION("GOOGLETRANSLATE(A:A, ""en"", ""te"")"),"కాప్రోని ca.25")</f>
        <v>కాప్రోని ca.25</v>
      </c>
      <c r="C194" s="1" t="s">
        <v>2996</v>
      </c>
      <c r="D194" s="1" t="str">
        <f>IFERROR(__xludf.DUMMYFUNCTION("GOOGLETRANSLATE(C:C, ""en"", ""te"")"),"కాప్రోని CA.25 అనేది 1914 లో ఇటాలియన్ కంపెనీ ఏరోనాటికా కాప్రోని చేత తయారు చేయబడిన సింగిల్-ఇంజిన్ మోనోప్లేన్. Ca.25 కాప్రోని Ca.22 ను అధిక-వింగ్ పారాసోల్ రూపకల్పనలో సమానంగా ఉంది, కానీ ఆటోరేసిస్టెన్స్ యొక్క సంస్థాపనలో తేడా ఉంది వ్యవస్థ. [1] విమానం యొక్క ఒకే"&amp;" కాపీ యొక్క చాలా నిరాడంబరమైన విమాన లక్షణాలు ఉన్నప్పటికీ, మిలటరీ కొనుగోలు చేసింది మరియు పరీక్ష విమానాల కోసం ఉపయోగించబడింది. గ్లి ఏరోప్లాని కాప్రోని - స్టూడి - ప్రోజెట్టి - రియల్జాజియోని 1908-1935, [1] ఏరోప్లాని కాప్రోని - జియాని కాప్రోని ఐడిటోర్ ఇ కాస్ట్రో"&amp;"టోర్ డి అలీ ఇటాలియన్ [2] సాధారణ లక్షణాల పనితీరు")</f>
        <v>కాప్రోని CA.25 అనేది 1914 లో ఇటాలియన్ కంపెనీ ఏరోనాటికా కాప్రోని చేత తయారు చేయబడిన సింగిల్-ఇంజిన్ మోనోప్లేన్. Ca.25 కాప్రోని Ca.22 ను అధిక-వింగ్ పారాసోల్ రూపకల్పనలో సమానంగా ఉంది, కానీ ఆటోరేసిస్టెన్స్ యొక్క సంస్థాపనలో తేడా ఉంది వ్యవస్థ. [1] విమానం యొక్క ఒకే కాపీ యొక్క చాలా నిరాడంబరమైన విమాన లక్షణాలు ఉన్నప్పటికీ, మిలటరీ కొనుగోలు చేసింది మరియు పరీక్ష విమానాల కోసం ఉపయోగించబడింది. గ్లి ఏరోప్లాని కాప్రోని - స్టూడి - ప్రోజెట్టి - రియల్జాజియోని 1908-1935, [1] ఏరోప్లాని కాప్రోని - జియాని కాప్రోని ఐడిటోర్ ఇ కాస్ట్రోటోర్ డి అలీ ఇటాలియన్ [2] సాధారణ లక్షణాల పనితీరు</v>
      </c>
      <c r="F194" s="1" t="s">
        <v>2997</v>
      </c>
      <c r="G194" s="1" t="str">
        <f>IFERROR(__xludf.DUMMYFUNCTION("GOOGLETRANSLATE(F:F, ""en"", ""te"")"),"బహుళార్ధసాధక విమానం")</f>
        <v>బహుళార్ధసాధక విమానం</v>
      </c>
      <c r="L194" s="1" t="s">
        <v>2998</v>
      </c>
      <c r="M194" s="1" t="str">
        <f>IFERROR(__xludf.DUMMYFUNCTION("GOOGLETRANSLATE(L:L, ""en"", ""te"")"),"కాప్రోని")</f>
        <v>కాప్రోని</v>
      </c>
      <c r="N194" s="3" t="s">
        <v>2999</v>
      </c>
      <c r="Q194" s="1">
        <v>1.0</v>
      </c>
      <c r="S194" s="1">
        <v>1.0</v>
      </c>
      <c r="U194" s="1" t="s">
        <v>3000</v>
      </c>
      <c r="V194" s="1" t="s">
        <v>3001</v>
      </c>
      <c r="W194" s="1" t="s">
        <v>3002</v>
      </c>
      <c r="X194" s="1" t="s">
        <v>617</v>
      </c>
      <c r="AA194" s="1" t="s">
        <v>3003</v>
      </c>
      <c r="AB194" s="1" t="s">
        <v>3004</v>
      </c>
      <c r="AH194" s="1" t="s">
        <v>3005</v>
      </c>
      <c r="AI194" s="1" t="s">
        <v>3006</v>
      </c>
      <c r="AJ194" s="1">
        <v>1914.0</v>
      </c>
      <c r="AM194" s="1" t="s">
        <v>3007</v>
      </c>
      <c r="AQ194" s="1" t="s">
        <v>2710</v>
      </c>
    </row>
    <row r="195">
      <c r="A195" s="1" t="s">
        <v>3008</v>
      </c>
      <c r="B195" s="1" t="str">
        <f>IFERROR(__xludf.DUMMYFUNCTION("GOOGLETRANSLATE(A:A, ""en"", ""te"")"),"టోక్జోవోవ్స్కీ-వుల్వ్ టిడబ్ల్యు -12")</f>
        <v>టోక్జోవోవ్స్కీ-వుల్వ్ టిడబ్ల్యు -12</v>
      </c>
      <c r="C195" s="1" t="s">
        <v>3009</v>
      </c>
      <c r="D195" s="1" t="str">
        <f>IFERROR(__xludf.DUMMYFUNCTION("GOOGLETRANSLATE(C:C, ""en"", ""te"")"),"టోక్జోవోవ్స్కీ-వుల్వ్ టిడబ్ల్యు -12 ఒక-ఆఫ్, రెండు-సీట్ల, సింగిల్-ఇంజిన్ క్లబ్ ట్రైనర్, అయితే ధృవీకరణ ఇబ్బందులు 1935 వరకు దాని ఉపయోగాన్ని ఆలస్యం చేశాయి మరియు తరువాత సింగిల్-సీటర్‌గా మాత్రమే. హెన్రిక్ టోక్జోనోవ్స్కీ మరియు జజెఫ్ వుల్వ్ 1929-30లో టిడబ్ల్యు -1"&amp;"2 ను రూపొందించారు, కాని వారి ఖాళీ సమయంలో నెమ్మదిగా నిర్మాణాన్ని నిర్మించాల్సి వచ్చింది. వారిద్దరూ P.W.S. ఏరో క్లబ్ మరియు చివరికి P.W.S. వర్క్‌షాప్‌లు కానీ 1933 రెండవ సగం వరకు TW-12 విమానానికి సిద్ధంగా లేదు. [1] [2] మొదటి ఫ్లైట్ తేదీ గురించి అనిశ్చితి ఉంది"&amp;", ఇది ఒక మూలం [2] 29 సెప్టెంబర్ 1933 గా మరియు మరొకటి 29 నవంబర్ 1933 గా ఇస్తుంది. [1] TW-12 ఆల్-వుడ్ విమానం, ఇది కాంటిలివర్, ఒక ముక్క తక్కువ వింగ్, ఇది ప్రణాళికలో ట్రాపెజోయిడల్. ఇది జంట స్పార్స్ చుట్టూ నిర్మించబడింది మరియు ప్లైవుడ్ మరియు ఫాబ్రిక్ మిశ్రమంలో"&amp;" కప్పబడి ఉంది. [1] [2] ఇది 60–66 కిలోవాట్ల (80–88 హెచ్‌పి) ఐదు సిలిండర్ ఆర్మ్‌స్ట్రాంగ్-సిడ్లీ జెనెట్ రేడియల్ ఇంజిన్‌తో శక్తినిచ్చింది. దీర్ఘచతురస్రాకార విభాగం నిర్మాణం మరియు గుండ్రని డెక్కింగ్‌తో ఫ్యూజ్‌లేజ్ ప్లైవుడ్ కప్పబడి ఉంది. TW-12 లో రెండు ఓపెన్, ట"&amp;"ెన్డం కాక్‌పిట్‌లు ద్వంద్వ నియంత్రణతో అమర్చబడి ఉన్నాయి. దీని ల్యాండింగ్ గేర్ పరిష్కరించబడింది మరియు సాంప్రదాయంగా ఉంది. [1] ప్రారంభ విమాన పరీక్ష కొన్ని నిర్వహణ సమస్యలను వెల్లడించింది, ముఖ్యంగా ల్యాండింగ్ విధానంలో తక్కువ వేగంతో. కొన్ని మార్పుల తరువాత TW-12 "&amp;"I.B.T.L. అధికారిక వాయు యోగ్యత పరీక్షల కోసం వార్సా వద్ద, ఇది తక్కువ వేగం నిర్వహణ గురించి మరియు తక్కువ ఇంధన సామర్థ్యం (8.8 ఇంప్ గల్ (40 ఎల్; 10.6 యుఎస్ గాల్)) గురించి మళ్ళీ ఆందోళనలకు దారితీసింది. 1935 వేసవిలో TW-12 సింగిల్-సీటర్‌గా ఎగరడానికి అనుమతించబడింది,"&amp;" ఫార్వర్డ్ కాక్‌పిట్ కప్పబడి, పెరిగిన ప్రాంతం యొక్క చుక్కాతో. [1] [2] I.B.T.L. నుండి విడుదలైన తరువాత, WT-12 P.W.S. లో పాల్గొనవలసి ఉంది. క్లబ్ ర్యాలీ 28 జూలై 1935 న బియానా పోడ్లాస్కాలోని వారి ఇంటి స్థావరంలో. ఒక ఖాతా ప్రకారం, వార్సా నుండి 370 కిలోమీటర్ల (23"&amp;"0 మైళ్ళు) దూరంలో ఉన్న వార్సా నుండి ఎల్వివికి ఎగరడానికి బలమైన తోక గాలిని సద్వినియోగం చేసుకోవాలని ఆంటోని ఉస్జాకి నిర్ణయించుకున్నాడు. పరిమిత ఇంధన సామర్థ్యం (40 ఎల్ (8.8 ఇంప్ గల్; 11 యుఎస్ గాల్) ఉన్నప్పటికీ, అతను పొడి ట్యాంక్‌తో సురక్షితంగా వచ్చాడు. క్లబ్ టిడ"&amp;"బ్ల్యు -12 ను శిక్షకుడిగా ఉపయోగించడం ప్రారంభించింది, కాని దాని కెరీర్ త్వరలోనే ల్యాండింగ్ క్రాష్ ద్వారా తగ్గించబడింది నియంత్రణల వద్ద తడేయుస్జ్ ఆర్కినోవ్స్కీతో. [1] మరొక ఖాతా ఉస్జాకి ర్యాలీలో ఎగిరిందని, అయితే చివరి (6 వ) స్థలాన్ని మాత్రమే సాధించిందని, మరియ"&amp;"ు ఆర్కినోవ్స్కీ వెంటనే వార్సా నుండి ఎల్వివికి ఎగిరింది, కాని ల్యాండింగ్ మీద క్రాష్ అయ్యింది. జె.")</f>
        <v>టోక్జోవోవ్స్కీ-వుల్వ్ టిడబ్ల్యు -12 ఒక-ఆఫ్, రెండు-సీట్ల, సింగిల్-ఇంజిన్ క్లబ్ ట్రైనర్, అయితే ధృవీకరణ ఇబ్బందులు 1935 వరకు దాని ఉపయోగాన్ని ఆలస్యం చేశాయి మరియు తరువాత సింగిల్-సీటర్‌గా మాత్రమే. హెన్రిక్ టోక్జోనోవ్స్కీ మరియు జజెఫ్ వుల్వ్ 1929-30లో టిడబ్ల్యు -12 ను రూపొందించారు, కాని వారి ఖాళీ సమయంలో నెమ్మదిగా నిర్మాణాన్ని నిర్మించాల్సి వచ్చింది. వారిద్దరూ P.W.S. ఏరో క్లబ్ మరియు చివరికి P.W.S. వర్క్‌షాప్‌లు కానీ 1933 రెండవ సగం వరకు TW-12 విమానానికి సిద్ధంగా లేదు. [1] [2] మొదటి ఫ్లైట్ తేదీ గురించి అనిశ్చితి ఉంది, ఇది ఒక మూలం [2] 29 సెప్టెంబర్ 1933 గా మరియు మరొకటి 29 నవంబర్ 1933 గా ఇస్తుంది. [1] TW-12 ఆల్-వుడ్ విమానం, ఇది కాంటిలివర్, ఒక ముక్క తక్కువ వింగ్, ఇది ప్రణాళికలో ట్రాపెజోయిడల్. ఇది జంట స్పార్స్ చుట్టూ నిర్మించబడింది మరియు ప్లైవుడ్ మరియు ఫాబ్రిక్ మిశ్రమంలో కప్పబడి ఉంది. [1] [2] ఇది 60–66 కిలోవాట్ల (80–88 హెచ్‌పి) ఐదు సిలిండర్ ఆర్మ్‌స్ట్రాంగ్-సిడ్లీ జెనెట్ రేడియల్ ఇంజిన్‌తో శక్తినిచ్చింది. దీర్ఘచతురస్రాకార విభాగం నిర్మాణం మరియు గుండ్రని డెక్కింగ్‌తో ఫ్యూజ్‌లేజ్ ప్లైవుడ్ కప్పబడి ఉంది. TW-12 లో రెండు ఓపెన్, టెన్డం కాక్‌పిట్‌లు ద్వంద్వ నియంత్రణతో అమర్చబడి ఉన్నాయి. దీని ల్యాండింగ్ గేర్ పరిష్కరించబడింది మరియు సాంప్రదాయంగా ఉంది. [1] ప్రారంభ విమాన పరీక్ష కొన్ని నిర్వహణ సమస్యలను వెల్లడించింది, ముఖ్యంగా ల్యాండింగ్ విధానంలో తక్కువ వేగంతో. కొన్ని మార్పుల తరువాత TW-12 I.B.T.L. అధికారిక వాయు యోగ్యత పరీక్షల కోసం వార్సా వద్ద, ఇది తక్కువ వేగం నిర్వహణ గురించి మరియు తక్కువ ఇంధన సామర్థ్యం (8.8 ఇంప్ గల్ (40 ఎల్; 10.6 యుఎస్ గాల్)) గురించి మళ్ళీ ఆందోళనలకు దారితీసింది. 1935 వేసవిలో TW-12 సింగిల్-సీటర్‌గా ఎగరడానికి అనుమతించబడింది, ఫార్వర్డ్ కాక్‌పిట్ కప్పబడి, పెరిగిన ప్రాంతం యొక్క చుక్కాతో. [1] [2] I.B.T.L. నుండి విడుదలైన తరువాత, WT-12 P.W.S. లో పాల్గొనవలసి ఉంది. క్లబ్ ర్యాలీ 28 జూలై 1935 న బియానా పోడ్లాస్కాలోని వారి ఇంటి స్థావరంలో. ఒక ఖాతా ప్రకారం, వార్సా నుండి 370 కిలోమీటర్ల (230 మైళ్ళు) దూరంలో ఉన్న వార్సా నుండి ఎల్వివికి ఎగరడానికి బలమైన తోక గాలిని సద్వినియోగం చేసుకోవాలని ఆంటోని ఉస్జాకి నిర్ణయించుకున్నాడు. పరిమిత ఇంధన సామర్థ్యం (40 ఎల్ (8.8 ఇంప్ గల్; 11 యుఎస్ గాల్) ఉన్నప్పటికీ, అతను పొడి ట్యాంక్‌తో సురక్షితంగా వచ్చాడు. క్లబ్ టిడబ్ల్యు -12 ను శిక్షకుడిగా ఉపయోగించడం ప్రారంభించింది, కాని దాని కెరీర్ త్వరలోనే ల్యాండింగ్ క్రాష్ ద్వారా తగ్గించబడింది నియంత్రణల వద్ద తడేయుస్జ్ ఆర్కినోవ్స్కీతో. [1] మరొక ఖాతా ఉస్జాకి ర్యాలీలో ఎగిరిందని, అయితే చివరి (6 వ) స్థలాన్ని మాత్రమే సాధించిందని, మరియు ఆర్కినోవ్స్కీ వెంటనే వార్సా నుండి ఎల్వివికి ఎగిరింది, కాని ల్యాండింగ్ మీద క్రాష్ అయ్యింది. జె.</v>
      </c>
      <c r="F195" s="1" t="s">
        <v>3010</v>
      </c>
      <c r="G195" s="1" t="str">
        <f>IFERROR(__xludf.DUMMYFUNCTION("GOOGLETRANSLATE(F:F, ""en"", ""te"")"),"క్లబ్ ట్రైనర్ విమానం")</f>
        <v>క్లబ్ ట్రైనర్ విమానం</v>
      </c>
      <c r="H195" s="1" t="s">
        <v>3011</v>
      </c>
      <c r="I195" s="1" t="s">
        <v>431</v>
      </c>
      <c r="J195" s="1" t="str">
        <f>IFERROR(__xludf.DUMMYFUNCTION("GOOGLETRANSLATE(I:I, ""en"", ""te"")"),"పోలాండ్")</f>
        <v>పోలాండ్</v>
      </c>
      <c r="K195" s="3" t="s">
        <v>432</v>
      </c>
      <c r="Q195" s="1">
        <v>1.0</v>
      </c>
      <c r="S195" s="1" t="s">
        <v>597</v>
      </c>
      <c r="T195" s="1" t="s">
        <v>3012</v>
      </c>
      <c r="U195" s="1" t="s">
        <v>2754</v>
      </c>
      <c r="V195" s="1" t="s">
        <v>2812</v>
      </c>
      <c r="W195" s="1" t="s">
        <v>3013</v>
      </c>
      <c r="X195" s="1" t="s">
        <v>1253</v>
      </c>
      <c r="Z195" s="1" t="s">
        <v>3014</v>
      </c>
      <c r="AA195" s="1" t="s">
        <v>3015</v>
      </c>
      <c r="AC195" s="1" t="s">
        <v>3016</v>
      </c>
      <c r="AF195" s="1" t="s">
        <v>3017</v>
      </c>
      <c r="AH195" s="1" t="s">
        <v>3018</v>
      </c>
      <c r="AJ195" s="1" t="s">
        <v>3019</v>
      </c>
      <c r="AM195" s="1" t="s">
        <v>3020</v>
      </c>
      <c r="AN195" s="1" t="s">
        <v>3021</v>
      </c>
      <c r="AP195" s="1" t="s">
        <v>3022</v>
      </c>
      <c r="AR195" s="1" t="s">
        <v>3023</v>
      </c>
      <c r="BS195" s="1" t="s">
        <v>3024</v>
      </c>
    </row>
    <row r="196">
      <c r="A196" s="1" t="s">
        <v>3025</v>
      </c>
      <c r="B196" s="1" t="str">
        <f>IFERROR(__xludf.DUMMYFUNCTION("GOOGLETRANSLATE(A:A, ""en"", ""te"")"),"అల్ట్రాలైట్ డిజైన్ అటోస్ ట్రైక్")</f>
        <v>అల్ట్రాలైట్ డిజైన్ అటోస్ ట్రైక్</v>
      </c>
      <c r="C196" s="1" t="s">
        <v>3026</v>
      </c>
      <c r="D196" s="1" t="str">
        <f>IFERROR(__xludf.DUMMYFUNCTION("GOOGLETRANSLATE(C:C, ""en"", ""te"")"),"అల్ట్రాలైట్ డిజైన్ అటోస్ ట్రైక్ అనేది చెక్ ఎలక్ట్రిక్ మరియు గ్యాసోలిన్ పవర్డ్ అల్ట్రాలైట్ ట్రైక్, దీనిని క్వికోవ్ యొక్క అల్ట్రాలైట్ డిజైన్ SRO రూపకల్పన చేసి ఉత్పత్తి చేస్తుంది. విమానం పూర్తి మరియు రెడీ టు-ఫ్లై సరఫరా చేయబడుతుంది. [1] ATOS ట్రైక్ జర్మన్ 120"&amp;" కిలోల తరగతి మరియు యుఎస్ ఫార్ 103 అల్ట్రాలైట్ వెహికల్స్ నిబంధనలకు అనుగుణంగా రూపొందించబడింది, ఇందులో వర్గం యొక్క గరిష్ట ఖాళీ బరువు 254 ఎల్బి (115 కిలోలు). [1] విమాన రూపకల్పనలో కాంటిలివర్ A-I-R అటోస్ రిజిడ్ హాంగ్ గ్లైడర్-స్టైల్ హై-వింగ్, వెయిట్-షిఫ్ట్ కంట్ర"&amp;"ోల్స్, కాక్‌పిట్ ఫెయిరింగ్, ట్రైసైకిల్ ల్యాండింగ్ గేర్ మరియు పషర్ కాన్ఫిగరేషన్‌లో సింగిల్ ఎలక్ట్రిక్ లేదా పిస్టన్ ఇంజిన్‌తో సింగిల్-సీట్ల ఓపెన్ కాక్‌పిట్ ఉన్నాయి. [1] విమానం ఫ్యూజ్‌లేజ్ మిశ్రమాల నుండి తయారవుతుంది, దాని డబుల్ ఉపరితల అటోస్ వింగ్ కార్బన్-ఫైబ"&amp;"ర్-రీన్ఫోర్స్డ్ పాలిమర్‌తో తయారు చేయబడింది. రెక్కకు ఒకే పోస్ట్ మద్దతు ఉంది, చిన్న క్షితిజ సమాంతర టెయిల్‌ప్లేన్ కలిగి ఉంది మరియు ""ఎ"" ఫ్రేమ్ వెయిట్-షిఫ్ట్ కంట్రోల్ బార్‌ను ఉపయోగిస్తుంది. పవర్‌ప్లాంట్ ఒక ఫ్లైఇంజైన్ ఎఫ్ 200 పిస్టన్ ఇంజిన్ లేదా, ఐచ్ఛికంగా, ఫ"&amp;"్లైటెక్ హెచ్‌పిడి ఎలక్ట్రిక్ మోటారు. [1] విమానం (తక్కువ వింగ్) ఖాళీ బరువు 46 కిలోలు (101 పౌండ్లు) మరియు 80 కిలోల (176 పౌండ్లు) బరువును కలిగి ఉంటుంది, రెక్కలు అమర్చబడి ఉంటాయి. [1] 2015 లో డిజైన్‌ను సమీక్షించడంలో, డిమిట్రీ డెలెమార్లే ఇలా వ్రాశాడు, ""అద్భుతమ"&amp;"ైన అటోస్ వింగ్‌ను మోటరైజ్ చేయడానికి ప్రత్యేకంగా రూపొందించిన ఏదైనా ట్రైక్ కొంచెం ప్రత్యేకంగా ఉండాలి మరియు ఈ యంత్రం నిరాశపరచదు ... ఇది చౌకగా లేదు, కానీ ధర అధిక-నాణ్యతను ప్రతిబింబిస్తుంది పనితనం! ""[1] టాక్ నుండి డేటా [1] సాధారణ లక్షణాలు")</f>
        <v>అల్ట్రాలైట్ డిజైన్ అటోస్ ట్రైక్ అనేది చెక్ ఎలక్ట్రిక్ మరియు గ్యాసోలిన్ పవర్డ్ అల్ట్రాలైట్ ట్రైక్, దీనిని క్వికోవ్ యొక్క అల్ట్రాలైట్ డిజైన్ SRO రూపకల్పన చేసి ఉత్పత్తి చేస్తుంది. విమానం పూర్తి మరియు రెడీ టు-ఫ్లై సరఫరా చేయబడుతుంది. [1] ATOS ట్రైక్ జర్మన్ 120 కిలోల తరగతి మరియు యుఎస్ ఫార్ 103 అల్ట్రాలైట్ వెహికల్స్ నిబంధనలకు అనుగుణంగా రూపొందించబడింది, ఇందులో వర్గం యొక్క గరిష్ట ఖాళీ బరువు 254 ఎల్బి (115 కిలోలు). [1] విమాన రూపకల్పనలో కాంటిలివర్ A-I-R అటోస్ రిజిడ్ హాంగ్ గ్లైడర్-స్టైల్ హై-వింగ్, వెయిట్-షిఫ్ట్ కంట్రోల్స్, కాక్‌పిట్ ఫెయిరింగ్, ట్రైసైకిల్ ల్యాండింగ్ గేర్ మరియు పషర్ కాన్ఫిగరేషన్‌లో సింగిల్ ఎలక్ట్రిక్ లేదా పిస్టన్ ఇంజిన్‌తో సింగిల్-సీట్ల ఓపెన్ కాక్‌పిట్ ఉన్నాయి. [1] విమానం ఫ్యూజ్‌లేజ్ మిశ్రమాల నుండి తయారవుతుంది, దాని డబుల్ ఉపరితల అటోస్ వింగ్ కార్బన్-ఫైబర్-రీన్ఫోర్స్డ్ పాలిమర్‌తో తయారు చేయబడింది. రెక్కకు ఒకే పోస్ట్ మద్దతు ఉంది, చిన్న క్షితిజ సమాంతర టెయిల్‌ప్లేన్ కలిగి ఉంది మరియు "ఎ" ఫ్రేమ్ వెయిట్-షిఫ్ట్ కంట్రోల్ బార్‌ను ఉపయోగిస్తుంది. పవర్‌ప్లాంట్ ఒక ఫ్లైఇంజైన్ ఎఫ్ 200 పిస్టన్ ఇంజిన్ లేదా, ఐచ్ఛికంగా, ఫ్లైటెక్ హెచ్‌పిడి ఎలక్ట్రిక్ మోటారు. [1] విమానం (తక్కువ వింగ్) ఖాళీ బరువు 46 కిలోలు (101 పౌండ్లు) మరియు 80 కిలోల (176 పౌండ్లు) బరువును కలిగి ఉంటుంది, రెక్కలు అమర్చబడి ఉంటాయి. [1] 2015 లో డిజైన్‌ను సమీక్షించడంలో, డిమిట్రీ డెలెమార్లే ఇలా వ్రాశాడు, "అద్భుతమైన అటోస్ వింగ్‌ను మోటరైజ్ చేయడానికి ప్రత్యేకంగా రూపొందించిన ఏదైనా ట్రైక్ కొంచెం ప్రత్యేకంగా ఉండాలి మరియు ఈ యంత్రం నిరాశపరచదు ... ఇది చౌకగా లేదు, కానీ ధర అధిక-నాణ్యతను ప్రతిబింబిస్తుంది పనితనం! "[1] టాక్ నుండి డేటా [1] సాధారణ లక్షణాలు</v>
      </c>
      <c r="F196" s="1" t="s">
        <v>184</v>
      </c>
      <c r="G196" s="1" t="str">
        <f>IFERROR(__xludf.DUMMYFUNCTION("GOOGLETRANSLATE(F:F, ""en"", ""te"")"),"అల్ట్రాలైట్ ట్రైక్")</f>
        <v>అల్ట్రాలైట్ ట్రైక్</v>
      </c>
      <c r="H196" s="1" t="s">
        <v>185</v>
      </c>
      <c r="I196" s="1" t="s">
        <v>2002</v>
      </c>
      <c r="J196" s="1" t="str">
        <f>IFERROR(__xludf.DUMMYFUNCTION("GOOGLETRANSLATE(I:I, ""en"", ""te"")"),"చెక్ రిపబ్లిక్")</f>
        <v>చెక్ రిపబ్లిక్</v>
      </c>
      <c r="K196" s="1" t="s">
        <v>2003</v>
      </c>
      <c r="L196" s="1" t="s">
        <v>3027</v>
      </c>
      <c r="M196" s="1" t="str">
        <f>IFERROR(__xludf.DUMMYFUNCTION("GOOGLETRANSLATE(L:L, ""en"", ""te"")"),"అల్ట్రాలైట్ డిజైన్ SRO")</f>
        <v>అల్ట్రాలైట్ డిజైన్ SRO</v>
      </c>
      <c r="N196" s="1" t="s">
        <v>3028</v>
      </c>
      <c r="O196" s="1" t="s">
        <v>560</v>
      </c>
      <c r="P196" s="1" t="str">
        <f>IFERROR(__xludf.DUMMYFUNCTION("GOOGLETRANSLATE(O:O, ""en"", ""te"")"),"ఉత్పత్తిలో (2018)")</f>
        <v>ఉత్పత్తిలో (2018)</v>
      </c>
      <c r="S196" s="1" t="s">
        <v>133</v>
      </c>
      <c r="X196" s="1" t="s">
        <v>997</v>
      </c>
      <c r="AA196" s="1" t="s">
        <v>3029</v>
      </c>
      <c r="AB196" s="1" t="s">
        <v>3030</v>
      </c>
      <c r="AT196" s="1" t="s">
        <v>3031</v>
      </c>
      <c r="AU196" s="1" t="s">
        <v>3032</v>
      </c>
    </row>
    <row r="197">
      <c r="A197" s="1" t="s">
        <v>3033</v>
      </c>
      <c r="B197" s="1" t="str">
        <f>IFERROR(__xludf.DUMMYFUNCTION("GOOGLETRANSLATE(A:A, ""en"", ""te"")"),"బెయిలీ వి 5 పారామోటర్")</f>
        <v>బెయిలీ వి 5 పారామోటర్</v>
      </c>
      <c r="C197" s="1" t="s">
        <v>3034</v>
      </c>
      <c r="D197" s="1" t="str">
        <f>IFERROR(__xludf.DUMMYFUNCTION("GOOGLETRANSLATE(C:C, ""en"", ""te"")"),"బెయిలీ వి 5 ఒక బ్రిటిష్ పారామోటర్, ఇది శక్తితో కూడిన పారాగ్లైడింగ్ కోసం హెర్ట్‌ఫోర్డ్‌షైర్‌లోని రాయ్‌స్టన్ యొక్క బెయిలీ ఏవియేషన్ చేత రూపొందించబడింది మరియు నిర్మించబడింది. విమానం పూర్తి మరియు రెడీ-టు-ఫ్లై సరఫరా చేయబడుతుంది. [1] [2] [3] ఈ విమానం యుఎస్ ఫార్ "&amp;"103 అల్ట్రాలైట్ వెహికల్స్ నిబంధనలతో పాటు యూరోపియన్ నిబంధనలను పాటించేలా రూపొందించబడింది. ఇది పారాగ్లైడర్-స్టైల్ వింగ్, సింగిల్-ప్లేస్ వసతి మరియు ఒకే 20.5 హెచ్‌పి (15 కిలోవాట్) బెయిలీ వి 5 ఇంజిన్‌ను పషర్ కాన్ఫిగరేషన్‌లో 3.2: 1 నిష్పత్తి బెల్ట్ తగ్గింపు డ్రై"&amp;"వ్ మరియు 130 సెం.మీ (51 అంగుళాలు) వ్యాసం కలిగిన హెలిక్స్ కార్బన్ జిఎంబిహెచ్ రెండు- బ్లేడెడ్ కార్బన్ ఫైబర్ ప్రొపెల్లర్. ఇంధన ట్యాంక్ సామర్థ్యం 11.5 లీటర్లు (2.5 ఇంప్ గల్; 3.0 యుఎస్ గాల్). ఈ విమానం టిగ్ వెల్డెడ్ అల్యూమినియం గొట్టాల నుండి నిర్మించబడింది, ప్ర"&amp;"ొపెల్లర్ భద్రతా పంజరం ఒకే హూప్ నుండి తయారైంది మరియు నాలుగు-ముక్కల స్ప్లిట్ రకం డిజైన్. పైలట్ జీనును ఫ్రాన్స్‌కు చెందిన బెయిలీ ఏవియేషన్ మరియు సూపర్ ఎయిర్ రూపొందించారు. వివిధ రకాల పారాగ్లైడర్ రెక్కలను ఉపయోగించవచ్చు. [1] [3] అన్ని పారామోటర్ల మాదిరిగానే, టేకా"&amp;"ఫ్ మరియు ల్యాండింగ్ కాలినడకన సాధించబడుతుంది. పందిరి బ్రేక్‌లను అమలు చేసే, రోల్ మరియు యావ్ సృష్టించే హ్యాండిల్స్ ద్వారా ఇన్ఫ్లైట్ స్టీరింగ్ సాధించబడుతుంది. [3] టాక్ మరియు తయారీదారు నుండి డేటా [1] [3] సాధారణ లక్షణాలు")</f>
        <v>బెయిలీ వి 5 ఒక బ్రిటిష్ పారామోటర్, ఇది శక్తితో కూడిన పారాగ్లైడింగ్ కోసం హెర్ట్‌ఫోర్డ్‌షైర్‌లోని రాయ్‌స్టన్ యొక్క బెయిలీ ఏవియేషన్ చేత రూపొందించబడింది మరియు నిర్మించబడింది. విమానం పూర్తి మరియు రెడీ-టు-ఫ్లై సరఫరా చేయబడుతుంది. [1] [2] [3] ఈ విమానం యుఎస్ ఫార్ 103 అల్ట్రాలైట్ వెహికల్స్ నిబంధనలతో పాటు యూరోపియన్ నిబంధనలను పాటించేలా రూపొందించబడింది. ఇది పారాగ్లైడర్-స్టైల్ వింగ్, సింగిల్-ప్లేస్ వసతి మరియు ఒకే 20.5 హెచ్‌పి (15 కిలోవాట్) బెయిలీ వి 5 ఇంజిన్‌ను పషర్ కాన్ఫిగరేషన్‌లో 3.2: 1 నిష్పత్తి బెల్ట్ తగ్గింపు డ్రైవ్ మరియు 130 సెం.మీ (51 అంగుళాలు) వ్యాసం కలిగిన హెలిక్స్ కార్బన్ జిఎంబిహెచ్ రెండు- బ్లేడెడ్ కార్బన్ ఫైబర్ ప్రొపెల్లర్. ఇంధన ట్యాంక్ సామర్థ్యం 11.5 లీటర్లు (2.5 ఇంప్ గల్; 3.0 యుఎస్ గాల్). ఈ విమానం టిగ్ వెల్డెడ్ అల్యూమినియం గొట్టాల నుండి నిర్మించబడింది, ప్రొపెల్లర్ భద్రతా పంజరం ఒకే హూప్ నుండి తయారైంది మరియు నాలుగు-ముక్కల స్ప్లిట్ రకం డిజైన్. పైలట్ జీనును ఫ్రాన్స్‌కు చెందిన బెయిలీ ఏవియేషన్ మరియు సూపర్ ఎయిర్ రూపొందించారు. వివిధ రకాల పారాగ్లైడర్ రెక్కలను ఉపయోగించవచ్చు. [1] [3] అన్ని పారామోటర్ల మాదిరిగానే, టేకాఫ్ మరియు ల్యాండింగ్ కాలినడకన సాధించబడుతుంది. పందిరి బ్రేక్‌లను అమలు చేసే, రోల్ మరియు యావ్ సృష్టించే హ్యాండిల్స్ ద్వారా ఇన్ఫ్లైట్ స్టీరింగ్ సాధించబడుతుంది. [3] టాక్ మరియు తయారీదారు నుండి డేటా [1] [3] సాధారణ లక్షణాలు</v>
      </c>
      <c r="F197" s="1" t="s">
        <v>3035</v>
      </c>
      <c r="G197" s="1" t="str">
        <f>IFERROR(__xludf.DUMMYFUNCTION("GOOGLETRANSLATE(F:F, ""en"", ""te"")"),"పారామోటర్")</f>
        <v>పారామోటర్</v>
      </c>
      <c r="H197" s="3" t="s">
        <v>3036</v>
      </c>
      <c r="I197" s="1" t="s">
        <v>357</v>
      </c>
      <c r="J197" s="1" t="str">
        <f>IFERROR(__xludf.DUMMYFUNCTION("GOOGLETRANSLATE(I:I, ""en"", ""te"")"),"యునైటెడ్ కింగ్‌డమ్")</f>
        <v>యునైటెడ్ కింగ్‌డమ్</v>
      </c>
      <c r="K197" s="1" t="s">
        <v>1344</v>
      </c>
      <c r="L197" s="1" t="s">
        <v>3037</v>
      </c>
      <c r="M197" s="1" t="str">
        <f>IFERROR(__xludf.DUMMYFUNCTION("GOOGLETRANSLATE(L:L, ""en"", ""te"")"),"బెయిలీ ఏవియేషన్")</f>
        <v>బెయిలీ ఏవియేషన్</v>
      </c>
      <c r="N197" s="1" t="s">
        <v>3038</v>
      </c>
      <c r="O197" s="1" t="s">
        <v>560</v>
      </c>
      <c r="P197" s="1" t="str">
        <f>IFERROR(__xludf.DUMMYFUNCTION("GOOGLETRANSLATE(O:O, ""en"", ""te"")"),"ఉత్పత్తిలో (2018)")</f>
        <v>ఉత్పత్తిలో (2018)</v>
      </c>
      <c r="S197" s="1" t="s">
        <v>133</v>
      </c>
      <c r="X197" s="1" t="s">
        <v>3039</v>
      </c>
      <c r="Z197" s="1" t="s">
        <v>3040</v>
      </c>
      <c r="AA197" s="1" t="s">
        <v>3041</v>
      </c>
      <c r="AB197" s="1" t="s">
        <v>3042</v>
      </c>
    </row>
    <row r="198">
      <c r="A198" s="1" t="s">
        <v>3043</v>
      </c>
      <c r="B198" s="1" t="str">
        <f>IFERROR(__xludf.DUMMYFUNCTION("GOOGLETRANSLATE(A:A, ""en"", ""te"")"),"GRZMILAS ORKAN II")</f>
        <v>GRZMILAS ORKAN II</v>
      </c>
      <c r="C198" s="1" t="s">
        <v>3044</v>
      </c>
      <c r="D198" s="1" t="str">
        <f>IFERROR(__xludf.DUMMYFUNCTION("GOOGLETRANSLATE(C:C, ""en"", ""te"")"),"GRZMILAS ORKAN II ఒక పోలిష్ వన్-ఆఫ్, సింగిల్-సీట్ స్పోర్ట్స్ విమానం. మొదటి విమానంలో జరిగిన వెంటనే జరిగిన రెండవ జాతీయ లైట్ ప్లేన్ పోటీలో ఇది రెండవ స్థానంలో నిలిచింది, అత్యుత్తమ టేకాఫ్ మరియు ఆరోహణ లక్షణాలతో. దీని డిజైనర్ మరియు బిల్డర్ దీనిని 1939 వరకు ఉపయోగ"&amp;"ించడం కొనసాగించారు. ఓర్కాన్ (వర్ల్‌విండ్) II టాడియుస్ గ్రిజ్మిలాస్ రూపొందించిన రెండవ విమానం మరియు ఓర్కాన్ I, గ్లైడర్. GRZMILAS పోజ్నాస్ వద్ద పోలిష్ వైమానిక దళంలో పనిచేస్తున్నాడు మరియు 1927-8 శీతాకాలంలో సైనిక వర్క్‌షాప్‌లలో దీనిని నిర్మించడానికి అనుమతి పొం"&amp;"దాడు, రెండవ జాతీయ లైట్ ప్లేన్ పోటీతో, అక్టోబర్ 1928 చివరలో వార్సాలో జరగాల్సినది, వార్సాలో దృష్టిలో పెట్టుకుంది. అతను దానిని 9 సెప్టెంబర్ 1928 [1] లేదా 5 అక్టోబర్ 1928 న దాని మొదటి విమానంలో తీసుకున్నాడు. [2] దీనికి రెండు భాగాలు, మందపాటి, స్థిరమైన మందం, దీర"&amp;"్ఘచతురస్రాకార ప్రణాళిక, రెండు స్పార్ వింగ్ ప్లైవుడ్ ఫార్వర్డ్ స్పార్ మరియు కాన్వాస్ వెనుక కప్పబడి [1] లేదా పూర్తిగా ఫాబ్రిక్ కప్పబడి ఉన్నాయి. [2] ఐలెరాన్లు రెక్క చిట్కాలకు విస్తరించాయి. ప్రతి సగం-వింగ్ దిగువ ఫ్యూజ్‌లేజ్ కోసం ఒక జత సమాంతర, స్టీల్ ట్యూబ్ స్"&amp;"పార్స్‌కు స్ట్రట్‌లతో కలుపుతారు మరియు విలోమ V- స్ట్రట్‌లపై ఫ్యూజ్‌లేజ్ కంటే సెంట్రల్ జాయింట్ తక్కువ వద్ద మద్దతు ఇస్తుంది. [2] [1] ఓర్కాన్ II 45 హెచ్‌పి (34 కిలోవాట్ల) అంజని సిక్స్-సిలిండర్ రేడియల్ ఇంజిన్‌తో శక్తిని పొందింది, ఇది 1925 లో జరిగిన రెండవ పోలిష"&amp;"్ గ్లైడర్ పోటీలో గ్రిజ్మిలాస్ తన విజయానికి బహుమతిగా గెలుచుకుంది, ఓర్కాన్. . రెక్కల వెనుకంజలో ఉన్న ఎడ్జ్ కింద ఓపెన్ కాక్‌పిట్ w \ s మెరుగైన పైకి వీక్షణ ఫీల్డ్ కోసం గుండ్రని కటౌట్‌తో అందించబడింది. క్షితిజ సమాంతర తోక, రెక్క వంటిది, ప్రణాళికలో దీర్ఘచతురస్రాకా"&amp;"రంగా ఉంది మరియు ఫాబ్రిక్ కప్పబడి ఉంటుంది. ఇది ఫ్యూజ్‌లేజ్ పైన అమర్చబడి, ప్రతి వైపు దిగువ లాంగన్‌కు స్ట్రట్-బ్రేస్ చేయబడింది; చుక్కాని యొక్క కదలికను అనుమతించడానికి ఎలివేటర్లు కటౌట్ కలిగి ఉన్నాయి, ఇది ఫాబ్రిక్ కప్పబడి, దాని దిగువ అంచు కాకుండా ప్రొఫైల్‌లో దీ"&amp;"ర్ఘచతురస్రాకారంగా ఉంది, ఇది గ్రౌండ్ క్లియరెన్స్ కోసం కోణం. ఫాబ్రిక్ కవర్ ఫిన్ గట్టిగా కత్తిరించిన త్రిభుజాకార ప్రొఫైల్‌ను కలిగి ఉంది. [2] [1] ఓర్కాన్ II యొక్క స్థిర, సాంప్రదాయిక ల్యాండింగ్ గేర్ మెయిన్‌వీల్స్‌ను స్టీల్ ట్యూబ్ వి-స్ట్రట్‌లపై ఒకే ఇరుసుతో చేర"&amp;"్చుకుంది, వింగ్ స్ట్రట్‌ల దిగువన ఉన్న దిగువ ఫ్యూజ్‌లేజ్ లాంగన్స్ నుండి, పొడవైన టెయిల్‌స్కిడ్‌తో పాటు. [1] మొదటి ఫ్లైట్ అయిన వెంటనే, ఓర్కాన్ II రెండవ జాతీయ లైట్ ప్లేన్ పోటీలో పాల్గొంది. Grzmilas చేత వినిపించినది మొత్తం రెండవ స్థానాన్ని పొందింది, అతి తక్కువ"&amp;" టేకాఫ్ (60 మీ (200 అడుగులు)) కోసం మొదటి స్థానాలు మరియు 30 నిమిషాల్లో గొప్ప ఎత్తుకు చేరుకుంది {3,650 మీ (11,980 అడుగులు)). [2] పోటీ తరువాత, గ్ర్జ్మిలాస్ తన సేవా వృత్తిలో ఎప్పటికప్పుడు ఓర్కాన్ ను ఎగరేశాడు, ఈ సమయంలో అతను డిబ్లిన్, క్రాకోవ్ మరియు లుబ్లిన్లలో"&amp;" ఉన్నాడు. సెప్టెంబర్ 1939 లో అతను దానిని L.W.S. లో నిల్వ చేశాడు. లుబ్లిన్ వద్ద ఫ్యాక్టరీ తరువాత నాశనం చేయబడింది. [2] [1] సింక్, 1971 [2] నుండి డేటా గుర్తించబడిన చోట తప్ప")</f>
        <v>GRZMILAS ORKAN II ఒక పోలిష్ వన్-ఆఫ్, సింగిల్-సీట్ స్పోర్ట్స్ విమానం. మొదటి విమానంలో జరిగిన వెంటనే జరిగిన రెండవ జాతీయ లైట్ ప్లేన్ పోటీలో ఇది రెండవ స్థానంలో నిలిచింది, అత్యుత్తమ టేకాఫ్ మరియు ఆరోహణ లక్షణాలతో. దీని డిజైనర్ మరియు బిల్డర్ దీనిని 1939 వరకు ఉపయోగించడం కొనసాగించారు. ఓర్కాన్ (వర్ల్‌విండ్) II టాడియుస్ గ్రిజ్మిలాస్ రూపొందించిన రెండవ విమానం మరియు ఓర్కాన్ I, గ్లైడర్. GRZMILAS పోజ్నాస్ వద్ద పోలిష్ వైమానిక దళంలో పనిచేస్తున్నాడు మరియు 1927-8 శీతాకాలంలో సైనిక వర్క్‌షాప్‌లలో దీనిని నిర్మించడానికి అనుమతి పొందాడు, రెండవ జాతీయ లైట్ ప్లేన్ పోటీతో, అక్టోబర్ 1928 చివరలో వార్సాలో జరగాల్సినది, వార్సాలో దృష్టిలో పెట్టుకుంది. అతను దానిని 9 సెప్టెంబర్ 1928 [1] లేదా 5 అక్టోబర్ 1928 న దాని మొదటి విమానంలో తీసుకున్నాడు. [2] దీనికి రెండు భాగాలు, మందపాటి, స్థిరమైన మందం, దీర్ఘచతురస్రాకార ప్రణాళిక, రెండు స్పార్ వింగ్ ప్లైవుడ్ ఫార్వర్డ్ స్పార్ మరియు కాన్వాస్ వెనుక కప్పబడి [1] లేదా పూర్తిగా ఫాబ్రిక్ కప్పబడి ఉన్నాయి. [2] ఐలెరాన్లు రెక్క చిట్కాలకు విస్తరించాయి. ప్రతి సగం-వింగ్ దిగువ ఫ్యూజ్‌లేజ్ కోసం ఒక జత సమాంతర, స్టీల్ ట్యూబ్ స్పార్స్‌కు స్ట్రట్‌లతో కలుపుతారు మరియు విలోమ V- స్ట్రట్‌లపై ఫ్యూజ్‌లేజ్ కంటే సెంట్రల్ జాయింట్ తక్కువ వద్ద మద్దతు ఇస్తుంది. [2] [1] ఓర్కాన్ II 45 హెచ్‌పి (34 కిలోవాట్ల) అంజని సిక్స్-సిలిండర్ రేడియల్ ఇంజిన్‌తో శక్తిని పొందింది, ఇది 1925 లో జరిగిన రెండవ పోలిష్ గ్లైడర్ పోటీలో గ్రిజ్మిలాస్ తన విజయానికి బహుమతిగా గెలుచుకుంది, ఓర్కాన్. . రెక్కల వెనుకంజలో ఉన్న ఎడ్జ్ కింద ఓపెన్ కాక్‌పిట్ w \ s మెరుగైన పైకి వీక్షణ ఫీల్డ్ కోసం గుండ్రని కటౌట్‌తో అందించబడింది. క్షితిజ సమాంతర తోక, రెక్క వంటిది, ప్రణాళికలో దీర్ఘచతురస్రాకారంగా ఉంది మరియు ఫాబ్రిక్ కప్పబడి ఉంటుంది. ఇది ఫ్యూజ్‌లేజ్ పైన అమర్చబడి, ప్రతి వైపు దిగువ లాంగన్‌కు స్ట్రట్-బ్రేస్ చేయబడింది; చుక్కాని యొక్క కదలికను అనుమతించడానికి ఎలివేటర్లు కటౌట్ కలిగి ఉన్నాయి, ఇది ఫాబ్రిక్ కప్పబడి, దాని దిగువ అంచు కాకుండా ప్రొఫైల్‌లో దీర్ఘచతురస్రాకారంగా ఉంది, ఇది గ్రౌండ్ క్లియరెన్స్ కోసం కోణం. ఫాబ్రిక్ కవర్ ఫిన్ గట్టిగా కత్తిరించిన త్రిభుజాకార ప్రొఫైల్‌ను కలిగి ఉంది. [2] [1] ఓర్కాన్ II యొక్క స్థిర, సాంప్రదాయిక ల్యాండింగ్ గేర్ మెయిన్‌వీల్స్‌ను స్టీల్ ట్యూబ్ వి-స్ట్రట్‌లపై ఒకే ఇరుసుతో చేర్చుకుంది, వింగ్ స్ట్రట్‌ల దిగువన ఉన్న దిగువ ఫ్యూజ్‌లేజ్ లాంగన్స్ నుండి, పొడవైన టెయిల్‌స్కిడ్‌తో పాటు. [1] మొదటి ఫ్లైట్ అయిన వెంటనే, ఓర్కాన్ II రెండవ జాతీయ లైట్ ప్లేన్ పోటీలో పాల్గొంది. Grzmilas చేత వినిపించినది మొత్తం రెండవ స్థానాన్ని పొందింది, అతి తక్కువ టేకాఫ్ (60 మీ (200 అడుగులు)) కోసం మొదటి స్థానాలు మరియు 30 నిమిషాల్లో గొప్ప ఎత్తుకు చేరుకుంది {3,650 మీ (11,980 అడుగులు)). [2] పోటీ తరువాత, గ్ర్జ్మిలాస్ తన సేవా వృత్తిలో ఎప్పటికప్పుడు ఓర్కాన్ ను ఎగరేశాడు, ఈ సమయంలో అతను డిబ్లిన్, క్రాకోవ్ మరియు లుబ్లిన్లలో ఉన్నాడు. సెప్టెంబర్ 1939 లో అతను దానిని L.W.S. లో నిల్వ చేశాడు. లుబ్లిన్ వద్ద ఫ్యాక్టరీ తరువాత నాశనం చేయబడింది. [2] [1] సింక్, 1971 [2] నుండి డేటా గుర్తించబడిన చోట తప్ప</v>
      </c>
      <c r="F198" s="1" t="s">
        <v>3045</v>
      </c>
      <c r="G198" s="1" t="str">
        <f>IFERROR(__xludf.DUMMYFUNCTION("GOOGLETRANSLATE(F:F, ""en"", ""te"")"),"సింగిల్ సియర్ లైట్ ఎయిర్క్రాఫ్ట్")</f>
        <v>సింగిల్ సియర్ లైట్ ఎయిర్క్రాఫ్ట్</v>
      </c>
      <c r="I198" s="1" t="s">
        <v>431</v>
      </c>
      <c r="J198" s="1" t="str">
        <f>IFERROR(__xludf.DUMMYFUNCTION("GOOGLETRANSLATE(I:I, ""en"", ""te"")"),"పోలాండ్")</f>
        <v>పోలాండ్</v>
      </c>
      <c r="K198" s="3" t="s">
        <v>432</v>
      </c>
      <c r="L198" s="1" t="s">
        <v>3046</v>
      </c>
      <c r="M198" s="1" t="str">
        <f>IFERROR(__xludf.DUMMYFUNCTION("GOOGLETRANSLATE(L:L, ""en"", ""te"")"),"తడేయుస్జ్ గ్ర్జ్మిలాస్")</f>
        <v>తడేయుస్జ్ గ్ర్జ్మిలాస్</v>
      </c>
      <c r="Q198" s="1">
        <v>1.0</v>
      </c>
      <c r="S198" s="1" t="s">
        <v>433</v>
      </c>
      <c r="U198" s="1" t="s">
        <v>578</v>
      </c>
      <c r="V198" s="1" t="s">
        <v>435</v>
      </c>
      <c r="W198" s="1" t="s">
        <v>3047</v>
      </c>
      <c r="X198" s="1" t="s">
        <v>3048</v>
      </c>
      <c r="Y198" s="1" t="s">
        <v>3049</v>
      </c>
      <c r="AA198" s="1" t="s">
        <v>3050</v>
      </c>
      <c r="AB198" s="1" t="s">
        <v>440</v>
      </c>
      <c r="AC198" s="1" t="s">
        <v>517</v>
      </c>
      <c r="AD198" s="1" t="s">
        <v>3051</v>
      </c>
      <c r="AE198" s="1" t="s">
        <v>3052</v>
      </c>
      <c r="AF198" s="1" t="s">
        <v>3053</v>
      </c>
      <c r="AH198" s="1" t="s">
        <v>3046</v>
      </c>
      <c r="AJ198" s="1" t="s">
        <v>3054</v>
      </c>
      <c r="AM198" s="1" t="s">
        <v>2631</v>
      </c>
      <c r="AP198" s="1" t="s">
        <v>3055</v>
      </c>
      <c r="AR198" s="1" t="s">
        <v>3056</v>
      </c>
      <c r="BJ198" s="1" t="s">
        <v>3057</v>
      </c>
      <c r="BQ198" s="1" t="s">
        <v>3058</v>
      </c>
    </row>
    <row r="199">
      <c r="A199" s="1" t="s">
        <v>3059</v>
      </c>
      <c r="B199" s="1" t="str">
        <f>IFERROR(__xludf.DUMMYFUNCTION("GOOGLETRANSLATE(A:A, ""en"", ""te"")"),"పి &amp; ఎమ్ పల్స్ర్")</f>
        <v>పి &amp; ఎమ్ పల్స్ర్</v>
      </c>
      <c r="C199" s="1" t="s">
        <v>3060</v>
      </c>
      <c r="D199" s="1" t="str">
        <f>IFERROR(__xludf.DUMMYFUNCTION("GOOGLETRANSLATE(C:C, ""en"", ""te"")"),"పి అండ్ ఎమ్ పల్సర్ (ట్రాన్స్. విమానం పూర్తి మరియు రెడీ టు-ఫ్లై సరఫరా చేయబడుతుంది. [1] డిసెంబర్ 2011 లో బర్మింగ్‌హామ్‌లోని ఫ్లయింగ్ షోలో ఈ డిజైన్ బహిరంగంగా ప్రవేశపెట్టబడింది, ఇక్కడ రచయిత డెమిట్రీ డెలిమెర్లే దాని అసాధారణ సెమీ-పరివేష్టిత కాక్‌పిట్ డిజైన్ కార"&amp;"ణంగా ""ప్రదర్శనను దొంగిలించారు"" అని నివేదించారు. [1] PULSR ను ఫెడరేషన్ Aéronautique ఇంటర్నేషనల్ మైక్రోలైట్ వర్గానికి అనుగుణంగా రూపొందించారు, ఇందులో వర్గం యొక్క గరిష్ట స్థూల బరువు 472.5 కిలోల (1,042 పౌండ్లు) బాలిస్టిక్ పారాచూట్‌తో ఉంది. ఈ విమానం గరిష్టంగా"&amp;" స్థూల బరువు 472.5 కిలోల (1,042 పౌండ్లు) బాలిస్టిక్ పారాచూట్ మరియు 450 కిలోల (992 ఎల్బి) లేకుండా ఉంటుంది. [1] ఈ డిజైన్ మొదట 2011 లో చూపబడింది మరియు 2015 వరకు ప్రోటోటైప్-మాత్రమే రూపంలో ఉంది. [1] విమాన రూపకల్పనలో స్ట్రట్-బ్రేస్డ్ టాప్‌లెస్ హాంగ్ గ్లైడర్-స్ట"&amp;"ైల్ హై-వింగ్, వెయిట్-షిఫ్ట్ కంట్రోల్స్, కాక్‌పిట్ ఫెయిరింగ్ మరియు విండ్‌షీల్డ్‌తో రెండు-సీట్ల-టెన్డం సెమీ-కప్పబడిన కాక్‌పిట్, మెయిన్ గేర్ వీల్ ప్యాంటు మరియు ట్రైసైకిల్ ల్యాండింగ్ గేర్ మరియు ప్రధాన గేర్ వీల్ ప్యాంటు మరియు పషర్ కాన్ఫిగరేషన్‌లో ఒకే ఇంజిన్. ["&amp;"1] విమానం ఫ్యూజ్‌లేజ్ అనేది మిశ్రమ కార్బన్ ఫైబర్‌తో తయారు చేసిన మోనోకోక్ డిజైన్, దాని డబుల్ ఉపరితల వింగ్ డాక్రాన్ సెయిల్‌క్లాత్‌లో కప్పబడి ఉంటుంది. దీని 9.26 మీ (30.4 అడుగులు) స్పాన్ వింగ్‌కు స్ట్రట్‌లచే మద్దతు ఉంది మరియు ""ఎ"" ఫ్రేమ్ వెయిట్-షిఫ్ట్ కంట్రో"&amp;"ల్ బార్‌ను ఉపయోగిస్తుంది, ఇది సెమీ-కప్పబడిన ఫెయిరింగ్‌లో ఓపెన్ సైడ్ విండో స్థలాల ద్వారా మళ్ళించబడుతుంది. పవర్‌ప్లాంట్ నాలుగు సిలిండర్, గాలి మరియు ద్రవ-చల్లబడిన, నాలుగు-స్ట్రోక్, డ్యూయల్-ఇగ్నిషన్ 100 హెచ్‌పి (75 కిలోవాట్ ఈ విమానం ఖాళీ బరువు 251 కిలోల (553 "&amp;"పౌండ్లు) మరియు స్థూల బరువు 472.5 కిలోలు (1,042 పౌండ్లు), ఇది 222 కిలోల (489 పౌండ్లు) ఉపయోగకరమైన లోడ్‌ను ఇస్తుంది. 78 లీటర్ల పూర్తి ఇంధనంతో (17 ఇంప్ గల్; 21 యుఎస్ గాల్) పేలోడ్ 166 కిలోలు (366 ఎల్బి). [1] [2] రచయిత డెమిట్రీ డెలిమార్లే దాని అసాధారణ ఏరోడైనమిక"&amp;"్ కాక్‌పిట్ డిజైన్ కారణంగా, డిజైన్ ""దృష్టిని ఆకర్షించడంలో ఎప్పుడూ విఫలం కాదు"" అని నివేదించింది, ఇది చాలా వేగంగా చేస్తుంది మరియు ఇతర ట్రైక్‌ల కంటే మెరుగైన గ్లైడ్ నిష్పత్తిని ఇస్తుంది. [1] టాక్ మరియు తయారీదారు నుండి డేటా [1] [2] సాధారణ లక్షణాల పనితీరు")</f>
        <v>పి అండ్ ఎమ్ పల్సర్ (ట్రాన్స్. విమానం పూర్తి మరియు రెడీ టు-ఫ్లై సరఫరా చేయబడుతుంది. [1] డిసెంబర్ 2011 లో బర్మింగ్‌హామ్‌లోని ఫ్లయింగ్ షోలో ఈ డిజైన్ బహిరంగంగా ప్రవేశపెట్టబడింది, ఇక్కడ రచయిత డెమిట్రీ డెలిమెర్లే దాని అసాధారణ సెమీ-పరివేష్టిత కాక్‌పిట్ డిజైన్ కారణంగా "ప్రదర్శనను దొంగిలించారు" అని నివేదించారు. [1] PULSR ను ఫెడరేషన్ Aéronautique ఇంటర్నేషనల్ మైక్రోలైట్ వర్గానికి అనుగుణంగా రూపొందించారు, ఇందులో వర్గం యొక్క గరిష్ట స్థూల బరువు 472.5 కిలోల (1,042 పౌండ్లు) బాలిస్టిక్ పారాచూట్‌తో ఉంది. ఈ విమానం గరిష్టంగా స్థూల బరువు 472.5 కిలోల (1,042 పౌండ్లు) బాలిస్టిక్ పారాచూట్ మరియు 450 కిలోల (992 ఎల్బి) లేకుండా ఉంటుంది. [1] ఈ డిజైన్ మొదట 2011 లో చూపబడింది మరియు 2015 వరకు ప్రోటోటైప్-మాత్రమే రూపంలో ఉంది. [1] విమాన రూపకల్పనలో స్ట్రట్-బ్రేస్డ్ టాప్‌లెస్ హాంగ్ గ్లైడర్-స్టైల్ హై-వింగ్, వెయిట్-షిఫ్ట్ కంట్రోల్స్, కాక్‌పిట్ ఫెయిరింగ్ మరియు విండ్‌షీల్డ్‌తో రెండు-సీట్ల-టెన్డం సెమీ-కప్పబడిన కాక్‌పిట్, మెయిన్ గేర్ వీల్ ప్యాంటు మరియు ట్రైసైకిల్ ల్యాండింగ్ గేర్ మరియు ప్రధాన గేర్ వీల్ ప్యాంటు మరియు పషర్ కాన్ఫిగరేషన్‌లో ఒకే ఇంజిన్. [1] విమానం ఫ్యూజ్‌లేజ్ అనేది మిశ్రమ కార్బన్ ఫైబర్‌తో తయారు చేసిన మోనోకోక్ డిజైన్, దాని డబుల్ ఉపరితల వింగ్ డాక్రాన్ సెయిల్‌క్లాత్‌లో కప్పబడి ఉంటుంది. దీని 9.26 మీ (30.4 అడుగులు) స్పాన్ వింగ్‌కు స్ట్రట్‌లచే మద్దతు ఉంది మరియు "ఎ" ఫ్రేమ్ వెయిట్-షిఫ్ట్ కంట్రోల్ బార్‌ను ఉపయోగిస్తుంది, ఇది సెమీ-కప్పబడిన ఫెయిరింగ్‌లో ఓపెన్ సైడ్ విండో స్థలాల ద్వారా మళ్ళించబడుతుంది. పవర్‌ప్లాంట్ నాలుగు సిలిండర్, గాలి మరియు ద్రవ-చల్లబడిన, నాలుగు-స్ట్రోక్, డ్యూయల్-ఇగ్నిషన్ 100 హెచ్‌పి (75 కిలోవాట్ ఈ విమానం ఖాళీ బరువు 251 కిలోల (553 పౌండ్లు) మరియు స్థూల బరువు 472.5 కిలోలు (1,042 పౌండ్లు), ఇది 222 కిలోల (489 పౌండ్లు) ఉపయోగకరమైన లోడ్‌ను ఇస్తుంది. 78 లీటర్ల పూర్తి ఇంధనంతో (17 ఇంప్ గల్; 21 యుఎస్ గాల్) పేలోడ్ 166 కిలోలు (366 ఎల్బి). [1] [2] రచయిత డెమిట్రీ డెలిమార్లే దాని అసాధారణ ఏరోడైనమిక్ కాక్‌పిట్ డిజైన్ కారణంగా, డిజైన్ "దృష్టిని ఆకర్షించడంలో ఎప్పుడూ విఫలం కాదు" అని నివేదించింది, ఇది చాలా వేగంగా చేస్తుంది మరియు ఇతర ట్రైక్‌ల కంటే మెరుగైన గ్లైడ్ నిష్పత్తిని ఇస్తుంది. [1] టాక్ మరియు తయారీదారు నుండి డేటా [1] [2] సాధారణ లక్షణాల పనితీరు</v>
      </c>
      <c r="E199" s="1" t="s">
        <v>3061</v>
      </c>
      <c r="F199" s="1" t="s">
        <v>184</v>
      </c>
      <c r="G199" s="1" t="str">
        <f>IFERROR(__xludf.DUMMYFUNCTION("GOOGLETRANSLATE(F:F, ""en"", ""te"")"),"అల్ట్రాలైట్ ట్రైక్")</f>
        <v>అల్ట్రాలైట్ ట్రైక్</v>
      </c>
      <c r="H199" s="1" t="s">
        <v>185</v>
      </c>
      <c r="I199" s="1" t="s">
        <v>357</v>
      </c>
      <c r="J199" s="1" t="str">
        <f>IFERROR(__xludf.DUMMYFUNCTION("GOOGLETRANSLATE(I:I, ""en"", ""te"")"),"యునైటెడ్ కింగ్‌డమ్")</f>
        <v>యునైటెడ్ కింగ్‌డమ్</v>
      </c>
      <c r="K199" s="1" t="s">
        <v>1344</v>
      </c>
      <c r="L199" s="1" t="s">
        <v>3062</v>
      </c>
      <c r="M199" s="1" t="str">
        <f>IFERROR(__xludf.DUMMYFUNCTION("GOOGLETRANSLATE(L:L, ""en"", ""te"")"),"పి &amp; ఎం ఏవియేషన్")</f>
        <v>పి &amp; ఎం ఏవియేషన్</v>
      </c>
      <c r="N199" s="1" t="s">
        <v>3063</v>
      </c>
      <c r="O199" s="1" t="s">
        <v>560</v>
      </c>
      <c r="P199" s="1" t="str">
        <f>IFERROR(__xludf.DUMMYFUNCTION("GOOGLETRANSLATE(O:O, ""en"", ""te"")"),"ఉత్పత్తిలో (2018)")</f>
        <v>ఉత్పత్తిలో (2018)</v>
      </c>
      <c r="S199" s="1" t="s">
        <v>133</v>
      </c>
      <c r="T199" s="1" t="s">
        <v>134</v>
      </c>
      <c r="U199" s="1" t="s">
        <v>3064</v>
      </c>
      <c r="V199" s="1" t="s">
        <v>3065</v>
      </c>
      <c r="W199" s="1" t="s">
        <v>651</v>
      </c>
      <c r="X199" s="1" t="s">
        <v>3066</v>
      </c>
      <c r="Y199" s="1" t="s">
        <v>1406</v>
      </c>
      <c r="Z199" s="1" t="s">
        <v>3067</v>
      </c>
      <c r="AA199" s="1" t="s">
        <v>1692</v>
      </c>
      <c r="AB199" s="1" t="s">
        <v>276</v>
      </c>
      <c r="AC199" s="1" t="s">
        <v>3068</v>
      </c>
      <c r="AD199" s="1" t="s">
        <v>3069</v>
      </c>
      <c r="AF199" s="1" t="s">
        <v>3070</v>
      </c>
      <c r="AG199" s="1" t="s">
        <v>3071</v>
      </c>
      <c r="AH199" s="1" t="s">
        <v>3072</v>
      </c>
      <c r="AK199" s="1">
        <v>2011.0</v>
      </c>
      <c r="AL199" s="1" t="s">
        <v>3073</v>
      </c>
      <c r="AM199" s="1" t="s">
        <v>3074</v>
      </c>
      <c r="AP199" s="1" t="s">
        <v>3075</v>
      </c>
      <c r="AW199" s="1" t="s">
        <v>235</v>
      </c>
      <c r="AX199" s="1" t="s">
        <v>3076</v>
      </c>
      <c r="BE199" s="1">
        <v>12.0</v>
      </c>
      <c r="BF199" s="1" t="s">
        <v>3077</v>
      </c>
    </row>
    <row r="200">
      <c r="A200" s="1" t="s">
        <v>3078</v>
      </c>
      <c r="B200" s="1" t="str">
        <f>IFERROR(__xludf.DUMMYFUNCTION("GOOGLETRANSLATE(A:A, ""en"", ""te"")"),"సనైర్ మ్యాజిక్")</f>
        <v>సనైర్ మ్యాజిక్</v>
      </c>
      <c r="C200" s="1" t="s">
        <v>3079</v>
      </c>
      <c r="D200" s="1" t="str">
        <f>IFERROR(__xludf.DUMMYFUNCTION("GOOGLETRANSLATE(C:C, ""en"", ""te"")"),"సనైర్ మ్యాజిక్ అనేది జర్మన్ ఎలక్ట్రిక్ లేదా గ్యాసోలిన్ మోటార్ అల్ట్రాలైట్ ట్రైక్, ఇది బవేరియాలోని స్కీడెగ్ యొక్క సనైర్ యుజి చేత రూపొందించబడింది మరియు ఉత్పత్తి చేయబడింది. విమానం పూర్తి మరియు రెడీ టు-ఫ్లై సరఫరా చేయబడుతుంది. [1] జర్మన్ 120 కిలోల తరగతి మరియు "&amp;"యుఎస్ ఫార్ 103 అల్ట్రాలైట్ వాహనాల నిబంధనలకు అనుగుణంగా మేజిక్ సరళమైన మరియు చవకైన ట్రైక్‌గా రూపొందించబడింది. ఈ విమానం ఖాళీ బరువు 120 కిలోలు (265 పౌండ్లు). [1] విమాన రూపకల్పనలో కేబుల్-బ్రేస్డ్ హాంగ్ గ్లైడర్-స్టైల్ హై-వింగ్, వెయిట్-షిఫ్ట్ కంట్రోల్స్, కాక్‌పిట"&amp;"్ ఫెయిరింగ్ లేకుండా సింగిల్-సీట్ల ఓపెన్ కాక్‌పిట్, ట్రైసైకిల్ ల్యాండింగ్ గేర్ మరియు పషర్ కాన్ఫిగరేషన్‌లో ఒకే ఇంజిన్ ఉన్నాయి. [1] ఈ విమానం బోల్ట్-టుగెథర్ అల్యూమినియం గొట్టాల నుండి తయారవుతుంది, దాని సింగిల్ ఉపరితల ICARO RX2 హాంగ్ గ్లైడర్ వింగ్ డాక్రాన్ సెయి"&amp;"ల్‌క్లాత్‌లో కప్పబడి ఉంటుంది. రెక్కకు ఒకే ట్యూబ్-రకం కింగ్‌పోస్ట్ మద్దతు ఇస్తుంది మరియు ""ఎ"" ఫ్రేమ్ వెయిట్-షిఫ్ట్ కంట్రోల్ బార్‌ను ఉపయోగిస్తుంది. ఈ డిజైన్ ఏదైనా చిన్న 27 నుండి 40 హెచ్‌పి (20 నుండి 30 కిలోవాట్) పిస్టన్ ఇంజిన్ లేదా 16 కిలోవాట్ల (21 హెచ్‌పి"&amp;") ఎలక్ట్రిక్ మోటారును కలిగి ఉంటుంది. పెరుగుతున్న ఫ్లైట్ కోసం రూపొందించబడింది, ఇది మడత, రెండు-బ్లేడెడ్ కాంపోజిట్ ప్రొపెల్లర్‌ను కలిగి ఉంది. [1] ఇది ఆటోమొబైల్ ద్వారా భూ రవాణా కోసం త్వరగా విడదీయడానికి రూపొందించబడింది. [1] ఐకారో రిలాక్స్ 18, ఎరోస్ 15 టి, ఎరోస"&amp;"్ ఫాక్స్ టి మరియు అటోస్ VQ 190 తో సహా అనేక విభిన్న రెక్కలను ప్రాథమిక క్యారేజీకి అమర్చవచ్చు. [2] టాక్ నుండి డేటా [1] సాధారణ లక్షణాల పనితీరు")</f>
        <v>సనైర్ మ్యాజిక్ అనేది జర్మన్ ఎలక్ట్రిక్ లేదా గ్యాసోలిన్ మోటార్ అల్ట్రాలైట్ ట్రైక్, ఇది బవేరియాలోని స్కీడెగ్ యొక్క సనైర్ యుజి చేత రూపొందించబడింది మరియు ఉత్పత్తి చేయబడింది. విమానం పూర్తి మరియు రెడీ టు-ఫ్లై సరఫరా చేయబడుతుంది. [1] జర్మన్ 120 కిలోల తరగతి మరియు యుఎస్ ఫార్ 103 అల్ట్రాలైట్ వాహనాల నిబంధనలకు అనుగుణంగా మేజిక్ సరళమైన మరియు చవకైన ట్రైక్‌గా రూపొందించబడింది. ఈ విమానం ఖాళీ బరువు 120 కిలోలు (265 పౌండ్లు). [1] విమాన రూపకల్పనలో కేబుల్-బ్రేస్డ్ హాంగ్ గ్లైడర్-స్టైల్ హై-వింగ్, వెయిట్-షిఫ్ట్ కంట్రోల్స్, కాక్‌పిట్ ఫెయిరింగ్ లేకుండా సింగిల్-సీట్ల ఓపెన్ కాక్‌పిట్, ట్రైసైకిల్ ల్యాండింగ్ గేర్ మరియు పషర్ కాన్ఫిగరేషన్‌లో ఒకే ఇంజిన్ ఉన్నాయి. [1] ఈ విమానం బోల్ట్-టుగెథర్ అల్యూమినియం గొట్టాల నుండి తయారవుతుంది, దాని సింగిల్ ఉపరితల ICARO RX2 హాంగ్ గ్లైడర్ వింగ్ డాక్రాన్ సెయిల్‌క్లాత్‌లో కప్పబడి ఉంటుంది. రెక్కకు ఒకే ట్యూబ్-రకం కింగ్‌పోస్ట్ మద్దతు ఇస్తుంది మరియు "ఎ" ఫ్రేమ్ వెయిట్-షిఫ్ట్ కంట్రోల్ బార్‌ను ఉపయోగిస్తుంది. ఈ డిజైన్ ఏదైనా చిన్న 27 నుండి 40 హెచ్‌పి (20 నుండి 30 కిలోవాట్) పిస్టన్ ఇంజిన్ లేదా 16 కిలోవాట్ల (21 హెచ్‌పి) ఎలక్ట్రిక్ మోటారును కలిగి ఉంటుంది. పెరుగుతున్న ఫ్లైట్ కోసం రూపొందించబడింది, ఇది మడత, రెండు-బ్లేడెడ్ కాంపోజిట్ ప్రొపెల్లర్‌ను కలిగి ఉంది. [1] ఇది ఆటోమొబైల్ ద్వారా భూ రవాణా కోసం త్వరగా విడదీయడానికి రూపొందించబడింది. [1] ఐకారో రిలాక్స్ 18, ఎరోస్ 15 టి, ఎరోస్ ఫాక్స్ టి మరియు అటోస్ VQ 190 తో సహా అనేక విభిన్న రెక్కలను ప్రాథమిక క్యారేజీకి అమర్చవచ్చు. [2] టాక్ నుండి డేటా [1] సాధారణ లక్షణాల పనితీరు</v>
      </c>
      <c r="F200" s="1" t="s">
        <v>184</v>
      </c>
      <c r="G200" s="1" t="str">
        <f>IFERROR(__xludf.DUMMYFUNCTION("GOOGLETRANSLATE(F:F, ""en"", ""te"")"),"అల్ట్రాలైట్ ట్రైక్")</f>
        <v>అల్ట్రాలైట్ ట్రైక్</v>
      </c>
      <c r="H200" s="1" t="s">
        <v>185</v>
      </c>
      <c r="I200" s="1" t="s">
        <v>321</v>
      </c>
      <c r="J200" s="1" t="str">
        <f>IFERROR(__xludf.DUMMYFUNCTION("GOOGLETRANSLATE(I:I, ""en"", ""te"")"),"జర్మనీ")</f>
        <v>జర్మనీ</v>
      </c>
      <c r="K200" s="3" t="s">
        <v>322</v>
      </c>
      <c r="L200" s="1" t="s">
        <v>3080</v>
      </c>
      <c r="M200" s="1" t="str">
        <f>IFERROR(__xludf.DUMMYFUNCTION("GOOGLETRANSLATE(L:L, ""en"", ""te"")"),"సనైర్ ఉగ్")</f>
        <v>సనైర్ ఉగ్</v>
      </c>
      <c r="N200" s="1" t="s">
        <v>3081</v>
      </c>
      <c r="O200" s="1" t="s">
        <v>560</v>
      </c>
      <c r="P200" s="1" t="str">
        <f>IFERROR(__xludf.DUMMYFUNCTION("GOOGLETRANSLATE(O:O, ""en"", ""te"")"),"ఉత్పత్తిలో (2018)")</f>
        <v>ఉత్పత్తిలో (2018)</v>
      </c>
      <c r="S200" s="1" t="s">
        <v>133</v>
      </c>
      <c r="X200" s="1" t="s">
        <v>272</v>
      </c>
      <c r="AA200" s="1" t="s">
        <v>3082</v>
      </c>
      <c r="AB200" s="1" t="s">
        <v>3083</v>
      </c>
      <c r="AC200" s="1" t="s">
        <v>391</v>
      </c>
      <c r="AP200" s="1" t="s">
        <v>3084</v>
      </c>
    </row>
    <row r="201">
      <c r="A201" s="1" t="s">
        <v>3085</v>
      </c>
      <c r="B201" s="1" t="str">
        <f>IFERROR(__xludf.DUMMYFUNCTION("GOOGLETRANSLATE(A:A, ""en"", ""te"")"),"సన్‌వార్డ్ stb")</f>
        <v>సన్‌వార్డ్ stb</v>
      </c>
      <c r="C201" s="1" t="s">
        <v>3086</v>
      </c>
      <c r="D201" s="1" t="str">
        <f>IFERROR(__xludf.DUMMYFUNCTION("GOOGLETRANSLATE(C:C, ""en"", ""te"")"),"సన్‌వార్డ్ ఎస్‌టిబి అనేది చైనీస్ ఉభయచర అల్ట్రాలైట్ ట్రైక్, దీనిని జుజౌకు చెందిన సన్‌వార్డ్ టెక్ (హునాన్ సన్‌వార్డ్ సైన్స్ &amp; టెక్నాలజీస్ కంపెనీ లిమిటెడ్) రూపొందించారు మరియు నిర్మించారు. విమానం పూర్తి మరియు రెడీ టు-ఫ్లై సరఫరా చేయబడుతుంది. [1] STB శోధన మరియు"&amp;" రెస్క్యూ పాత్రతో పాటు పర్యాటక విమానాలు మరియు వినోద ఉపయోగం కోసం ఉద్దేశించబడింది. వర్గం యొక్క గరిష్ట స్థూల బరువు 450 కిలోల (992 పౌండ్లు) తో సహా, ఫెడెరేషన్ ఏరోనటిక్ ఇంటర్నేషనల్ మైక్రోలైట్ వర్గానికి అనుగుణంగా ఇది రూపొందించబడింది. ఈ విమానం గరిష్టంగా స్థూల బరు"&amp;"వు 450 కిలోలు (992 పౌండ్లు). [1] విమాన రూపకల్పనలో స్ట్రట్-బ్రేస్డ్ హాంగ్ గ్లైడర్-స్టైల్ హై-వింగ్, వెయిట్-షిఫ్ట్ కంట్రోల్స్, రెండు-సీట్ల తేమ ఓపెన్ కాక్‌పిట్ దృ boor మైన పడవ పొట్టుతో, ముడుచుకునే ట్రైసైకిల్ ల్యాండింగ్ గేర్ మరియు పషర్ కాన్ఫిగరేషన్‌లో ఒకే ఇంజి"&amp;"న్ ఉన్నాయి. పడవ పొట్టు అధిక తరంగ పరిస్థితులలో ఉపయోగం కోసం రూపొందించబడింది. [1] ఈ విమానం బోల్ట్-కలిసి అల్యూమినియం గొట్టాలు మరియు మిశ్రమాల నుండి తయారవుతుంది. ఇది ఇటాలియన్ కంపెనీ గ్రిఫ్ ఇటాలియా చేత తయారు చేయబడిన డబుల్ సర్ఫేస్ గ్రిఫ్ హజార్డ్ వింగ్‌ను ఉపయోగిస్"&amp;"తుంది. 10.35 మీ (34.0 అడుగులు) స్పాన్ వింగ్‌కు స్ట్రట్‌లచే మద్దతు ఉంది మరియు ""ఎ"" ఫ్రేమ్ వెయిట్-షిఫ్ట్ కంట్రోల్ బార్‌ను ఉపయోగిస్తుంది. పవర్‌ప్లాంట్ ఒక ఆస్ట్రియన్-నిర్మిత జంట సిలిండర్, లిక్విడ్-కూల్డ్, టూ-స్ట్రోక్, డ్యూయల్-ఇగ్నిషన్ 64 హెచ్‌పి (48 కిలోవాట్"&amp;" 60 kW) రోటాక్స్ 912UL ఇంజిన్. [1] ఈ విమానం ఖాళీ బరువు 248 కిలోల (547 పౌండ్లు) మరియు స్థూల బరువు 450 కిలోలు (992 పౌండ్లు), ఇది 202 కిలోల (445 ఎల్బి) యొక్క ఉపయోగకరమైన లోడ్‌ను ఇస్తుంది. 60 లీటర్ల పూర్తి ఇంధనంతో (13 ఇంప్ గల్; 16 యుఎస్ గాల్) పేలోడ్ 159 కిలోలు"&amp;" (351 ఎల్బి). [1] టాక్ నుండి డేటా [1] సాధారణ లక్షణాల పనితీరు")</f>
        <v>సన్‌వార్డ్ ఎస్‌టిబి అనేది చైనీస్ ఉభయచర అల్ట్రాలైట్ ట్రైక్, దీనిని జుజౌకు చెందిన సన్‌వార్డ్ టెక్ (హునాన్ సన్‌వార్డ్ సైన్స్ &amp; టెక్నాలజీస్ కంపెనీ లిమిటెడ్) రూపొందించారు మరియు నిర్మించారు. విమానం పూర్తి మరియు రెడీ టు-ఫ్లై సరఫరా చేయబడుతుంది. [1] STB శోధన మరియు రెస్క్యూ పాత్రతో పాటు పర్యాటక విమానాలు మరియు వినోద ఉపయోగం కోసం ఉద్దేశించబడింది. వర్గం యొక్క గరిష్ట స్థూల బరువు 450 కిలోల (992 పౌండ్లు) తో సహా, ఫెడెరేషన్ ఏరోనటిక్ ఇంటర్నేషనల్ మైక్రోలైట్ వర్గానికి అనుగుణంగా ఇది రూపొందించబడింది. ఈ విమానం గరిష్టంగా స్థూల బరువు 450 కిలోలు (992 పౌండ్లు). [1] విమాన రూపకల్పనలో స్ట్రట్-బ్రేస్డ్ హాంగ్ గ్లైడర్-స్టైల్ హై-వింగ్, వెయిట్-షిఫ్ట్ కంట్రోల్స్, రెండు-సీట్ల తేమ ఓపెన్ కాక్‌పిట్ దృ boor మైన పడవ పొట్టుతో, ముడుచుకునే ట్రైసైకిల్ ల్యాండింగ్ గేర్ మరియు పషర్ కాన్ఫిగరేషన్‌లో ఒకే ఇంజిన్ ఉన్నాయి. పడవ పొట్టు అధిక తరంగ పరిస్థితులలో ఉపయోగం కోసం రూపొందించబడింది. [1] ఈ విమానం బోల్ట్-కలిసి అల్యూమినియం గొట్టాలు మరియు మిశ్రమాల నుండి తయారవుతుంది. ఇది ఇటాలియన్ కంపెనీ గ్రిఫ్ ఇటాలియా చేత తయారు చేయబడిన డబుల్ సర్ఫేస్ గ్రిఫ్ హజార్డ్ వింగ్‌ను ఉపయోగిస్తుంది. 10.35 మీ (34.0 అడుగులు) స్పాన్ వింగ్‌కు స్ట్రట్‌లచే మద్దతు ఉంది మరియు "ఎ" ఫ్రేమ్ వెయిట్-షిఫ్ట్ కంట్రోల్ బార్‌ను ఉపయోగిస్తుంది. పవర్‌ప్లాంట్ ఒక ఆస్ట్రియన్-నిర్మిత జంట సిలిండర్, లిక్విడ్-కూల్డ్, టూ-స్ట్రోక్, డ్యూయల్-ఇగ్నిషన్ 64 హెచ్‌పి (48 కిలోవాట్ 60 kW) రోటాక్స్ 912UL ఇంజిన్. [1] ఈ విమానం ఖాళీ బరువు 248 కిలోల (547 పౌండ్లు) మరియు స్థూల బరువు 450 కిలోలు (992 పౌండ్లు), ఇది 202 కిలోల (445 ఎల్బి) యొక్క ఉపయోగకరమైన లోడ్‌ను ఇస్తుంది. 60 లీటర్ల పూర్తి ఇంధనంతో (13 ఇంప్ గల్; 16 యుఎస్ గాల్) పేలోడ్ 159 కిలోలు (351 ఎల్బి). [1] టాక్ నుండి డేటా [1] సాధారణ లక్షణాల పనితీరు</v>
      </c>
      <c r="F201" s="1" t="s">
        <v>184</v>
      </c>
      <c r="G201" s="1" t="str">
        <f>IFERROR(__xludf.DUMMYFUNCTION("GOOGLETRANSLATE(F:F, ""en"", ""te"")"),"అల్ట్రాలైట్ ట్రైక్")</f>
        <v>అల్ట్రాలైట్ ట్రైక్</v>
      </c>
      <c r="H201" s="1" t="s">
        <v>185</v>
      </c>
      <c r="I201" s="1" t="s">
        <v>486</v>
      </c>
      <c r="J201" s="1" t="str">
        <f>IFERROR(__xludf.DUMMYFUNCTION("GOOGLETRANSLATE(I:I, ""en"", ""te"")"),"చైనా")</f>
        <v>చైనా</v>
      </c>
      <c r="K201" s="3" t="s">
        <v>3087</v>
      </c>
      <c r="L201" s="1" t="s">
        <v>3088</v>
      </c>
      <c r="M201" s="1" t="str">
        <f>IFERROR(__xludf.DUMMYFUNCTION("GOOGLETRANSLATE(L:L, ""en"", ""te"")"),"సన్‌వార్డ్ టెక్")</f>
        <v>సన్‌వార్డ్ టెక్</v>
      </c>
      <c r="N201" s="1" t="s">
        <v>3089</v>
      </c>
      <c r="O201" s="1" t="s">
        <v>560</v>
      </c>
      <c r="P201" s="1" t="str">
        <f>IFERROR(__xludf.DUMMYFUNCTION("GOOGLETRANSLATE(O:O, ""en"", ""te"")"),"ఉత్పత్తిలో (2018)")</f>
        <v>ఉత్పత్తిలో (2018)</v>
      </c>
      <c r="R201" s="1" t="s">
        <v>132</v>
      </c>
      <c r="S201" s="1" t="s">
        <v>133</v>
      </c>
      <c r="T201" s="1" t="s">
        <v>134</v>
      </c>
      <c r="V201" s="1" t="s">
        <v>3090</v>
      </c>
      <c r="W201" s="1" t="s">
        <v>826</v>
      </c>
      <c r="X201" s="1" t="s">
        <v>3091</v>
      </c>
      <c r="Y201" s="1" t="s">
        <v>252</v>
      </c>
      <c r="Z201" s="1" t="s">
        <v>1255</v>
      </c>
      <c r="AA201" s="1" t="s">
        <v>1165</v>
      </c>
      <c r="AB201" s="1" t="s">
        <v>276</v>
      </c>
      <c r="AC201" s="1" t="s">
        <v>257</v>
      </c>
      <c r="AD201" s="1" t="s">
        <v>3092</v>
      </c>
      <c r="AG201" s="1" t="s">
        <v>2081</v>
      </c>
      <c r="AP201" s="1" t="s">
        <v>515</v>
      </c>
    </row>
    <row r="202">
      <c r="A202" s="1" t="s">
        <v>3093</v>
      </c>
      <c r="B202" s="1" t="str">
        <f>IFERROR(__xludf.DUMMYFUNCTION("GOOGLETRANSLATE(A:A, ""en"", ""te"")"),"బోహాటియూ మి")</f>
        <v>బోహాటియూ మి</v>
      </c>
      <c r="C202" s="1" t="s">
        <v>3094</v>
      </c>
      <c r="D202" s="1" t="str">
        <f>IFERROR(__xludf.DUMMYFUNCTION("GOOGLETRANSLATE(C:C, ""en"", ""te"")"),"బోహాటియూ మియా (ఇంగ్లీష్: బేర్ లేదా టెడ్డి బేర్) ఒక పోలిష్ గ్లైడర్, ఇది 1925 లో రెండవ పోలిష్ గ్లైడర్ పోటీని గెలుచుకుంది. జార్నా గోరా 1923 లో జరిగిన మొదటి పోలిష్ గ్లైడర్ పోటీకి అవసరమైన గాలి వేగాన్ని అందించలేదు. 1925 లో జరిగిన రెండవ పోటీ యొక్క నిర్వాహకులు గ్"&amp;"డినియా సమీపంలో ఓక్సీవీని ఎన్నుకున్నారు, మంచి గాలుల కోసం అన్వేషణలో మరియు వారి ఆశలు ఇవ్వబడలేదు మరియు ఉత్తమమైనవి 1923 నాటి విమానాలను సంప్రదించలేదు, అయినప్పటికీ ఎక్కువ విమానాలు తయారు చేయబడ్డాయి మరియు తక్కువ క్రాష్లతో ఉన్నాయి. రెండవ పోటీ మే 17 న ప్రారంభమై జూన్"&amp;" 14 న ముగిసింది, అయితే ఇరవై ఏడు పోటీదారులలో పదిహేను మంది మాత్రమే ఎగిరిపోయారు. పోటీ నిర్వాహకుడిగా ఉన్న మిచల్ బోహాటియ్రూ రూపొందించిన బోహాతే మియా మొత్తం విజేత. [1] చెక్క మిజ్ పోజ్నాస్‌లోని ఓవైకా ఎయిర్‌ఫీల్డ్ వద్ద W.W.S సమోలెట్ ఫ్యాక్టరీ [1] [2] లో నిర్మించబడ"&amp;"ింది, ఇది లైసెన్స్ కింద హన్రియోట్ విమానాలను కూడా నిర్మించింది. [3] దాని రెండు స్పార్, పారాసోల్ వింగ్, హన్రియోట్ HD.28 యొక్క రెక్క నుండి ప్యానెల్లను ఉపయోగించింది, ఫార్వర్డ్ స్పార్ మరియు ఫాబ్రిక్ కప్పబడిన వెనుక భాగంలో ప్రముఖ అంచు చుట్టూ ప్లైవుడ్-కవర్ చేయబడి"&amp;"ంది. ఇది నాలుగు కన్వర్జింగ్ స్టీల్ స్ట్రట్‌లపై ఫ్యూజ్‌లేజ్‌పై జరిగింది, ఇది రెక్కపై సెంట్రల్ క్యాబనేను ఏర్పరుస్తుంది, దీని నుండి ల్యాండింగ్ వైర్లు బయటి రెక్కలను కలుపుతాయి, దిగువ ఫ్యూజ్‌లేజ్ లాంగన్స్ నుండి లిఫ్ట్ వైర్ల ద్వారా సహాయపడుతుంది. [1] [2] అంతర్లీన"&amp;" ఫ్యూజ్‌లేజ్ నిర్మాణం విభాగంలో దీర్ఘచతురస్రాకారంగా ఉంది మరియు ప్లై-కప్పబడినది, అయితే ఫార్వర్డ్ ఎగువ ఉపరితలంపై డ్యూరాలిమిన్ షీట్ దెబ్బతిన్న, పెంటగోనల్-సెక్షన్, సన్నని ముక్కును ఏర్పరుస్తుంది. రెక్క కింద ఒకే సీటు, ఓపెన్ కాక్‌పిట్ ఉంది. సామ్రాజ్యం వైర్-బ్రేస్"&amp;"డ్ మరియు ఫాబ్రిక్-కప్పబడినది. ఫ్యూజ్‌లేజ్ పైన అమర్చబడిన టెయిల్‌ప్లేన్ యొక్క ప్రముఖ అంచు నేరుగా మరియు తుడిచిపెట్టుకుపోయింది. ఇది స్ట్రెయిట్-ఎడ్జ్డ్ ఎలివేటర్లను కలిగి ఉంది, ఇది గుండ్రని చిట్కాలను కలిగి ఉంది మరియు సమతుల్యతతో ఉంది. చుక్కాని కూడా రౌండ్-టిప్డ్ "&amp;"మరియు స్ట్రెయిట్ ఎడ్జ్డ్. [1] [2] ఇది మొదట పోటీలో కనిపించినప్పుడు, MIś లో ఫ్యూజ్‌లేజ్ అండర్‌సైడ్‌కు దగ్గరగా ఉన్న ఇరుసుతో స్థిరమైన, సింగిల్-యాక్సిల్ అండర్ క్యారేజీని కలిగి ఉంది మరియు చక్రాలు దాని వైపులా దగ్గరగా ఉన్నాయి. [1] మే 29 న ల్యాండింగ్ ప్రమాదంలో స్వ"&amp;"ల్ప నష్టం జరిగిన తరువాత, చక్రాల గేర్‌ను ఒక జత స్కిడ్‌లతో భర్తీ చేశారు. [2] ఈ కార్యక్రమంలో స్టానిస్లా రెంబెల్ ఈ కార్యక్రమంలో ఎగిరింది. మే 26 న అతను పొడవైన విమాన ప్రయాణాన్ని (65 సెకన్లు) సాధించాడు, తరువాత తక్కువ గాలి పరిస్థితులలో (23 సెకన్లు) పొడవైన విమాన ప"&amp;"్రయాణాన్ని చేశాడు మరియు దాని ఇరవై ఆరు విమానాలలో 15 నిమిషాల 56 సెకన్ల మొత్తం ఎగిరే సమయాన్ని కూడా నిర్ణయించాడు. [1] 1925 చివరలో, వార్సా టెక్నికల్ విశ్వవిద్యాలయం యొక్క విద్యార్థులు డుక్లా చుట్టూ ఉన్న గ్లైడింగ్ సైట్ల దర్యాప్తుపై MIś ను తీసుకున్నారు, వీటిలో వా"&amp;"యు ప్రవాహాల మ్యాపింగ్‌తో సహా. [1] ఇది మొదటి ఫ్లైట్ తర్వాత దెబ్బతింది మరియు మరమ్మతులు చేయబడలేదు. [2] J. సిన్క్ (1971) [1] నుండి డేటా గుర్తించబడిన చోట తప్ప")</f>
        <v>బోహాటియూ మియా (ఇంగ్లీష్: బేర్ లేదా టెడ్డి బేర్) ఒక పోలిష్ గ్లైడర్, ఇది 1925 లో రెండవ పోలిష్ గ్లైడర్ పోటీని గెలుచుకుంది. జార్నా గోరా 1923 లో జరిగిన మొదటి పోలిష్ గ్లైడర్ పోటీకి అవసరమైన గాలి వేగాన్ని అందించలేదు. 1925 లో జరిగిన రెండవ పోటీ యొక్క నిర్వాహకులు గ్డినియా సమీపంలో ఓక్సీవీని ఎన్నుకున్నారు, మంచి గాలుల కోసం అన్వేషణలో మరియు వారి ఆశలు ఇవ్వబడలేదు మరియు ఉత్తమమైనవి 1923 నాటి విమానాలను సంప్రదించలేదు, అయినప్పటికీ ఎక్కువ విమానాలు తయారు చేయబడ్డాయి మరియు తక్కువ క్రాష్లతో ఉన్నాయి. రెండవ పోటీ మే 17 న ప్రారంభమై జూన్ 14 న ముగిసింది, అయితే ఇరవై ఏడు పోటీదారులలో పదిహేను మంది మాత్రమే ఎగిరిపోయారు. పోటీ నిర్వాహకుడిగా ఉన్న మిచల్ బోహాటియ్రూ రూపొందించిన బోహాతే మియా మొత్తం విజేత. [1] చెక్క మిజ్ పోజ్నాస్‌లోని ఓవైకా ఎయిర్‌ఫీల్డ్ వద్ద W.W.S సమోలెట్ ఫ్యాక్టరీ [1] [2] లో నిర్మించబడింది, ఇది లైసెన్స్ కింద హన్రియోట్ విమానాలను కూడా నిర్మించింది. [3] దాని రెండు స్పార్, పారాసోల్ వింగ్, హన్రియోట్ HD.28 యొక్క రెక్క నుండి ప్యానెల్లను ఉపయోగించింది, ఫార్వర్డ్ స్పార్ మరియు ఫాబ్రిక్ కప్పబడిన వెనుక భాగంలో ప్రముఖ అంచు చుట్టూ ప్లైవుడ్-కవర్ చేయబడింది. ఇది నాలుగు కన్వర్జింగ్ స్టీల్ స్ట్రట్‌లపై ఫ్యూజ్‌లేజ్‌పై జరిగింది, ఇది రెక్కపై సెంట్రల్ క్యాబనేను ఏర్పరుస్తుంది, దీని నుండి ల్యాండింగ్ వైర్లు బయటి రెక్కలను కలుపుతాయి, దిగువ ఫ్యూజ్‌లేజ్ లాంగన్స్ నుండి లిఫ్ట్ వైర్ల ద్వారా సహాయపడుతుంది. [1] [2] అంతర్లీన ఫ్యూజ్‌లేజ్ నిర్మాణం విభాగంలో దీర్ఘచతురస్రాకారంగా ఉంది మరియు ప్లై-కప్పబడినది, అయితే ఫార్వర్డ్ ఎగువ ఉపరితలంపై డ్యూరాలిమిన్ షీట్ దెబ్బతిన్న, పెంటగోనల్-సెక్షన్, సన్నని ముక్కును ఏర్పరుస్తుంది. రెక్క కింద ఒకే సీటు, ఓపెన్ కాక్‌పిట్ ఉంది. సామ్రాజ్యం వైర్-బ్రేస్డ్ మరియు ఫాబ్రిక్-కప్పబడినది. ఫ్యూజ్‌లేజ్ పైన అమర్చబడిన టెయిల్‌ప్లేన్ యొక్క ప్రముఖ అంచు నేరుగా మరియు తుడిచిపెట్టుకుపోయింది. ఇది స్ట్రెయిట్-ఎడ్జ్డ్ ఎలివేటర్లను కలిగి ఉంది, ఇది గుండ్రని చిట్కాలను కలిగి ఉంది మరియు సమతుల్యతతో ఉంది. చుక్కాని కూడా రౌండ్-టిప్డ్ మరియు స్ట్రెయిట్ ఎడ్జ్డ్. [1] [2] ఇది మొదట పోటీలో కనిపించినప్పుడు, MIś లో ఫ్యూజ్‌లేజ్ అండర్‌సైడ్‌కు దగ్గరగా ఉన్న ఇరుసుతో స్థిరమైన, సింగిల్-యాక్సిల్ అండర్ క్యారేజీని కలిగి ఉంది మరియు చక్రాలు దాని వైపులా దగ్గరగా ఉన్నాయి. [1] మే 29 న ల్యాండింగ్ ప్రమాదంలో స్వల్ప నష్టం జరిగిన తరువాత, చక్రాల గేర్‌ను ఒక జత స్కిడ్‌లతో భర్తీ చేశారు. [2] ఈ కార్యక్రమంలో స్టానిస్లా రెంబెల్ ఈ కార్యక్రమంలో ఎగిరింది. మే 26 న అతను పొడవైన విమాన ప్రయాణాన్ని (65 సెకన్లు) సాధించాడు, తరువాత తక్కువ గాలి పరిస్థితులలో (23 సెకన్లు) పొడవైన విమాన ప్రయాణాన్ని చేశాడు మరియు దాని ఇరవై ఆరు విమానాలలో 15 నిమిషాల 56 సెకన్ల మొత్తం ఎగిరే సమయాన్ని కూడా నిర్ణయించాడు. [1] 1925 చివరలో, వార్సా టెక్నికల్ విశ్వవిద్యాలయం యొక్క విద్యార్థులు డుక్లా చుట్టూ ఉన్న గ్లైడింగ్ సైట్ల దర్యాప్తుపై MIś ను తీసుకున్నారు, వీటిలో వాయు ప్రవాహాల మ్యాపింగ్‌తో సహా. [1] ఇది మొదటి ఫ్లైట్ తర్వాత దెబ్బతింది మరియు మరమ్మతులు చేయబడలేదు. [2] J. సిన్క్ (1971) [1] నుండి డేటా గుర్తించబడిన చోట తప్ప</v>
      </c>
      <c r="F202" s="1" t="s">
        <v>2763</v>
      </c>
      <c r="G202" s="1" t="str">
        <f>IFERROR(__xludf.DUMMYFUNCTION("GOOGLETRANSLATE(F:F, ""en"", ""te"")"),"గ్లైడర్")</f>
        <v>గ్లైడర్</v>
      </c>
      <c r="H202" s="3" t="s">
        <v>2764</v>
      </c>
      <c r="I202" s="1" t="s">
        <v>431</v>
      </c>
      <c r="J202" s="1" t="str">
        <f>IFERROR(__xludf.DUMMYFUNCTION("GOOGLETRANSLATE(I:I, ""en"", ""te"")"),"పోలాండ్")</f>
        <v>పోలాండ్</v>
      </c>
      <c r="K202" s="3" t="s">
        <v>432</v>
      </c>
      <c r="L202" s="1" t="s">
        <v>3095</v>
      </c>
      <c r="M202" s="1" t="str">
        <f>IFERROR(__xludf.DUMMYFUNCTION("GOOGLETRANSLATE(L:L, ""en"", ""te"")"),"W.W.S. సమోలోట్")</f>
        <v>W.W.S. సమోలోట్</v>
      </c>
      <c r="N202" s="1" t="s">
        <v>3096</v>
      </c>
      <c r="Q202" s="1">
        <v>1.0</v>
      </c>
      <c r="S202" s="1" t="s">
        <v>433</v>
      </c>
      <c r="U202" s="1" t="s">
        <v>1788</v>
      </c>
      <c r="V202" s="1" t="s">
        <v>562</v>
      </c>
      <c r="W202" s="1" t="s">
        <v>3097</v>
      </c>
      <c r="X202" s="1" t="s">
        <v>3098</v>
      </c>
      <c r="Y202" s="1" t="s">
        <v>188</v>
      </c>
      <c r="AH202" s="1" t="s">
        <v>3099</v>
      </c>
      <c r="AJ202" s="1" t="s">
        <v>3100</v>
      </c>
      <c r="AM202" s="1" t="s">
        <v>504</v>
      </c>
      <c r="AS202" s="1">
        <v>9.1</v>
      </c>
      <c r="BD202" s="1" t="s">
        <v>3101</v>
      </c>
    </row>
  </sheetData>
  <hyperlinks>
    <hyperlink r:id="rId1" ref="K4"/>
    <hyperlink r:id="rId2" ref="H7"/>
    <hyperlink r:id="rId3" ref="K7"/>
    <hyperlink r:id="rId4" ref="H9"/>
    <hyperlink r:id="rId5" ref="K9"/>
    <hyperlink r:id="rId6" ref="N9"/>
    <hyperlink r:id="rId7" ref="K12"/>
    <hyperlink r:id="rId8" ref="K13"/>
    <hyperlink r:id="rId9" ref="N15"/>
    <hyperlink r:id="rId10" ref="K18"/>
    <hyperlink r:id="rId11" ref="K22"/>
    <hyperlink r:id="rId12" ref="H23"/>
    <hyperlink r:id="rId13" ref="K23"/>
    <hyperlink r:id="rId14" ref="H24"/>
    <hyperlink r:id="rId15" ref="K24"/>
    <hyperlink r:id="rId16" ref="H25"/>
    <hyperlink r:id="rId17" ref="K25"/>
    <hyperlink r:id="rId18" ref="K26"/>
    <hyperlink r:id="rId19" ref="K27"/>
    <hyperlink r:id="rId20" ref="K28"/>
    <hyperlink r:id="rId21" ref="K29"/>
    <hyperlink r:id="rId22" ref="K30"/>
    <hyperlink r:id="rId23" ref="K31"/>
    <hyperlink r:id="rId24" ref="H32"/>
    <hyperlink r:id="rId25" ref="K32"/>
    <hyperlink r:id="rId26" ref="H34"/>
    <hyperlink r:id="rId27" ref="K34"/>
    <hyperlink r:id="rId28" ref="K35"/>
    <hyperlink r:id="rId29" ref="K36"/>
    <hyperlink r:id="rId30" ref="BY39"/>
    <hyperlink r:id="rId31" ref="K40"/>
    <hyperlink r:id="rId32" ref="K41"/>
    <hyperlink r:id="rId33" ref="K42"/>
    <hyperlink r:id="rId34" ref="N42"/>
    <hyperlink r:id="rId35" ref="CG43"/>
    <hyperlink r:id="rId36" ref="CH43"/>
    <hyperlink r:id="rId37" ref="K45"/>
    <hyperlink r:id="rId38" ref="K46"/>
    <hyperlink r:id="rId39" ref="N46"/>
    <hyperlink r:id="rId40" ref="H47"/>
    <hyperlink r:id="rId41" ref="K47"/>
    <hyperlink r:id="rId42" ref="K48"/>
    <hyperlink r:id="rId43" ref="K49"/>
    <hyperlink r:id="rId44" ref="K51"/>
    <hyperlink r:id="rId45" ref="N51"/>
    <hyperlink r:id="rId46" ref="N52"/>
    <hyperlink r:id="rId47" ref="K55"/>
    <hyperlink r:id="rId48" ref="N55"/>
    <hyperlink r:id="rId49" ref="H56"/>
    <hyperlink r:id="rId50" ref="K56"/>
    <hyperlink r:id="rId51" ref="H57"/>
    <hyperlink r:id="rId52" ref="H58"/>
    <hyperlink r:id="rId53" ref="K58"/>
    <hyperlink r:id="rId54" ref="H59"/>
    <hyperlink r:id="rId55" ref="K59"/>
    <hyperlink r:id="rId56" ref="H60"/>
    <hyperlink r:id="rId57" ref="K60"/>
    <hyperlink r:id="rId58" ref="H61"/>
    <hyperlink r:id="rId59" ref="K61"/>
    <hyperlink r:id="rId60" ref="K62"/>
    <hyperlink r:id="rId61" ref="N62"/>
    <hyperlink r:id="rId62" ref="K66"/>
    <hyperlink r:id="rId63" ref="H67"/>
    <hyperlink r:id="rId64" ref="K67"/>
    <hyperlink r:id="rId65" ref="N68"/>
    <hyperlink r:id="rId66" ref="K71"/>
    <hyperlink r:id="rId67" ref="K72"/>
    <hyperlink r:id="rId68" ref="H73"/>
    <hyperlink r:id="rId69" ref="K73"/>
    <hyperlink r:id="rId70" ref="H74"/>
    <hyperlink r:id="rId71" ref="K74"/>
    <hyperlink r:id="rId72" ref="K76"/>
    <hyperlink r:id="rId73" ref="H78"/>
    <hyperlink r:id="rId74" ref="K78"/>
    <hyperlink r:id="rId75" ref="N80"/>
    <hyperlink r:id="rId76" ref="K82"/>
    <hyperlink r:id="rId77" ref="H83"/>
    <hyperlink r:id="rId78" ref="K83"/>
    <hyperlink r:id="rId79" ref="N83"/>
    <hyperlink r:id="rId80" ref="BI83"/>
    <hyperlink r:id="rId81" ref="CG83"/>
    <hyperlink r:id="rId82" ref="N85"/>
    <hyperlink r:id="rId83" ref="K86"/>
    <hyperlink r:id="rId84" ref="N86"/>
    <hyperlink r:id="rId85" ref="CG88"/>
    <hyperlink r:id="rId86" ref="CG89"/>
    <hyperlink r:id="rId87" ref="N91"/>
    <hyperlink r:id="rId88" ref="N93"/>
    <hyperlink r:id="rId89" ref="K95"/>
    <hyperlink r:id="rId90" ref="N95"/>
    <hyperlink r:id="rId91" ref="K96"/>
    <hyperlink r:id="rId92" ref="N96"/>
    <hyperlink r:id="rId93" ref="N100"/>
    <hyperlink r:id="rId94" ref="N101"/>
    <hyperlink r:id="rId95" ref="CG101"/>
    <hyperlink r:id="rId96" ref="K103"/>
    <hyperlink r:id="rId97" ref="N104"/>
    <hyperlink r:id="rId98" ref="CG105"/>
    <hyperlink r:id="rId99" ref="N108"/>
    <hyperlink r:id="rId100" ref="N109"/>
    <hyperlink r:id="rId101" ref="K110"/>
    <hyperlink r:id="rId102" ref="K111"/>
    <hyperlink r:id="rId103" ref="N111"/>
    <hyperlink r:id="rId104" ref="K115"/>
    <hyperlink r:id="rId105" ref="N121"/>
    <hyperlink r:id="rId106" ref="N122"/>
    <hyperlink r:id="rId107" ref="CG122"/>
    <hyperlink r:id="rId108" ref="H124"/>
    <hyperlink r:id="rId109" ref="N125"/>
    <hyperlink r:id="rId110" ref="N126"/>
    <hyperlink r:id="rId111" ref="H127"/>
    <hyperlink r:id="rId112" ref="H128"/>
    <hyperlink r:id="rId113" ref="N131"/>
    <hyperlink r:id="rId114" ref="CG132"/>
    <hyperlink r:id="rId115" ref="N138"/>
    <hyperlink r:id="rId116" ref="N141"/>
    <hyperlink r:id="rId117" ref="H144"/>
    <hyperlink r:id="rId118" ref="N144"/>
    <hyperlink r:id="rId119" ref="DJ149"/>
    <hyperlink r:id="rId120" ref="CG150"/>
    <hyperlink r:id="rId121" ref="DJ150"/>
    <hyperlink r:id="rId122" ref="H160"/>
    <hyperlink r:id="rId123" ref="CG160"/>
    <hyperlink r:id="rId124" ref="K162"/>
    <hyperlink r:id="rId125" ref="K163"/>
    <hyperlink r:id="rId126" ref="K164"/>
    <hyperlink r:id="rId127" ref="K166"/>
    <hyperlink r:id="rId128" ref="CN167"/>
    <hyperlink r:id="rId129" ref="H168"/>
    <hyperlink r:id="rId130" ref="K168"/>
    <hyperlink r:id="rId131" ref="N168"/>
    <hyperlink r:id="rId132" ref="N170"/>
    <hyperlink r:id="rId133" ref="K171"/>
    <hyperlink r:id="rId134" ref="K173"/>
    <hyperlink r:id="rId135" ref="N173"/>
    <hyperlink r:id="rId136" ref="K174"/>
    <hyperlink r:id="rId137" ref="H175"/>
    <hyperlink r:id="rId138" ref="K175"/>
    <hyperlink r:id="rId139" ref="K176"/>
    <hyperlink r:id="rId140" ref="K177"/>
    <hyperlink r:id="rId141" ref="N177"/>
    <hyperlink r:id="rId142" ref="K178"/>
    <hyperlink r:id="rId143" ref="K181"/>
    <hyperlink r:id="rId144" ref="K182"/>
    <hyperlink r:id="rId145" ref="K183"/>
    <hyperlink r:id="rId146" ref="K184"/>
    <hyperlink r:id="rId147" ref="K187"/>
    <hyperlink r:id="rId148" ref="K188"/>
    <hyperlink r:id="rId149" ref="DO189"/>
    <hyperlink r:id="rId150" ref="DW189"/>
    <hyperlink r:id="rId151" ref="K191"/>
    <hyperlink r:id="rId152" ref="K192"/>
    <hyperlink r:id="rId153" ref="H193"/>
    <hyperlink r:id="rId154" ref="K193"/>
    <hyperlink r:id="rId155" ref="N194"/>
    <hyperlink r:id="rId156" ref="K195"/>
    <hyperlink r:id="rId157" ref="H197"/>
    <hyperlink r:id="rId158" ref="K198"/>
    <hyperlink r:id="rId159" ref="K200"/>
    <hyperlink r:id="rId160" ref="K201"/>
    <hyperlink r:id="rId161" ref="H202"/>
    <hyperlink r:id="rId162" ref="K202"/>
  </hyperlinks>
  <drawing r:id="rId163"/>
</worksheet>
</file>