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output800" sheetId="1" r:id="rId4"/>
  </sheets>
  <definedNames/>
  <calcPr/>
</workbook>
</file>

<file path=xl/sharedStrings.xml><?xml version="1.0" encoding="utf-8"?>
<sst xmlns="http://schemas.openxmlformats.org/spreadsheetml/2006/main" count="4634" uniqueCount="3710">
  <si>
    <t>name</t>
  </si>
  <si>
    <t>Description</t>
  </si>
  <si>
    <t>img</t>
  </si>
  <si>
    <t>Role</t>
  </si>
  <si>
    <t>Rolelink</t>
  </si>
  <si>
    <t>National origin</t>
  </si>
  <si>
    <t>National originlink</t>
  </si>
  <si>
    <t>Manufacturer</t>
  </si>
  <si>
    <t>Manufacturerlink</t>
  </si>
  <si>
    <t>Introduction</t>
  </si>
  <si>
    <t>Status</t>
  </si>
  <si>
    <t>Number built</t>
  </si>
  <si>
    <t>Crew</t>
  </si>
  <si>
    <t>Capacity</t>
  </si>
  <si>
    <t>Length</t>
  </si>
  <si>
    <t>Height</t>
  </si>
  <si>
    <t>Wing area</t>
  </si>
  <si>
    <t>Empty weight</t>
  </si>
  <si>
    <t>Gross weight</t>
  </si>
  <si>
    <t>Fuel capacity</t>
  </si>
  <si>
    <t>Powerplant</t>
  </si>
  <si>
    <t>Cruise speed</t>
  </si>
  <si>
    <t>Maximum glide ratio</t>
  </si>
  <si>
    <t>Rate of climb</t>
  </si>
  <si>
    <t>Propellers</t>
  </si>
  <si>
    <t>Wing loading</t>
  </si>
  <si>
    <t>Variants</t>
  </si>
  <si>
    <t>Wingspan</t>
  </si>
  <si>
    <t>Stall speed</t>
  </si>
  <si>
    <t>Never exceed speed</t>
  </si>
  <si>
    <t>Range</t>
  </si>
  <si>
    <t>Service ceiling</t>
  </si>
  <si>
    <t>Designer</t>
  </si>
  <si>
    <t>Designerlink</t>
  </si>
  <si>
    <t>First flight</t>
  </si>
  <si>
    <t>Main rotor diameter</t>
  </si>
  <si>
    <t>Maximum speed</t>
  </si>
  <si>
    <t>Primary user</t>
  </si>
  <si>
    <t>Variantslink</t>
  </si>
  <si>
    <t>Max takeoff weight</t>
  </si>
  <si>
    <t>Developed from</t>
  </si>
  <si>
    <t>Developed fromlink</t>
  </si>
  <si>
    <t>Airfoil</t>
  </si>
  <si>
    <t>Developed into</t>
  </si>
  <si>
    <t>Developed intolink</t>
  </si>
  <si>
    <t>Endurance</t>
  </si>
  <si>
    <t>Primary userlink</t>
  </si>
  <si>
    <t>Rate of sink</t>
  </si>
  <si>
    <t>Retired</t>
  </si>
  <si>
    <t>Aspect ratio</t>
  </si>
  <si>
    <t>g limits</t>
  </si>
  <si>
    <t>Roll rate</t>
  </si>
  <si>
    <t>Produced</t>
  </si>
  <si>
    <t>Power/mass</t>
  </si>
  <si>
    <t>Take-off run</t>
  </si>
  <si>
    <t>Take-off to 50 ft (15 m)</t>
  </si>
  <si>
    <t>Landing run</t>
  </si>
  <si>
    <t>Landing run from 50 ft (15 m)</t>
  </si>
  <si>
    <t>Upper wingspan</t>
  </si>
  <si>
    <t>Lower wingspan</t>
  </si>
  <si>
    <t>Take off run</t>
  </si>
  <si>
    <t>Landing distance</t>
  </si>
  <si>
    <t>Combat range</t>
  </si>
  <si>
    <t>Guns</t>
  </si>
  <si>
    <t>Rockets</t>
  </si>
  <si>
    <t>Bombs</t>
  </si>
  <si>
    <t>Other name(s)</t>
  </si>
  <si>
    <t>Type</t>
  </si>
  <si>
    <t>Typelink</t>
  </si>
  <si>
    <t>Serial</t>
  </si>
  <si>
    <t>Owners and operators</t>
  </si>
  <si>
    <t>Owners and operatorslink</t>
  </si>
  <si>
    <t>In service</t>
  </si>
  <si>
    <t>Fate</t>
  </si>
  <si>
    <t>Time to altitude</t>
  </si>
  <si>
    <t>First flightlink</t>
  </si>
  <si>
    <t>Landing speed</t>
  </si>
  <si>
    <t>Fuel consumption</t>
  </si>
  <si>
    <t>Diameter</t>
  </si>
  <si>
    <t>Fineness ratio</t>
  </si>
  <si>
    <t>Volume</t>
  </si>
  <si>
    <t>Useful lift</t>
  </si>
  <si>
    <t>Statuslink</t>
  </si>
  <si>
    <t>Thrust/weight</t>
  </si>
  <si>
    <t>Primary users</t>
  </si>
  <si>
    <t>Primary userslink</t>
  </si>
  <si>
    <t>Minimum control speed</t>
  </si>
  <si>
    <t>Preserved at</t>
  </si>
  <si>
    <t>Preserved atlink</t>
  </si>
  <si>
    <t>Mid wingspan</t>
  </si>
  <si>
    <t>Main rotor area</t>
  </si>
  <si>
    <t>Disk loading</t>
  </si>
  <si>
    <t>Introductionlink</t>
  </si>
  <si>
    <t>Producedlink</t>
  </si>
  <si>
    <t>Last flight</t>
  </si>
  <si>
    <t>Radio code</t>
  </si>
  <si>
    <t>Project for</t>
  </si>
  <si>
    <t>Project forlink</t>
  </si>
  <si>
    <t>Issued by</t>
  </si>
  <si>
    <t>Issued bylink</t>
  </si>
  <si>
    <t>Proposals</t>
  </si>
  <si>
    <t>Outcome</t>
  </si>
  <si>
    <t>Outcomelink</t>
  </si>
  <si>
    <t>Related programs</t>
  </si>
  <si>
    <t>Related programslink</t>
  </si>
  <si>
    <t>Manufactured</t>
  </si>
  <si>
    <t>Manufacturedlink</t>
  </si>
  <si>
    <t>Registration</t>
  </si>
  <si>
    <t>Location</t>
  </si>
  <si>
    <t>Locationlink</t>
  </si>
  <si>
    <t>Area</t>
  </si>
  <si>
    <t>Architect</t>
  </si>
  <si>
    <t>NRHP reference No.</t>
  </si>
  <si>
    <t>NRHP reference No.link</t>
  </si>
  <si>
    <t>Added to NRHP</t>
  </si>
  <si>
    <t>Ferry range</t>
  </si>
  <si>
    <t>Oil capacity</t>
  </si>
  <si>
    <t>Retiredlink</t>
  </si>
  <si>
    <t>Maximum Speed</t>
  </si>
  <si>
    <t>Fuel capacity (cruise)</t>
  </si>
  <si>
    <t>G-loads</t>
  </si>
  <si>
    <t>Alighting speed</t>
  </si>
  <si>
    <t>Width</t>
  </si>
  <si>
    <t>Take-off run from deck</t>
  </si>
  <si>
    <t>Construction number</t>
  </si>
  <si>
    <t>Fatelink</t>
  </si>
  <si>
    <t>Requirement</t>
  </si>
  <si>
    <t>Date initiated</t>
  </si>
  <si>
    <t>Proposalslink</t>
  </si>
  <si>
    <t>Date concluded</t>
  </si>
  <si>
    <t>Flights</t>
  </si>
  <si>
    <t>Total hours</t>
  </si>
  <si>
    <t>Total distance</t>
  </si>
  <si>
    <t>Takeoff run</t>
  </si>
  <si>
    <t>Landing roll</t>
  </si>
  <si>
    <t>Major applications</t>
  </si>
  <si>
    <t>Major applicationslink</t>
  </si>
  <si>
    <t>Bore</t>
  </si>
  <si>
    <t>Stroke</t>
  </si>
  <si>
    <t>Displacement</t>
  </si>
  <si>
    <t>Dry weight</t>
  </si>
  <si>
    <t>Valvetrain</t>
  </si>
  <si>
    <t>Fuel system</t>
  </si>
  <si>
    <t>Oil system</t>
  </si>
  <si>
    <t>Cooling system</t>
  </si>
  <si>
    <t>Reduction gear</t>
  </si>
  <si>
    <t>Power output</t>
  </si>
  <si>
    <t>Takeoff run to 50 ft (15 m)</t>
  </si>
  <si>
    <t>Rough air speed max</t>
  </si>
  <si>
    <t>Aerotow speed</t>
  </si>
  <si>
    <t>Winch launch speed</t>
  </si>
  <si>
    <t>Terminal velocity</t>
  </si>
  <si>
    <t>Cabin height</t>
  </si>
  <si>
    <t>Summit 2</t>
  </si>
  <si>
    <t>The Summit 2, also called the Summit II, is an American powered parachute that was originally designed and manufactured in 1999 by Aircraft Sales and Parts of Vernon, British Columbia and now produced by Summit Aerosports of Yale, Michigan.[1][2][3][4] The aircraft was designed to comply with the US FAR 103 Ultralight Vehicles rules as a two-seat trainer, or as an amateur-built aircraft. It features a parachute-style high-wing, two-seats-in-tandem, tricycle landing gear and a single 64 hp (48 kW) Rotax 582 engine in pusher configuration. The 65 hp (48 kW) Hirth 2706, 50 hp (37 kW) Rotax 503, 80 hp (60 kW) Rotax 912 and the 60 hp (45 kW) HKS 700E engines are factory options.[1][2][4][5][6] The aircraft is built from a combination of 6061-T6 aluminium, 4130 steel and stainless steel tubing. The canopy is attached to the carriage at four points, instead of the more conventional two points, to improve stability. In flight steering is accomplished via rail-mounted sliding foot pedals that actuate the canopy brakes, creating roll and yaw. Steering is via a 2:1 ratio system of pulleys that reduce the force required and increase control authority. The lack of pivoting control bars allows cockpit fairings to be fitted. On the ground the aircraft has lever-controlled nosewheel steering. The aircraft is factory supplied in the form of an assembly kit that requires 20–30 hours to complete.[1][2][4][6] Data from Cliche and Summit[2][5]General characteristics Performance</t>
  </si>
  <si>
    <t>//upload.wikimedia.org/wikipedia/commons/thumb/f/f1/ASAP_Summit_II_Powered_parachute_C-IHBK_12.JPG/300px-ASAP_Summit_II_Powered_parachute_C-IHBK_12.JPG</t>
  </si>
  <si>
    <t>Powered parachute</t>
  </si>
  <si>
    <t>https://en.wikipedia.org/Powered parachute</t>
  </si>
  <si>
    <t>America</t>
  </si>
  <si>
    <t>https://en.wikipedia.org/United States</t>
  </si>
  <si>
    <t>Aircraft Sales and PartsSummit Aerosports</t>
  </si>
  <si>
    <t>https://en.wikipedia.org/Aircraft Sales and PartsSummit Aerosports</t>
  </si>
  <si>
    <t>In production</t>
  </si>
  <si>
    <t>250 (February 2005)[1]</t>
  </si>
  <si>
    <t>one</t>
  </si>
  <si>
    <t>one passenger</t>
  </si>
  <si>
    <t>10 ft 4 in (3.15 m)</t>
  </si>
  <si>
    <t>6 ft 4 in (1.93 m) to top of propeller guard</t>
  </si>
  <si>
    <t>550 sq ft (51 m2)</t>
  </si>
  <si>
    <t>310 lb (141 kg)</t>
  </si>
  <si>
    <t>950 lb (431 kg) when fitted with a Mustang S-550 rectangular canopy</t>
  </si>
  <si>
    <t>10 U.S. gallons (38 L; 8.3 imp gal)</t>
  </si>
  <si>
    <t>1 × Rotax 582 twin cylinder, two-stroke, liquid-cooled aircraft engine, 64 hp (48 kW)</t>
  </si>
  <si>
    <t>26 mph (42 km/h, 23 kn) with a square canopy</t>
  </si>
  <si>
    <t>400 ft/min (2.0 m/s)</t>
  </si>
  <si>
    <t>Summit Steel Breeze</t>
  </si>
  <si>
    <t>The Summit Steel Breeze is an American powered parachute, designed and produced by Summit Aerosports of Yale, Michigan. The aircraft is supplied as a kit for amateur construction or as a complete ready-to-fly aircraft.[1] The Steel Breeze is intended as a light-sport aircraft compliant design. It features a parachute-style high-wing, two seats in tandem accommodation, tricycle landing gear and a single engine in pusher configuration. Engines available include the 50 hp (37 kW) Rotax 503, the 64 hp (48 kW) liquid-cooled Rotax 582, the 70 hp (52 kW) Hirth 3503 two-strokes and the four-stroke 60 hp (45 kW) HKS 700E.[1][2] The Steel Breeze's airframe is built from 1.5 in (38 mm) TIG-welded, powder coated 4130 steel tubing. The standard rectangular Mustang S-500 canopy has an area of 500 sq ft (46 m2) and is attached at four points to increase stability. The Mustang S-500 allows a gross weight of 850 lb (386 kg). Optional canopies include the rectangular Mustang S-550 which allows a gross weight of 950 lb (431 kg) and the elliptical Thunderbolt E-340 which allows a gross weight of 900 lb (408 kg). In-flight steering is accomplished via foot pedals that actuate the canopy brakes, creating roll and yaw. On the ground the aircraft has nosewheel steering controlled by a butterfly steering wheel and the main landing gear incorporates bungee suspension.[1][2] As of August 2012, the design does not appear on the Federal Aviation Administration's list of approved special light-sport aircraft.[3] Data from Kitplanes and Summit Aerosports[1][2]General characteristics Performance</t>
  </si>
  <si>
    <t>Summit Aerosports</t>
  </si>
  <si>
    <t>https://en.wikipedia.org/Summit Aerosports</t>
  </si>
  <si>
    <t>10 ft 3 in (3.12 m)</t>
  </si>
  <si>
    <t>500 sq ft (46 m2)</t>
  </si>
  <si>
    <t>323 lb (147 kg)</t>
  </si>
  <si>
    <t>850 lb (386 kg) with Mustang S-500 wing</t>
  </si>
  <si>
    <t>14 U.S. gallons (53 L; 12 imp gal)</t>
  </si>
  <si>
    <t>1 × Rotax 503 twin cylinder, two-stroke, air-cooled aircraft engine, 50 hp (37 kW)</t>
  </si>
  <si>
    <t>25 mph (40 km/h, 22 kn)</t>
  </si>
  <si>
    <t>3-bladed GSC Systems ground adjustable Tech 3 propeller, 5 ft 4 in (1.63 m) diameter</t>
  </si>
  <si>
    <t>1.7 lb/sq ft (8.3 kg/m2)</t>
  </si>
  <si>
    <t>Sunward SA 60L Aurora</t>
  </si>
  <si>
    <t>The Sunward SA 60L Aurora is a Chinese light-sport aircraft, designed and produced by Sunward Aircraft, a division of Hunan Science and Technologies Co Ltd, an industrial machine manufacturer located in the Lu Gu High Technology Development Zone. The aircraft is intended to be supplied as a complete ready-to-fly-aircraft.[1][2] The Aurora was designed to comply with the US light-sport aircraft rules. It features a cantilever low-wing, a two-seats-in-side-by-side configuration enclosed cockpit under a bubble canopy, fixed tricycle landing gear and a single engine in tractor configuration. The aircraft's 8.6 m (28.2 ft) span wing has a rectangular planform and employs flaps. The standard engine available is the Austrian-made 100 hp (75 kW) Rotax 912ULS four-stroke powerplant.[1][2] The Civil Aviation Administration of China granted the design a type design approval in mid-2013.[2] Bayerl et al. note that the Aurora closely resembles the Fly Synthesis Texan, but that the manufacturer claims the Aurora is an original design.[1] The aircraft can be equipped for banner-towing, aerial photography and has an airshow smoke generation system available.[2] In July 2014 the company announced an improved version, the SA 60V, with an upgraded engines installation using Austrian, rather than Chinese components and an IFR capable instrument panel.[3] As of April 2017, the design does not appear on the Federal Aviation Administration's list of approved special light-sport aircraft.[4] Reviewer Marino Boric described the design in a 2015 review as "stylish" and "elegant".[2] Data from Bayerl, Tacke and manufacturer[1][2][5]General characteristics Performance Avionics</t>
  </si>
  <si>
    <t>//upload.wikimedia.org/wikipedia/en/thumb/3/3c/Suward_Aurora_prototype.JPG/300px-Suward_Aurora_prototype.JPG</t>
  </si>
  <si>
    <t>Light-sport aircraft</t>
  </si>
  <si>
    <t>https://en.wikipedia.org/Light-sport aircraft</t>
  </si>
  <si>
    <t>China</t>
  </si>
  <si>
    <t>https://en.wikipedia.org/China</t>
  </si>
  <si>
    <t>Sunward Aircraft</t>
  </si>
  <si>
    <t>https://en.wikipedia.org/Sunward Aircraft</t>
  </si>
  <si>
    <t>Under development (2011)</t>
  </si>
  <si>
    <t>6.9 m (22 ft 8 in)</t>
  </si>
  <si>
    <t>2.5 m (8 ft 2 in)</t>
  </si>
  <si>
    <t>11.8 m2 (127 sq ft)</t>
  </si>
  <si>
    <t>340 kg (750 lb)</t>
  </si>
  <si>
    <t>600 kg (1,323 lb)</t>
  </si>
  <si>
    <t>120 litres (26 imp gal; 32 US gal)</t>
  </si>
  <si>
    <t>1 × Rotax 912ULS four cylinder, liquid and air-cooled, four stroke aircraft engine, 75 kW (101 hp)</t>
  </si>
  <si>
    <t>220 km/h (140 mph, 120 kn)</t>
  </si>
  <si>
    <t>5.5 m/s (1,080 ft/min)</t>
  </si>
  <si>
    <t>50.8 kg/m2 (10.4 lb/sq ft)</t>
  </si>
  <si>
    <t>{}</t>
  </si>
  <si>
    <t>8.6 m (28 ft 3 in)</t>
  </si>
  <si>
    <t>73 km/h (45 mph, 39 kn)</t>
  </si>
  <si>
    <t>270 km/h (170 mph, 150 kn)</t>
  </si>
  <si>
    <t>1,200 km (750 mi, 650 nmi)</t>
  </si>
  <si>
    <t>4,000 m (13,000 ft)</t>
  </si>
  <si>
    <t>Super Rotor Andorinha</t>
  </si>
  <si>
    <t>The Super Rotor AC.4 Andorinha ("Swallow") was a sport autogyro first produced in Brazil in the 1960s.[1] The prototype was built by Altair Coelho and flown in 1960 as the AC.1,[2] a typically minimalist autogyro design consisting of an open framework supporting the pilot's seat, rotor mast, engine mounting and tail fin.[3] Power was supplied by a converted Volkswagen engine driving a pusher propeller.[3] Francisco Mattis purchased the prototype and manufacturing rights and founded Super Rotor (now Montalva) of São Paulo to produce the aircraft.[3] Refinements for serial production as the AC.4 included an extra reinforcing strut for the rotor mast and a larger tail fin.[2] Super Rotor went on to produce a two-seat version with dual controls as the M.1 Montalva,[1][4] a turbo-charged two-seater as the M.2 Trovão Azul ("Blue Thunder"),[4] and an agricultural version with spray bars as the Agricóptero.[4]  Data from Jane's All the World's Aircraft 1987–88, p.20 (except as noted)General characteristics Performance</t>
  </si>
  <si>
    <t>Sport autogyro</t>
  </si>
  <si>
    <t>Brazil</t>
  </si>
  <si>
    <t>Super Rotor/Montalva</t>
  </si>
  <si>
    <t>https://en.wikipedia.org/Super Rotor/Montalva</t>
  </si>
  <si>
    <t>ca. 450</t>
  </si>
  <si>
    <t>One pilot</t>
  </si>
  <si>
    <t>166 kg (366 lb)</t>
  </si>
  <si>
    <t>280 kg (617 lb)</t>
  </si>
  <si>
    <t>1 × Retimotor RMV-1 , 60 kW (80 hp)</t>
  </si>
  <si>
    <t>3.0 m/s (590 ft/min) [2]</t>
  </si>
  <si>
    <t>{'AC.1': ' single-seat prototype with Volkswagen engine', 'AC.4 Andorhina': ' single-seat production machine with Volkswagen engine', 'M.1 Montalva': ' two-seat trainer version of AC.4 with Volkswagen engine', 'M.2 Trovão Azul': ' two-seat high-performance version with turbocharged ', 'Agricóptero': ' agricultural version'}</t>
  </si>
  <si>
    <t>400 km (250 mi, 220 nmi)</t>
  </si>
  <si>
    <t>4,000 m (13,000 ft) [4]</t>
  </si>
  <si>
    <t>Altair Coelho</t>
  </si>
  <si>
    <t>https://en.wikipedia.org/Altair Coelho</t>
  </si>
  <si>
    <t>1960 (as AC.1)</t>
  </si>
  <si>
    <t>7.60 m (24 ft 11 in) [2]</t>
  </si>
  <si>
    <t>160 km/h (100 mph, 87 kn)</t>
  </si>
  <si>
    <t>Steen Skybolt</t>
  </si>
  <si>
    <t>The Steen Skybolt is an American homebuilt aerobatic biplane. Designed by teacher Lamar Steen as a high school engineering project, the prototype first flew in October 1970.[1][2] The aircraft has a classic structure consisting of a welded tube fuselage and wooden wings, all fabric covered. It is a tandem open-cockpit two-seat biplane and is stressed for normal aerobatics. The cockpits are frequently constructed as a single tandem cabin with an enclosing bubble canopy. Some aerobatic competition aircraft are built as single seaters with the front cockpit closed off. The original Skybolt had a 180 hp (134 kW) Lycoming HO-360-B1B engine, but powerplants of 150 to 260 hp (112 to 194 kW) can be installed.[3] The Skybolt has become popular as an amateur-built sporting biplane, with over 400 aircraft having been completed from construction plans sold in over 29 countries.[3] A Skybolt won the Reserve Grand Champion Custom Built for 1979 at the Experimental Aircraft Association airshow in Oshkosh Wisconsin.[4] Sixteen examples were registered in the United Kingdom in January 2009.[5] Data from Simpson 2001General characteristics Performance   Aircraft of comparable role, configuration, and era</t>
  </si>
  <si>
    <t>//upload.wikimedia.org/wikipedia/commons/thumb/e/e0/Steen_Skybolt_300_%281%29.jpg/300px-Steen_Skybolt_300_%281%29.jpg</t>
  </si>
  <si>
    <t>Aerobatic biplane</t>
  </si>
  <si>
    <t>https://en.wikipedia.org/Aerobatic biplane</t>
  </si>
  <si>
    <t>Steen Aero Lab Inc</t>
  </si>
  <si>
    <t>Plans available</t>
  </si>
  <si>
    <t>over 400</t>
  </si>
  <si>
    <t>19 ft 0 in (5.79 m)</t>
  </si>
  <si>
    <t>7 ft 0 in (2.13 m)</t>
  </si>
  <si>
    <t>1,080 lb (490 kg)</t>
  </si>
  <si>
    <t>1 × Lycoming HO-360-B1B piston, 180 hp (130 kW)</t>
  </si>
  <si>
    <t>130 mph (210 km/h, 110 kn)</t>
  </si>
  <si>
    <t>2,500 ft/min (13 m/s)</t>
  </si>
  <si>
    <t>{'Skybolt (S)': 'e standard Skybolt as originally released for home-building[1][6]', 'Skybolt (D)': 'revised structure and capability to have engines from 180 to 350\xa0hp (134 to 261\xa0kW) fitted.[6]', 'Skybolt (R)': 'radial engined derivative, with revised fuselage plus the improved structure of the (D), fitted with either a 360\xa0hp (268\xa0kW) Vedeneyev M14P or a 400\xa0hp (298\xa0kW) Vedeneyev M14PF nine-cylinder radial.[6]', 'Skybolt 300': 'derivative of the Skybolt fitted with a 300\xa0hp (224\xa0kW) engine.[6]', 'Super Skybolt': 'two seater version created by John Shipler by amalgamating a Pitts S-2 with a Skybolt, the prototype of which is named Storm Warning.[6]', 'Starfire Firebolt': 'development of the Skybolt with a 300\xa0hp (224\xa0kW) Lycoming IO-540 powerplant that gives a cruise speed of 202\xa0mph (325\xa0km/h) and an initial climb rate of 4,000 ft/min (20 m/s).[7][8]'}</t>
  </si>
  <si>
    <t>24 ft 0 in (7.32 m)</t>
  </si>
  <si>
    <t>450 mi (720 km, 390 nmi)</t>
  </si>
  <si>
    <t>Lamar Steen</t>
  </si>
  <si>
    <t>145 mph (233 km/h, 126 kn)</t>
  </si>
  <si>
    <t>private owner pilots</t>
  </si>
  <si>
    <t>https://en.wikipedia.org/Starfire Firebolt</t>
  </si>
  <si>
    <t>1,650 lb (748 kg)</t>
  </si>
  <si>
    <t>Stewart Foo Fighter</t>
  </si>
  <si>
    <t>The Stewart Foo Fighter JD2FF is a single-seat biplane homebuilt aircraft design that emulates fighter aircraft of World War I.[1] The Foo Fighter was developed using similar construction features as the Stewart Headwind. The fuselage is welded steel tubing with fabric covering. The lower wing design is unusual, passing below the fuselage rather than attaching to it on either side. The first aircraft built used a Ford Falcon 200 CID engine that proved to be too heavy. A Franklin 130 hp engine was used next, but the engine went out of production. The final design was changed to accommodate a Lycoming O-235 or O-320 engine.[2] The Foo Fighter was demonstrated for over 30 hours during the one-week Experimental Aircraft Association Convention in Oshkosh, Wisconsin In 1972.[3] Data from http://www.stewartaircraft.com/main.htmlGeneral characteristics Performance   Aircraft of comparable role, configuration, and era</t>
  </si>
  <si>
    <t>Homebuilt aircraft</t>
  </si>
  <si>
    <t>https://en.wikipedia.org/Homebuilt aircraft</t>
  </si>
  <si>
    <t>Stewart Aircraft Corporation</t>
  </si>
  <si>
    <t>https://en.wikipedia.org/Stewart Aircraft Corporation</t>
  </si>
  <si>
    <t>18 ft 9 in (5.72 m)</t>
  </si>
  <si>
    <t>7 ft (2.1 m)</t>
  </si>
  <si>
    <t>720 lb (327 kg)</t>
  </si>
  <si>
    <t>1,100 lb (499 kg)</t>
  </si>
  <si>
    <t>19 U.S. gallons (72 L; 16 imp gal)</t>
  </si>
  <si>
    <t>1 × Lycoming O-235 piston aircraft engine</t>
  </si>
  <si>
    <t>117 kn (135 mph, 217 km/h)</t>
  </si>
  <si>
    <t>1,200 ft/min (6.1 m/s)</t>
  </si>
  <si>
    <t>20 ft 8 in (6.30 m)</t>
  </si>
  <si>
    <t>45 kn (52 mph, 83 km/h)</t>
  </si>
  <si>
    <t>300 nmi (345 mi, 555 km)</t>
  </si>
  <si>
    <t>Don Stewart</t>
  </si>
  <si>
    <t>126 kn (145 mph, 233 km/h)</t>
  </si>
  <si>
    <t>Stoddard-Hamilton Glasair II</t>
  </si>
  <si>
    <t>The Stoddard-Hamilton Glasair II is an American amateur-built aircraft that was designed by Tom Hamilton and produced by Stoddard-Hamilton Aircraft and later Glasair Aviation as a kit for amateur construction. It was first flown in 1989, and remained in production in 2012.[1][2][3] A development of the earlier Glasair I, the Glasair II features a cantilever low-wing, a two-seats-in-side-by-side configuration enclosed cockpit accessed via gull-winged doors, fixed or retractable tricycle landing gear or fixed conventional landing gear and a single engine in tractor configuration.[1][2][3] The Glasair II was designed to FAR Part 23 standards and was extensively tested. Its wing has been tested to +10.5g. As indicated by its name, the aircraft is made from fiberglass. Its 23.3 ft (7.1 m) span wing employs a NASA GA(W)-2  airfoil. The wings have an area of 81.3 sq ft (7.55 m2) and mount flaps. The acceptable power range for the Super II RG or Super II FT versions is 160 to 210 hp (119 to 157 kW), with the 180 hp (134 kW) Lycoming O-360 four-stroke powerplant a commonly used engine.[1][2][3][4][5] The manufacturer estimates construction time for the Super II RG or Super II FT versions as 3000 hours.[1] The Glasair II was later developed into the Glasair III.[1] By December 2011 there were 1200 examples reported completed and flying making it one of the most successful two seat kit aircraft ever designed.[1][5] Data from Kitplanes[1]General characteristics Performance</t>
  </si>
  <si>
    <t>//upload.wikimedia.org/wikipedia/commons/thumb/e/e5/GlassairII.jpg/300px-GlassairII.jpg</t>
  </si>
  <si>
    <t>Amateur-built aircraft</t>
  </si>
  <si>
    <t>https://en.wikipedia.org/Amateur-built aircraft</t>
  </si>
  <si>
    <t>Stoddard-Hamilton AircraftGlasair Aviation</t>
  </si>
  <si>
    <t>https://en.wikipedia.org/Stoddard-Hamilton AircraftGlasair Aviation</t>
  </si>
  <si>
    <t>In production (2012)</t>
  </si>
  <si>
    <t>1200 (2012)[1]</t>
  </si>
  <si>
    <t>20.8 ft (6.3 m)</t>
  </si>
  <si>
    <t>81.3 sq ft (7.55 m2)</t>
  </si>
  <si>
    <t>1,400 lb (635 kg)</t>
  </si>
  <si>
    <t>2,100 lb (953 kg)</t>
  </si>
  <si>
    <t>70 U.S. gallons (260 L; 58 imp gal)</t>
  </si>
  <si>
    <t>1 × Lycoming O-360 four cylinder, air-cooled, four stroke aircraft engine, 180 hp (130 kW)</t>
  </si>
  <si>
    <t>221 mph (356 km/h, 192 kn)</t>
  </si>
  <si>
    <t>2,700 ft/min (14 m/s)</t>
  </si>
  <si>
    <t>2-bladed constant speed propeller</t>
  </si>
  <si>
    <t>25.8 lb/sq ft (126 kg/m2)</t>
  </si>
  <si>
    <t>{'Glasair II-S': '\xa0in (30\xa0cm) stretch', 'Glasair Super II FT': 'xed tricycle landing gear version, in production in 2011.[1][3]', 'Glasair Super II RG': 'tractable tricycle landing gear version, in production in 2011.[1][3]', 'Glasair Super II TD': 'xed taildragger landing gear version, in production in 1998, but production presently completed.[2][3]'}</t>
  </si>
  <si>
    <t>23.3 ft (7.1 m)</t>
  </si>
  <si>
    <t>73 mph (117 km/h, 63 kn)</t>
  </si>
  <si>
    <t>1,750 mi (2,820 km, 1,520 nmi)</t>
  </si>
  <si>
    <t>Tom Hamilton</t>
  </si>
  <si>
    <t>https://en.wikipedia.org/Stoddard-Hamilton Glasair III</t>
  </si>
  <si>
    <t>Stoddard-Hamilton Glasair I</t>
  </si>
  <si>
    <t>https://en.wikipedia.org/Stoddard-Hamilton Glasair I</t>
  </si>
  <si>
    <t>NASA GA(W)-2</t>
  </si>
  <si>
    <t>Stolp SA-500 Starlet</t>
  </si>
  <si>
    <t>The Stolp SA-500 Starlet is an American amateur-built aircraft. The aircraft is supplied in the form of plans for amateur construction by Aircraft Spruce &amp; Specialty of Corona, California.[2][3] The Starlet features a strut-braced parasol wing, a single-seat open cockpit with a windshield, fixed conventional landing gear and a single engine in tractor configuration.[2][3] The aircraft fuselage is made from welded 4130 steel tubing, while the wing is made from wood and covered in doped aircraft fabric. Its 25 ft (7.6 m) span wing employs a Clark YH airfoil, has an area of 83 sq ft (7.7 m2). The recommended installed power is 65 to 125 hp (48 to 93 kW), and engines used include the  65 hp (48 kW) Volkswagen air-cooled engine, the 80 hp (60 kW) Rotax 912UL, 100 hp (75 kW) Subaru EA-81, Suzuki and small Continental Motors, Inc. powerplants.[2][3][4][5] The construction time is estimated to be 1400 hours.[5] By 1998, the company reported that 35 aircraft were completed and flying.[1] Data from Bayerl and Aircraft Spruce &amp; Specialty[2][5]General characteristics Performance</t>
  </si>
  <si>
    <t>//upload.wikimedia.org/wikipedia/commons/thumb/f/f1/Stolp_SA-500_Starlet.jpg/300px-Stolp_SA-500_Starlet.jpg</t>
  </si>
  <si>
    <t>Aircraft Spruce &amp; Specialty</t>
  </si>
  <si>
    <t>https://en.wikipedia.org/Aircraft Spruce &amp; Specialty</t>
  </si>
  <si>
    <t>Plans available (2015)</t>
  </si>
  <si>
    <t>35 (1998)[1]</t>
  </si>
  <si>
    <t>83 sq ft (7.7 m2)</t>
  </si>
  <si>
    <t>500 lb (227 kg)</t>
  </si>
  <si>
    <t>1,000 lb (454 kg)</t>
  </si>
  <si>
    <t>22 U.S. gallons (83 L; 18 imp gal)</t>
  </si>
  <si>
    <t>1 × Volkswagen air-cooled engine four cylinder, air-cooled, 1500 cc four stroke aircraft engine, 65 hp (48 kW)</t>
  </si>
  <si>
    <t>105 mph (169 km/h, 91 kn)</t>
  </si>
  <si>
    <t>2-bladed wooden</t>
  </si>
  <si>
    <t>12.0 lb/sq ft (59 kg/m2)</t>
  </si>
  <si>
    <t>25 ft (7.6 m)</t>
  </si>
  <si>
    <t>630 mi (1,010 km, 550 nmi)</t>
  </si>
  <si>
    <t>Lou Stolp</t>
  </si>
  <si>
    <t>https://en.wikipedia.org/White WW-1 Der Jäger D.IX</t>
  </si>
  <si>
    <t>Stearman M-2 Speedmail</t>
  </si>
  <si>
    <t>The Stearman M-2 Speedmail (nicknamed the Bull Stearman) was a mail-carrier aircraft produced by the Stearman Aircraft Company of Wichita, Kansas. It first flew in January 1929. The Speedmail was a single-seat biplane, with two large cargo compartments in place of a front cockpit. The fuselage and tail unit were constructed from welded chrome-moly steel tube faired with wooden formers and fabric covered aft of the pilot's cockpit, and detachable aluminium alloy panels covered the fuselage forward of the cockpit. The wings were constructed from spruce spars and plywood built-up ribs, all fabric covered. It differed from previous Stearman aircraft by having a tailwheel instead of a tailskid due to its size and weight. Lloyd Stearman and Mac Short, (Stearman's V.P. engineering), designed the Speedmail to the requirements of Varney Air Lines, which needed a new mail carrier with greater capacity to fly the Air Mail contracts they acquired from the U.S. Postal service while still being able to land on short, unimproved airstrips. This was achieved by using a new type of airfoil section allowing high lift at low speeds without affect the cruising speed. The result was a sturdy aircraft with a large cargo capacity.  To enable Interstate Air Lines to fly passengers on its Air Mail routes from Atlanta, Stearman enlarged the M-2, into the LT-1(Light Transport), adding a four-seat enclosed cabin in place of the forward cargo compartments, the payload capacity allowed for four passenger plus luggage and 500 pounds of cargo or mail. A further development was the CAB-1 "Coach" which was designed with an enclosed cabin for use as a business aircraft. Unlike the LT-1, the pilot was inside the enclosed cabin and in front of the passengers. However, only one was built which was later dismantled when sales failed to materialize. Stearman then developed a scaled down version of the M-2, the Stearman 4 which was successful. Varney Air Lines' pilots found the M-2 difficult to handle and the Wright Cyclone engine was plagued with frequent maintenance issues. The sole surviving Stearman M-2 Speedmail is on display in the collection of the Western Antique Aeroplane &amp; Automobile Museum in Hood River, Oregon, U.S.A.[1] Data from Specifications of American Commercial Airplanes[2]General characteristics Performance  Related development Aircraft of comparable role, configuration, and era</t>
  </si>
  <si>
    <t>//upload.wikimedia.org/wikipedia/commons/thumb/1/13/Stearman_M-2.jpg/300px-Stearman_M-2.jpg</t>
  </si>
  <si>
    <t>Mail carrier</t>
  </si>
  <si>
    <t>Stearman Aircraft Company</t>
  </si>
  <si>
    <t>https://en.wikipedia.org/Stearman Aircraft Company</t>
  </si>
  <si>
    <t>1,000 lb (450 kg) payload</t>
  </si>
  <si>
    <t>30 ft 2 in (9.19 m)</t>
  </si>
  <si>
    <t>11 ft 1 in (3.38 m)</t>
  </si>
  <si>
    <t>436 sq ft (40.5 m2)</t>
  </si>
  <si>
    <t>3,442 lb (1,561 kg)</t>
  </si>
  <si>
    <t>5,578 lb (2,530 kg)</t>
  </si>
  <si>
    <t>136 US gal (113 imp gal; 510 L)</t>
  </si>
  <si>
    <t>1 × Wright Cyclone nine-cylinder radial engine, 525 hp (391 kW)</t>
  </si>
  <si>
    <t>126 mph (203 km/h, 109 kn)</t>
  </si>
  <si>
    <t>950 ft/min (4.8 m/s)</t>
  </si>
  <si>
    <t>{'M-2 Speedmail': 'ngle-engine mail transport aircraft, powered by a 525\xa0hp (391-kW) Wright Cyclone radial engine, able to carry up to 1,000\xa0lb (454\xa0kg) of mail.', 'Stearman LT-1': 'ightly larger 5-seat passenger and mail carrier, powered by a Pratt &amp; Whitney Hornet radial piston engine.', 'CAB-1 Coach': 'milar to the M-2 with enclosed cockpit filling gap between the fuselage and wing and powered with a 300\xa0hp Wright J-6-7.'}</t>
  </si>
  <si>
    <t>46 ft 0 in (14.02 m)</t>
  </si>
  <si>
    <t>860 mi (1,380 km, 750 nmi)</t>
  </si>
  <si>
    <t>15,000 ft (4,600 m)</t>
  </si>
  <si>
    <t>Lloyd Stearman</t>
  </si>
  <si>
    <t>https://en.wikipedia.org/Lloyd Stearman</t>
  </si>
  <si>
    <t>147 mph (237 km/h, 128 kn)</t>
  </si>
  <si>
    <t>Stearman LT-1</t>
  </si>
  <si>
    <t>https://en.wikipedia.org/Stearman LT-1</t>
  </si>
  <si>
    <t>Stewart Headwind</t>
  </si>
  <si>
    <t>The Stewart Headwind JD1HW1.7 and SAC-1VW is a single-seat high-wing tube-and-fabric construction homebuilt aircraft.[1] The first Headwind was flown on March 28, 1962. It was one of the first aircraft to fly in the United States using a VW engine. The prototype flew with a Huggins VW conversion.[2] To use a standard propeller, a patented PRSU (propeller speed reducing unit) was developed to keep the engine RPM high and propeller RPM at its optimum speed.[3] The design was inspired by the Demoiselle by Alberto Santos-Dumont.[4] The fuselage is triangular sections of welded tube steel covered in fabric. A Volkswagen air-cooled engine was the only engine specified for this model, however many examples exist with alternate engine installations. Data from Sport AviationGeneral characteristics Performance   Aircraft of comparable role, configuration, and era</t>
  </si>
  <si>
    <t>17 ft (5.2 m)</t>
  </si>
  <si>
    <t>5 ft 9 in (1.75 m)</t>
  </si>
  <si>
    <t>110.95 sq ft (10.308 m2)</t>
  </si>
  <si>
    <t>300 lb (136 kg)</t>
  </si>
  <si>
    <t>650 lb (295 kg)</t>
  </si>
  <si>
    <t>5 U.S. gallons (19 L; 4.2 imp gal)</t>
  </si>
  <si>
    <t>1 × Volkswagen air-cooled engine automotive conversion engine, 65 hp (48 kW)</t>
  </si>
  <si>
    <t>70 kn (80 mph, 130 km/h)</t>
  </si>
  <si>
    <t>650 ft/min (3.3 m/s)</t>
  </si>
  <si>
    <t>24 ft 2 in (7.37 m)</t>
  </si>
  <si>
    <t>33 kn (38 mph, 61 km/h)</t>
  </si>
  <si>
    <t>96 kn (110 mph, 180 km/h)</t>
  </si>
  <si>
    <t>169 nmi (195 mi, 314 km)</t>
  </si>
  <si>
    <t>7,000 ft (2,100 m)</t>
  </si>
  <si>
    <t>74 kn (85 mph, 137 km/h)</t>
  </si>
  <si>
    <t>2 hours</t>
  </si>
  <si>
    <t>Stewart M-1</t>
  </si>
  <si>
    <t>The Stewart M-1 Monoplane was the first of two aircraft designed and built by the W.F. Stewart Company, as their usual work of building custom wooden auto bodies was falling out of favor at that time.[1]  The M-1 was a conventional landing gear equipped, all-wooden construction, mid-winged monoplane with two tandem open cockpits, each of which had side-by-side seating for a total of four people. It was powered by a 90 hp (67 kW) Curtiss OX-5 engine. The wing spar was made of spruce with mahogany veneer.[2] The prototype was test flown from 1928 to 1929. Production was canceled with the onset of the Great Depression. One owner operated the aircraft from Flint, Michigan until 1934.[3] The prototype was dismantled in 1937.[4] Data from SkywaysGeneral characteristics Performance</t>
  </si>
  <si>
    <t>Sport Monoplane</t>
  </si>
  <si>
    <t>W.F. Stewart Company</t>
  </si>
  <si>
    <t>https://en.wikipedia.org/W.F. Stewart Company</t>
  </si>
  <si>
    <t>200 sq ft (19 m2)</t>
  </si>
  <si>
    <t>1,300 lb (590 kg)</t>
  </si>
  <si>
    <t>2,253 lb (1,022 kg)</t>
  </si>
  <si>
    <t>40 U.S. gallons (150 L; 33 imp gal)</t>
  </si>
  <si>
    <t>1 × Curtiss OX-5 , 90 hp (67 kW)</t>
  </si>
  <si>
    <t>2-bladed</t>
  </si>
  <si>
    <t>38 ft (12 m)</t>
  </si>
  <si>
    <t>350 nmi (400 mi, 640 km)</t>
  </si>
  <si>
    <t>John L. Hunt, Lionel Kitchen</t>
  </si>
  <si>
    <t>https://en.wikipedia.org/John L. Hunt, Lionel Kitchen</t>
  </si>
  <si>
    <t>91 kn (105 mph, 169 km/h)</t>
  </si>
  <si>
    <t>Stinson Model A</t>
  </si>
  <si>
    <t>The Stinson Model A was a moderately successful airliner of the mid-1930s.  It was one of the last commercial airliners designed in the United States with a fabric-covered steel tube fuselage before the introduction of stressed skin aluminum construction.[citation needed] A total of 30 Stinson Model As were built until production ceased in 1936.  It was one of many promising designs whose commercial success was cut short by the introduction of the stressed-skin Boeing 247 and Douglas DC-2.[1] Because the waiting lists for either the new Boeing or Douglas aircraft were already too long Airlines of Australia (AOA) ordered three Stinson Model As in January 1936. These aircraft were VH-UGG Lismore  (arrived per s.s. City of Winchester on 27 March), VH-UHH Brisbane (arrived per s.s. Wichita on 22 June) and VH-UKK Townsville (arrived 22 July in the s.s. City of Manilla). All three were quickly reassembled and entered the Sydney - Brisbane service, proving so successful that in August AOA ordered a fourth example VH-UYY Grafton – the very last Stinson Model A to be built – which arrived at Sydney on board s.s. Port Alma on 14 December.[citation needed] With posturing from both AOA and Australian National Airways (ANA) to cut into each other’s turf by late 1936, early efforts by ANA to gain a controlling interest in AOA failed, until the tragic losses of VH-UHH Brisbane in the McPherson Ranges on 19 February 1937 and VH-UGG Lismore on 28 March halved AOA’s main-line fleet.  A merger took effect in March 1937, although the two companies retained separate identities until AOA was formally absorbed into ANA on 1 July 1942.  The two surviving Stinsons were then renamed VH-UKK Binana and VH-UYY Tokana, in conformity with ANA nomenclature.[2] During the Second World War spare parts for the Stinsons' aging Lycoming R-680 engines were impossible to obtain in Australia and it was decided to re-engine both aircraft with a Pratt &amp; Whitney R-1340 Wasp engine on each wing and eliminate the engine on the nose.  The additional power allowed both aircraft to fly faster and carry heavier loads, although fuel dumps had to be fitted to allow them to remain under their maximum landing weight of 10,750 lb (4,876 kg), in case of an emergency necessitating landing shortly after take-off.[2] On completion at Essendon, Victoria in May 1943, Binana returned to the Brisbane-Cairns, Queensland run, while Tokana was similarly converted and re-entered service in October on the run between Melbourne (Essendon), Kerang, Victoria, Mildura, Victoria and Broken Hill, New South Wales.  Binana was later transferred to the Melbourne-Tasmania service.[2] On the morning of 31 January 1945 Tokana was on the Essendon to Kerang leg of its regular service when the port wing separated in flight between Redesdale and Heathcote, fifty miles north of Melbourne. The aircraft then plunged to the ground, killing both crew and the full load of eight passengers.  An investigation revealed that metal fatigue had developed in the wing’s lower main spar boom attachment socket, the actual failure possibly being instigated by the aircraft encountering a particularly heavy gust of wind. It was the first known occurrence of this type of accident in an aircraft anywhere in the world, but it was to become a problem all too common in later years where progressively larger aircraft would be built from light-weight alloys that were more susceptible to the underlying metallurgical phenomenon. It being assumed that the same problems could occur in Binana, its certificate of airworthiness was cancelled, and the old aircraft was subsequently broken up.[2] A non-flying scale replica was built for a 1987 television movie account of the 1937 McPherson Ranges disaster, The Riddle of the Stinson, in which two survivors of the crash were rescued by Bernard O'Reilly.[3][4] Outside Australia, examples of the Stinson Model A remained in service in such far-flung corners of the globe as Korea and Alaska for some years. One example still survives, having crashed in Alaska in 1947, recovered and rebuilt in 1979, it passed to the Alaska Aviation Heritage Museum in 1988 and then to Greg Herrick's Golden Wings Flying Museum in Minneapolis, Minnesota.[5] The aircraft is now located at the Mid America Flight Museum-Ohio Wing in Urbana, Ohio.[6] Data from General Dynamics Aircraft and their Predecessors[8]General characteristics Performance</t>
  </si>
  <si>
    <t>//upload.wikimedia.org/wikipedia/commons/thumb/0/00/Stinson_A.jpg/300px-Stinson_A.jpg</t>
  </si>
  <si>
    <t>Airliner</t>
  </si>
  <si>
    <t>Stinson Aircraft Company</t>
  </si>
  <si>
    <t>https://en.wikipedia.org/Stinson Aircraft Company</t>
  </si>
  <si>
    <t>2 (pilot and co-pilot)</t>
  </si>
  <si>
    <t>8 passengers</t>
  </si>
  <si>
    <t>36 ft 10 in (11.23 m)</t>
  </si>
  <si>
    <t>11 ft 6 in (3.51 m)</t>
  </si>
  <si>
    <t>7,200 lb (3,266 kg)</t>
  </si>
  <si>
    <t>10,200 lb (4,627 kg)</t>
  </si>
  <si>
    <t>220 US gal (183 imp gal; 833 l)</t>
  </si>
  <si>
    <t>3 × Lycoming R-680-5 9-cylinder air-cooled radial piston engine, 260 hp (190 kW)  each</t>
  </si>
  <si>
    <t>163 mph (262 km/h, 142 kn) at 5,000 ft (1,524 m)</t>
  </si>
  <si>
    <t>980 ft/min (5.0 m/s)</t>
  </si>
  <si>
    <t>2-bladed propellers</t>
  </si>
  <si>
    <t>60 ft 0 in (18.29 m)</t>
  </si>
  <si>
    <t>490 mi (790 km, 430 nmi)</t>
  </si>
  <si>
    <t>17,000 ft (5,200 m)</t>
  </si>
  <si>
    <t>180 mph (290 km/h, 160 kn)</t>
  </si>
  <si>
    <t>American Airlines</t>
  </si>
  <si>
    <t>https://en.wikipedia.org/American Airlines</t>
  </si>
  <si>
    <t>The Glasair I, originally built as the prototype Glasair TD taildragger, is a high-performance homebuilt aircraft built of fiberglass. Created by Tom Hamilton as a fast, two-seat kitplane, the Glasair TD was derived from the earlier Tom Hamilton Glasair and first flew in 1979. Hamilton formed Stoddard-Hamilton Aircraft that year to produce and market the kit, which was the first pre-molded composite aircraft available to builders. Data from Pilot Friend[2]General characteristics Performance  Media related to Stoddard-Hamilton Glasair at Wikimedia Commons</t>
  </si>
  <si>
    <t>//upload.wikimedia.org/wikipedia/commons/thumb/5/50/GlasairFTC-GUPZ.JPG/300px-GlasairFTC-GUPZ.JPG</t>
  </si>
  <si>
    <t>amateur-built kit airplane</t>
  </si>
  <si>
    <t>https://en.wikipedia.org/amateur-built kit airplane</t>
  </si>
  <si>
    <t>807[1]</t>
  </si>
  <si>
    <t>19 ft 6 in (5.94 m)</t>
  </si>
  <si>
    <t>6 ft 2 in (1.88 m)</t>
  </si>
  <si>
    <t>1,368 lb (621 kg)</t>
  </si>
  <si>
    <t>2,200 lb (998 kg)</t>
  </si>
  <si>
    <t>61.4 US gallons (232 litres)</t>
  </si>
  <si>
    <t>1 × Lycoming IO-360 A1B four cylinder, horizontally opposed, four stroke aircraft engine, 200 hp (150 kW)</t>
  </si>
  <si>
    <t>201 mph (324 km/h, 175 kn)</t>
  </si>
  <si>
    <t>1,500 ft/min (7.6 m/s)</t>
  </si>
  <si>
    <t>3-bladed Hoffmann VP with wood blades</t>
  </si>
  <si>
    <t>27.06 lb/sq ft (132.1 kg/m2)</t>
  </si>
  <si>
    <t>24 ft 4 in (7.42 m)</t>
  </si>
  <si>
    <t>65 mph (105 km/h, 56 kn)</t>
  </si>
  <si>
    <t>260 mph (420 km/h, 230 kn)</t>
  </si>
  <si>
    <t>1,177 mi (1,894 km, 1,023 nmi)</t>
  </si>
  <si>
    <t>19,000 ft (5,800 m)</t>
  </si>
  <si>
    <t>https://en.wikipedia.org/Stoddard-Hamilton Glasair II</t>
  </si>
  <si>
    <t>Stolp Acroduster</t>
  </si>
  <si>
    <t>The Acroduster I SA700 is an American single-seat homebuilt aerobatic biplane. The Acroduster was an elliptical-winged biplane built with the intention of competing against the Pitts Special. The aircraft also owes some of its design to the Midget Mustang. The fuselage is of aluminum construction rather than the popular tube and fabric for the type. The wings are similar to the Stolp Starduster. Roll rate is 240 degrees per second.[1] Data from Buy planes for sale[2]General characteristics Performance</t>
  </si>
  <si>
    <t>//upload.wikimedia.org/wikipedia/commons/thumb/0/09/Stolp_SA-700S_Acroduster%2C_Private_JP6684055.jpg/300px-Stolp_SA-700S_Acroduster%2C_Private_JP6684055.jpg</t>
  </si>
  <si>
    <t>Homebuilt aerobatic biplane</t>
  </si>
  <si>
    <t>https://en.wikipedia.org/Homebuilt aerobatic biplane</t>
  </si>
  <si>
    <t>Stolp Starduster Corporation</t>
  </si>
  <si>
    <t>https://en.wikipedia.org/Stolp Starduster Corporation</t>
  </si>
  <si>
    <t>15.8 ft (4.8 m)</t>
  </si>
  <si>
    <t>105 sq ft (9.8 m2)</t>
  </si>
  <si>
    <t>740 lb (336 kg)</t>
  </si>
  <si>
    <t>1,190 lb (540 kg)</t>
  </si>
  <si>
    <t>143 kn (165 mph, 265 km/h)</t>
  </si>
  <si>
    <t>3,000 ft/min (15 m/s)</t>
  </si>
  <si>
    <t>19 ft (5.8 m)</t>
  </si>
  <si>
    <t>61 kn (70 mph, 113 km/h)</t>
  </si>
  <si>
    <t>12,000 ft (3,700 m)</t>
  </si>
  <si>
    <t>Jim Osborne</t>
  </si>
  <si>
    <t>Stout Batwing Limousine</t>
  </si>
  <si>
    <t>The Stout Batwing Limousine was a single-engine, high-wing cantilever aircraft. It was also called simply the "Commercial Sedan". William Bushnell Stout developed the Stout Batwing, a cantilever blended-wing aircraft with the engine mounted internally. The pioneer aircraft in cantilever wings suffered from poor visibility with its top-mounted open cockpit. The follow-on aircraft, the Stout Batwing Limousine, would have a conventional fuselage and engine arrangement, and a tail mounted further aft. The all-wood cantilever wing did not need struts or braces, reducing parasitic drag on the aircraft. The pilot had side windows and a wing cut-out for forward vision.[1] Stout acquired financing for the project from Robert Stranahan of the Champion Spark Plug Company. Production started in Detroit, Michigan.[2] The conventional geared aircraft is all-wood, with veneer wood skins. The propeller was mounted through a forward radiator. The exhaust header stack turned upward, projecting above the top of the fuselage. The fuel tanks are wing mounted. The wing has a chord that spans most of the length of the fuselage.[3] The first aircraft was flown with an airfoil designed for speed rather than lift. Test pilot Bert Acosta said the aircraft did not have enough lift and visibility. Bert did claim the plane was stable enough to fly with his hands off the controls for several minutes at a time.[4] A second wing with more camber produced favorable results. The aircraft had an alarming "hunting" tendency when gliding that was fixed after 30–40 test flights. Stout mentioned in 1922 that his next example would be built out of metal.[5] This aircraft was the first in a series by Stout that would later form the Stout Metal Airplane Division of the Ford Motor Company, building the Ford Trimotor. General characteristics Performance</t>
  </si>
  <si>
    <t>//upload.wikimedia.org/wikipedia/commons/thumb/9/94/Stout_Batwing_Limousine_L%27A%C3%A9ronautique_February_1921.jpg/300px-Stout_Batwing_Limousine_L%27A%C3%A9ronautique_February_1921.jpg</t>
  </si>
  <si>
    <t>Single-engine monoplane</t>
  </si>
  <si>
    <t>Stout Engineering Company</t>
  </si>
  <si>
    <t>https://en.wikipedia.org/Stout Engineering Company</t>
  </si>
  <si>
    <t>1,825 lb (828 kg)</t>
  </si>
  <si>
    <t>1 × Packard Eight-cylinder, 200 hp (150 kW)</t>
  </si>
  <si>
    <t>97 kn (112 mph, 180 km/h)</t>
  </si>
  <si>
    <t>480 ft/min (2.4 m/s)</t>
  </si>
  <si>
    <t>36 ft (11 m)</t>
  </si>
  <si>
    <t>39 kn (45 mph, 72 km/h)</t>
  </si>
  <si>
    <t>William Bushnell Stout</t>
  </si>
  <si>
    <t>https://en.wikipedia.org/William Bushnell Stout</t>
  </si>
  <si>
    <t>109 kn (125 mph, 201 km/h)</t>
  </si>
  <si>
    <t>Striplin F.L.A.C.</t>
  </si>
  <si>
    <t>The Striplin F.L.A.C. (Foot Launched Air Cycle) is an American flying wing ultralight aircraft that was designed by Ken Striplin in 1977, first flying in October 1978. The aircraft was supplied as a kit for amateur construction.[1][2] The aircraft preceded the US FAR 103 Ultralight Vehicles rules, but fits into the category, including FAR 103's maximum empty weight of 254 lb (115 kg). The aircraft has a standard empty weight of 200 lb (91 kg). It features a cantilever high-wing, a single-seat, partially enclosed cockpit, tricycle landing gear and twin 11.5 hp (9 kW) Soarmaster engines powering a single propeller in pusher configuration. Twin go-cart engines have also been employed.[1][2] The aircraft is made from aluminum tubing, foam, fiberglass, with the wings finished in doped aircraft fabric covering. Its 32 ft (9.8 m) span wing features a laminar-flow airfoil, 50%-span elevons and wing tip rudders that can both be deployed simultaneously for use as air brakes. The aircraft has a 22:1 glide ratio. The F.L.A.C. has laminated fiberglass main landing gear legs and a nose wheel that is steerable. The aircraft was also designed to be at least nominally foot-launchable to comply with the informal US requirements for ultralights of that period that they be able to do so. Foot launching was carried out by opening a hinged door in the fuselage floor.[1][2] In flight the aircraft has been described as unstable, particularly in pitch and at least one accident was attributed to its instability.[1] Data from Cliche[1]General characteristics Performance</t>
  </si>
  <si>
    <t>Ultralight aircraft</t>
  </si>
  <si>
    <t>https://en.wikipedia.org/Ultralight aircraft</t>
  </si>
  <si>
    <t>Production completed</t>
  </si>
  <si>
    <t>155 sq ft (14.4 m2)</t>
  </si>
  <si>
    <t>200 lb (91 kg)</t>
  </si>
  <si>
    <t>434 lb (197 kg)</t>
  </si>
  <si>
    <t>2 × Soarmaster single cylinder, two-stroke, 11.5 hp (8.6 kW)  each</t>
  </si>
  <si>
    <t>55 mph (89 km/h, 48 kn)</t>
  </si>
  <si>
    <t>300 ft/min (1.5 m/s)</t>
  </si>
  <si>
    <t>2.8 lb/sq ft (14 kg/m2)</t>
  </si>
  <si>
    <t>Striplin Lone Ranger</t>
  </si>
  <si>
    <t>32 ft 0 in (9.75 m)</t>
  </si>
  <si>
    <t>16 mph (26 km/h, 14 kn)</t>
  </si>
  <si>
    <t>80 mph (130 km/h, 70 kn)</t>
  </si>
  <si>
    <t>Ken Striplin</t>
  </si>
  <si>
    <t>https://en.wikipedia.org/Striplin Lone Ranger</t>
  </si>
  <si>
    <t>105 ft/min (0.53 m/s)</t>
  </si>
  <si>
    <t>Stedman TS-1 City of Leeds</t>
  </si>
  <si>
    <t>The Stedman TS-1 City of Leeds was a parasol wing wooden sailplane, seating two in tandem open cockpits. Only one was built, by its designer in 1934; it remained active until the outbreak of World War II. The City of Leeds was designed and built by R. F. Stedman, a member of what was then the Bradford and County Gliding Club, over the period 1932-4.  It flew for the first time on 21 July 1934 from Baildon in West Yorkshire.  It was a simple wooden aircraft, with open cockpits and wings of modest aspect ratio, not intended for high performance.  Its wing was built around two spars and had constant chord apart from slight leading edge taper near the tip.  There were no airbrakes or flaps.  The wing was mounted parasol fashion on pairs of parallel, broad chord lift struts which joined the spars at about mid-span to the lower fuselage longerons.[1] The fuselage was flat sided and hexagonal in cross section.  The cockpits were in tandem, one at the wing leading edge and the other under the wing at mid-chord. A single landing skid ran from the nose to below the wing trailing edge.  The fuselage tapered slightly rearwards, where a  straight edged tailplane was mounted on its upper surface.  The fin was small, carrying a taller, balanced, wide chord and curved rudder which reached down to the bottom of the fuselage, moving in a cut-out between the elevators.[1] Plans of the TS-1 were advertised at £8-8-0 (£8.40),[2] but only the prototype was built. This obtained its Certificate of Airworthiness BGA 213 in April 1935[1] after some modification and strengthening.[3] It flew in the 1935 National Gliding Championships at Sutton Bank[4] and remained active until a ban on private civil aviation was imposed at the start of World War II,[1]: p.19  when its designer and builder became a local chief test pilot at Blackburn Aircraft's Sherburn-in-Elmet plant.[5] Stedman was the first, if not the only, British glider pilot to escape by parachute, baling out of a military glider in 1944.[6]  What happened to his own glider is not known.[1] Data from British Gliders and Sailplanes 1922-1970[1]General characteristics Performance</t>
  </si>
  <si>
    <t>Two seat sailplane</t>
  </si>
  <si>
    <t>https://en.wikipedia.org/Two seat sailplane</t>
  </si>
  <si>
    <t>United Kingdom</t>
  </si>
  <si>
    <t>https://en.wikipedia.org/United Kingdom</t>
  </si>
  <si>
    <t>25 ft 0 in (7.62 m)</t>
  </si>
  <si>
    <t>295 sq ft (27.4 m2)</t>
  </si>
  <si>
    <t>424 lb (192 kg)</t>
  </si>
  <si>
    <t>725 lb (329 kg)</t>
  </si>
  <si>
    <t>30 mph (48 km/h, 26 kn)</t>
  </si>
  <si>
    <t>2.46 lb/sq ft (12.0 kg/m2)</t>
  </si>
  <si>
    <t>50 ft 0 in (15.24 m)</t>
  </si>
  <si>
    <t>24 mph (39 km/h, 21 kn)</t>
  </si>
  <si>
    <t>R. F. Stedman</t>
  </si>
  <si>
    <t>Modified Göttingen 535</t>
  </si>
  <si>
    <t>Stoddard-Hamilton T-9 Stalker</t>
  </si>
  <si>
    <t>The Stoddard-Hamilton T-9 Stalker, also known as the Arocet AT-9 or Arocet AT-T Tactical Trainer, was an American military training monoplane designed and built by Stoddard-Hamilton Aircraft of Arlington, Washington and based on the Stoddard-Hamilton Glasair III.[1] First flown on 24 July 1988 the Stalker  is a military training version of the Glasair III, an all-composite, cantilever, low-wing monoplane. The Stalker is powered by a 420 hp (313 kW) Allison 250-B17D turboprop driving a three-bladed metal tractor propeller. It has a retractable tricycle landing gear and the enclosed cockpit has two seats side-by-side with dual controls and a zero/zero pilot extraction system. The Stalker has two underwing hardpoints outboard of the landing gear for military ordnance.[1] The prototype was destroyed in a fatal accident on 29 May 1989. Data from Jane's All the World's Aircraft 1989–90[1]General characteristics Performance</t>
  </si>
  <si>
    <t>Turboprop military training aircraft</t>
  </si>
  <si>
    <t>Stoddard-Hamilton Aircraft</t>
  </si>
  <si>
    <t>https://en.wikipedia.org/Stoddard-Hamilton Aircraft</t>
  </si>
  <si>
    <t>21 ft 9.5 in (6.64 m)</t>
  </si>
  <si>
    <t>7 ft 3 in (2.21 m)</t>
  </si>
  <si>
    <t>81.2 sq ft (7.54 m2)</t>
  </si>
  <si>
    <t>1,500 lb (680 kg)</t>
  </si>
  <si>
    <t>2,700 lb (1,225 kg)</t>
  </si>
  <si>
    <t>1 × Allison 250-B17D turboprop , 420 hp (313 kW)</t>
  </si>
  <si>
    <t>366 mph (589 km/h, 318 kn)</t>
  </si>
  <si>
    <t>3,325 ft/min (1,689 m/s)</t>
  </si>
  <si>
    <t>23 ft 3.5 in (7.10 m)</t>
  </si>
  <si>
    <t>70 mph (113 km/h, 61 kn)</t>
  </si>
  <si>
    <t>1,587 mi (2,554 km, 1,379 nmi)</t>
  </si>
  <si>
    <t>37,000 ft (11,280 m)</t>
  </si>
  <si>
    <t>403 mph (649 km/h, 350 kn)</t>
  </si>
  <si>
    <t>Stoddard-Hamilton Glasair III</t>
  </si>
  <si>
    <t>+6.9/-4</t>
  </si>
  <si>
    <t>Stolp Acroduster Too</t>
  </si>
  <si>
    <t>The  Stolp SA 750 Acroduster Too is an American two place homebuilt aerobatic biplane, stressed to plus or minus 9g. The aircraft was introduced in 1971 and is supplied in the form of plans and some parts for amateur construction by Aircraft Spruce &amp; Specialty.[1][2] The Acroduster Too is a scaled down version of the Stolp Starduster Too.[3] It was originally named the Schrack-Stolp Super Starduster Too.[4] Much of the redesign of the SA-300 was done by TWA pilot Morgan Schrack.[5] The aerobatic aircraft is described as having a sharp stall, and ability to keep wings level using rudder alone. The Acroduster has shorter span and length, has larger ailerons than the Starduster Too, and has a stronger tail.[citation needed] The aircraft is constructed with fabric covered 4130 steel tube structure and spruce wing spars. Ribs are plywood with cap strips.[1] Data from Aircraft Spruce.General characteristics Performance   Aircraft of comparable role, configuration, and era  Related lists</t>
  </si>
  <si>
    <t>//upload.wikimedia.org/wikipedia/commons/thumb/0/03/F-PYPF_Stolp_SA_750_Acroduster_Too_%287159302055%29.jpg/300px-F-PYPF_Stolp_SA_750_Acroduster_Too_%287159302055%29.jpg</t>
  </si>
  <si>
    <t>https://en.wikipedia.org/America</t>
  </si>
  <si>
    <t>Stolp Starduster CorporationAircraft Spruce &amp; Specialty</t>
  </si>
  <si>
    <t>https://en.wikipedia.org/Stolp Starduster CorporationAircraft Spruce &amp; Specialty</t>
  </si>
  <si>
    <t>Plans available (2012)</t>
  </si>
  <si>
    <t>140 sq ft (13 m2)</t>
  </si>
  <si>
    <t>1 × Lycoming IO-360 , 200 hp (150 kW)</t>
  </si>
  <si>
    <t>140 kn (160 mph, 260 km/h)</t>
  </si>
  <si>
    <t>constant speed propeller</t>
  </si>
  <si>
    <t>21 ft 6 in (6.55 m)</t>
  </si>
  <si>
    <t>48 kn (55 mph, 89 km/h)</t>
  </si>
  <si>
    <t>Lou Stolp, Morgan Schrack</t>
  </si>
  <si>
    <t>Stolp Acroduster I</t>
  </si>
  <si>
    <t>https://en.wikipedia.org/Stolp Acroduster I</t>
  </si>
  <si>
    <t>Stolp Starduster Too</t>
  </si>
  <si>
    <t>The Stolp Starduster Too SA300 is a two-seat, conventional landing gear equipped homebuilt biplane. Aircraft Spruce &amp; Specialty Co currently holds rights to sell plans for the aircraft. The Starduster Too was developed to be an economical two-seat sport biplane. The airplane is designed to plus 6 or minus 6 G loading. It was not intended for use in aerobatic competition, but it can perform basic aerobatics.[1] The fuselage is made of 4130 steel tubing with fabric covering. The spars are made of spruce wood with plywood wooden wing ribs. The base engine is a Lycoming O-360 180 hp (134 kW) engine, but alternative examples  have been built using the Lycoming IO-540, Ranger, Ford V-8 and V-6, Continental, Jacobs, and even Pratt &amp; Whitney R-985 engines.[2] The Starduster Too is a popular biplane homebuilt design. There are several with over 2500 hours of flight time, and one with over 5000 hours.[1] The Stolp Acroduster, and Stolp Acroduster Too, were the follow on models to the Starduster. They were scaled down 10 percent, and stressed to 9g. The first example was registered as a Schrack-Stolp Super Starduster Too.[3] One example of a Starduster Too was modified with retractable gear and a sliding canopy. The aircraft named "Samsong" was able to cruise at 150 mph, and had an 830-mile range with 45 gallons of fuel using modified gear legs from a Cessna 140[4] Data from Aircraft Spruce[1]General characteristics Performance   Aircraft of comparable role, configuration, and era</t>
  </si>
  <si>
    <t>//upload.wikimedia.org/wikipedia/commons/thumb/c/cb/Starduster_Too.JPG/300px-Starduster_Too.JPG</t>
  </si>
  <si>
    <t>Sport biplane</t>
  </si>
  <si>
    <t>https://en.wikipedia.org/Sport biplane</t>
  </si>
  <si>
    <t>20 ft 7 in (6.27 m)</t>
  </si>
  <si>
    <t>165 sq ft (15.3 m2)</t>
  </si>
  <si>
    <t>1,704 lb (773 kg)</t>
  </si>
  <si>
    <t>28 Fuse  15 Wing</t>
  </si>
  <si>
    <t>1 × Lycoming O-360 , 180 hp (130 kW)</t>
  </si>
  <si>
    <t>116 kn (134 mph, 216 km/h)</t>
  </si>
  <si>
    <t>24 ft (7.3 m)</t>
  </si>
  <si>
    <t>49 kn (56 mph, 90 km/h)</t>
  </si>
  <si>
    <t>23,000 ft (7,000 m)</t>
  </si>
  <si>
    <t>160 kn (180 mph, 290 km/h)</t>
  </si>
  <si>
    <t>Stolp Starduster</t>
  </si>
  <si>
    <t>https://en.wikipedia.org/Stolp Starduster</t>
  </si>
  <si>
    <t>M6</t>
  </si>
  <si>
    <t>+/- 6</t>
  </si>
  <si>
    <t>120°/s</t>
  </si>
  <si>
    <t>Stout Bushmaster 2000</t>
  </si>
  <si>
    <t>The Bushmaster 2000 was a small commuter airliner built in the United States in an attempt to revive the Ford Trimotor design. Work began in 1953 by testing a vintage Trimotor and in 1954 Bill Stout purchased the design rights to the original Trimotor. Due to "Ford Tri-Motor" licensing problems, the Ford 15-AT-D was given the Bushmaster 2000 name.[1] On 15 January 1955, Stout and partner Robert Hayden from the Hayden Aircraft Corporation announced they were planning to build 1,000 new Bushmasters, but it would be eleven years before the first prototype of the new design flew. The Bushmaster 2000 featured significant modernisation of the original 1920s design, particularly in the choice of materials and construction techniques. It also had more powerful engines, enlarged cockpit windows, a lighter and stronger aluminum-alloy skin, a foot-operated hydraulic replacement of the old Trimotor's hand-operated "Johnny Brake," a larger stabilizer and a dorsal fin to reduce yaw, modern trim tabs and interior rather than exterior control cables.[2] However, even with modern engines and propellers, the aircraft's performance did not compare favourably with contemporary designs of similar capacity, and no sales ensued. Combined with financial, management and marketing problems, only two examples were built with a third fuselage never completed.[1] The first Bushmaster, N7501V was assembled in 1966, and is owned by Pleasant Aviation LLC At mid America flight Museum and based at Mt Pleasant Regional Airport near Mount Pleasant, Texas. The second aircraft N750RW was completed 18 January 1985 by Ralph Williams, the President of Hydro-Forming in Long Beach, California. This aircraft was written off in an accident at Fullerton Municipal Airport, California on 25 September 2004.[3] General characteristics Performance  Related development     Media related to Stout Bushmaster 2000 at Wikimedia Commons</t>
  </si>
  <si>
    <t>//upload.wikimedia.org/wikipedia/commons/thumb/f/fe/Stout_Bushmaster_2000.jpg/300px-Stout_Bushmaster_2000.jpg</t>
  </si>
  <si>
    <t>Bushmaster Aircraft</t>
  </si>
  <si>
    <t>https://en.wikipedia.org/Bushmaster Aircraft</t>
  </si>
  <si>
    <t>Two</t>
  </si>
  <si>
    <t>23 passengers</t>
  </si>
  <si>
    <t>64 ft 0.5 in (19.52 m)</t>
  </si>
  <si>
    <t>13 ft 5 in (4.09 m)</t>
  </si>
  <si>
    <t>852 sq ft (79.1 m2)</t>
  </si>
  <si>
    <t>7,500 lb (3,402 kg)</t>
  </si>
  <si>
    <t>12,500 lb (6,750 kg)</t>
  </si>
  <si>
    <t>3 × Pratt &amp; Whitney R-985-AN-1 Wasp Junior 9-cylinder radial engines , 450 hp (336 kW)  each</t>
  </si>
  <si>
    <t>77 ft 11 in (23.75 m)</t>
  </si>
  <si>
    <t>700 mi (1,127 km, 610 nmi)</t>
  </si>
  <si>
    <t>125 mph (210 km/h, 109 kn)</t>
  </si>
  <si>
    <t>Ford Trimotor</t>
  </si>
  <si>
    <t>https://en.wikipedia.org/Ford Trimotor</t>
  </si>
  <si>
    <t>Sunderland MOBA 2</t>
  </si>
  <si>
    <t>The Sunderland MOBA 2 was a single seat glider built in Australia in the 1970s. It was constructed from a mixture of metal, wood and synthetic material and had some unconventional features such as side-stick control, and a nosecone which rolled forward on rails for pilot access. The Sunderland MOBA 2 was entirely one man's glider. In the 1970s Gary Sunderland was an Australian Department of Aviation engineer and a glider pilot who wished to compete in the Australian National Championships in his own design of glider, "my own bloody aircraft" or MOBA for short, in his phrase. It was intended as an aircraft of high, Standard class performance, but capable of low-cost, home assembly. By 1970 his efforts had converged onto the MOBA 2 and some outline drawings and trial metalwork produced. The single seat glider was to have a 15 m Standard class span wing but with a retractable undercarriage and flaps, not then allowable in that category.[1][2] Two versions, driven by a competition held by the Australian Gliding magazine, did not get off the drawing board: though accounts differ in detail, it seems the MOBA 2A had a 15 m span and the final competition entrant MOBA 2B a 13 m span as required.[1][2][3] The MOBA 2B was one of two potential winners selected by the judges in 1972, but unfortunately they could not agree on a final choice and no prize was awarded.[1] The MOBA 2C, the sole version to be built though later modified into the MOBA 2D, differed only from the MOBA 2B in having a 15 m span wing, taller fin and fabric covered rudder.[3] The MOBA 2C was of mixed construction. Its wing was in three sections, with a centre-section of constant chord mounted high on the fuselage; and straight tapered outer panels. It was built around a single metal, rectangular, PVC plastic foam filled box spar, with GRP/plywood sandwich ribs. The space between the ribs was also filled with PVC foam, which was then shaped to the Wortmann FX 67-K-150 section and covered with glass cloth. The outer panels carried long span ailerons and the inner sections full span, metal skinned flaps, which could be set at angles between +20° and -15°.  They were lowered for landing, increasing lift coefficient at lower speed and acting as airbrakes.[1] Aerodynamically, the wing was designed to operate at speed, a natural choice for soaring in Australia with its strong thermals and long inter-thermal distances.[2] The MOBA 2C had a pod-and-boom type fuselage. The pilot's seat was just forward of the wing leading edge, placing him in a reclining position under a long, single piece canopy, shaped from an uncut Slingsby Kestrel moulding. The cockpit had some unusual features, principally that access to it was by rolling the whole nosecone and canopy forwards along a rail from a join around the fuselage ahead of the wing. This provided an aerodynamically very clean and well sealed forward fuselage, as well as easy access for instrument panel servicing. The control column was side mounted on a raised side beam on the right; flap and undercarriage levers were similarly mounted on the other side. This arrangement avoided underfloor control cables, keeping the fuselage cross section low and simplifying the control linkages. The cockpit was narrow and low and would not have been comfortable for pilots taller than Sunderland.  The nosecone was skinned with glass cloth over balsa. Instrument panel, controls, seat and the retractable monowheel undercarriage were supported by a central, sturdy, sheet alloy frame linked to the wing. The fuselage tapered from the leading edge aft, an area covered with glass cloth over PVC foam. Behind this, the boom was an oval metal tube, with flat top and bottom plates for ease of construction. Tail surfaces were all straight edged; the tall, metal-skinned fin had a slightly swept GRP leading edge and carried a tapered, fabric covered rudder. The MOBA 2C had a T-tail, with a metal surfaced, high aspect ratio, tapered tailplane and a plywood-surfaced elevator. There was a small, semi-recessed tailwheel below the fin.[1][3] Though Sunderland had hoped to have the MOBA 2C ready for the World Gliding Championships held in Australia in 1974, particularly after changes to Standard Class rules allowed retractable undercarriages and flaps, he was unable to complete flight testing before 1980. It handled well and performed as expected, competitive with Open Class whilst climbing in thermals but slower across country. Landing behaviour led to the addition of spoilers halfway out along the central panels; and tapered rather than parallel chord flaps, which added 51 mm (2.0 in) to the overall chord at the wing root, slightly increasing the wing area. This revision was named the MOBA 2D.[1] The MOBA 2C had its first competitive outing at the 1980 Australian Championships at Benalla.  Sunderland judged its performance as between the 15 m class and the Standard Class gliders there, perhaps rather closer to the latter.  He could out-turn the 15 m aircraft in thermals but they, 100 kg (220 lb) heavier flew faster at the same glide angle.  He estimated that the MOBA 2C approximately achieved its 1:38 design glide angle.[3] As the MOBA 2D aged, the foam filling that determined its wing profile began to destabilise and expand.  The outer glass fibre covering was removed, the profile restored and the aircraft was flown again after the wing was recovered, but further development was abandoned.[1] Data from Sailplanes 1965-2005[1]General characteristics Performance</t>
  </si>
  <si>
    <t>Single seat sailplane</t>
  </si>
  <si>
    <t>https://en.wikipedia.org/Single seat sailplane</t>
  </si>
  <si>
    <t>Australia</t>
  </si>
  <si>
    <t>https://en.wikipedia.org/Australia</t>
  </si>
  <si>
    <t>6.782 m (22 ft 3 in)</t>
  </si>
  <si>
    <t>9.24 m2 (99.5 sq ft)</t>
  </si>
  <si>
    <t>279 kg (615 lb)</t>
  </si>
  <si>
    <t>370 kg (816 lb)</t>
  </si>
  <si>
    <t>40.0 kg/m2 (8.2 lb/sq ft)</t>
  </si>
  <si>
    <t>{'MOBA 2B': 'built 13 m span design submitted to Australian Glider competition.', 'MOBA 2C': 'ly completed version, with original flaps and no airbrakes.'}</t>
  </si>
  <si>
    <t>15.00 m (49 ft 3 in)</t>
  </si>
  <si>
    <t>Gary Sunderland</t>
  </si>
  <si>
    <t>early 1980</t>
  </si>
  <si>
    <t>Wortmann FX 67-K-150</t>
  </si>
  <si>
    <t>Stinson 108</t>
  </si>
  <si>
    <t>The Stinson 108 was a popular general aviation aircraft produced by the Stinson division of the American airplane company Consolidated Vultee, from immediately after World War II to 1950. It was developed from the prewar Model 10A Voyager.[2] Stinson was bought by Piper Aircraft in 1949. All Stinson model 108, 108-1, 108-2, 108-3 and 108-4 aircraft were built by Stinson at Wayne, Michigan.  When Stinson sold the type certificate to Piper in 1949, approximately 325 airplanes of the 5,260 model 108s built by Stinson were complete but unsold. These 325 model 108s went to Piper as part of the sale.  Piper then sold that inventory as the Piper-Stinson over the next few years. The fuselage was of fabric-covered steel tube. Aftermarket modifiers have obtained supplemental type certificates (STC) allowing conversion to an aluminum covering. Many different engines have been installed in the 108 by STC such as the Lycoming O-360, Franklin O-350, Continental O-470.[3] One distinctive feature was the partial leading edge slot installed on the wings and aligned with the ailerons on the trailing edge, ensuring that the portion of the wing containing the aileron remains unstalled at higher angles of attack, thus contributing to docile stall behavior.[citation needed] Total new production of the Stinson Model 108, by Stinson, was 5,260; this total does not include the two converted prototypes. Stinson delivered approximately 4,935 aircraft and Piper delivered approximately 325 aircraft.[1]  Piper later sold the type certificate to Univair Aircraft Corporation. Univair built and certified the model 108-5, but built only one example.  Total new model production by Stinson and Univair was 5,261 aircraft.[citation needed] The 108 variants closely resemble each other but can be visually distinguished by their design changes: Data from Plane and Pilot,[11] Jane's all the World's Aircraft 1947,[5] Stinson Operating Manual.[12]General characteristics Performance  Related development Aircraft of comparable role, configuration, and era</t>
  </si>
  <si>
    <t>//upload.wikimedia.org/wikipedia/commons/thumb/8/89/Stinson108-3photo03.jpg/300px-Stinson108-3photo03.jpg</t>
  </si>
  <si>
    <t>Private owner aircraft</t>
  </si>
  <si>
    <t>5,260[1]</t>
  </si>
  <si>
    <t>three passengers</t>
  </si>
  <si>
    <t>24 ft 6 in (7.46 m)</t>
  </si>
  <si>
    <t>6 ft 10 in (2.08 m)</t>
  </si>
  <si>
    <t>1,206 lb (547 kg)</t>
  </si>
  <si>
    <t>2,150 lb (975 kg)</t>
  </si>
  <si>
    <t>50 US gallons (190 l; 42 imp gal)</t>
  </si>
  <si>
    <t>1 × Franklin 6A4 150-B3 six cylinder air-cooled horizontally opposed four stroke piston engine, 150 hp (110 kW)</t>
  </si>
  <si>
    <t>121 mph (195 km/h, 105 kn) * Landing speed</t>
  </si>
  <si>
    <t>770 ft/min (3.9 m/s)</t>
  </si>
  <si>
    <t>2-bladed Sensenich, 6 ft 4 in (1.93 m) diameter fixed pitch wooden airscrew</t>
  </si>
  <si>
    <t>13.8 lb/sq ft (67 kg/m2)</t>
  </si>
  <si>
    <t>{'Prototype 108': 'o prototype model 108s were converted from Stinson model 10A airframes. FAA records show NX31519 was model 108 serial number 1, and NX31532 is model 108 serial number 2.  Both registrations later changed to NC. The production model straight 108 would also use serial number 1 and 2, so there was for a short period 2 duplicate serial numbers;[4]', '108 Voyager 125': 'wered by a 125\xa0hp (93\xa0kW) Lycoming O-235 piston engine.[5]', '108 Voyager 150': 'wered by a 150\xa0hp (112\xa0kW) Franklin 6A4-150-B31, B3 or B4 piston engine.[5][6] 742 built in 1946.[6]', '108-1': 'ightly modified version with external baggage door. 1508 built 1947–1948.[6]', '108-2': 'wered by 165\xa0hp (123\xa0kW) Franklin 6A4-165-B3 or -B5. 1250 built from May 1948.[6] There was a conversion kit to add the rudder trim to the earlier airplanes advertised.[citation needed]', '108-3': 'e 108-3 introduced a taller vertical fin with a rudder featuring a straight trailing edge. Larger fuel tanks (50 U.S. gallons (190\xa0L; 42\xa0imp\xa0gal) versus 40 U.S. gallons (150\xa0L; 33\xa0imp\xa0gal)) were also fitted. The -3 has a higher gross weight than its predecessors of 2,400\xa0lb (1,089\xa0kg). 1760 built by Stinson and Piper.[7]', '108-4': 'e 108-4 was a higher powered model 108, sn 108-4693, NX149C, not certified, flown experimentally by Stinson, later by Piper, 1 built.[8]', 'Flying Station Wagon': 'e "Flying Station Wagon" version was an option available with the -1, -2 and -3 models, had a utility interior [2] incorporated wood paneling and a reinforced floor, allowing 600\xa0lb (272\xa0kg) of baggage in the passenger compartment. The aircraft could be fitted with wheel, float or ski landing gear. The single 108-4 built was a Flying Station Wagon.[citation needed]', '108-5': 'single 108-5 was built by Univair, who purchased the Stinson 108 type certificate from Piper, in 1964. The 108-5 used a 180\xa0hp (134\xa0kW) Franklin 6A-335-B1 engine. Univair offered kits to convert earlier aircraft to this standard.[9][10] The 108-5 brought total model 108 production to 5,261, of which 5,135 were built by Stinson, 125 by Piper, and 1 by Univair.[9]'}</t>
  </si>
  <si>
    <t>33 ft 11 in (10.33 m)</t>
  </si>
  <si>
    <t>61 mph (98 km/h, 53 kn)</t>
  </si>
  <si>
    <t>148 mph (238 km/h, 129 kn)</t>
  </si>
  <si>
    <t>500 mi (800 km, 430 nmi)</t>
  </si>
  <si>
    <t>14,000 ft (4,300 m)</t>
  </si>
  <si>
    <t>125 mph (201 km/h, 109 kn)</t>
  </si>
  <si>
    <t>Stinson Voyager</t>
  </si>
  <si>
    <t>https://en.wikipedia.org/Stinson Voyager</t>
  </si>
  <si>
    <t>NACA 4412</t>
  </si>
  <si>
    <t>1946-1950</t>
  </si>
  <si>
    <t>14.33 lb/hp (8.69 kg/kW)</t>
  </si>
  <si>
    <t>183 yd (167 m)</t>
  </si>
  <si>
    <t>Stits SA-8 Skeeto</t>
  </si>
  <si>
    <t>The Stits SA-8A Skeeto is an early homebuilt ultralight design by Ray Stits. ("Ultralight" was not official classification in America at the time since Code of Federal Regulations Title 14 (Federal Aviation Regulations) Part 103, better known as 14 CFR Part 103 or just Part 103, which defined ultralight vehicles in the United States, was not adopted until 1982.) The Skeeto was initially intended to be an affordable light aircraft that could be built complete for under $500 in 1957. The fuselage was welded steel tubing, with mostly fabric covered wood construction for the wings and control surfaces. The engine for this kit venture was to be an low cost off-the shelf model.   [1] Test flights were limited to the length of the runway after the aircraft was registered as a "research and development" project.  The roll rate was so low at 20-30 mph, that rudder turns were preferred. The 3-4 pound wing loading was considered impractically light for handling. An example of a SA-8 Skeeto was donated to the Claremont, California Air Museum in 1958,[2] it is now in the EAA AirVenture Museum in Oshkosh, Wisconsin.[3] Data from Sport AviationGeneral characteristics Performance</t>
  </si>
  <si>
    <t>18 ft (5.5 m)</t>
  </si>
  <si>
    <t>120 sq ft (11 m2) model 1</t>
  </si>
  <si>
    <t>175 lb (79 kg) 175lb test one model.</t>
  </si>
  <si>
    <t>400 lb (181 kg) model 1</t>
  </si>
  <si>
    <t>2.5 gal (9.5 litres)</t>
  </si>
  <si>
    <t>× Evenrude , 25 hp (19 kW)</t>
  </si>
  <si>
    <t>250 ft/min (1.3 m/s)</t>
  </si>
  <si>
    <t>30 ft (9.1 m)</t>
  </si>
  <si>
    <t>50 ft (15 m) This aircraft was only certified to fly up to 50 feet.</t>
  </si>
  <si>
    <t>Ray Stits</t>
  </si>
  <si>
    <t>https://en.wikipedia.org/Ray Stits</t>
  </si>
  <si>
    <t>Stits SA-5 Flut-R-Bug</t>
  </si>
  <si>
    <t>The Stits SA-5 Flut-R-Bug is a homebuilt aircraft designed by Ray Stits. The Flut-R-Bug can be built as a single place or tandem seat aircraft. It was an early complete-kit aircraft, sold with a pre-welded fuselage. Stits planned to deliver 100 kits to the German market for homebuilding.[2] Examples have been completed in the United States and in Europe. The SA-5 is a mid-wing, tricycle landing gear design with folding wings. The aircraft was intended to be towed by a vehicle by the (lowered) tail on its main gear with wings folded along its sides. The cockpit can be open, or covered with a bubble canopy. The fuselage is constructed from welded steel tubing with aircraft fabric covering. The wings use spruce wooden spars with fabric covering.[3] Data from Sport AviationGeneral characteristics Performance</t>
  </si>
  <si>
    <t>//upload.wikimedia.org/wikipedia/commons/thumb/e/e5/Stits_SA6B_Flutrbug_LX-PUR_Lux_Findel_27.07.65_edited-3.jpg/300px-Stits_SA6B_Flutrbug_LX-PUR_Lux_Findel_27.07.65_edited-3.jpg</t>
  </si>
  <si>
    <t>Stits Aircraft Company</t>
  </si>
  <si>
    <t>27 full kits sold, 1200 set of plans sold[1]</t>
  </si>
  <si>
    <t>1 passenger</t>
  </si>
  <si>
    <t>103.5 sq ft (9.62 m2)</t>
  </si>
  <si>
    <t>528 lb (239 kg)</t>
  </si>
  <si>
    <t>9 U.S. gallons (34 L; 7.5 imp gal)</t>
  </si>
  <si>
    <t>1 × Continental A65 horizontally opposed piston, 65 hp (48 kW)</t>
  </si>
  <si>
    <t>1,000 ft/min (5.1 m/s)</t>
  </si>
  <si>
    <t>2-bladed Sensenich, 6 ft 0 in (1.83 m) diameter</t>
  </si>
  <si>
    <t>6.4 lb/sq ft (31 kg/m2)</t>
  </si>
  <si>
    <t>23 ft (7.0 m)</t>
  </si>
  <si>
    <t>35 kn (40 mph, 64 km/h)</t>
  </si>
  <si>
    <t>170 nmi (200 mi, 320 km)</t>
  </si>
  <si>
    <t>87 kn (100 mph, 160 km/h)</t>
  </si>
  <si>
    <t>Stits SA-7 Sky-Coupe</t>
  </si>
  <si>
    <t>The Stits SA-7 Skycoupe is a two-seat, side-by-side seating, high wing homebuilt aircraft designed by Ray Stits.[1] Ray Stits designed 14 different homebuilt aircraft kits that were some of the first available to the general public built in quantity.[2] Stits is also known to the general public as the maker of the Stits Junior, Stits SA-2A Sky Baby,[3] and Stits Baby Bird, each of which was once the world's smallest aircraft.[4] Engineer Harold Dale assisted in the certification process after completing his Dale Weejet 800.[5] The Skycoupe was provided as a kit with a pre-fabricated steel tube fuselage. The surfaces are fabric covered. The aircraft was designed to accommodate engines ranging from 60 to 90 hp (45 to 67 kW). Data from Jane's All the World's Aircraft 1961–62[6]General characteristics Performance  Related development</t>
  </si>
  <si>
    <t>//upload.wikimedia.org/wikipedia/commons/thumb/c/c6/Empire_State_Aerosciences_Museum_-_Glenville%2C_New_York_%288158375346%29.jpg/300px-Empire_State_Aerosciences_Museum_-_Glenville%2C_New_York_%288158375346%29.jpg</t>
  </si>
  <si>
    <t>Stits Aircraft</t>
  </si>
  <si>
    <t>17 ft 9 in (5.41 m)</t>
  </si>
  <si>
    <t>6 ft 6 in (1.98 m)</t>
  </si>
  <si>
    <t>120 sq ft (11 m2)</t>
  </si>
  <si>
    <t>1,175 lb (533 kg)</t>
  </si>
  <si>
    <t>18 US gal (15 imp gal; 68 L)</t>
  </si>
  <si>
    <t>1 × Continental C85 air-cooled flat-four, 85 hp (63 kW)</t>
  </si>
  <si>
    <t>100 kn (115 mph, 185 km/h)</t>
  </si>
  <si>
    <t>25 ft 9 in (7.85 m)</t>
  </si>
  <si>
    <t>42 kn (48 mph, 77 km/h)</t>
  </si>
  <si>
    <t>Ray Stits, Harold Dale</t>
  </si>
  <si>
    <t>https://en.wikipedia.org/Ray Stits, Harold Dale</t>
  </si>
  <si>
    <t>120 kn (138 mph, 222 km/h)</t>
  </si>
  <si>
    <t>Stout Batwing</t>
  </si>
  <si>
    <t>The Stout Batwing was an experimental low aspect ratio flying wing aircraft developed by William Bushnell Stout.[1] The aircraft used wood veneer construction and was an early example of cantilever wing design. The internally braced wing was also one of the first American aircraft designed without drag-producing struts. During World War I, William Bushnell Stout was employed by Packard in 1917 when he was appointed as a technical advisor to the War production board who in turn gave Stout a contract to develop an aircraft. Funded by the Motor Products Corporation, Stout developed the "Batwing" aircraft hoping to sell the aircraft to the United States Army Air Service.[2] Stout first experimented with an all-wood flying wing glider, the "Batwing Glider", tested at Ford Airport in 1926.[3] Stout's design was nicknamed "Bushnell's Turtle" (a reference to the unrelated David Bushnell's American Turtle shape).[4] The Batwing was designed with an unusually broad chord, thick section cantilevered wing with the horizontal stabilizers set very close to the rear of the aircraft. The wings were covered with a three-ply wood veneer only 1/20 of an inch thick. The internal bracing consisted of hundreds of spruce struts. Nine spars tested to 1 ton of load each.[5] Likely encountering a Junkers F.13, Bill Stout abandoned wood construction for metal corrugated skinning over a metal frame.[6] To reduce drag, the aircraft employed a cantilever wing without support wires or struts. This required a "thick" wing to build a spar deep enough to support the aircraft. To maintain the thin airfoil sections commonly used at the time, the chord also had to be longer as the wing became thicker. In the case of the Batwing, the chord was almost the entire length of the aircraft. Since the spar did not need to be as thick toward the tips to support the load, the chord decreased further out along the wing, forming an oval-shaped wing. As ideal as this was, it caused significant engineering challenges.[7] Further aerodynamic drag reductions came from having the water-cooled engine embedded into the wing with retractable radiators.[8] The pilot sat in an open cockpit placed at the top of the aircraft. Downward visibility was restricted by the wing. The Batwing was the first example of a cantilevered wing designed and built in the United States.[9] The mockup of his first thick winged aircraft design was built at the Widman woodworking plant in Detroit, Michigan. The 150 hp engine was acquired from Charles W. Nash who had an interest in the project.[10] The first flight was in Dayton, Ohio 13 January 1919.[11] The pump shaft on the engine was broken, but the plane was flown anyway. Although the flight was successful, the test pilot Jimmie Johnson commented that the aircraft was too dangerous to fly because of the poor visibility. Stout later called the visibility "abominable". The test aircraft was put into storage. Soon afterward, Stout submitted British patent #149,708: a Batwing aircraft with the corners squared off rather than the oval design of the prototype. The updated aircraft was never produced. Stout went on to focus on more conventional aircraft featuring the advancement of all-metal construction, but maintained that the airplane of the future would look like the Batwing.[12] Stout drew up plans for a scaled-up version of the Batwing, with a 100-foot wingspan. The larger aircraft may have solved the visibility issues, but did not get past the planning stage. The all-metal "Batwing 11" was publicized as being capable of 200 mph with a forty-foot wingspan and magnesium construction.[13] Stout also used the term "batwing" in the name of future aircraft that used cantilever wings. Data from SAE Dec 1922General characteristics Performance  Related development Aircraft of comparable role, configuration, and era    Media related to Stout aircraft at Wikimedia Commons</t>
  </si>
  <si>
    <t>//upload.wikimedia.org/wikipedia/commons/thumb/2/28/Stout_Batwing_airplane1_1918.jpg/300px-Stout_Batwing_airplane1_1918.jpg</t>
  </si>
  <si>
    <t>experimental</t>
  </si>
  <si>
    <t>Stout Engineering Laboratories</t>
  </si>
  <si>
    <t>https://en.wikipedia.org/Stout Engineering Laboratories</t>
  </si>
  <si>
    <t>480 sq ft (45 m2)</t>
  </si>
  <si>
    <t>1,542 lb (699 kg)</t>
  </si>
  <si>
    <t>1 × Hispano-Suiza 8 V-8 water-cooled piston engine, 150 hp (110 kW)</t>
  </si>
  <si>
    <t>20 ft (6.1 m)</t>
  </si>
  <si>
    <t>Batwing "Vampire"</t>
  </si>
  <si>
    <t>Steere Bodacious</t>
  </si>
  <si>
    <t>The Steere Bodacious is an American single seat original design ultralight aircraft. The Bodacious was a project started as a Legal Eagle ultralight, but was redesigned to become an enclosed aircraft. The aircraft is a single engine, strut-braced, high wing ultralight with conventional landing gear. The aluminum spar wings use wooden ribs and fold rearward for towing or storage. The aircraft is covered with Oratex, a pre-colored covering used in model aircraft building.[1] The prototype Bodacious won the Reserve Grand Champion Ultralight award at the 2012 EAA AirVenture Oshkosh airshow.[2] Data from Aero News NetworkGeneral characteristics Performance  Related development Aircraft of comparable role, configuration, and era</t>
  </si>
  <si>
    <t>//upload.wikimedia.org/wikipedia/commons/thumb/e/e2/Bodacious.jpg/300px-Bodacious.jpg</t>
  </si>
  <si>
    <t>John Steere</t>
  </si>
  <si>
    <t>261 lb (118 kg) with parachute, cowling and doors removed</t>
  </si>
  <si>
    <t>1 × 1/2 Hummel Volkswagen conversion Two cylinder, horizontally opposed</t>
  </si>
  <si>
    <t>52 kn (60 mph, 97 km/h)</t>
  </si>
  <si>
    <t>23 kn (27 mph, 43 km/h)</t>
  </si>
  <si>
    <t>Milholland Legal Eagle</t>
  </si>
  <si>
    <t>https://en.wikipedia.org/Milholland Legal Eagle</t>
  </si>
  <si>
    <t>2.5 hr</t>
  </si>
  <si>
    <t>Steinruck SCS-1</t>
  </si>
  <si>
    <t>The Steinruck SCS-1 is an American high-wing, single-seat, V-tailed glider that was designed by A.C. Cordas and constructed by Wade Steinruck.[1][2][3] Steinruck worked on the SCS-1 for many years in his spare time at his home in Spring Valley, California, completing the aircraft in 1959.[1][2] The SCS-1 is built predominantly from aluminium. It features a V-tail and a three-piece wing with a NACA 33012 airfoil. The spoilers are located in a hatch that is behind the canopy.[1][2][4] The SCS-1 has been flown on several recreational 200 mi (322 km) out and return and triangle flights.[2] In June 2011 the aircraft was still registered with the Federal Aviation Administration to Steinruck, 52 years after its completion.[3] Data from Sailplane Directory and Soaring[1][2]General characteristics Performance     Related lists</t>
  </si>
  <si>
    <t>Glider</t>
  </si>
  <si>
    <t>https://en.wikipedia.org/Glider</t>
  </si>
  <si>
    <t>Wade Steinruck</t>
  </si>
  <si>
    <t>https://en.wikipedia.org/Wade Steinruck</t>
  </si>
  <si>
    <t>One</t>
  </si>
  <si>
    <t>132.5 sq ft (12.31 m2)</t>
  </si>
  <si>
    <t>326 lb (148 kg)</t>
  </si>
  <si>
    <t>550 lb (249 kg)</t>
  </si>
  <si>
    <t>30 at 55 mph (89 km/h)</t>
  </si>
  <si>
    <t>4.15 lb/sq ft (20.3 kg/m2)</t>
  </si>
  <si>
    <t>44 ft 0 in (13.41 m)</t>
  </si>
  <si>
    <t>A.C. Cordas</t>
  </si>
  <si>
    <t>https://en.wikipedia.org/A.C. Cordas</t>
  </si>
  <si>
    <t>NACA 33012</t>
  </si>
  <si>
    <t>132 ft/min (0.67 m/s) at 45 mph (72 km/h)</t>
  </si>
  <si>
    <t>Stephens Akro</t>
  </si>
  <si>
    <t>The Stephens Akro is a single engine monoplane designed in the United States for aerobatic competitions.  It first flew in 1967 and proved very successful, leading to several developments of which  one won seven US Championships and one World Championship between 1975 and 1982. The Extra EA-230 and Extra EA-300 were also Akro developments with over two hundred built. The Akro was designed as a homebuilt aircraft for pilots who competed in aerobatic competitions.  It was the first U.S. aircraft design to be guided by the Aresti Catalog of manoeuvres for such events.  The structure absorbs high stresses, +12/-11g.  The Akro is a cantilever mid wing monoplane with a wooden, two spar mahogany skinned wing built in one piece, its forward spar passing unbroken through the fuselage and the rear spar in two parts.  The plain, statically balanced ailerons have steel spars with spruce ribs and trailing edges ; they are fabric covered and carry ground adjustable trim tabs.  The tail unit is a fabric covered steel tube structure, wire braced and with swept, straight tapered surfaces.  Like the ailerons, all the rear control surfaces are statically balanced.  The rudder has a ground adjustable trim tab.  The tailplane is mounted at the top of the fuselage, with variable incidence and a flight controllable trim tab in the elevator.[2] The Akro has a 180 hp (134 kW) Avco Lycoming AIO-360-A1A air-cooled flat-four engine in the nose, driving a two blade metal fixed pitch propeller.  Its fuel is stored in a fuselage tank between the single seat cockpit and the engine. The cockpit has a fixed screen and a rearward sliding bubble canopy.  In addition, there is a large window in the forward cockpit floor.  There is a fixed, conventional undercarriage, with the mainwheels under glass fibre fairings on cantilever sprung steel legs.  Hydraulic disc brakes are fitted.  The tailwheel is steerable.[2] Two slightly different models were designed specifically for the first two customers. The Model A design, begun in July 1966 was for Margaret Ritchie, the winner of the 1966 U.S. Women's Aerobatic Championship and first flew on 27 July 1967.  The Model B had less tapered wings of greater area (6%) and bigger ailerons, though of unchanged span, slightly heavier (8%) and with windows in the fuselage sides below the wings.  The B also carried 16% less fuel but had a lubrication system adapted to prolonged inverted flight.  It first flew on 9 July 1969.[2] The Akro and its developments were one of the most successful aerobatic competition aircraft.  Amateur builders began from plans of the Model A or B variants.  The 180 hp Lycoming remained the most popular engine but Akros with up to 230 hp motors were produced. The Haigh Superstar is one of several Akro developments as are the Extra EA-230 and Extra EA-300 single seat aerobatic machines. Leo Loudenslager's Akro Laser 200 was a particularly successful development with a 200 hp (150 kW) Lycoming IO-360 engine; initially a standard Akro apart from the engine, it later acquired a different wing airfoil, lightened fuselage and revised, lowered canopy with the decking behind it raised.  Flying this aircraft he won the U.S. Aerobatics Championship seven times between 1975 and 1982 and won the World Aerobatics Championships in 1980.  Several Lasers have been home built by others.[1]   Stephens Aircraft issued plans for two models:[2]  In the amateur tradition, builders introduced their own variations such as bigger engines.  Stand out variants/developments were:[1]  Data from Jane's All the World's Aircraft 1981-82[2]General characteristics Performance</t>
  </si>
  <si>
    <t>Aerobatic aircraft</t>
  </si>
  <si>
    <t>https://en.wikipedia.org/Aerobatic aircraft</t>
  </si>
  <si>
    <t>Stephens Aircraft</t>
  </si>
  <si>
    <t>19 ft 1 in (5.82 m)</t>
  </si>
  <si>
    <t>5 ft 8 in (1.73 m)</t>
  </si>
  <si>
    <t>94.0 sq ft (8.73 m2)</t>
  </si>
  <si>
    <t>849 lb (385 kg)</t>
  </si>
  <si>
    <t>32 US gal (27 Imp gal; 121 L)</t>
  </si>
  <si>
    <t>1 × Avco Lycoming AIO-360-A1A air-cooled flat-four, 180 hp (134 kW)</t>
  </si>
  <si>
    <t>125 mph (201 km/h, 109 kn) economical at 2,000 ft (610 m)</t>
  </si>
  <si>
    <t>4,000 ft/min (20 m/s)</t>
  </si>
  <si>
    <t>2-bladed Sensenich Type 7660, 6 ft 4 in (1.93 m) diameter fixed pitch, metal</t>
  </si>
  <si>
    <t>{'Model A': ' described', 'Model B': 'rger area wing and ailerons, reduced tankage, better inverted lubrication system, extra cockpit windows.', 'Haigh Superstar': 'ro Laser Z-200', 'Akro Laser Z-200': 'ltiple US and single World Championship winner, adapted, built and flown by Leo Loudenslager between 1975 and 1982.', 'Extra EA-230': 'rther adaptation of the Akro Laser by Walter Extra of Extra Flugzeugbau in Germany.', 'Extra EA-300': 'er 200 of the -230 and -300 produced.'}</t>
  </si>
  <si>
    <t>24 ft 6 in (7.47 m)</t>
  </si>
  <si>
    <t>220 mph (354 km/h, 191 kn)</t>
  </si>
  <si>
    <t>350 mi (563 km, 304 nmi)</t>
  </si>
  <si>
    <t>21,998 ft (6,705 m) service</t>
  </si>
  <si>
    <t>Clayton L. Stephens[1]</t>
  </si>
  <si>
    <t>170 mph (274 km/h, 148 kn) at 2,000 ft (610 m)</t>
  </si>
  <si>
    <t>1,199 lb (544 kg)</t>
  </si>
  <si>
    <t>NACA 23012</t>
  </si>
  <si>
    <t>+12/-11</t>
  </si>
  <si>
    <t>200 ft (61 m)</t>
  </si>
  <si>
    <t>400 ft (122 m)</t>
  </si>
  <si>
    <t>600 ft (183 m)</t>
  </si>
  <si>
    <t>1,500 ft (457 m)</t>
  </si>
  <si>
    <t>Stevens SU-1</t>
  </si>
  <si>
    <t>The Stevens SU-1 is an American single seat, high-wing, strut-braced, glider that was designed in 1933 by students at the Stevens Institute of Technology in Hoboken, New Jersey.[1] The SU-1 was developed as an attempt to improve the performance of the Franklin PS-2, by designing new wings for it as a student project. The PS-2's straight 36 ft (11.0 m) wings were replaced with 46 ft (14.0 m) gull-wings. Like the original wings, the new wings have two spars, but instead of parallel struts, the new wings use V-struts terminating at a single fuselage attachment point. Jury struts are also used. Like the original wings, the new wings are a wooden structure, covered in doped aircraft fabric covering. The SU-1 retains the PS-2's original steel tube fuselage. The landing gear is a fixed monowheel type.[1] Testing showed that the Stevens Institute students were successful and the SU-1 has a glide ratio of 17:1, two points better than the PS-2. It also has a slightly higher sink rate of 180 feet per minute versus the PS-2's 150. Gross weight was also increased from 400 lb (181 kg) to 550 lb (249 kg).[1] About four SU-1s were produced.[1] In 1983 Soaring Magazine reported that two SU-1s were still in existence, one in serviceable condition and one in need of repair.[1] In April 2011 one remained on the Federal Aviation Administration register.[2] Data from Soaring[1]General characteristics Performance</t>
  </si>
  <si>
    <t>Stevens Institute of Technology</t>
  </si>
  <si>
    <t>https://en.wikipedia.org/Stevens Institute of Technology</t>
  </si>
  <si>
    <t>No longer in production</t>
  </si>
  <si>
    <t>about 4</t>
  </si>
  <si>
    <t>180 sq ft (17 m2)</t>
  </si>
  <si>
    <t>325 lb (147 kg)</t>
  </si>
  <si>
    <t>3.05 lb/sq ft (14.9 kg/m2)</t>
  </si>
  <si>
    <t>Franklin PS-2</t>
  </si>
  <si>
    <t>https://en.wikipedia.org/Franklin PS-2</t>
  </si>
  <si>
    <t>180 ft/min (0.91 m/s)</t>
  </si>
  <si>
    <t>Stewart M-2</t>
  </si>
  <si>
    <t>The Stewart M-2 was an American all-metal, twin-engined, aerial survey aircraft.[1] The W.F. Stewart Company was a custom builder of wooden auto bodies. When factory-built steel bodies overtook wood construction, the company broke into the aviation market with the Stewart M-1, an all-wood monoplane. Sensing wood construction was about to be overtaken by all-metal aircraft, the Stewart M-2 was developed.[2] The M-2 was an all-metal, twin-engined aircraft with conventional landing gear, powered with Wright J-6 engines. 225 hp Packard DR-980 engines were later installed and tested. Townend rings were used on the re-installed Wright J-6 engines. Designer Jack Hunt test flew the prototype on 22 May 1931. No orders for new aircraft were received. The aircraft was used by Abrams Aerial Survey Corporation for aerial surveys. The airframe was scrapped in 1941.[2] Data from Skyways[2]General characteristics Performance</t>
  </si>
  <si>
    <t>Light Twin</t>
  </si>
  <si>
    <t>37 ft (11 m)</t>
  </si>
  <si>
    <t>2 × Packard DR-980 Radial, 225 hp (168 kW)  each</t>
  </si>
  <si>
    <t>110 kn (130 mph, 210 km/h)</t>
  </si>
  <si>
    <t>52 ft 10 in (16.10 m)</t>
  </si>
  <si>
    <t>Jack Hunt, Lionel Kitchen</t>
  </si>
  <si>
    <t>135 kn (155 mph, 249 km/h)</t>
  </si>
  <si>
    <t>The Stolp-Adams SA-100 Starduster is a U.S. single seat sport biplane designed to be built from plans supplied by Aircraft Spruce &amp; Specialty Co.  Though the first flight was in 1957, Stardusters continue to be built and flown.[1] The SA-100 Starduster was designed by Louis A. Stolp and George M. Adams as a light sports aircraft for homebuilding from plans.  It is a single bay biplane with fabric covered, wooden framed staggered wings, each pair braced by a single, wide chord interplane strut aided by bracing wires.  A total of eight centre section struts join the upper wing to the fuselage, basically two pairs in N-form but with the forward strut doubled. The lower wing is unswept and has 1.5° of dihedral; the upper wing has 6° of sweep on its leading edge, no dihedral and a greater span.  There are ailerons on the lower wings only, but no flaps.[2] The fuselage and tail unit have a fabric covered steel tube structure, with the open cockpit positioned just behind the swept upper wing trailing edge which has a rounded cut-out for upward visibility.  There is a long and prominent faired headrest behind the cockpit, on top of the curved upper fuselage surface.  The Starduster has a conventional tail unit, with a wire braced tailplane and straight tapered, round topped fin and rudder, the latter extending to the keel between split elevators.  Both rudder and elevators are horn balanced.[2] The Starduster has a recommended power range of 125 to 160 hp (93 to 119 kW) and is usually powered by a four-cylinder, horizontally opposed, 125 hp (93 kW) Lycoming O-290-D-1,[2] though more powerful engines of up to 200 hp (150 kW) have been fitted.[3]  It has a conventional tailwheel undercarriage.  The mainwheels are mounted on V-struts hinged from the lower fuselage longeron, with rubber shock absorbers on diagonal extension struts between wheel and a short, central, under fuselage V-form mounting bracket.  The main legs are often partially or completely faired and the wheels enclosed in spats.[1][2] Starduster plans remain available more than 50 years after the first flight and homebuilding building continues.[4] A Starduster register[5] currently shows 27 SA-100 Stardusters and 3 SA-101 Super Stardusters built and building.  The FAA register shows 64 SA-100s and 1 SA-101, though not all are assigned and some further Stardusters appear without a type number.[6] Data from Jane's All the World's Aircraft 1966/7, p.331,[2] Aerofiles[9]General characteristics Performance   Aircraft of comparable role, configuration, and era</t>
  </si>
  <si>
    <t>//upload.wikimedia.org/wikipedia/commons/thumb/7/71/Stolp_Starduster_N163C_LGB_1971_edited-2.jpg/300px-Stolp_Starduster_N163C_LGB_1971_edited-2.jpg</t>
  </si>
  <si>
    <t>Single seat sport aircraft</t>
  </si>
  <si>
    <t>Stolp AircraftAircraft Spruce &amp; Specialty Co.</t>
  </si>
  <si>
    <t>https://en.wikipedia.org/Stolp AircraftAircraft Spruce &amp; Specialty Co.</t>
  </si>
  <si>
    <t>16 ft 6 in (5.03 m)</t>
  </si>
  <si>
    <t>6 ft 0 in (1.83 m)</t>
  </si>
  <si>
    <t>110.0 sq ft (10.22 m2)</t>
  </si>
  <si>
    <t>700 lb (318 kg)</t>
  </si>
  <si>
    <t>20 Imp gal (24 US gal, 91 L)</t>
  </si>
  <si>
    <t>1 × Lycoming O-290-D-1 4-cylinder horizontally opposed air cooled, 125 hp (93 kW)</t>
  </si>
  <si>
    <t>2-bladed Sensenich M74DM61 fixed pitch</t>
  </si>
  <si>
    <t>400 mi (640 km, 350 nmi)</t>
  </si>
  <si>
    <t>Louis A. Stolp and George M. Adams</t>
  </si>
  <si>
    <t>https://en.wikipedia.org/Stolp Starduster Too</t>
  </si>
  <si>
    <t>1,247 lb (566 kg)</t>
  </si>
  <si>
    <t>18 ft 0 in (5.49 m)</t>
  </si>
  <si>
    <t>Storm Century</t>
  </si>
  <si>
    <t>The Century are a family of aircraft produced by the Storm Aircraft Company, of Sabaudia, Italy. The Storm Century range of aircraft grew from the original "Storm" range developed and marketed by SG Aviation. The Storm were mainly sold as kits and flew in the ultralight or experimental categories, depending on the jurisdiction. The whole Storm range of aircraft are now manufactured and sold by Stormaircraft srl. The Storm Century is marketed in the United States and Australia as a Light Sport Aircraft, and in numerous other countries worldwide as an Ultralight (e.g. in Germany, Denmark and Australia). The aircraft is a low-wing, all metal design using a 100 hp (70 kW) Rotax 912UL-S engine. Other engines are available to order. The Century was initially fitted with an "all flying" combination horizontal stabiliser and elevator. Subsequently, as part of the development of the Century RG – a retractable gear variant – the vertical stabiliser and empennage was subtly redesigned and the horizontal tail surfaces were replaced by a conventional fixed horizontal stabiliser/elevator combination. From this modification a fixed gear alternative was developed and identified as the Century '04. A further development of the Century involved adding 25 cm to the length of the aircraft forward of the firewall (by way of a modified engine mount) and 15 cm to the aircraft immediately aft of the original cockpit. This 2+2 variant is identified as the Century 5XL and is manufactured with either the original or the Century '04 tail configuration. In addition the 5XL wingspan was increased by some 40 cm over the original. This variant is available as a 2-seat LSA or a 2+2 in the experimental category. The 5XL has an enhanced top speed of up to 130 knots TAS and a reduced stall speed together with extremely responsive handling. It appears that the modifications have contributed positively to the original aircraft.[citation needed] Data from [1]General characteristics Performance</t>
  </si>
  <si>
    <t>Light Sport Aircraft</t>
  </si>
  <si>
    <t>https://en.wikipedia.org/Light Sport Aircraft</t>
  </si>
  <si>
    <t>Italy</t>
  </si>
  <si>
    <t>Storm Aircraft Company</t>
  </si>
  <si>
    <t>https://en.wikipedia.org/Storm Aircraft Company</t>
  </si>
  <si>
    <t>1 pax</t>
  </si>
  <si>
    <t>6.81 m (22 ft 4 in)</t>
  </si>
  <si>
    <t>2.1 m (7 ft)</t>
  </si>
  <si>
    <t>9.98 m2 (107.4 sq ft)</t>
  </si>
  <si>
    <t>293 kg (645 lb)</t>
  </si>
  <si>
    <t>449 kg (990 lb)</t>
  </si>
  <si>
    <t>26.4 US gal (100 l; 22.0 imp gal)</t>
  </si>
  <si>
    <t>1 × Rotax 912ULS 4-cyl. air-cooled horizontally-opposed piston engine, 75 kW (100 hp)   at 5,800 rpm</t>
  </si>
  <si>
    <t>204 km/h (127 mph, 110 kn) 75% power at 2,000 ft (609.60 m), ISA conditions</t>
  </si>
  <si>
    <t>4.3 m/s (850 ft/min)</t>
  </si>
  <si>
    <t>Storm RG</t>
  </si>
  <si>
    <t>8.05 m (26 ft 5 in)</t>
  </si>
  <si>
    <t>77 km/h (48 mph, 42 kn) flaps up, 42 mph (68 km/h; 36 kn) flaps down</t>
  </si>
  <si>
    <t>311 km/h (193 mph, 168 kn)</t>
  </si>
  <si>
    <t>1,500 km (920 mi, 800 nmi)</t>
  </si>
  <si>
    <t>3,700 m (12,000 ft)</t>
  </si>
  <si>
    <t>Giovanni Salsedo</t>
  </si>
  <si>
    <t>286 km/h (178 mph, 155 kn)</t>
  </si>
  <si>
    <t>https://en.wikipedia.org/Storm RG</t>
  </si>
  <si>
    <t>599 kg (1,320 lb)</t>
  </si>
  <si>
    <t>Storm 300</t>
  </si>
  <si>
    <t>https://en.wikipedia.org/Storm 300</t>
  </si>
  <si>
    <t>430 ft (131.06 m)</t>
  </si>
  <si>
    <t>640 ft (195.07 m)</t>
  </si>
  <si>
    <t>Sud-Est Grognard</t>
  </si>
  <si>
    <t>The SNCASE Grognard was designed as a single-seat, low-level ground-attack aircraft. Although in development in the 1950s for the French Armée de l'Air, the program was cancelled in favor of the Sud-Ouest Vautour II.[1] An Armée de l'Air specification for a ground-attack aircraft drawn up in 1948 was intended to spur the French aviation industry to produce a jet-powered design. Sud-Est entered the competition with a development of the earlier SE.2400 attack aircraft, after testing a model in the ONERA (Chalais-Meudon) wind tunnel. The design featured an unusual 47˚ swept wing design along with two stacked Nene jet engines fed by a single dorsal inlet in a compact, bulbous fuselage.[2] The cockpit was awkwardly situated at the extreme end of the nose; the whole arrangement soon acquiring the derisive nickname: "Hunchback".[1] The official name SE.2410 Grognard (French: Grumbler) was derived from the nickname for a soldier of Napoleon's Old Guard. Problems encountered in test flights led to a number of modifications to the tail unit and ailerons.[3] Development continued with Sud-Est building two prototypes with a further refinement that led to the SE.2415, identified as the Grognard II, a two-seat development that included a stretched fuselage incorporating a raised cockpit with a bubble canopy and reduced 32˚ wing sweep back.[4] Following initial testing, two boundary layer fences were installed on the outer wings of the SE.2415; underwing spoilers were also tested. Although neither prototype was initially armed, the planned armament array included two DEFA 30mm cannon as well as bombs and rockets.[5] The first flight of Sud-Est SE.2410 Grognard I (F-ZWRJ) took place on 30 April 1950, while the second prototype (F-ZWRK) flew on 14 February 1951 but suffered from tailplane flutter.[6][3]  Both prototypes underwent many weapons tests, notably becoming the first French aircraft to fire an air-to-air missile (the Matra T-10). The Grognard II was heavily  damaged in a belly landing after a false fire warning, although the airframe was salvaged and subsequently used as a target for firing tests.[7] During the trials, the Armée de l'Air radically altered the specifications for fighter and bomber aircraft, virtually eliminating the attack category. This change jeopardized future development of the Grognard as the unpressurized airframe was not readily adaptable to other missions.[7] Although a dedicated "all-weather" fighter variant with a radar in the nose, the SE.2421 was planned, a definitive attack variant, the SE.2418 would have used two x 2, 850 kgp (6,2850 lb st) Rolls-Royce Tays with an anticipated performance that included a maximum speed of 1,086 km/h (675 mph) at sea level.[4] The SE.2418, incorporating the wing of the Grognard I with the lengthened fuselage and other refinements from the Grognard II [7] was actually  being readied for production when the program was shut down in 1952 with the Vautour multi-purpose fighter/bomber having proved to be a more promising design.[1] The SE.2410 was eventually retired and later scrapped by 1954.[8] Data from The Aircraft of the World[9]General characteristics Performance Armament  Related development Aircraft of comparable role, configuration, and era</t>
  </si>
  <si>
    <t>//upload.wikimedia.org/wikipedia/en/thumb/3/37/SE.2410_Grognard_I.jpg/300px-SE.2410_Grognard_I.jpg</t>
  </si>
  <si>
    <t>Ground-attack aircraft</t>
  </si>
  <si>
    <t>https://en.wikipedia.org/Ground-attack aircraft</t>
  </si>
  <si>
    <t>France</t>
  </si>
  <si>
    <t>Sud-Est</t>
  </si>
  <si>
    <t>https://en.wikipedia.org/Sud-Est</t>
  </si>
  <si>
    <t>51 ft 6 in (15.4 m)</t>
  </si>
  <si>
    <t>17 ft 0 in (5.18 m)</t>
  </si>
  <si>
    <t>495 sq ft (150.87 m2)</t>
  </si>
  <si>
    <t>2 × Rolls-Royce Nene 101 turbojet, 4,940 lbf (21.97 kN) thrust each</t>
  </si>
  <si>
    <t>45 ft 6 in (13.57 m)</t>
  </si>
  <si>
    <t>38,050 ft (11,590 m)</t>
  </si>
  <si>
    <t>645 mph (1,038 km/h, 560 kn)</t>
  </si>
  <si>
    <t>31,925 lb (14,481 kg)</t>
  </si>
  <si>
    <t>530 mi (853 km, 460 nmi)</t>
  </si>
  <si>
    <t>2 × 30 mm (1.2 in) DEFA cannon (planned)</t>
  </si>
  <si>
    <t>16 x 65 kg (143 lb) 5 inch HVAR rockets or 200 x 4 kg (8.8 lb) 68mm rockets located in a retractable armament bay in the lower fuselage or 4 X Matra T-10 rockets carried underwing [7]</t>
  </si>
  <si>
    <t>4 x 250 kg (550 lb) or 2 x 340 kg (750 lb)[7]</t>
  </si>
  <si>
    <t>Sullivan Model K-3 Crested Harpy</t>
  </si>
  <si>
    <t>The Sullivan Model K-3 Crested Harpy is a two place light sportplane of the 1920s.[1]  The Crested Harpy seats 3. Pilot in front two passengers and dual controls in rear. Three aircraft built. Series #2 crashed on a demonstration flight killing a Mr. Garner and a Mr. Gardner. Within a short time the Kinner engine was replaced with a Cessna Anzani engine of 120 HP. And the bungee landing gear was replaced with oleo type struts by Mr. Potts at McCoy airport at Dodge City, Kansas.   One owner had his Sullivan for ten years and said that he liked it very much.  @ &lt;! -- ==Units using this aircraft/Operators (choose)== --&gt; Data from AeronauticsGeneral characteristics Performance   Aircraft of comparable role, configuration, and era</t>
  </si>
  <si>
    <t>Sportplane</t>
  </si>
  <si>
    <t>Sullivan Airplane Manufacturing Company</t>
  </si>
  <si>
    <t>https://en.wikipedia.org/Sullivan Airplane Manufacturing Company</t>
  </si>
  <si>
    <t>1 × Kinner K-5 Five Cylinder radial, 110 hp (82 kW)</t>
  </si>
  <si>
    <t>94 kn (108 mph, 174 km/h)</t>
  </si>
  <si>
    <t>118 ft 1 in (36 m)</t>
  </si>
  <si>
    <t>430 nmi (500 mi, 800 km)</t>
  </si>
  <si>
    <t>115 kn (132 mph, 212 km/h)</t>
  </si>
  <si>
    <t>Supermarine 525</t>
  </si>
  <si>
    <t>The Supermarine Type 525 was a British prototype naval jet fighter aircraft of the 1950s. The Type 525 was a late development of the Type 508 of which three examples had been ordered from Supermarine in November 1947 to Air Ministry specification N.9/47.[1] The Type 508s were to be development aircraft for a carrier-borne interceptor, reconnaissance and low-level nuclear strike aircraft to be built later by Supermarine to specification N.113D and which became the Type 544 which entered service as the Scimitar.[2] The first Type 508, serial VX133, was a straight-winged jet aircraft fitted with a V-tail ("butterfly") tail intended for use with rubber deck landing techniques, the choice of wide, flattish fuselage and V-tail being designed to provide adequate stability and clearance when landing without a normal undercarriage.[3] It first flew on 31 August 1951. The second Type 508 VX136 was fairly similar to the first aircraft but was redesignated as the Type 529 and first flew on 29 August 1952.[4] The third Type 508 VX138, built like the others at Supermarine's Hursley Park experimental department, was modified on the production line to closer to Scimitar standards and was redesignated the Type 525. This aircraft was delivered by road to the Aeroplane and Armament Experimental Establishment (A&amp;AEE) at Boscombe Down, Wiltshire, on 25 April 1954. It made its first flight on 27 April 1954 at the hands of Supermarine's test pilot M J Lithgow.[5] The Type 525 was powered by two Rolls-Royce Avon turbojets and fitted with a taller tricycle undercarriage positioned further out on the wings than on the Type 508. It had a conventional tail and rudder surfaces and swept wings. It made its first public appearance at the September 1954 Farnborough Airshow. The aircraft made further test flights during late 1954 from its base at Chilbolton airfield, Hampshire. In early 1955 it was taken by road to the Hursley Park factory for the installation of a flap blowing system.[5] This was designed to reduce the safe landing approach speed, an obvious advantage for safe operation from aircraft carriers. It also lowered the speed at which catapult launches would be carried out.[6] The flap blowing system ("super-circulation") on the Type 525 used a device to project a thin jet of high pressure air, bled from an engine compressor, through a narrow slot along the wing trailing edge just ahead of the flap hinges. The Coandă effect then bent the jet of air over the flaps. The improved lift resulted in an 18 mph reduction in approach speed - most useful for carrier-based aircraft.[7] After returning to Chilbolton by road, the aircraft was flown to the A&amp;AEE on 5 July 1955 for further trials. The aircraft was tested for low speed handling on 5 July. Whilst at 10,000 ft (3,000 m), and unable to recover from a flat spin 20 minutes after take-off, the aircraft spun in from 3,000 ft (910 m) two miles south-southeast of Boscombe Down. It was destroyed by fire and the pilot Lieutenant Commander T.A. Rickell, who had ejected just before the crash, died of injuries sustained.[8][9] The first Type 544 Scimitar prototype embodied experience from the Type 525, and first flew on 19 January 1956.[5] Data from The British Fighter since 1912[10]General characteristics Performance</t>
  </si>
  <si>
    <t>//upload.wikimedia.org/wikipedia/commons/thumb/7/71/Supermarine_525_VX138_Farnborough_11.09.54_edited-2.jpg/300px-Supermarine_525_VX138_Farnborough_11.09.54_edited-2.jpg</t>
  </si>
  <si>
    <t>Prototype naval fighter</t>
  </si>
  <si>
    <t>Supermarine</t>
  </si>
  <si>
    <t>https://en.wikipedia.org/Supermarine</t>
  </si>
  <si>
    <t>Crashed 5 July 1955</t>
  </si>
  <si>
    <t>55 ft 0 in (16.76 m)</t>
  </si>
  <si>
    <t>19,910 lb (9,031 kg) [11]</t>
  </si>
  <si>
    <t>2 × Rolls-Royce Avon R.A.3 turbojet, 6,500 lbf (29 kN) thrust each</t>
  </si>
  <si>
    <t>38 ft 6 in (11.73 m)</t>
  </si>
  <si>
    <t>42,600 ft (13,000 m)</t>
  </si>
  <si>
    <t>Mach 0.954</t>
  </si>
  <si>
    <t>28,169 lb (12,777 kg) [11]</t>
  </si>
  <si>
    <t>Supermarine 508</t>
  </si>
  <si>
    <t>https://en.wikipedia.org/Supermarine 508</t>
  </si>
  <si>
    <t>Supermarine Scimitar</t>
  </si>
  <si>
    <t>https://en.wikipedia.org/Supermarine Scimitar</t>
  </si>
  <si>
    <t>Beagle Airedale</t>
  </si>
  <si>
    <t>The Beagle A.109 Airedale is a British light civil aircraft developed in the 1960s. The Airedale was a four-seat, high-wing braced monoplane with a fixed, tricycle undercarriage, mainly of steel tube construction and fabric covered.[1] It was originally designed as the Auster D.8 which was a modified tricycle version of the Auster D.6. Although similar in many respects, the Airedale was not based on the earlier Auster C.6 Atlantic design,[2] of which a single aircraft was built and flown in 1958 (registration G-APHT). The first three[2] D.8 airframes were in construction when Beagle Aircraft bought the Rearsby-based Auster company in 1960. At this stage Beagle began introducing a series of major modifications to the D.8, which included moving the pilot's door aft and adding a second door on the right, widening the rear cabin, lengthening the rear fuselage and adding a swept fin, as well as many minor changes.[3] Following the first flight of the 1st prototype G-ARKE, seven further development and pre-production aircraft were flown.[4] As changes continued, these eight aircraft were repeatedly modified and rebuilt; these modifications continually added extra weight to the aircraft, and costs spiralled.[5] Concerns about the weight, when it was suggested that "the increase in weight was resulting in a 2-seater aircraft", were ignored by the design team.[6] The performance of the Airedale, although faster than the D.6 on the same engine, was decidedly lacklustre, largely due to its comparatively high structural weight, and it was unable to compete in the market with its US competitors. This was largely because of the out-dated steel tube/fabric construction,[7] compared to the more modern all-metal Piper Cherokee and Cessna 172 designs, but also the performance was worse[5] and production quality was poor.[7][8] Beagle had retained the older construction method as development of monocoque techniques would have extended the design period; the Airedale itself took about four and a half months from starting on the design drawings to first flight.[9] However, the benefit of this was entirely lost by the subsequent protracted development period. Additionally the Airedale proved expensive to manufacture with the production man-hours remaining higher than anticipated and consequently a higher price than the American imports.[10][7] It was also reported that dealers abroad only consented to buying a demonstrator Airedale as they wanted to be appointed as agents for the Beagle-Miles M.218 which they viewed as far more saleable.[11] A single Airedale, the first prototype (registration G-ARKE) was refitted (by Marshall's of Cambridge) with a 180 hp (134 kW) Continental GO-300-E engine so that it could be part of the SBAC Display at the 1961 Farnborough Airshow, as the standard Airedale was not eligible on account of its US-built Lycoming O-360 engine. This model was designated A.111. Ostensibly this engine was made by Rolls-Royce under their new licence agreement but the engine came from the USA.[12] Whether this expenditure was justified by the publicity is debatable, and the performance was worse.[13] Production of the Airedale ceased in 1963 after production of only 43 aircraft, when it was calculated that the break-even figure could be as high as an unfeasible 675 aircraft.[10] The Airedale took some 6,900 man-hours and £2,037 in labour charges to build, against a selling price below £5,000;[14] at one stage in 1963, Beagle had 20 unsold Airedales.[7] The Airedale and the Terrier were both built by Beagle as stop-gaps whilst more modern aircraft were designed, but both incurred significant losses, in the case of the Airedale almost £500,000.[15] It appears that a decision in 1962 to continue production past the first 25 aircraft was only made due to the optimistic outlook and predictions of the Chairman, Peter Masefield.[10][15] Data from British Civil Aircraft since 1919 Volume I [16]General characteristics Performance   Aircraft of comparable role, configuration, and era</t>
  </si>
  <si>
    <t>//upload.wikimedia.org/wikipedia/commons/thumb/2/28/Beagle_190_Airedale_%28VH-UEH%29_at_HMAS_Albatross.jpg/300px-Beagle_190_Airedale_%28VH-UEH%29_at_HMAS_Albatross.jpg</t>
  </si>
  <si>
    <t>Civil utility aircraft</t>
  </si>
  <si>
    <t>Auster  Beagle Aircraft</t>
  </si>
  <si>
    <t>https://en.wikipedia.org/Auster  Beagle Aircraft</t>
  </si>
  <si>
    <t>3 passengers</t>
  </si>
  <si>
    <t>26 ft 4 in (8.03 m)</t>
  </si>
  <si>
    <t>10 ft 0 in (3.05 m)</t>
  </si>
  <si>
    <t>185 sq ft (17.2 m2)</t>
  </si>
  <si>
    <t>1,630 lb (739 kg)</t>
  </si>
  <si>
    <t>2,750 lb (1,247 kg)</t>
  </si>
  <si>
    <t>50 imp gal (60 US gal; 230 L) maximum</t>
  </si>
  <si>
    <t>1 × Lycoming O-360-A1A air-cooled, four-cylinder horizontally-opposed engine, 180 hp (130 kW)</t>
  </si>
  <si>
    <t>133 mph (214 km/h, 116 kn)</t>
  </si>
  <si>
    <t>2-bladed McCauley 2D36C14/78KM/4 constant-speed propeller[17], 6 ft 2 in (1.88 m) diameter</t>
  </si>
  <si>
    <t>36 ft 4 in (11.07 m)</t>
  </si>
  <si>
    <t>52 mph (84 km/h, 45 kn) (flaps down)[17]</t>
  </si>
  <si>
    <t>940 mi (1,510 km, 820 nmi)</t>
  </si>
  <si>
    <t>12,000 ft (3,700 m) [17]</t>
  </si>
  <si>
    <t>140 mph (230 km/h, 120 kn)</t>
  </si>
  <si>
    <t>Auster D.6</t>
  </si>
  <si>
    <t>https://en.wikipedia.org/Auster D.6</t>
  </si>
  <si>
    <t>NACA 23012[9]</t>
  </si>
  <si>
    <t>Bede BD-4</t>
  </si>
  <si>
    <t>The Bede BD-4 is an American light aircraft, designed by Jim Bede for homebuilding and available since 1968. It was the first homebuilt aircraft to be offered in kit form.[1] It remains one of the world's most popular homebuilts with thousands of plans sold and hundreds of examples completed to date. Based on his previous work with innovative light aircraft, the BD-1 (eventually developed into the American Aviation AA-1 Yankee) and BD-2, Jim Bede designed the BD-4 to be the first real "kitplane" in the world. The design was based on a high-wing cantilever monoplane of conventional design, able to be fitted either with a tailwheel or a tricycle undercarriage. When building the plane, it was also possible to choose between a two-seat or four-seat version. The intention was to allow people with little or no fabrication experience to start with a set of comprehensive plans and work up to a bolt-together operation in which complex components were provided from the factory. In order to simplify construction, there were few curved surfaces and most of the fuselage was made up of flat aluminum sheeting. The only major components with compound curves were the engine cowling and landing gear spats, which were made of fiberglass. The fuselage was constructed of aluminum angle braces bolted together to form a truss frame.[2] An innovative feature of the BD-4 was the wing structure, which employed a 'panel-rib' constructed in sections, consisting of a rib whose upper edge was extended horizontally to become one section of the wing surface. The wing was progressively built up by sliding these sections together over the tubular spar and fastening them together where they met. One downside to the panel-rib construction was not noticed until the aircraft had been in service for some time. Because the panels were glued together, they formed a liquid-tight bond, unlike conventional systems using rivets. Instead of using a separate tank to hold fuel, builders simply drilled holes in the ribs to interconnect the sections to form a tank. In service, it was found that leaks inevitably developed due to problems like improper seals and natural flexing of the wing.[3] BedeCorp later redesigned the wing to use a more conventional system with separate fuel tanks in the BD-4C.[4] Although the original wing design was easy to build, the more recent BD-4B features a redesigned, more conventional, metal wing with a tubular spar bonded to honeycomb ribs.[5] The aircraft remained available as plans for amateur construction in 2017, from Bedecorp of Medina, Ohio, United States.[6] Bede also wrote a 165-page BD-4 builder's book, "Build Your Own Airplane", giving the amateur builder a good perspective on construction techniques.[7] Data from Kitplanes and The Incomplete Guide to Airfoil Usage[8][9]General characteristics Performance  Aircraft of comparable role, configuration, and era</t>
  </si>
  <si>
    <t>//upload.wikimedia.org/wikipedia/commons/thumb/f/f7/Raffensparger_BD-4_%28N643R%29.jpg/300px-Raffensparger_BD-4_%28N643R%29.jpg</t>
  </si>
  <si>
    <t>Recreational/Utility aircraft</t>
  </si>
  <si>
    <t>Bedecorp for homebuilding</t>
  </si>
  <si>
    <t>https://en.wikipedia.org/Bedecorp for homebuilding</t>
  </si>
  <si>
    <t>21.4 ft (6.5 m)</t>
  </si>
  <si>
    <t>110 sq ft (10 m2)</t>
  </si>
  <si>
    <t>1,250 lb (567 kg)</t>
  </si>
  <si>
    <t>2,400 lb (1,089 kg)</t>
  </si>
  <si>
    <t>52 U.S. gallons (200 L; 43 imp gal)</t>
  </si>
  <si>
    <t>1 × Lycoming IO-360 four cylinder horizontally opposed piston aircraft engine, 200 hp (150 kW)</t>
  </si>
  <si>
    <t>198 mph (319 km/h, 172 kn)</t>
  </si>
  <si>
    <t>1,700 ft/min (8.6 m/s)</t>
  </si>
  <si>
    <t>25.6 ft (7.8 m)</t>
  </si>
  <si>
    <t>900 mi (1,400 km, 780 nmi)</t>
  </si>
  <si>
    <t>Jim Bede</t>
  </si>
  <si>
    <t>https://en.wikipedia.org/Jim Bede</t>
  </si>
  <si>
    <t>BD-1</t>
  </si>
  <si>
    <t>https://en.wikipedia.org/BD-1</t>
  </si>
  <si>
    <t>NACA 64-415</t>
  </si>
  <si>
    <t>Big Stink (aircraft)</t>
  </si>
  <si>
    <t>Big Stink – later renamed Dave's Dream – was a United States Army Air Forces Boeing B-29-40-MO Superfortress bomber (Victor number 90) that participated in the atomic bomb attack on Nagasaki, Japan on August 9, 1945. Assigned to the 393d Bomb Squadron, 509th Composite Group, it was used as a camera plane in support of the bomb-carrying B-29 Bockscar to photograph the explosion and effects of the bomb, and also to carry scientific observers. The mission was flown by crew C-14 but with Group Operations Officer Major James I. Hopkins, Jr., as the aircraft commander. Victor 90 left without one of the support members when Major Hopkins ordered Robert Serber of Project Alberta to leave the plane – reportedly after the B-29 had already taxied onto the runway – because the scientist had forgotten his parachute. Since Serber was the only crew member who knew how to operate the high-speed camera, Hopkins had to be instructed by radio from Tinian on its use. The aircraft failed to make its rendezvous with the remainder of the strike flight, which completed the mission without it. It did however arrive at Nagasaki in time to photograph the effects of the blast – albeit at an altitude of 39,000 feet (11,877 meters) rather than the planned 30,000 feet (9,144 meters) – then recovered at Yontan Airfield, Okinawa, with both Bockscar and the B-29 The Great Artiste. B-29-40-MO 44-27354 was built at the Glenn L. Martin Aircraft Plant at Omaha, Nebraska, accepted by the U.S. Army Air Forces on 20 April 1945, and flown to Wendover Army Air Field, Utah, by its assigned crew A-5 (under Lieutenant Colonel Thomas J. Classen, aircraft commander and group deputy commander) in May 1945. It departed Wendover for North Field on Tinian on 24 June 1945 and arrived 29 June 1945.  The aircraft originally was assigned the Victor (unit-assigned identification) number 10 but on 1 August 1945 was given the circle R tail markings of the 6th Bombardment Group as a security measure and had its Victor changed to 90 to avoid misidentification with actual 6th Bombardment Group aircraft. On 23 July 1945, with Colonel Paul Tibbets at the controls, it dropped a dummy "Little Boy" atomic bomb assembly off Tinian to test its radar altimeter detonators. On 6 August 1945, the aircraft was flown by crew B-8 (commanded by First Lieutenant Charles McKnight) as a back-up spare but landed on Iwo Jima when all other aircraft in the flight continued on. The airplane was reassigned to crew C-12 (under Captain Captain Herman S. Zahn) immediately following the Nagasaki mission, who named the airplane Big Stink and had nose art applied. Big Stink also flew 12 training and practice missions, and two combat missions to drop pumpkin bombs on industrial targets at Nagaoka and Hitachi, Japan, both flown by Classen and crew A-5. Big Stink was flown by more crews (nine of the 15) on operational missions than any other 393d Bombardment Squadron B-29. After World War II, Big Stink served with the 509th Composite Group at Roswell Army Air Field. In April 1946 it was assigned to Operation Crossroads, and renamed Dave's Dream by its crew in honor of Captain David Semple, a bombardier who had been killed in the crash of another B-29 on 7 March 1946, near Albuquerque, New Mexico. Semple had been a bombardier in many of the 155 test drops for the Manhattan Project. On 1 July 1946, Dave's Dream while under the command of Major Woodrow Swancutt (who would become a major general in the United States Air Force) dropped the "Fat Man"-type atomic bomb used in Test Able of Operation Crossroads at Bikini Atoll.[1] In June 1949 Dave's Dream, operating in the by-then-independent United States Air Force, was transferred to the 97th Bombardment Group at Biggs Air Force Base, Texas. It was converted to a TB-29 training aircraft in April 1950 by the Oklahoma City Materiel Area at Tinker Air Force Base.  It was subsequently assigned to: In June 1959 it was moved into storage at Davis-Monthan Air Force Base, Arizona, and was dropped from the U.S. Air Force inventory in February 1960 as salvage. Crew B-8 (regularly assigned to Top Secret):[2] Crew C-14 (normally assigned to Necessary Evil; 1st Lt. Norman Ray):[2] The crew were joined by two British observers:[3] A FB-111A strategic bomber of the USAF 509th Bomb Wing, serial 67-7195, carried both the name and original nose art of Big Stink and the name Dave's Dream on its nosewheel doors while based at Pease Air Force Base, New Hampshire, in the 1970s and 1980s.[citation needed]</t>
  </si>
  <si>
    <t>//upload.wikimedia.org/wikipedia/commons/thumb/c/ce/Dave_s_dream_on_the_bombing_run.jpg/350px-Dave_s_dream_on_the_bombing_run.jpg</t>
  </si>
  <si>
    <t>Glenn L. Martin Company at Omaha, Nebraska</t>
  </si>
  <si>
    <t>https://en.wikipedia.org/Glenn L. Martin Company at Omaha, Nebraska</t>
  </si>
  <si>
    <t>Dave's Dream (1946-1960)</t>
  </si>
  <si>
    <t>Boeing B-29-40-MO Superfortress</t>
  </si>
  <si>
    <t>https://en.wikipedia.org/Boeing B-29-40-MO Superfortress</t>
  </si>
  <si>
    <t>44-27354</t>
  </si>
  <si>
    <t>United States Army Air Forces</t>
  </si>
  <si>
    <t>https://en.wikipedia.org/United States Army Air Forces</t>
  </si>
  <si>
    <t>Struck off charge and allocated for salvage from February 1960</t>
  </si>
  <si>
    <t>Bartel BM 4</t>
  </si>
  <si>
    <t>The Bartel BM.4 was a Polish biplane primary trainer aircraft used from 1929 to 1939 by the Polish Air Force and Polish civilian aviation, manufactured in the Samolot factory in Poznań. It was the first plane of Polish design put into production. The aircraft was designed by Ryszard Bartel in the Samolot factory in Poznań. It was a development of the Bartel BM.2, which did not advance beyond the prototype stage.  Thanks to a lower weight than the BM.2, it could use lower-powered engines, so its performance was actually improved.  Its performance was also superior to the Hanriot H.28, used by the Poles and licence-built by Samolot.  The BM.4 prototype was flown on 20 December 1927 in Poznań. It had good handling and stability and was resistant to spinning.  A distinguishing feature of all Bartels was an upper wing of a shorter span, because lower and upper wing halves were interchangeable (i.e. the lower wingspan included the width of the fuselage). The first prototype was designated BM.4b and was fitted with 67 kW (90 hp) Walter Vega radial engine.  The second prototype, flown on 2 April 1928, was designated BM.4d and fitted with the Polish experimental 63 kW (85 hp) WZ-7 radial engine, then refitted with 60 kW (80 hp) Le Rhône 9C rotary engine and redesignated BM.4a.  The BM.4a became a production variant, because the Polish Air Force had a store of Le Rhône 9C engines.  22 aircraft were ordered and built in 1928–1929 with cowled engines which made it different from all other BM.4s with radial engines. Three BM.4a's were converted to BM.4e of 1930 with the Polish experimental 63 kW (85 hp) Peterlot radial engine, the BM.4f of 1931 with the Polish experimental 89 kW (120 hp) Skoda G-594 Czarny Piotruś radial engine, and the BM.4g of 1931 with a 75 kW (100 hp) de Havilland Gipsy I inline engine, which competed against the RWD-8 in a search for a standard trainer aircraft, but was not selected.  After tests in 1932, all three reverted to Le Rhône 9C engines. Due to the Samolot factory's closure in 1930, the BM.4h was developed at the PWS (Podlaska Wytwórnia Samolotów) and built there in 1932 in a series of about 50 aircraft. Wooden construction biplane, conventional in layout. Fuselage rectangular in cross-section, plywood covered (engine section - metal covered). Rectangular two-spar wings, plywood and canvas covered. Crew of two, sitting in tandem in open cockpits, with individual windshields. Cockpits with dual controls, instructor's at rear.  Fixed landing gear, with a rear skid. BM.4a's were used in the Polish Air Force from 1929 - in pilots' school in Bydgoszcz. 6 burnt in September 1929 in the Samolot factory. BM.4h's were used in the Polish Air Force from 1932, in schools in Bydgoszcz and Dęblin. They only partly replaced Hanriot H.28s and were themselves replaced with the RWD 8. They had military numbers starting with 33. In 1936 the Polish Air Force handed over their remaining 23 BM.4h's to civilian aviation - most to regional aero clubs, some to the Ministry of Communication. They received registrations SP-BBP - BBZ and from a range SP-ARB to ARZ. Several survived until the German invasion of Poland in September 1939; several were used as liaison aircraft during the campaign, but none survived the war. Data from [1]General characteristics Performance Glass, Andrzej (1977). Polskie konstrukcje lotnicze 1893–1939 (in Polish). Warsaw: WKiŁ.</t>
  </si>
  <si>
    <t>//upload.wikimedia.org/wikipedia/commons/thumb/a/a4/Bartel_BM-4.jpg/300px-Bartel_BM-4.jpg</t>
  </si>
  <si>
    <t>Primary trainer aircraft</t>
  </si>
  <si>
    <t>https://en.wikipedia.org/Primary trainer aircraft</t>
  </si>
  <si>
    <t>Samolot, PWS</t>
  </si>
  <si>
    <t>https://en.wikipedia.org/Samolot, PWS</t>
  </si>
  <si>
    <t>~75</t>
  </si>
  <si>
    <t>7.22 m (23 ft 8 in)</t>
  </si>
  <si>
    <t>2.93 m (9 ft 7 in)</t>
  </si>
  <si>
    <t>25 m2 (270 sq ft)</t>
  </si>
  <si>
    <t>538 kg (1,186 lb)</t>
  </si>
  <si>
    <t>791 kg (1,744 lb)</t>
  </si>
  <si>
    <t>89.5 l (23.6 US gal; 19.7 imp gal)</t>
  </si>
  <si>
    <t>1 × Le Rhône 9C 9-cyl. air-cooled rotary piston engine, 60 kW (80 hp)</t>
  </si>
  <si>
    <t>110 km/h (68 mph, 59 kn)</t>
  </si>
  <si>
    <t>1.9 m/s (370 ft/min)</t>
  </si>
  <si>
    <t>2-bladed fixed pitch wooden propeller, 2.55 m (8 ft 4 in) diameter</t>
  </si>
  <si>
    <t>31.6 kg/m2 (6.5 lb/sq ft)</t>
  </si>
  <si>
    <t>10.175 m (33 ft 5 in)</t>
  </si>
  <si>
    <t>57 km/h (35 mph, 31 kn)</t>
  </si>
  <si>
    <t>2,820 m (9,250 ft)</t>
  </si>
  <si>
    <t>125 km/h (78 mph, 67 kn) at sea level</t>
  </si>
  <si>
    <t>Polish Air Force</t>
  </si>
  <si>
    <t>3 hours</t>
  </si>
  <si>
    <t>https://en.wikipedia.org/Polish Air Force</t>
  </si>
  <si>
    <t>1928–1932</t>
  </si>
  <si>
    <t>0.101 kW/kg (0.0615 hp/lb)</t>
  </si>
  <si>
    <t>1,000 m (3,281 ft) in 9 minutes 42 seconds</t>
  </si>
  <si>
    <t>Beardmore W.B.1</t>
  </si>
  <si>
    <t>The Beardmore W.B.1 was a British single-engine bomber biplane of World War I developed by Beardmore.[1] In 1916, G. Tilghman Richards, the newly appointed chief designer of the aviation department of the Scottish shipbuilder William Beardmore, designed his first aircraft for Beardmore, the W.B.1.  This was to be a single engined bomber for the Royal Naval Air Service (RNAS), which was intended to carry out long gliding attacks to achieve surprise.  It was a three-bay biplane with long span high aspect ratio wings, which were highly staggered.[2]  It was powered by a 230 hp (172 kW) BHP engine and  first flew in early 1917.[3] The W.B.1 was delivered to the RNAS at Cranwell for evaluation on 8 June 1917.[4]  By this time however, the larger and more capable Handley Page O/100 was in production and the W.B.1 was rejected by the RNAS.[3]  Data from Mason, The British Bomber since 1912 [3]General characteristics Performance Armament</t>
  </si>
  <si>
    <t>Bomber</t>
  </si>
  <si>
    <t>https://en.wikipedia.org/Bomber</t>
  </si>
  <si>
    <t>British</t>
  </si>
  <si>
    <t>https://en.wikipedia.org/British</t>
  </si>
  <si>
    <t>Beardmore</t>
  </si>
  <si>
    <t>https://en.wikipedia.org/Beardmore</t>
  </si>
  <si>
    <t>Prototype</t>
  </si>
  <si>
    <t>32 ft 10 in (10.01 m)</t>
  </si>
  <si>
    <t>14 ft 9 in (4.50 m)</t>
  </si>
  <si>
    <t>796 sq ft (74.0 m2)</t>
  </si>
  <si>
    <t>3,410 lb (1,550 kg)</t>
  </si>
  <si>
    <t>5,600 lb (2,545 kg)</t>
  </si>
  <si>
    <t>1 × Sunbeam or Beardmore Adriatic , 230 hp (172 kW)</t>
  </si>
  <si>
    <t>61 ft 6 in (18.75 m)</t>
  </si>
  <si>
    <t>G. Tilghman Richards</t>
  </si>
  <si>
    <t>https://en.wikipedia.org/G. Tilghman Richards</t>
  </si>
  <si>
    <t>91 mph (147 km/h, 79 kn)</t>
  </si>
  <si>
    <t>7.3 hours</t>
  </si>
  <si>
    <t>Bede BD-6</t>
  </si>
  <si>
    <t>The Bede BD-6 is a single-seat light aircraft first flown in the United States in 1974. Similar in design to the Bede BD-4, it is a high-wing cantilever monoplane of conventional configuration. The BD-6 is marketed as a kit homebuilt.[1] The prototype was damaged in St Louis in the Great Flood of 1993, but in 2005 was reportedly under restoration by Bedecorp.  The company created new drawings to finally bring the design to market. By 2011 kits were for sale for US$13,000 and two aircraft had been flown.[1] The aircraft's recommended engine power range is 50 to 80 hp (37 to 60 kW) and standard engines used include the 60 hp (45 kW) HKS 700E four-stroke powerplant.[1] Data from Jane's All the World's Aircraft 1976–77[2]General characteristics Performance</t>
  </si>
  <si>
    <t>Sports plane</t>
  </si>
  <si>
    <t>Bedecorp for homebuilt aircraft</t>
  </si>
  <si>
    <t>https://en.wikipedia.org/Bedecorp for homebuilt aircraft</t>
  </si>
  <si>
    <t>16 ft 9 in (5.11 m)</t>
  </si>
  <si>
    <t>55.5 sq ft (5.16 m2)</t>
  </si>
  <si>
    <t>375 lb (170 kg)</t>
  </si>
  <si>
    <t>1 × HKS 700E , 60 hp (45 kW)</t>
  </si>
  <si>
    <t>135 mph (217 km/h, 117 kn)</t>
  </si>
  <si>
    <t>900 ft/min (4.6 m/s)</t>
  </si>
  <si>
    <t>800 mi (1,287 km, 700 nmi)</t>
  </si>
  <si>
    <t>14,000 ft (4,265 m)</t>
  </si>
  <si>
    <t>140 mph (225 km/h, 120 kn)</t>
  </si>
  <si>
    <t>https://en.wikipedia.org/1974</t>
  </si>
  <si>
    <t>Meggitt Banshee</t>
  </si>
  <si>
    <t>The BTT3 Banshee, formerly the Target Technology Banshee &amp; Meggitt Banshee, is a British target drone developed in the 1980s for air defence systems training. The Banshee was developed by Target Technology Ltd.[2] The company had been specialising in lightweight engines for drones and had developed its own design in 1983.[3] Banshee is a built mostly out of composite material (Kevlar and glass-reinforced plastic) with a tailless delta wing planform. The first models used a 26 hp 342 cc Normalair-Garrett two-cylinder two-stroke driving a pusher propeller. Performance was 35-185 kt with an endurance from 1–3 hours. Flight control is by two elevons. 185kt. Later models used Norton P73 rotary engines[4][5] Banshee entered service with the British Army in the mid-1980s as an aerial target for the Short Blowpipe and Javelin shoulder-launched missiles.[6] Banshee has been deployed in over 40 Countries.[7] It has been tested against Blowpipe, Chaparral, Crotale, Javelin, Phalanx, Rapier, Sea Sparrow, QRSAM, Akash SAM and Barak 8 SAM systems.[8] Data from MeggittGeneral characteristics Performance  Related development</t>
  </si>
  <si>
    <t>//upload.wikimedia.org/wikipedia/commons/thumb/4/4e/Meggitt_Banshees.jpg/300px-Meggitt_Banshees.jpg</t>
  </si>
  <si>
    <t>Target Drone</t>
  </si>
  <si>
    <t>Meggitt Defence Systems</t>
  </si>
  <si>
    <t>https://en.wikipedia.org/Meggitt Defence Systems</t>
  </si>
  <si>
    <t>Over 8000[1]</t>
  </si>
  <si>
    <t>None</t>
  </si>
  <si>
    <t>2.84 m (9 ft 4 in)</t>
  </si>
  <si>
    <t>0.86 m (2 ft 10 in)</t>
  </si>
  <si>
    <t>39 kg (85 lb)</t>
  </si>
  <si>
    <t>73 kg (160 lb)</t>
  </si>
  <si>
    <t>1 × Norton P73 Wankel rotary engine, 28 kW (38 hp)</t>
  </si>
  <si>
    <t>2.49 m (8 ft 2 in)</t>
  </si>
  <si>
    <t>7,000 m (23,000 ft)</t>
  </si>
  <si>
    <t>200 km/h (120 mph, 110 kn)</t>
  </si>
  <si>
    <t>Worldwide</t>
  </si>
  <si>
    <t>SAGEM Crecerelle</t>
  </si>
  <si>
    <t>https://en.wikipedia.org/SAGEM Crecerelle</t>
  </si>
  <si>
    <t>1 hour 15 minutes</t>
  </si>
  <si>
    <t>Bartel BM 2</t>
  </si>
  <si>
    <t>The Bartel BM 2, originally Bartel M.2 was a Polish biplane primary trainer aircraft prototype of 1926. The aircraft was designed by Ryszard Bartel, a chief designer of Samolot factory in Poznań. It was the first Polish design of a trainer plane. Initially it was known as Bartel M.2, then BM 2 (M was for designer's wife Maryla). The prototype was flown on 7 December 1926 in Poznań. In June 1927 it was shown at the first Aviation Exhibition in Warsaw.  It was tested in 1927 and evaluated as quite good, but it was not built in series, because Bartel decided to design an improved aircraft, which resulted in the Bartel BM 4 trainer, which was produced in quantity. After flight testing, the prototype was removed from service.[1] A distinguishing feature of the BM 2 and all Bartels was an upper wing of a shorter span, because the lower and upper wing halves were interchangeable (i.e. the lower wingspan included the width of the fuselage).  Also Bartel put a stress on standardizing the construction materials used: steel pipes, metal sheet etc., in order to make production and repairs easier. A distinguishing feature of the BM 2 was the upper wing directly over the lower wing - unstaggered wings, while in later Bartel designs, the wings incorporate forward stagger - where the upper wing is mounted ahead of the lower wing. Wooden construction biplane, conventional in layout.  Fuselage rectangular in cross-section, plywood-covered (engine section - metal covered). Rectangular two-spar wings, plywood- and canvas-covered. Crew of two, sitting in tandem in open cockpits, with individual windshields. Cockpits with twin controls, the instructor seated aft.  Fixed landing gear, with a rear skid (main gear with a common axle, sprung with a rubber rope). Radial engine in the fuselage nose, without a cowling.[1] Data from Jane's all the World's Aircraft 1928,[2] Polish Aircraft 1893–1939[1]General characteristics Performance  Related development</t>
  </si>
  <si>
    <t>//upload.wikimedia.org/wikipedia/commons/thumb/d/da/Bartel_BM-2.jpg/300px-Bartel_BM-2.jpg</t>
  </si>
  <si>
    <t>Samolot</t>
  </si>
  <si>
    <t>https://en.wikipedia.org/Samolot</t>
  </si>
  <si>
    <t>7.8 m (25 ft 7 in)</t>
  </si>
  <si>
    <t>3.08 m (10 ft 1 in)</t>
  </si>
  <si>
    <t>28.6 m2 (308 sq ft)</t>
  </si>
  <si>
    <t>695 kg (1,532 lb)</t>
  </si>
  <si>
    <t>970 kg (2,138 lb)</t>
  </si>
  <si>
    <t>130 l (34 US gal; 29 imp gal) in two centre-section tanks; 16 l (4.2 US gal; 3.5 imp gal) oil</t>
  </si>
  <si>
    <t>1 × Salmson 9AC 9-cylinder air-cooled radial piston engine, 89 kW (120 hp)</t>
  </si>
  <si>
    <t>100 km/h (62 mph, 54 kn)</t>
  </si>
  <si>
    <t>2.9 m/s (570 ft/min)</t>
  </si>
  <si>
    <t>2-bladed wooden fixed-pitch propeller, 2.24 m (7 ft 4 in) diameter</t>
  </si>
  <si>
    <t>33.8 kg/m2 (6.9 lb/sq ft)</t>
  </si>
  <si>
    <t>11.77 m (38 ft 7 in)</t>
  </si>
  <si>
    <t>65 km/h (40 mph, 35 kn)</t>
  </si>
  <si>
    <t>320 km (200 mi, 170 nmi)</t>
  </si>
  <si>
    <t>Ryszard Bartel</t>
  </si>
  <si>
    <t>https://en.wikipedia.org/Ryszard Bartel</t>
  </si>
  <si>
    <t>130 km/h (81 mph, 70 kn)</t>
  </si>
  <si>
    <t>Bartel 37/IIa</t>
  </si>
  <si>
    <t>0.092 kW/kg (0.056 hp/lb)</t>
  </si>
  <si>
    <t>1,000 m (3,300 ft) in 7 minutes</t>
  </si>
  <si>
    <t>65 km/h (40 mph; 35 kn)</t>
  </si>
  <si>
    <t>34 l/h (9.0 gal/h; 7.5 imp gal/h)</t>
  </si>
  <si>
    <t>Bartel BM 6</t>
  </si>
  <si>
    <t>The Bartel BM 6 was a Polish biplane trainer fighter aircraft of 1930. It did not advance beyond the prototype stage. The aircraft was designed by Ryszard Bartel in the Samolot factory in Poznań, as a trainer-fighter plane. The BM-6 prototype, designated BM 6a, was flown on 8 April 1930 in Poznań. Its advantage was an easy construction and maintenance, according to Bartel's design philosophy. A distinguishing feature of all Bartels was an upper wing of a shorter span, because lower and upper wing halves were interchangeable (i.e. the lower wingspan included the fuselage width). It first introduced a mixed construction to Bartel's designs. After trials, the prototype was modified in July 1930. The prototype was later redesignated BM 6a/II after it was substantially modified. It offered quite good flight characteristics and was capable of aerobatic flight. It was demonstrated in a fighter-plane competition in Bucharest in 1930, along with the similar PZL P.1. The second prototype BM 6b, with a Wright Whirlwind 220 hp radial engine, was ordered, but work upon it ceased with closure of the Samolot factory in mid-1930. The PWS works, which inherited many of Samolot's projects, did not continue the project, for it had its own similar design, the PWS-11. After state trials in 1931, the prototype was used in an advanced training school in Grudziądz, then in an aviation training center in Dęblin. Mixed construction biplane. Steel framed fuselage, rectangular in cross-section, canvas covered (engine and upper sections - aluminum covered). Rectangular two-spar wings with rounded ends, plywood and canvas covered. Upper wing span: 7.36 m, lower wing span: 8.10 m. Lower and upper wing halves were interchangeable. Single pilot, sitting in open cockpit, with a windshield. The V8 engine Hispano-Suiza 8Be was modified to lower power output (from 220 hp to 180 hp). Radiator below the fuselage. Fixed landing gear, with a rear skid. Two-blade wooden propeller of fixed pitch. Fuel tank in fuselage: 168 L capacity. Data from Polish Aircraft 1893–1939[1]General characteristics Performance Armament   Aircraft of comparable role, configuration, and era</t>
  </si>
  <si>
    <t>//upload.wikimedia.org/wikipedia/commons/thumb/0/0b/Bartel_BM-6.png/300px-Bartel_BM-6.png</t>
  </si>
  <si>
    <t>Trainer aircraft</t>
  </si>
  <si>
    <t>https://en.wikipedia.org/Trainer aircraft</t>
  </si>
  <si>
    <t>6.35 m (20 ft 10 in)</t>
  </si>
  <si>
    <t>2.8 m (9 ft 2 in)</t>
  </si>
  <si>
    <t>17.6 m2 (189 sq ft)</t>
  </si>
  <si>
    <t>697 kg (1,537 lb)</t>
  </si>
  <si>
    <t>985 kg (2,172 lb)</t>
  </si>
  <si>
    <t>170 l (45 US gal; 37 imp gal)</t>
  </si>
  <si>
    <t>1 × Hispano-Suiza 8Be V-8 water-cooled piston engine, 130 kW (180 hp)</t>
  </si>
  <si>
    <t>2-bladed Heine fixed pitch propeller</t>
  </si>
  <si>
    <t>56 kg/m2 (11 lb/sq ft)</t>
  </si>
  <si>
    <t>8.09 m (26 ft 7 in)</t>
  </si>
  <si>
    <t>420 km/h (260 mph, 230 kn)</t>
  </si>
  <si>
    <t>3,800 m (12,500 ft)</t>
  </si>
  <si>
    <t>194 km/h (121 mph, 105 kn) atsea level</t>
  </si>
  <si>
    <t>0.138 kW/kg (0.084 hp/lb)</t>
  </si>
  <si>
    <t>0.303 in (7.7 mm) Vickers machine gun in a fuselage, with a synchronising gear</t>
  </si>
  <si>
    <t>4 minutes 24 seconds to 1,000 m (3,300 ft); 18 minutes 57 seconds to 3,000 m (9,800 ft)</t>
  </si>
  <si>
    <t>Beechcraft Lightning</t>
  </si>
  <si>
    <t>The Beechcraft Model 38P Lightning was an experimental turboprop aircraft built and tested by Beechcraft (now a division of Hawker Beechcraft) in the 1980s. The Model 38P (Pressurized) (also known as the model PD.336) was created by installing a Garrett AiResearch TPE-331-9 engine in the nose of a Beechcraft Baron 58P fuselage, which was mated to a Beechcraft B36TC Bonanza wing in place of the Baron's wing with two engines.[1] This resulted in a low-wing aircraft with six seats including the pilot's. The aircraft flew for the first time on June 14, 1982.[1] After 133 flights over almost 18 months the aircraft was temporarily grounded so that the TPE331 could be removed and a Pratt &amp; Whitney Canada PT6A-40 engine fitted in its place.[1] The aircraft flew in this configuration for the first time on March 9, 1984 and the last flight was on August 8 the same year.[1] Beechcraft originally planned to put the Lightning into production but the economic downturn among general aviation manufacturers in the United States in the 1980s led to the project being shelved[2] shortly after the first flight with PT6A power.[1] Several Model 38Ps were pre sold to customers by the Beechcraft dealer network, but the purchase deposits collected were returned when the decision was made not to produce the aircraft. Data from Jane's 1983–84 Aviation Review[3]General characteristics Performance   Aircraft of comparable role, configuration, and era</t>
  </si>
  <si>
    <t>Beechcraft</t>
  </si>
  <si>
    <t>https://en.wikipedia.org/Beechcraft</t>
  </si>
  <si>
    <t>5 passengers</t>
  </si>
  <si>
    <t>29 ft 11 in (9.12 m)</t>
  </si>
  <si>
    <t>1 × Pratt &amp; Whitney Canada PT6A-40 turboprop, 550–650 shp (410–480 kW)</t>
  </si>
  <si>
    <t>316 mph (509 km/h, 275 kn) (max cruise, at 25,000 ft (7,600 m)</t>
  </si>
  <si>
    <t>37 ft 10 in (11.53 m)</t>
  </si>
  <si>
    <t>1,285 mi (2,068 km, 1,117 nmi)</t>
  </si>
  <si>
    <t>25,000 ft (7,600 m)</t>
  </si>
  <si>
    <t>Beechcraft Baron</t>
  </si>
  <si>
    <t>https://en.wikipedia.org/Beechcraft Baron</t>
  </si>
  <si>
    <t>Antoinette military monoplane</t>
  </si>
  <si>
    <t>The Antoinette military monoplane, also known as the Antoinette Monobloc or the Antoinette-Latham was an early 3-seat monoplane built in France in 1911 by the Antoinette company in the hope of attracting orders from the French military. It featured a futuristic and aerodynamic design with innovative elements that were ahead of its time, including unbraced cantilever wings, an enclosed fuselage and wheel fairings, and an engine with steam cooling and direct fuel injection. However, due to an under-powered engine, it was barely able to fly and failed to attract orders. Designed by Léon Levavasseur and Jules Gastambide, and baptized with the name "Monobloc", the aircraft featured a number of innovative aerodynamic refinements for its time. The design was characterized by an enclosed and streamlined body and wings. The design reduced air resistance by the absence of any external bracing wires, and by having its control cables totally enclosed within its quadrangular-section fuselage and large wooden cantilever wings.[1] The wooden wings were 70 cm thick at the base and 25 cm at the ends, with internal bracing and built around four square steel spars. The main spar was 70 cm high and fixed at the front third of the wing; the others (i fore, 2 aft) hinged in the middle of their axes, allowing the wings to 'warp' to provide lateral control of the machine. These were controlled by the pilot by a distortable frame which could be pushed for-and-aft or side-to-side for controlling the wing warping.[1][2] The spars were supported by ribs spaced 40 cm apart; the wings, fully loaded, were designed to bear about 25 kg per m2 — when the current aircraft of the time only were designed to bear 15 kg/m2. The chord of each wing was 4 metres at the junction with the fuselage, and decreased to 3 metres at the wing tip. The upper side of the wing's airfoil was cambered, while the under side was very flat, with the leading and trailing edges being quite sharp.[2][3][4] The tailplane included a long, low fin and a large rectangular rudder that could be enlarged by an extension.[5] The streamlined fuselage was decked over with wood frames and tight canvas, with only the cylinder-head of the engine exposed. The fuselage terminated at the front by a bow shaped like that of a boat. The crew compartment had three seats lined up and was closed, so access was through a door under the fuselage. Seated at the front was the mechanic, who had easy direct access to the engine at the front. Behind him, the pilot had a good range of vision, with windows in the floor enabling him to see beneath him. An observer sat behind the pilot in the rear.[2][4][5][6] The enclosure of the aircraft's fixed landing gear by streamlined fairings or "spats" was viewed as a remarkable innovation in 1911.[7] Each fairing consisted of a canvas-covered structure containing a large double main wheel on a flexibly sprung axle, and a smaller wheel placed forward to avoid nose-overs on landing.[1][3][5][7] A similar arrangement was used by the Coandă 1911 twin-Gnôme engine monoplane.[7] Acting as a radiator, a network of copper tubes running along the fuselage cooled the Antoinette 8V engine of 50 to 60 hp (according to different sources).[3][5][6] For the 1911 military contest at Reims in September-October 1911 a larger V12 engine of 100 hp was fitted. This was cooled by steam — heated water evaporated in the cylinder jackets and then condensed in copper tubing attached to the outside of the aircraft. The engine had two valves per cylinder, a mechanically operated exhaust valve and an automatic inlet valve. Instead of a carburetor, two fuel pumps delivered fuel to the inlet valve chambers.[8] A larger engine of V16 configuration and 120 hp was planned,[2] but this may not have been possible due to limited space between the engine and the crew's entry hatch located underneath the fuselage.[9] The aircraft was exhibited at Le Grand Concours d'Aviation Militaire at Reims in September 1911 in the hope of attracting orders from the French military. Organized by the French Army, this competition required that the aircraft and engines be fully built in France, and be able to fly without stop on a closed circuit of 300 km with a 300 kg load (not including oil, water and fuel) at a speed of more than 60 km/h. Additionally, they were to be 3-seaters, and be able to take-off and land from unprepared surfaces. The first prize was 700,000 francs plus additional sums for increases in speed over 60 km/h, as well as a commitment by the military to purchase 10 aircraft. The competition attracted the major French aircraft manufacturers of the time, including Blériot, Farman, Deperdussin and Nieuport.[2] Despite the fitting of a more powerful V12 engine of 100 hp[8] and a smaller 16 litre fuel tank, Antoinette's Monobloc entry was under-powered and, though it may have managed a short hop of several metres, it was unable to successfully fly. It failed to attract any orders, and following this setback, the Antoinette company soon went into bankruptcy.[5] Data from collated from various sources listed belowGeneral characteristics     Related lists List of aircraft (pre-1914)</t>
  </si>
  <si>
    <t>//upload.wikimedia.org/wikipedia/commons/thumb/f/f8/Antoinette_Military_Monoplane_1911.JPG/300px-Antoinette_Military_Monoplane_1911.JPG</t>
  </si>
  <si>
    <t>Prototype military aircraft</t>
  </si>
  <si>
    <t>Antoinette</t>
  </si>
  <si>
    <t>https://en.wikipedia.org/Antoinette</t>
  </si>
  <si>
    <t>Three</t>
  </si>
  <si>
    <t>500 kgs</t>
  </si>
  <si>
    <t>11.5 m (37 ft 9 in)</t>
  </si>
  <si>
    <t>2.4 m (7 ft 10 in)</t>
  </si>
  <si>
    <t>56 m2 (600 sq ft)</t>
  </si>
  <si>
    <t>850–935 kg (1,874–2,061 lb)</t>
  </si>
  <si>
    <t>1,250 kg (2,756 lb)</t>
  </si>
  <si>
    <t>1 × Antoinette 8V V-8 water-cooled piston engine, 37–75 kW (50–100 hp)   (hp varies according to different sources)</t>
  </si>
  <si>
    <t>80 km/h (50 mph, 43 kn)</t>
  </si>
  <si>
    <t>25 kg/m2 (5.1 lb/sq ft)</t>
  </si>
  <si>
    <t>15.9 m (52 ft 2 in)</t>
  </si>
  <si>
    <t>Léon Levavasseur and Jules Gastambide</t>
  </si>
  <si>
    <t>https://en.wikipedia.org/Léon Levavasseur and Jules Gastambide</t>
  </si>
  <si>
    <t>150 km/h (93 mph, 81 kn) projected</t>
  </si>
  <si>
    <t>Bede BD-2</t>
  </si>
  <si>
    <t>The Bede BD-2 was an American experimental powered sailplane designed by Jim Bede to attempt an unrefuelled round-the-world flight.[1] The BD-2 was a modified Schweizer SGS 2-32 fitted with a specially modified Continental IO-360-C engine.[1] The BD-2 could carry 565 US gallons (2138 litres) of fuel in wing and fuselage tanks, and the modified engine produced only 30 hp (22.4 kW) during the cruise part of the flight.[1] The BD-2 made its first flight from Wichita on March 12, 1967.[2] Between November 7 and 10, 1969, the aircraft set a world closed-circuit flight distance record for piston-engined aircraft, in which it covered 8,973.38 miles (14,441.26 km) in 70 hours 15 minutes.[1][3] The flight had to be stopped following a complete electrical failure, and no further record flights were attempted by Bede.[1] The BD-2 was modified by Javelin Aircraft of Wichita as the Phoenix, which was used by Jerry Mullens to set a new closed-circuit record for piston aircraft on December 5–8, 1981 of 10,070 mi (16207 km) in 73 h 2 min, which was also the longest non-refueled flight made by a solo pilot at the time.[4][5][6] Data from Jane's All The World's Aircraft 1982–83[5]General characteristics Performance   Aircraft of comparable role, configuration, and era</t>
  </si>
  <si>
    <t>Experimental powered sailplane</t>
  </si>
  <si>
    <t>https://en.wikipedia.org/Experimental powered sailplane</t>
  </si>
  <si>
    <t>Bede Aircraft</t>
  </si>
  <si>
    <t>https://en.wikipedia.org/Bede Aircraft</t>
  </si>
  <si>
    <t>27 ft 7 in (8.41 m)</t>
  </si>
  <si>
    <t>192 sq ft (17.8 m2)</t>
  </si>
  <si>
    <t>1,725 lb (782 kg)</t>
  </si>
  <si>
    <t>1 × Continental IO-360C air-cooled six-cylinder, 230 hp (170 kW)</t>
  </si>
  <si>
    <t>156 mph (251 km/h, 136 kn) at max takeoff weight, 108 mph (94 kn, 174 km/h) at 2,200 lb (998 kg)</t>
  </si>
  <si>
    <t>1,500 ft/min (7.6 m/s) observed/ max takeoff weight</t>
  </si>
  <si>
    <t>63 ft 0 in (19.20 m)</t>
  </si>
  <si>
    <t>62 mph (100 km/h, 54 kn) at 1,900 lb</t>
  </si>
  <si>
    <t>194 mph (312 km/h, 169 kn)</t>
  </si>
  <si>
    <t>20,500 mi (33,000 km, 17,800 nmi) estimated, still air</t>
  </si>
  <si>
    <t>5,600 lb (2,540 kg)</t>
  </si>
  <si>
    <t>Schweizer SGS 2-32</t>
  </si>
  <si>
    <t>https://en.wikipedia.org/Schweizer SGS 2-32</t>
  </si>
  <si>
    <t>120 hr (estimated)</t>
  </si>
  <si>
    <t>Bede BD-8</t>
  </si>
  <si>
    <t>The Bede BD-8 was an aerobatics aircraft developed in the United States in the mid-1970s.  It was a low-wing, single-seat monoplane of conventional configuration, albeit very short-coupled, and of all-metal construction.  The single prototype was under construction by Jim Bede when his company, Bede Aircraft, faced bankruptcy in 1977.  The incomplete BD-8 was purchased by Mike Huffman, who completed its construction in 1980. It first flew on May 14, 1980.[1]  Data from Jane's All The World's Aircraft 1982–83[1]General characteristics Performance</t>
  </si>
  <si>
    <t>Aerobatics aircraft</t>
  </si>
  <si>
    <t>one pilot</t>
  </si>
  <si>
    <t>17 ft 5 in (5.31 m)</t>
  </si>
  <si>
    <t>6 ft 9 in (2.06 m)</t>
  </si>
  <si>
    <t>97.0 sq ft (9.01 m2)</t>
  </si>
  <si>
    <t>975 lb (442 kg)</t>
  </si>
  <si>
    <t>1,510 lb (685 kg)</t>
  </si>
  <si>
    <t>1 × Lycoming IO-360-A1A air-cooled flat-four , 200 hp (149 kW)</t>
  </si>
  <si>
    <t>190 mph (306 km/h, 170 kn)</t>
  </si>
  <si>
    <t>2,000 ft/min (10.2 m/s)</t>
  </si>
  <si>
    <t>215 mph (346 km/h, 187 kn)</t>
  </si>
  <si>
    <t>Beardmore W.B.II</t>
  </si>
  <si>
    <t>The Beardmore W.B.II was a British biplane fighter prototype of the 1910s. A two-seat fighter of wooden construction, the W.B.II was built as a private venture by William Beardmore and Company. A development of the Royal Aircraft Factory B.E.2c it was designed by G. Tilghman Richards in 1916. Powered by a 200 hp (150 kW) Hispano-Suiza 8Bd engine, it carried two guns and design finished early in 1917 with the production of the first prototype.[1] The W.B.II was first flown on 30 August 1917, and performance proved good. However, the Air Ministry deemed that the 8Bd engine, at that time in short supply, was needed more urgently for use in the S.E.5a fighter at that time serving with the Royal Flying Corps in World War I.[1] As such, no further production of the W.B.II took place, however in 1920 two civil examples were produced, named the W.B.IIB.[2] Data from Jane's all the World's Aircraft 1919[3]General characteristics Performance Armament</t>
  </si>
  <si>
    <t>Fighter</t>
  </si>
  <si>
    <t>https://en.wikipedia.org/Fighter</t>
  </si>
  <si>
    <t>William Beardmore and Company</t>
  </si>
  <si>
    <t>https://en.wikipedia.org/William Beardmore and Company</t>
  </si>
  <si>
    <t>27 ft 3 in (8.31 m)</t>
  </si>
  <si>
    <t>10 ft 11 in (3.33 m)</t>
  </si>
  <si>
    <t>354 sq ft (32.9 m2)</t>
  </si>
  <si>
    <t>1,765 lb (801 kg)</t>
  </si>
  <si>
    <t>2,650 lb (1,202 kg)</t>
  </si>
  <si>
    <t>41.5 imp gal (49.8 US gal; 189 l)</t>
  </si>
  <si>
    <t>1 × Hispano-Suiza 8Bd V-8 water-cooled piston engine, 200 hp (150 kW)</t>
  </si>
  <si>
    <t>2-bladed wooden fixed pitch propeller, 9 ft (2.7 m) diameter</t>
  </si>
  <si>
    <t>7.5 lb/sq ft (37 kg/m2)</t>
  </si>
  <si>
    <t>34 ft 10 in (10.62 m)</t>
  </si>
  <si>
    <t>G. Tilghman-Richards</t>
  </si>
  <si>
    <t>120 mph (190 km/h, 100 kn) at sea level</t>
  </si>
  <si>
    <t>2.8 hours</t>
  </si>
  <si>
    <t>13.25 lb/hp (8.06 kg/kW)</t>
  </si>
  <si>
    <t>5,000 ft (1,500 m) in 7 minutes; 10,000 ft (3,000 m) in 15 minutes</t>
  </si>
  <si>
    <t>Beechcraft Duchess</t>
  </si>
  <si>
    <t>The Beechcraft Model 76 Duchess is an American twin-engined monoplane built by Beechcraft intended partly as a low cost introduction to twin-engine aircraft.[1][2] Developed as Model PD289 (Preliminary Design 289), the prototype was unveiled on November 4, 1974, although it had first flown in September 1974.[1][3]: 409–410  The Model 76 was designed as an economical twin-engine trainer for the Beech Aero Centers and to compete with the similar Gulfstream Cougar as well as the Cessna 310.[1][4] The first production version flew on 24 May 1977, and the name "Duchess" was chosen through a company competition.[1][3] Construction of the Duchess was set for a new factory built at the Liberal Division,[5] with deliveries beginning early in 1978.[3]: 473  Production of the Duchess continued until 1983, with no significant changes.[6] A single example was tested with turbocharged engines in 1979, but did not proceed to production.[7]: 56  The Duchess is an all-metal low-wing monoplane with retractable tricycle landing gear and a T-tail. It seats four.[8] The design used components and the bonded wing construction from Beechcraft's single-engined Musketeer line.[7]: 55  The basic fuselage and wing structure was adapted from the Model 24 Sierra, a Musketeer variant with retractable landing gear, but the Sierra wing spar was redesigned to support the added weight of the engines.[9] Nose landing gear from the A36 Bonanza was used.[9] The Model 76 incorporates right and left "handed" Lycoming O-360 engines that rotate in opposing directions to eliminate the critical engine during single engine operation.[10] In 1979, a single example was converted to test the turbocharged versions of the engine. The cowlings were reshaped and the exhaust moved to accommodate the aft-mounted turbochargers.[7]: 56  The Duchess wing is of aluminum honeycomb construction fastened by bonding, rather than rivets, to reduce cost and produce a smoother aerodynamic surface.[10] The use of a T-tail on the Model 76 met with mixed critical reception when the aircraft was introduced. Plane &amp; Pilot pronounced: "Outstanding design characteristics of the new Duchess include an aerodynamically advantageous T-tail, which places the horizontal surfaces above the propeller slipstream for better stability and handling.",[10] while Gerald Foster said: "[Beechcraft's] interest in T-tails was perhaps an affectation triggered by their wide use on jet airliners".[11] AVweb claims that Beechcraft adopted the T-tail after flight tests revealed that the initially used conventional horizontal stabilizer was too small and suffered from buffeting problems, increasing noise and vibration during flight; moving the horizontal stabilizer out of the propeller slipstream eliminated the buffeting and the need for enlargement while adding only 15 pounds (6.8 kg) of weight.[9] Additionally, the T-tail design moved the stabilizer rearward, increasing its effectiveness and giving the aircraft a broader center of gravity range.[9] The later Piper Seminole also adopted a T-tail.[9] The aircraft remains popular with flight training schools. Data from Jane's All The World's Aircraft 1980–81.[17]General characteristics Performance  Related development Aircraft of comparable role, configuration, and era</t>
  </si>
  <si>
    <t>//upload.wikimedia.org/wikipedia/commons/thumb/4/4c/Ntps-be76-N5410M-090123-02-cr8.jpg/300px-Ntps-be76-N5410M-090123-02-cr8.jpg</t>
  </si>
  <si>
    <t>Four-seat cabin monoplane</t>
  </si>
  <si>
    <t>1978[1]</t>
  </si>
  <si>
    <t>29 ft 0+1⁄2 in (8.85 m)</t>
  </si>
  <si>
    <t>9 ft 6 in (2.90 m)</t>
  </si>
  <si>
    <t>181 sq ft (16.8 m2)</t>
  </si>
  <si>
    <t>2,460 lb (1,116 kg)</t>
  </si>
  <si>
    <t>100 US gal (83 imp gal; 380 L)</t>
  </si>
  <si>
    <t>2 × Lycoming O-360-A1G6D air-cooled flat-four engines, 180 hp (130 kW)  each</t>
  </si>
  <si>
    <t>158 kn (182 mph, 293 km/h) at 10,000 ft (3,000 m)</t>
  </si>
  <si>
    <t>1,248 ft/min (6.34 m/s)</t>
  </si>
  <si>
    <t>2-bladed Hartzell HC-M2YR-2C(L)EUF/F(J)C 7666A constant speed propellers</t>
  </si>
  <si>
    <t>38 ft 0 in (11.58 m)</t>
  </si>
  <si>
    <t>60 kn (69 mph, 110 km/h) power off, flaps down, IAS</t>
  </si>
  <si>
    <t>171 kn (197 mph, 317 km/h)</t>
  </si>
  <si>
    <t>780 nmi (900 mi, 1,440 km) at 12,000 ft (3,700 m), econ cruise</t>
  </si>
  <si>
    <t>19,650 ft (5,990 m)</t>
  </si>
  <si>
    <t>September 1974[1]</t>
  </si>
  <si>
    <t>Flight schools[1]</t>
  </si>
  <si>
    <t>3,900 lb (1,769 kg)</t>
  </si>
  <si>
    <t>Beechcraft Sierra</t>
  </si>
  <si>
    <t>https://en.wikipedia.org/Beechcraft Sierra</t>
  </si>
  <si>
    <t>NACA 632A415</t>
  </si>
  <si>
    <t>1978-1983</t>
  </si>
  <si>
    <t>Bellanca Aircruiser</t>
  </si>
  <si>
    <t>The Bellanca Aircruiser and Airbus were high-wing, single-engine aircraft built by Bellanca Aircraft Corporation of New Castle, Delaware. The aircraft was built as a "workhorse" intended for use as a passenger or cargo aircraft. It was available with wheels, floats or skis. The aircraft was powered by either a Wright Cyclone or Pratt and Whitney Hornet engine. The Airbus and Aircruiser served as both commercial and military transports.[1] The first Bellanca Airbus was built in 1930 as the P-100. An efficient design, it was capable of carrying 12 to 14 passengers depending on the cabin interior configuration, with later versions carrying up to 15. In 1931, test pilot George Haldeman flew the P-100 a distance of 4,400 miles in a time aloft of 35 hours. Although efficient, with a cost per mile figure of eight cents per mile calculated for that flight, the first Airbus did not sell due to its water-cooled engine. The next model, the P-200 Airbus, was powered by a larger, more reliable air-cooled engine. One version (P-200-A) came with floats and operated as a ferry service in New York City, flying between Wall Street and the East River. Other versions included a P-200 Deluxe model, with custom interiors and seating for nine. The P-300 was designed to carry 15 passengers. The final model, the "Aircruiser," was the most efficient aircraft of its day, and would rank high amongst all aircraft designs. With a Wright Cyclone air-cooled supercharged radial engine rated at 715 hp, the Aircruiser could carry a useful load greater than its empty weight. In the mid-1930s, the Aircruiser could carry 4,000 lb payloads at a speed of between 145 and 155 mph, a performance that multi-engine Fokkers and Ford Trimotors could not come close to matching.[1] In 1934, United States federal regulations prohibited single-engine transports on United States airlines, virtually eliminating future markets for the Aircruiser. Where the workhorse capabilities of the Aircruiser stood out was in Canada. Several of "The Flying Ws", as it was commonly dubbed in Canada, were used in northern mining operations, ferrying ore, supplies and the occasional passenger, into the 1970s. The last flying Aircruiser, "CF-BTW," a 1938 model, after serving in Manitoba, is now on display at the Erickson Aircraft Collection in Madras, Oregon.[3][4] Another Bellanca Aircruiser, "CF-AWR" named the "Eldorado Radium Silver Express", built in 1935, is under restoration at the Western Canada Aviation Museum in Winnipeg, Manitoba.[5] General characteristics Performance    Related lists</t>
  </si>
  <si>
    <t>//upload.wikimedia.org/wikipedia/commons/thumb/1/1f/Bellanca_C-27C_Airbus.jpg/300px-Bellanca_C-27C_Airbus.jpg</t>
  </si>
  <si>
    <t>Passenger/cargo aircraft</t>
  </si>
  <si>
    <t>Bellanca Aircraft Corporation</t>
  </si>
  <si>
    <t>https://en.wikipedia.org/Bellanca Aircraft Corporation</t>
  </si>
  <si>
    <t>one, pilot</t>
  </si>
  <si>
    <t>16 passengers</t>
  </si>
  <si>
    <t>43 ft 4 in (13.21 m)</t>
  </si>
  <si>
    <t>520 sq ft (48.3 m2)</t>
  </si>
  <si>
    <t>6,072 lb (2,754 kg)</t>
  </si>
  <si>
    <t>10,000 lb (4,536 kg)</t>
  </si>
  <si>
    <t>1 × Wright R-1820 Cyclone 9 9-cylinder supercharged air-cooled radial engine, 710 hp (530 kW)</t>
  </si>
  <si>
    <t>65 ft 0 in (19.82 m)</t>
  </si>
  <si>
    <t>608 nmi (700 mi, 1,130 km)</t>
  </si>
  <si>
    <t>22,000 ft (6,700 m)</t>
  </si>
  <si>
    <t>Giuseppe Mario Bellanca</t>
  </si>
  <si>
    <t>https://en.wikipedia.org/Giuseppe Mario Bellanca</t>
  </si>
  <si>
    <t>144 kn (165 mph, 266 km/h)</t>
  </si>
  <si>
    <t>Private operators</t>
  </si>
  <si>
    <t>Best Off Nynja</t>
  </si>
  <si>
    <t>The Best Off Nynja (English: Ninja) is a French ultralight aircraft, designed by Best Off in conjunction with their British importer, Flylight, and produced by Best Off in France. The aircraft is supplied as a kit for amateur construction.[1][2] The aircraft is a development of the earlier Best Off Skyranger and was designed to comply with the Fédération Aéronautique Internationale microlight rules. It features a strut-braced high-wing a two-seats-in-side-by-side configuration enclosed cockpit, fixed tricycle landing gear and a single engine in tractor configuration.[1][2] The aircraft is made from aluminum tubing, with its flying surfaces covered in Dacron sailcloth but the fuselage covered in composite panels. Its 8.7 m (28.5 ft) span wing employs V-struts and jury struts. The standard engine available is the 80 hp (60 kW) Rotax 912UL four-stroke powerplant.[1][2] Data from Bayerl[1]General characteristics Performance</t>
  </si>
  <si>
    <t>//upload.wikimedia.org/wikipedia/commons/thumb/1/10/4X-ONA_02-05-2015.jpg/300px-4X-ONA_02-05-2015.jpg</t>
  </si>
  <si>
    <t>https://en.wikipedia.org/France</t>
  </si>
  <si>
    <t>Best Off</t>
  </si>
  <si>
    <t>https://en.wikipedia.org/Best Off</t>
  </si>
  <si>
    <t>14 m2 (150 sq ft)</t>
  </si>
  <si>
    <t>266 kg (586 lb)</t>
  </si>
  <si>
    <t>472.5 kg (1,042 lb)</t>
  </si>
  <si>
    <t>50 litres (11 imp gal; 13 US gal)</t>
  </si>
  <si>
    <t>1 × Rotax 912UL four cylinder, liquid and air-cooled, four stroke aircraft engine, 60 kW (80 hp)</t>
  </si>
  <si>
    <t>175 km/h (109 mph, 94 kn)</t>
  </si>
  <si>
    <t>33.75 kg/m2 (6.91 lb/sq ft)</t>
  </si>
  <si>
    <t>8.7 m (28 ft 7 in)</t>
  </si>
  <si>
    <t>64 km/h (40 mph, 35 kn)</t>
  </si>
  <si>
    <t>210 km/h (130 mph, 110 kn)</t>
  </si>
  <si>
    <t>Best Off Skyranger</t>
  </si>
  <si>
    <t>https://en.wikipedia.org/Best Off Skyranger</t>
  </si>
  <si>
    <t>Bede BD-17 Nugget</t>
  </si>
  <si>
    <t>The Bede BD-17 Nugget is an American single-seat monoplane. designed by Bedecorp for amateur construction from a kit.[1][2] The Nugget was announced in June 2000 and was designed to be easy to build with a maximum of 100 parts.[1] The first flight of the tricycle landing gear prototype was on 11 February 2001.[1] It is an all-metal low-wing monoplane, it has optional folding wings and is available with fixed conventional landing gear with a tailwheel or a tricycle landing gear.[1] It can be fitted with an engine between 45 and 80 hp (33.6 to 59.7 kW). The prototype had a 60 hp (45 kW) HKS 700E two-cylinder four-stroke engine.[1] The pilot has an enclosed cockpit with a rearward-sliding canopy.[1][2] Data from Jane's All the World's Aircraft 2003-04[1]General characteristics Performance       This article on an aircraft of the 2000s is a stub. You can help Wikipedia by expanding it.</t>
  </si>
  <si>
    <t>//upload.wikimedia.org/wikipedia/commons/thumb/f/f8/Bede_B17L.jpg/300px-Bede_B17L.jpg</t>
  </si>
  <si>
    <t>Single-seat homebuilt monoplane</t>
  </si>
  <si>
    <t>https://en.wikipedia.org/Single-seat homebuilt monoplane</t>
  </si>
  <si>
    <t>Bedecorp</t>
  </si>
  <si>
    <t>https://en.wikipedia.org/Bedecorp</t>
  </si>
  <si>
    <t>17 ft 6 in (5.33 m)</t>
  </si>
  <si>
    <t>7 ft 9 in (2.36 m)</t>
  </si>
  <si>
    <t>53.5 sq ft (4.97 m2)</t>
  </si>
  <si>
    <t>450 lb (204 kg)</t>
  </si>
  <si>
    <t>850 lb (386 kg)</t>
  </si>
  <si>
    <t>1 × HKS 700E two-cylinder four-stroke engine , 60 hp (44.6 kW)</t>
  </si>
  <si>
    <t>150 mph (241 km/h, 130 kn)</t>
  </si>
  <si>
    <t>1,050 ft/min (5.3 m/s)</t>
  </si>
  <si>
    <t>52 mph (84 km/h, 45 kn)</t>
  </si>
  <si>
    <t>702 mi (1,129 km, 610 nmi)</t>
  </si>
  <si>
    <t>195 mph (313 km/h, 169 kn)</t>
  </si>
  <si>
    <t>7 (2011)</t>
  </si>
  <si>
    <t>Mitsubishi 1MF10</t>
  </si>
  <si>
    <t>The Mitsubishi 1MF10 or Mitsubishi Experimental 7-Shi Carrier Fighter (七試艦上戦闘機) was a prototype Japanese monoplane single-seat carrier-based fighter aircraft of the 1930s. Two were built for the Imperial Japanese Navy, but both were lost in crashes, with no production following. In April 1932, the Imperial Japanese Navy issued a specification for a replacement for its current carrier-based fighter, the Nakajima A2N, asking for designs from both Mitsubishi and Nakajima. Unlike the biplane which was to be replaced, both competitors submitted monoplanes, with Nakajima offering a version of its Type 91 parasol-wing fighter, already in production for the Japanese Army. Mitsubishi assigned design of its contestant to a team led by Jiro Horikoshi, which created the first low-wing cantilever monoplane to be designed in Japan, the Mitsubishi 1MF10.[1][2] The 1MF10 was of all-metal construction, with a monocoque duralumin fuselage, with duralumin wing structure covered in fabric, with the pilot accommodated in an open cockpit. The aircraft was powered by a Mitsubishi A4 two-row 14-cylinder radial engine driving a two-bladed propeller. It had a fixed tailwheel undercarriage.[1][2] The first prototype 1MF10, with the Navy designation Experimental 7-shi Carrier Fighter[a] made its maiden flight in March 1933.[1] It was destroyed in July 1933 when its tail broke up during diving tests, although the pilot escaped by parachute. The second prototype had a revised undercarriage, with the main wheels and undercarriage legs faired into streamlined spats. It was also destroyed in a crash, when it could not be recovered from a flat spin in June 1934 by pilot Motoharu Okamura.[1][2] Although the design was advanced, it was rejected by the Japanese Navy, having poor handling[1] and not meeting the performance requirements of the specification.[2] It did form the basis of more advanced designs, however, with Horikoshi using elements of it such as the box-spar in the later successful Mitsubishi A5M fighter of similar layout.[4] Data from Japanese Aircraft 1910–1941[5]General characteristics Performance Armament  Related development Aircraft of comparable role, configuration, and era   Appearances in media</t>
  </si>
  <si>
    <t>//upload.wikimedia.org/wikipedia/commons/thumb/e/ea/Mitsubishi_1MF10.jpg/300px-Mitsubishi_1MF10.jpg</t>
  </si>
  <si>
    <t>Fighter aircraft</t>
  </si>
  <si>
    <t>Japan</t>
  </si>
  <si>
    <t>https://en.wikipedia.org/Japan</t>
  </si>
  <si>
    <t>Mitsubishi Kokuki KK</t>
  </si>
  <si>
    <t>https://en.wikipedia.org/Mitsubishi Kokuki KK</t>
  </si>
  <si>
    <t>6.92 m (22 ft 8 in)</t>
  </si>
  <si>
    <t>3.31 m (10 ft 10 in)</t>
  </si>
  <si>
    <t>17.70 m2 (190.5 sq ft)</t>
  </si>
  <si>
    <t>1,225 kg (2,701 lb)</t>
  </si>
  <si>
    <t>1,578 kg (3,479 lb)</t>
  </si>
  <si>
    <t>1 × Mitsubishi A4 14-cylinder air-cooled radial engine, 580 kW (780 hp)</t>
  </si>
  <si>
    <t>10 m (32 ft 10 in)</t>
  </si>
  <si>
    <t>Jiro Horikoshi</t>
  </si>
  <si>
    <t>https://en.wikipedia.org/Jiro Horikoshi</t>
  </si>
  <si>
    <t>320 km/h (199 mph, 173 kn) at 3,000 m (9,800 ft)</t>
  </si>
  <si>
    <t>3 hr</t>
  </si>
  <si>
    <t>2× 7.7 mm machine guns[2]</t>
  </si>
  <si>
    <t>Zeppelin LZ 102</t>
  </si>
  <si>
    <t>Zeppelin LZ 102 (designated L 57) was a airship of the German Imperial Navy. It was planned that it would attempt a mission to Africa but it was destroyed and its sister ship LZ 104 (L 59), nicknamed Das Afrika-Schiff ("The Africa Ship"), made a famous attempt at a long-distance resupply mission to the beleaguered garrison of Germany's East Africa colony.[1] The Imperial German Naval office in hopes of outfitting a ship that could fly to Africa had LZ 102 cut in half and added two more segments - 30 metres (98 ft) in length. The gas in these extra two segments increased the Airship's gas volume by 13,300 m3 (470,000 cu ft). This additional volume was more than then entire volume of early Zeppelin LZ 3.[2] It was designed to reach an altitude of about 7,620 m (25,000 ft).[3] The first flight of the new airship took place on 26 September 1917 at the Friedrichshafen base.[4] The flight to Africa would only be in one direction; the airship would not be able to return to Germany due to losses of the hydrogen lifting gas during the flight. The Imperial German Naval command selected the relatively inexperienced Korvettenkapitän ("lieutenant-commander") Ludwig Bockholt as they did not want to lose an experienced commander. According to Bockholt, LZ 102 (L 57) was difficult to control and had insufficient engine power but it was decided that despite this it would be sent on the Africa mission. After two additional test flights, the L.57 flew to the base in Jüterbog where cargo intended for Africa was loaded on its deck, including 85 boxes with various types of medical supplies. Loading was completed at noon on 6 October.[4] During previous flights, no tests had been carried out with full engine power and it was only after loading the cargo that Bockholt decided to carry out tests the same evening. Despite the rising wind, Bockholt ordered the airship to be removed from the hangar, which almost always ended in disaster due to strong gusts of wind. Bockholt decided to wait out the impending storm in the air, but he delayed the start waiting for food and warm clothes to be delivered aboard the airship. Just before midnight, a strong gust of wind hit the airship, damaging it. About 40 minutes after midnight, the wind decreased sufficiently that it was decided that it would be possible to place the airship back into the hangar. However, just in front of the hangar door, the airship suddenly rose 20 m (66 ft) into the air and a strong gust of wind began to pull it across the field despite efforts of the ground handlers. Bockholt released gas from the airship's gas chambers and ordered the soldiers to shoot holes in some of the chambers to speed up the dumping of the gas.  Despite all efforts, the wind took again the damaged blimp, which caught fire about two o'clock. Loaded with fuel and ammunition, the fire burned until the morning and the valuable medical supplies burned on board the aircraft.[2][5] Data from Zeppelin : rigid airships, 1893-1940[6]General characteristics Performance</t>
  </si>
  <si>
    <t>//upload.wikimedia.org/wikipedia/commons/thumb/c/c8/L_57_in_J%C3%BCterbog.jpg/300px-L_57_in_J%C3%BCterbog.jpg</t>
  </si>
  <si>
    <t>Luftschiffbau Zeppelin, Staaken</t>
  </si>
  <si>
    <t>https://en.wikipedia.org/Luftschiffbau Zeppelin, Staaken</t>
  </si>
  <si>
    <t>52,100 kg (114,861 lb) typical disposable load</t>
  </si>
  <si>
    <t>226.50 m (743 ft 1 in)</t>
  </si>
  <si>
    <t>27,400 kg (60,407 lb)</t>
  </si>
  <si>
    <t>21,700 kg (47,840 lb) maximum fuel load</t>
  </si>
  <si>
    <t>5 × Maybach HS Lu 6-cylinder water-cooled in-line piston engines</t>
  </si>
  <si>
    <t>81 km/h (50 mph, 44 kn)</t>
  </si>
  <si>
    <t>16,000 km (9,900 mi, 8,600 nmi)</t>
  </si>
  <si>
    <t>6,600 m (21,700 ft) static</t>
  </si>
  <si>
    <t>103 km/h (64 mph, 56 kn)</t>
  </si>
  <si>
    <t>Transport airship, later refitted for bombing</t>
  </si>
  <si>
    <t>Imperial German Navy</t>
  </si>
  <si>
    <t>https://en.wikipedia.org/Imperial German Navy</t>
  </si>
  <si>
    <t>8 October 1917 destroyed by heavy winds</t>
  </si>
  <si>
    <t>23.90 m (78 ft 5 in)</t>
  </si>
  <si>
    <t>68,470 m3 (2,418,000 cu ft) in 16 gas cells</t>
  </si>
  <si>
    <t>79,500 kg (175,300 lb)</t>
  </si>
  <si>
    <t>Orenco IL-1</t>
  </si>
  <si>
    <t>The Orneco IL-1 was an American two-seat liaison biplane built for the United States Army by the Ordnance Engineering Corporation (Orenco).[1] The Model E-2 was a conventional biplane powered by a 400 hp (298 kW) Liberty 12 engine and designated IL-1 (Infantry Liaison) by the Army.[2] First flown in 1919, two aircraft were built and evaluated by the Army at McCook Field as P-147 and P-168, but the type did not enter production.[1] Data from [1]General characteristics Performance</t>
  </si>
  <si>
    <t>Liaison biplane</t>
  </si>
  <si>
    <t>Orenco</t>
  </si>
  <si>
    <t>https://en.wikipedia.org/Orenco</t>
  </si>
  <si>
    <t>11 ft 10 in (3.61 m) [3]</t>
  </si>
  <si>
    <t>600 sq ft (56 m2) [3]</t>
  </si>
  <si>
    <t>3,428 lb (1,555 kg) [3]</t>
  </si>
  <si>
    <t>5,046 lb (2,289 kg) [3]</t>
  </si>
  <si>
    <t>1 × Liberty 12 , 400 hp (300 kW)</t>
  </si>
  <si>
    <t>406 mi (653 km, 353 nmi) [3]</t>
  </si>
  <si>
    <t>130 mph (210 km/h, 110 kn) at sea level[3]</t>
  </si>
  <si>
    <t>United States Army</t>
  </si>
  <si>
    <t>[3]14 minutes to 10,000 ft (3,000 m)29 minutes to 15,000 ft (4,600 m)</t>
  </si>
  <si>
    <t>Murphy Rebel</t>
  </si>
  <si>
    <t>The Murphy Rebel is a two- or three-seat, strut braced, high wing, taildragger monoplane which is sold in kit form by Murphy Aircraft in Chilliwack, British Columbia, Canada.[2][3][4][5][6] The Rebel was designed by Murphy Aircraft President Darryl Murphy and Dick Hiscock, who was one of the designers of the De Havilland Canada DHC-2 Beaver. The Rebel is a STOL aircraft and was designed to be a personal-use bush plane. It can operate from short, unimproved airstrips and can carry a useful load of up to 750 lbs.[4][7] The aircraft features a strut-braced high-wing, a two or three seat enclosed cabin accesses via doors, fixed conventional landing gear and a single engine in tractor configuration. The aircraft is made from sheet aluminum. Its 30.0 ft (9.1 m) span wing employs a NACA 4415 mod airfoil, has an area of 149 sq ft (13.8 m2) and is equipped with flaps.[5][6][8] The recommended engines for the Rebel are the 160 hp (120 kW) Lycoming O-320, the 116 hp (87 kW) Lycoming O-235 and the 80 hp (60 kW) Rotax 912, although  Bayerl et al. note that the aircraft does not perform well with less than 100 hp (75 kW).[5][6][7] Data from Murphy Rebel WebsiteGeneral characteristics Performance</t>
  </si>
  <si>
    <t>//upload.wikimedia.org/wikipedia/commons/thumb/2/2d/MurphyRebelC-FBPD02.jpg/300px-MurphyRebelC-FBPD02.jpg</t>
  </si>
  <si>
    <t>amateur-built airplane</t>
  </si>
  <si>
    <t>https://en.wikipedia.org/amateur-built airplane</t>
  </si>
  <si>
    <t>Murphy Aircraft</t>
  </si>
  <si>
    <t>https://en.wikipedia.org/Murphy Aircraft</t>
  </si>
  <si>
    <t>In production (2015)</t>
  </si>
  <si>
    <t>610 (2011)[2]</t>
  </si>
  <si>
    <t>one or two passengers</t>
  </si>
  <si>
    <t>21 ft 4 in (6.6 m)</t>
  </si>
  <si>
    <t>150 sq ft (14 m2)</t>
  </si>
  <si>
    <t>950 lb (431 kg)</t>
  </si>
  <si>
    <t>× Lycoming O-320 , 160 hp (120 kW)</t>
  </si>
  <si>
    <t>120 mph (190 km/h, 100 kn)</t>
  </si>
  <si>
    <t>Murphy Elite</t>
  </si>
  <si>
    <t>30 ft 0 in (9.2 m)</t>
  </si>
  <si>
    <t>733 mi (1,180 km, 637 nmi)</t>
  </si>
  <si>
    <t>Dick Hiscock and Darryl Murphy</t>
  </si>
  <si>
    <t>https://en.wikipedia.org/Dick Hiscock and Darryl Murphy</t>
  </si>
  <si>
    <t>1990[1]</t>
  </si>
  <si>
    <t>140 mph (227 km/h, 120 kn)</t>
  </si>
  <si>
    <t>https://en.wikipedia.org/Murphy Elite</t>
  </si>
  <si>
    <t>NACA 4415 mod</t>
  </si>
  <si>
    <t>6.1 hours</t>
  </si>
  <si>
    <t>Nieuport Triplane</t>
  </si>
  <si>
    <t>The Nieuport Triplane was a series of Nieuport 10/17 based triplanes built by Nieuport.[1] In 1915, Gustave Delage modified a Nieuport 10 with a set of triplane wings in an unusual fore-aft-fore stagger for testing, this design was later patented in 1916.[1]   Two  Nieuport 17s, modified with reversed stagger on the upper mainplane and armed with one Lewis machine gun) were tested by the Royal Naval Air Service (RNAS).[2] One more triplane, modified from a Nieuport 17bis, was also tested and allotted to No. 11 Squadron RNAS until June 1917.[1]  Having never been ordered into production, it was never given an official designation.</t>
  </si>
  <si>
    <t>//upload.wikimedia.org/wikipedia/commons/thumb/f/fd/Nieuport_10_triplane.jpg/300px-Nieuport_10_triplane.jpg</t>
  </si>
  <si>
    <t>Experimental</t>
  </si>
  <si>
    <t>Nieuport</t>
  </si>
  <si>
    <t>https://en.wikipedia.org/Nieuport</t>
  </si>
  <si>
    <t>Northrop M2-F3</t>
  </si>
  <si>
    <t>The Northrop M2-F3 was a heavyweight lifting body rebuilt from the Northrop M2-F2 after it crashed at the Dryden Flight Research Center in 1967. It was modified with an additional third vertical fin - centered between the tip fins - to improve control characteristics. The "M" refers to "manned" and "F" refers to "flight" version. Early flight testing of the M2-F1 and M2-F2 lifting body reentry configurations had validated the concept of piloted lifting body reentry from space. When the M2-F2 crashed on May 10, 1967, valuable information had already been obtained and was contributing to new designs. NASA pilots said the M2-F2 had lateral control problems, so when the M2-F2 was rebuilt at Northrop and redesignated the M2-F3, it was modified with an additional third vertical fin - centered between the tip fins - to improve control characteristics. After a three-year-long redesign and rebuilding effort, the M2-F3 was ready to fly. The May 1967 crash of the M2-F2 had torn off the left fin and landing gear. It had also damaged the external skin and internal structure. Flight Research Center engineers worked with Ames Research Center and the Air Force in redesigning the vehicle with a center fin to provide greater stability. At first, it seemed that the vehicle had been irreparably damaged, but the original manufacturer, Northrop, did the repair work and returned the redesigned M2-F3 with a center fin for stability to the FRC. While the M2-F3 was still demanding to fly, the center fin eliminated the high risk of pilot-induced oscillation (PIO) that was characteristic of the M2-F2. First flight of the M2-F3, with NASA pilot Bill Dana at the controls, was June 2, 1970. The modified vehicle exhibited much better lateral stability and control characteristics than before, and only three glide flights were necessary before the first powered flight on November 25, 1970. The 100th flight of the heavy-weight lifting bodies was completed on October 5, 1972, with pilot Bill Dana soaring to an altitude of 66,300 feet (20,200 m) and a Mach number of 1.370 (about 904 miles per hour (1,455 km/h)) in the M2-F3. Over its 27 missions, the M2-F3 reached a top speed of 1,064 mph (1,712 km/h) (Mach 1.6). Highest altitude reached by the vehicle was 71,500 feet (20,790 m) on December 20, 1972, the date of its last flight, with NASA pilot John Manke at the controls. A reaction control thruster (RCT) system, similar to that on orbiting spacecraft, was also installed to obtain research data about their effectiveness for vehicle control. As the M2-F3's portion of the lifting body program neared an end, it evaluated a rate command augmentation control system, and a side control stick similar to side-stick controllers now used on many modern aircraft. NASA donated the M2-F3 vehicle to the Smithsonian Institution in December 1973. It is currently hanging in the National Air and Space Museum along with the X-15 aircraft number 1, which was its hangar partner at Dryden from 1965 to 1969. Data from[citation needed]General characteristics Performance Comparable aircraft:</t>
  </si>
  <si>
    <t>//upload.wikimedia.org/wikipedia/commons/thumb/3/3e/Northrop_M2-F3.jpg/300px-Northrop_M2-F3.jpg</t>
  </si>
  <si>
    <t>Lifting body technology demonstrator</t>
  </si>
  <si>
    <t>https://en.wikipedia.org/Lifting body technology demonstrator</t>
  </si>
  <si>
    <t>Northrop</t>
  </si>
  <si>
    <t>https://en.wikipedia.org/Northrop</t>
  </si>
  <si>
    <t>Donated to the Smithsonian Institution, currently on display at the National Air and Space Museum</t>
  </si>
  <si>
    <t>22 ft 2 in (6.76 m)</t>
  </si>
  <si>
    <t>160 sq ft (15 m2)</t>
  </si>
  <si>
    <t>5,071 lb (2,300 kg)</t>
  </si>
  <si>
    <t>6,000 lb (2,722 kg)</t>
  </si>
  <si>
    <t>1 × Reaction Motors XLR-11 liquid-fuelled rocket motor, 8,000 lbf (36 kN) thrust  with four combustion chamber/nozzle assemblies</t>
  </si>
  <si>
    <t>49 lb/sq ft (240 kg/m2)</t>
  </si>
  <si>
    <t>9 ft 8 in (2.95 m)</t>
  </si>
  <si>
    <t>39 nmi (45 mi, 72 km)</t>
  </si>
  <si>
    <t>71,500 ft (21,800 m)</t>
  </si>
  <si>
    <t>925 kn (1,064 mph, 1,713 km/h)</t>
  </si>
  <si>
    <t>NASA</t>
  </si>
  <si>
    <t>7,937 lb (3,600 kg)</t>
  </si>
  <si>
    <t>NASA M2-F1Northrop M2-F2</t>
  </si>
  <si>
    <t>https://en.wikipedia.org/NASA M2-F1Northrop M2-F2</t>
  </si>
  <si>
    <t>https://en.wikipedia.org/NASA</t>
  </si>
  <si>
    <t>https://en.wikipedia.org/Donated to the Smithsonian Institution, currently on display at the National Air and Space Museum</t>
  </si>
  <si>
    <t>Kaishiki No.1</t>
  </si>
  <si>
    <t>The 会式一号機 (Kaishiki No.1, kaishikiichigouki) was the first successful[a] Japanese-designed and constructed airplane. It was designed by Captain Yoshitoshi Tokugawa and was first flown by him on October 13, 1911 at Tokorozawa in Saitama Prefecture.[2] There is a replica displayed in the Tokorozawa Aviation Museum, located near the place where the aircraft's first flight took place.[3] Data from Japanese Aircraft 1910–1941[1]General characteristics Performance</t>
  </si>
  <si>
    <t>//upload.wikimedia.org/wikipedia/commons/thumb/9/9a/%E4%BC%9A%E5%BC%8F%E4%B8%80%E5%8F%B7%E6%A9%9F_sibling_of_Farman_III_%288237521286%29.jpg/300px-%E4%BC%9A%E5%BC%8F%E4%B8%80%E5%8F%B7%E6%A9%9F_sibling_of_Farman_III_%288237521286%29.jpg</t>
  </si>
  <si>
    <t>First military airplane designed and flown in Japan</t>
  </si>
  <si>
    <t>https://en.wikipedia.org/First military airplane designed and flown in Japan</t>
  </si>
  <si>
    <t>11.50 m (37 ft 9 in)</t>
  </si>
  <si>
    <t>3.90 m (12 ft 10 in)</t>
  </si>
  <si>
    <t>41.0 m2 (441 sq ft)</t>
  </si>
  <si>
    <t>450 kg (992 lb)</t>
  </si>
  <si>
    <t>550 kg (1,213 lb)</t>
  </si>
  <si>
    <t>1 × Gnome Omega 7-cylinder rotary engine, 37 kW (50 hp)</t>
  </si>
  <si>
    <t>2-bladed Chauvière</t>
  </si>
  <si>
    <t>Yoshitoshi Tokugawa</t>
  </si>
  <si>
    <t>https://en.wikipedia.org/Yoshitoshi Tokugawa</t>
  </si>
  <si>
    <t>72 km/h (45 mph, 39 kn)</t>
  </si>
  <si>
    <t>Farman III</t>
  </si>
  <si>
    <t>https://en.wikipedia.org/Farman III</t>
  </si>
  <si>
    <t>Kaishiki No.2-6</t>
  </si>
  <si>
    <t>10.50 m (34 ft 5 in)</t>
  </si>
  <si>
    <t>8.0 m (26 ft 3 in)</t>
  </si>
  <si>
    <t>Kaishiki 1, Kaishiki Biplane 1</t>
  </si>
  <si>
    <t>Experimental biplane</t>
  </si>
  <si>
    <t>https://en.wikipedia.org/Experimental biplane</t>
  </si>
  <si>
    <t>Murphy Moose</t>
  </si>
  <si>
    <t>The Murphy Moose is a Canadian high-wing utility light aircraft produced in kit form by Murphy Aircraft of Chilliwack, British Columbia for amateur construction. The Moose can be purchased as a "quick-build" kit which comes partly pre-assembled.[1][2][3] Builders can choose whether to equip their aircraft with the 269 kW (360 hp) Russian-built Vedeneyev M14P nine-cylinder radial or the horizontally-opposed 187 kW (250 hp) Lycoming O-540.[1] Both engines allow the Moose to take off in roughly 180 m (600 ft). At least one owner has equipped their aircraft with a Pratt &amp; Whitney Canada PT6A-20 turboprop engine[2][3][4] and another builder has installed a 460 hp (343 kW) General Motors LS3 V-8 engine.[5] Data from Jane's All The World's Aircraft 2003–2004[6]General characteristics Performance  Related development Aircraft of comparable role, configuration, and era</t>
  </si>
  <si>
    <t>//upload.wikimedia.org/wikipedia/commons/thumb/7/73/Murphy_moose.jpg/300px-Murphy_moose.jpg</t>
  </si>
  <si>
    <t>Kit aircraft</t>
  </si>
  <si>
    <t>https://en.wikipedia.org/Kit aircraft</t>
  </si>
  <si>
    <t>Canada</t>
  </si>
  <si>
    <t>https://en.wikipedia.org/Canada</t>
  </si>
  <si>
    <t>120 (2011)</t>
  </si>
  <si>
    <t>five passengers</t>
  </si>
  <si>
    <t>7.01 m (23 ft 0 in)</t>
  </si>
  <si>
    <t>1.98 m (6 ft 6 in)</t>
  </si>
  <si>
    <t>16.91 m2 (182.0 sq ft)</t>
  </si>
  <si>
    <t>816 kg (1,799 lb)</t>
  </si>
  <si>
    <t>1,587 kg (3,499 lb)</t>
  </si>
  <si>
    <t>1 × Vedeneyev M14P 9-cylinder radial engine, 265 kW (355 hp)</t>
  </si>
  <si>
    <t>249 km/h (155 mph, 134 kn) (70% power)</t>
  </si>
  <si>
    <t>7.6 m/s (1,500 ft/min)</t>
  </si>
  <si>
    <t>10.97 m (36 ft 0 in)</t>
  </si>
  <si>
    <t>81 km/h (50 mph, 44 kn) (flaps down)</t>
  </si>
  <si>
    <t>304 km/h (189 mph, 164 kn)</t>
  </si>
  <si>
    <t>965 km (600 mi, 521 nmi) (standard fuel)</t>
  </si>
  <si>
    <t>4,575 m (15,010 ft)</t>
  </si>
  <si>
    <t>282 km/h (175 mph, 152 kn)</t>
  </si>
  <si>
    <t>Murphy SR2500 Super Rebel</t>
  </si>
  <si>
    <t>https://en.wikipedia.org/Murphy SR2500 Super Rebel</t>
  </si>
  <si>
    <t>Indonesian Aerospace N-245</t>
  </si>
  <si>
    <t>Indonesian Aerospace N-245 is an Indonesian turboprop airliner being developed by Indonesian Aerospace. A refinement of CASA/IPTN CN-235, the N-245 is designed for greater passenger capacity and lower operating costs than the CN-235. The N-245 has a longer body, and a newer engine type, a T-tail and no ramp door.[1] When President Joko Widodo took office on 20 October 2014, he ordered the revival of several Indonesian aircraft in order to boost the Indonesian economy, including the N-250 which captured world attention in 1997. After the successful revival of the N-219 aircraft, Indonesian Aerospace decided to make an improved and larger aircraft, and chose the N-245, a 50-seat turboprop airliner, as the N-219's successor. The airliner was named N-245 for "the spirit of 45", after the year Indonesia's independence of 1945. The program to produce the N-245 began in 2016. Indonesian Aerospace also stated its intention to produce the N-270, the 70-seat version of the N-245 and the N-219.[2] The design phase was slated to begin in 2017 and the first N-245 was to be done by 2020. The Indonesian government pledged to provide a total of $44 million to develop the aircraft.[3] On 8 December 2016, the Indonesian Ministry of Industry opined that the N-245 and the RAI R-80 [id] (another turboprop aircraft to be built by Indonesian Aerospace, which is developed from the N-250) should be designated as Strategic National Projects.[4] On 10 February 2017, the N-245 and the R-80 were added to the project list. Due to this decision, the government was to prioritize the development of both aircraft, and accelerate the production timetable, saying that both aircraft could make a first flight as soon as 2019.[5] In July 2017, Indonesian Aerospace announced that it has entered into an agreement with Turkish Aerospace Industries (TAI) to collaborate in the development of N-245 and N-219. Under a Framework Agreement, the two organizations will work together on technical aspects as well marketing initiatives.[6] TAI's portfolio includes licensed production of General Dynamics F-16 Fighting Falcon jets, SIAI-Marchetti SF.260 trainers, Cougar AS-532 search and rescue (SAR), and the N-235, which the N-245 is based on. The collaboration is expected to facilitate the conversion of the N-245 from an aircraft designed for lightweight transport into a cost-effective commuter airplane. Initial report cited TAI's involvement in the conceptual design activities of the N-245.[7] Aside from the N-245, the agreement also covered the joint development of a new medium-altitude, long-endurance (MALE) unmanned aerial vehicle (UAV) that will have a capability to operate in an altitude of 40,000 feet.[8]</t>
  </si>
  <si>
    <t>//upload.wikimedia.org/wikipedia/commons/thumb/c/c2/N-245.jpg/300px-N-245.jpg</t>
  </si>
  <si>
    <t>Light utility transport</t>
  </si>
  <si>
    <t>https://en.wikipedia.org/Light utility transport</t>
  </si>
  <si>
    <t>Indonesian Aerospace</t>
  </si>
  <si>
    <t>https://en.wikipedia.org/Indonesian Aerospace</t>
  </si>
  <si>
    <t>Under development</t>
  </si>
  <si>
    <t>CASA/IPTN CN-235</t>
  </si>
  <si>
    <t>https://en.wikipedia.org/CASA/IPTN CN-235</t>
  </si>
  <si>
    <t>Heinkel HD 19</t>
  </si>
  <si>
    <t>The Heinkel HD 19 W (or Svenska Aero J 4) was a biplane seaplane fighter developed by Ernst Heinkel Flugzeugwerke . The Heinkel HD 19 W was the only naval fighter to be delivered to the Svenska Flygvapnet. Formed in 1926, the Svenska Flygvapnet issued a requirement in 1927 for an aircraft to be used for the defense of coastal fortifications and ships of the Navy. The specification determined the engine (the Bristol Jupiter VI) and the configuration of the aircraft, which should have been a seaplane with boots. The aircraft was designated J 4 (the acronym J stands for the Swedish word "Jagt", fighter) and two aircraft were ordered by Heinkel in September 1927.  Meanwhile, the Swedish branch of Heinkel, the Svenska Aero AB based in Lidingö (an island in the Stockholm archipelago), made an offer for the Swedish air force and in October 1928 an order was made for four additional aircraft (serial numbers 282-285). The first delivery took place in May 1929, the last one in the following September.  The aircraft housed 2 people and was armed with two KSP M / 22 caliber 8 mm front fixed machine guns and another 8 mm KSP M / 22 caliber that can be tilted by the rear seat passenger. The first HD 19 carried out the tests at Warnemünde in July 1928 and entered service at Wing F 2 in Hagernäs a few months later. Given the limited performance the days for seaplanes were set, so the planes were actually used for the reconnaissance and fire management. In particular, the floats limited a lot of operation and performance even if the HD 19 was initially designed with an alternative landing gear that could mount wheels or skis depending on the case. In 1934 the three surviving J4s were transferred to Wing F 1 in Västerås and placed in reserve. The last J 4 (number 281) was withdrawn on August 31, 1937 after an operating life of 812 flight hours.  Data from [1]General characteristics Performance</t>
  </si>
  <si>
    <t>Seaplane fighter</t>
  </si>
  <si>
    <t>German-Swedish</t>
  </si>
  <si>
    <t>Svenska Aero AB</t>
  </si>
  <si>
    <t>https://en.wikipedia.org/Svenska Aero AB</t>
  </si>
  <si>
    <t>9.26 m (30 ft 5 in)</t>
  </si>
  <si>
    <t>3.91 m (12 ft 10 in)</t>
  </si>
  <si>
    <t>31.60 m2 (340.1 sq ft)</t>
  </si>
  <si>
    <t>1,175 kg (2,590 lb)</t>
  </si>
  <si>
    <t>1 × Bristol Jupiter VI , 310 kW (420 hp)</t>
  </si>
  <si>
    <t>182 km/h (113 mph, 98 kn)</t>
  </si>
  <si>
    <t>47 kg/m2 (9.6 lb/sq ft)</t>
  </si>
  <si>
    <t>11 m (36 ft 1 in)</t>
  </si>
  <si>
    <t>6,400 m (21,000 ft)</t>
  </si>
  <si>
    <t>Ernst Heinkel</t>
  </si>
  <si>
    <t>https://en.wikipedia.org/Ernst Heinkel</t>
  </si>
  <si>
    <t>215 km/h (134 mph, 116 kn)</t>
  </si>
  <si>
    <t>Svenska Flygvapnet</t>
  </si>
  <si>
    <t>https://en.wikipedia.org/Svenska Flygvapnet</t>
  </si>
  <si>
    <t>AeroVironment RQ-20 Puma</t>
  </si>
  <si>
    <t>The AeroVironment RQ-20 Puma is a small, battery powered, American, hand-launched unmanned aircraft system produced by AeroVironment based in California. Primary mission is surveillance and intelligence gathering using an electro-optical and infrared camera. Previously selected for the United States Special Operations Command in 2008, in March 2012 the United States Army ordered the Puma All Environment (AE) and designated it the RQ-20A.[3] In April, the United States Marine Corps and United States Air Force placed a similar order for the RQ-20A.[4][5] Each military RQ-20A system has three air vehicles and two ground stations.[3] The Puma AE can operate under extreme weather conditions including temperatures ranging from −20 to 120 °F (−29 to 49 °C), wind speeds up to 25 knots (29 mph; 46 km/h), and an inch of rain per hour.[6] On 26 July 2013, the Puma became one of the first unmanned aerial vehicles to be granted certification by the Federal Aviation Administration to fly in U.S. airspace for commercial purposes. AeroVironment expects one to be deployed to Alaska to support oil spill response crews and count wildlife. The Puma can safely accomplish observation missions in hazardous Arctic locations, which is safer, cheaper, and more environmentally friendly than using manned aircraft. Commercial certification was the result of previous military certification and the Congressionally-mandated opening of airspace over much of Alaska to small UAVs.[7] The FAA also certified the Boeing Insitu ScanEagle, also planned to be deployed to Alaska. Only three individual Pumas were certified with strict requirements: only one aircraft of the type is allowed airborne at any one time, they cannot fly through clouds or icing conditions, and they cannot take off or land during certain gust and wind conditions. The certifications did not mention line-of-sight control.[8] On 8 June 2014, the Puma AE made its first flight for BP in Prudhoe Bay, Alaska, making it the first authorized unmanned commercial flight over land.[9] The UK tested ISR packages compatible with the Puma AE on board the M80 Stiletto trials ship in November 2014 under Capability Demonstration 15-1.[10] On 20 January 2016, a number of RQ-20 were captured by the Turkish army from the PKK. It is suspected that the Kurdish militants were able to acquire these drones from their Syrian affiliates.[11] In August 2016, AeroVironment announced the U.S. Navy had tested and deployed the RQ-20B Puma aboard a Flight I Guided Missile Destroyer, which included the company's Precision Recovery System to autonomously recover the aircraft aboard a ship.  The Puma is also being utilized on Navy patrol craft in the Persian Gulf.[1] In December 2021, the United States allocated $5 million for a Puma drone for the Kurdish Peshmerga in Iraq.[12] Data from [40] Puma AE data sheetGeneral characteristics Performance</t>
  </si>
  <si>
    <t>//upload.wikimedia.org/wikipedia/commons/thumb/8/80/U_S_Marine_Corps_RQ-20_Puma_4-M-DE476-005_JPEG.jpg/300px-U_S_Marine_Corps_RQ-20_Puma_4-M-DE476-005_JPEG.jpg</t>
  </si>
  <si>
    <t>Remote controlled UAS</t>
  </si>
  <si>
    <t>AeroVironment</t>
  </si>
  <si>
    <t>https://en.wikipedia.org/AeroVironment</t>
  </si>
  <si>
    <t>2008[1]</t>
  </si>
  <si>
    <t>+ 1,000[2]</t>
  </si>
  <si>
    <t>4 ft 7 in (1.4 m)</t>
  </si>
  <si>
    <t>{'Enhanced Puma': 'grade of the RQ-20A Puma AE with more powerful propulsion system and new batteries that increase endurance by 75 percent to 3.5 hours, auxiliary payload bay to integrate payloads while keeping the video camera, precision navigation system with secondary GPS, and a redesigned durable fuselage with reinforced construction and improved aerodynamics. Available in early 2014.[13]', 'Solar Puma': 'ma AE powered by ultra-thin solar cells that increases endurance to 9 hours.[14] Production version planned for early 2014.[15]', 'RQ-20B': 'ock 2 Puma AE, includes a more powerful and lighter propulsion system, lighter and stronger airframe, long endurance battery, precision inertial navigation system an improved user interface, and the new, all environment Mantis i45 gimbal sensor suite.[1]', 'LRTA Puma': 'ma AE upgraded with a long-range tracking antenna (LRTA) that extends range to 60 kilometers (37.28 miles). Available Spring 2018.[16]'}</t>
  </si>
  <si>
    <t>9 ft 2 in (2.8 m)</t>
  </si>
  <si>
    <t>9.3 mi (15 km, 8.1 nmi)</t>
  </si>
  <si>
    <t>52 mph (83 km/h, 45 kn)</t>
  </si>
  <si>
    <t>13 lb (5.9 kg)</t>
  </si>
  <si>
    <t>United States ArmyUnited States Marine CorpsUnited States Air Force</t>
  </si>
  <si>
    <t>https://en.wikipedia.org/United States ArmyUnited States Marine CorpsUnited States Air Force</t>
  </si>
  <si>
    <t>23 mph (37 km/h, 20 kn)</t>
  </si>
  <si>
    <t>Air Creation Fun</t>
  </si>
  <si>
    <t>The Air Creation Fun is a series of French single-surface ultralight trike wings, designed and produced by Air Création of Aubenas. The wing is widely used on Air Creation trikes as well as by other ultralight aircraft manufacturers.[1] The series are cable-braced, king post-equipped hang glider-style wings designed as docile beginner and flight training wings for single and two-place trikes. They come in two sizes, the Fun 450, named for its gross weight in kilograms and the Fun 14, named for its metric wing area.[1][2][3] The wings are made from bolted-together aluminum tubing, with its single surface wing covered in Trilam Dacron sailcloth, with a Mylar leading edge. The wing's crosstube is exposed and is of a floating design. The Fun 14 has a 10.0 m (32.8 ft) span, an aspect ratio of 7.4:1 and uses an "A" frame weight-shift control bar. The double surface portion is 40% and the wing folds using an "umbrella" system.[1][2][3][4] Data from Bayerl and Air Creation[1][3][4]General characteristics Performance</t>
  </si>
  <si>
    <t>Ultralight trike wing</t>
  </si>
  <si>
    <t>https://en.wikipedia.org/Ultralight trike wing</t>
  </si>
  <si>
    <t>Air Creation</t>
  </si>
  <si>
    <t>https://en.wikipedia.org/Air Creation</t>
  </si>
  <si>
    <t>In production (2013)</t>
  </si>
  <si>
    <t>3.4 m (11 ft 2 in) wing only</t>
  </si>
  <si>
    <t>38 kg (84 lb) wing weight</t>
  </si>
  <si>
    <t>250 kg (551 lb) maximum aircraft gross weight allowed</t>
  </si>
  <si>
    <t>90 km/h (56 mph, 49 kn)</t>
  </si>
  <si>
    <t>25.0 kg/m2 (5.1 lb/sq ft) maximum</t>
  </si>
  <si>
    <t>10.0 m (32 ft 10 in)</t>
  </si>
  <si>
    <t>40 km/h (25 mph, 22 kn)</t>
  </si>
  <si>
    <t>1.6 m/s (310 ft/min)</t>
  </si>
  <si>
    <t>+4/-2</t>
  </si>
  <si>
    <t>Sikorsky S-18</t>
  </si>
  <si>
    <t>The Sikorsky S-18 was a Russian twin engine aircraft designed by Igor Sikorsky and built by the Russian Baltic Railroad Car Works aviation division at Petrograd during World War I. The S-18 was a large three bay biplane fighter/interceptor powered by two 150 hp (112 kW) Sunbeam Crusader V-8  water-cooled engines mounted on the lower wing in a pusher configuration. The aircraft featured armor protection for both crew members with the gunner/observer seated in the nose and armed with a single machine gun. The aircraft was very heavy and with the less than reliable Sunbeam engines neither example built was able to leave the ground.[1][2][3] Data from Russian Aviation Museum[3] General characteristics Performance</t>
  </si>
  <si>
    <t>//upload.wikimedia.org/wikipedia/commons/thumb/b/b5/Sikorsky_S-18_aircraft_circa_1916.jpg/300px-Sikorsky_S-18_aircraft_circa_1916.jpg</t>
  </si>
  <si>
    <t>Russian Empire</t>
  </si>
  <si>
    <t>https://en.wikipedia.org/Russian Empire</t>
  </si>
  <si>
    <t>Russian Baltic Railroad Car Works</t>
  </si>
  <si>
    <t>https://en.wikipedia.org/Russian Baltic Railroad Car Works</t>
  </si>
  <si>
    <t>31 ft 10 in (9.7 m)</t>
  </si>
  <si>
    <t>620 sq ft (58 m2)</t>
  </si>
  <si>
    <t>3,274 lb (1,485 kg)</t>
  </si>
  <si>
    <t>4,630 lb (2,100 kg)</t>
  </si>
  <si>
    <t>2 × Sunbeam Crusader V-8, side-valve, water-cooled, piston engine, 150 hp (110 kW)  each</t>
  </si>
  <si>
    <t>7.4 lb/sq ft (36.2 kg/m2) max load</t>
  </si>
  <si>
    <t>Igor Sikorsky</t>
  </si>
  <si>
    <t>54 ft 2 in (16.5 m)</t>
  </si>
  <si>
    <t>50 ft 2 in (15.3 m)</t>
  </si>
  <si>
    <t>Mitsubishi Ka-8</t>
  </si>
  <si>
    <t>The Mitsubishi Ka-8 or Mitsubishi Experimental 8-Shi Two-seat Fighter was a prototype Japanese two-seat carrier-based fighter of the 1930s. Two were built, but no production followed. In the early 1930s, the Imperial Japanese Navy became interested in the concept of two-seat fighters, as popular with foreign air-arms, ordering a prototype of the Nakajima NAF-1 6-Shi two-seat fighter in 1931.[1]  Although the NAF-1 was unsuccessful,[1] the Navy's interest in two-seat fighters continued, and in 1933, it requested new two-seat carrier-based fighter designs from Mitsubishi and Nakajima.[2] Mitsubishi's design, designated the Ka-8 by the company, and the Mitsubishi Experimental 8-Shi Two-seat Fighter by the Navy,[a] was a single-engined biplane of mixes wood and metal construction. Its single-bay equal-span staggered wings had duralumin spars, with wooden ribs and fabric covering. The fuselage structure was made of welded steel tube with fabric covering, with pilot and gunner sitting in tandem in open cockpits. Two fixed forward-firing machine guns were operated by the pilot, with a single flexibly mounted machine gun in the rear cockpit. A twin tail was fitted, and the aircraft had a fixed tailwheel undercarriage. Powerplant was a single Nakajima Kotobuki, a licence-built Bristol Jupiter radial engine, driving a two-blade propeller.[2][4] The first of two prototypes was completed in January 1931, with both prototypes being delivered to the Navy for formal testing later in the year. The second prototype broke up during diving tests at Yokosuka on 16 September 1934. While the pilot escaped by parachute, the observer in the rear seat was killed. This accident caused testing of the surviving prototype to be abandoned, with the Nakajima contender, the NAF-2, also being rejected, with the Navy abandoning the two-seater carrier fighter category.[2][4] Data from Japanese Aircraft 1910–1941[2]General characteristics Performance Armament</t>
  </si>
  <si>
    <t>7.39 m (24 ft 3 in)</t>
  </si>
  <si>
    <t>3.35 m (11 ft 0 in)</t>
  </si>
  <si>
    <t>26 m2 (280 sq ft)</t>
  </si>
  <si>
    <t>1,153 kg (2,542 lb)</t>
  </si>
  <si>
    <t>1,700 kg (3,748 lb)</t>
  </si>
  <si>
    <t>1 × Nakajima Kotobuki 2 nine-cylinder radial engine, 430 kW (580 hp)</t>
  </si>
  <si>
    <t>286 km/h (178 mph, 155 kn) at 3,000 m (9,800 ft)</t>
  </si>
  <si>
    <t>NACA M-12</t>
  </si>
  <si>
    <t>2× fixed forward firing 7.7 mm machine guns1× flexibly mounted 7.7 mm machine gun in rear cockpit</t>
  </si>
  <si>
    <t>Air Creation Tanarg</t>
  </si>
  <si>
    <t>The Air Creation Tanarg is a French ultralight trike, designed and produced by Air Creation of Aubenas. The aircraft is supplied as complete ready-to-fly-aircraft.[1] In the United Kingdom the Tanarg is amateur-built from kits supplied by Air Creation.[2] The Tanarg was designed as a long-range cruising trike to comply with the Fédération Aéronautique Internationale microlight category, including the category's maximum gross weight of 472.5 kg (1,042 lb) with a ballistic parachute. It is also an accepted Special Light-Sport Aircraft in the United States. The Tanarg features a cable-braced hang glider-style high-wing, weight-shift controls, a two-seats-in-tandem, open cockpit, tricycle landing gear with wheel pants and a single engine in pusher configuration.[1][3][4][5] The aircraft is made from mixed constriction, with bolted-together aluminum tubing, composites and carbon fibre panels, with its double surface wing covered in Dacron sailcloth. With the BioniX wing it has a 9.85 m (32.3 ft) span that is supported by a single tube-type kingpost and uses an "A" frame weight-shift control bar. The powerplant options include the twin cylinder, liquid-cooled, two-stroke, dual-ignition 64 hp (48 kW) Rotax 582 engine and  the four cylinder, air and liquid-cooled, four-stroke, dual-ignition 80 hp (60 kW) Rotax 912UL and 100 hp (75 kW) Rotax 912ULS engines. With the 912 engine the aircraft has an empty weight of 249 kg (549 lb) and a gross weight of 472.5 kg (1,042 lb), giving a useful load of 223.5 kg (493 lb). With full fuel of 70 litres (15 imp gal; 18 US gal) the payload is 183 kg (403 lb).[1][3][4] A number of different wings can be fitted to the basic trike, including the Air Creation iXess, Air Creation Nuvix, Air Creation Fun and Air Creation BioniX.[1][4] Data from Bayerl and Air Creation[1][6]General characteristics Performance</t>
  </si>
  <si>
    <t>//upload.wikimedia.org/wikipedia/commons/thumb/9/98/Air_Creation_Tanarg.JPG/300px-Air_Creation_Tanarg.JPG</t>
  </si>
  <si>
    <t>Ultralight trike and Light-sport aircraft</t>
  </si>
  <si>
    <t>https://en.wikipedia.org/Ultralight trike and Light-sport aircraft</t>
  </si>
  <si>
    <t>3.45 m (11 ft 4 in)</t>
  </si>
  <si>
    <t>15.1 m2 (163 sq ft)</t>
  </si>
  <si>
    <t>249 kg (549 lb)</t>
  </si>
  <si>
    <t>70 litres (15 imp gal; 18 US gal)</t>
  </si>
  <si>
    <t>135 km/h (84 mph, 73 kn)</t>
  </si>
  <si>
    <t>6 m/s (1,200 ft/min)</t>
  </si>
  <si>
    <t>3-bladed Arplast Helice composite, 1.66 m (5 ft 5 in) diameter</t>
  </si>
  <si>
    <t>30 kg/m2 (6.1 lb/sq ft) maximum[2]</t>
  </si>
  <si>
    <t>9.85 m (32 ft 4 in)</t>
  </si>
  <si>
    <t>55 km/h (34 mph, 30 kn)</t>
  </si>
  <si>
    <t>157 km/h (98 mph, 85 kn)</t>
  </si>
  <si>
    <t>Miss Pittsburgh</t>
  </si>
  <si>
    <t>Miss Pittsburgh is a historic Waco 9 airplane, powered by a Curtiss OX-5 engine, known for making the first airmail flight from Pittsburgh, Pennsylvania to Cleveland, Ohio on 21 April 1927.[a][1] Miss Pittsburgh was rediscovered and restored by OX 5 Aviation Pioneers, and is now displayed at the Pittsburgh International Airport Landside Terminal. Miss Pittsburgh was a Waco 9, built by the Advance Aircraft Company, latterly known as Waco, powered by a Curtiss OX-5 engine. Miss Pittsburgh's fuselage was built from metal tubing covered with cotton cloth and the wings were made of spruce.[2][3] Miss Pittsburgh could transport up to 800 pounds at a speed reaching 100 miles per hour, usually at an altitude between 1,000–5,000 ft (300–1,520 m).[2] Miss Pittsburgh's first owner was Clifford A. Ball, formerly an auto-mobile dealer who acquired several aircraft as compensation for unpaid storage charges at the Bettis Field, an airport near McKeesport, in which he had a controlling interest.[3] The first airmail flight took off at around noon, 21 April 1927, on a 121 mi (105 nmi; 195 km) route from Pittsburgh, Pennsylvania to Cleveland, Ohio.[3] The US Post Office Department awarded Ball Contract Air Mail No. 11 for this route, and he expanded Skyline Transportation Company by buying two more Waco 9s (Miss Youngstown and Miss McKeesport).[3][4][5] Skyline Transportation Company acquired more aircraft, was renamed to Cliff Ball Mail Line and was later renamed Pennsylvania Airlines, Pennsylvania Central Airline, Capital Airlines and finally became a part of United Airlines.[3][4][5] As the Waco 9s became obsolete, Miss Pittsburgh found its way to Florida, where the airplane was used for advertising in the 1960s, eventually becoming derelict in New York.[2] In 1993, the OX 5 Pioneers located the aircraft at the Rhinebeck New York Aerodrome.[2] With the support of the Pittsburgh Institute of Aeronautics the group raised money to have the airplane returned to Pittsburgh and after renovation it was displayed at the Pittsburgh International Airport Landside Terminal.[2] Data from [2][6]General characteristics Performance a .mw-parser-output .citation{word-wrap:break-word}.mw-parser-output .citation:target{background-color:rgba(0,127,255,0.133)}^  To be clear, Miss Pittsburgh was the first airplane to deliver airmail in the Pittsburgh and Cleveland region, but not the first in the world, nor even the first in the United States.</t>
  </si>
  <si>
    <t>//upload.wikimedia.org/wikipedia/commons/thumb/7/74/Miss_Pittsburgh_-_01.JPG/300px-Miss_Pittsburgh_-_01.JPG</t>
  </si>
  <si>
    <t>Advance Aircraft Company</t>
  </si>
  <si>
    <t>https://en.wikipedia.org/Advance Aircraft Company</t>
  </si>
  <si>
    <t>2 passengers or a payload of 800 lb (360 kg)</t>
  </si>
  <si>
    <t>23 ft 4 in (7.11 m)</t>
  </si>
  <si>
    <t>1 × Curtiss OX-5 V-8 90° air-cooled piston engine, 90 hp (67 kW)</t>
  </si>
  <si>
    <t>79 mph (127 km/h, 69 kn)</t>
  </si>
  <si>
    <t>29 ft 6 in (8.99 m)</t>
  </si>
  <si>
    <t>32 mph (51 km/h, 28 kn)</t>
  </si>
  <si>
    <t>92 mph (148 km/h, 80 kn)</t>
  </si>
  <si>
    <t>Waco 9</t>
  </si>
  <si>
    <t>https://en.wikipedia.org/Waco 9</t>
  </si>
  <si>
    <t>displayed at the Pittsburgh International Airport Landside Terminal</t>
  </si>
  <si>
    <t>https://en.wikipedia.org/displayed at the Pittsburgh International Airport Landside Terminal</t>
  </si>
  <si>
    <t>Auster Autocar</t>
  </si>
  <si>
    <t>The Auster J/5 Autocar was a late 1940s British single-engined four-seat high-wing touring monoplane built by Auster Aircraft Limited at Rearsby, Leicestershire. The company recognised a need for a four-seat touring aircraft to complement the three-seat Auster J/1 Autocrat. The J/5 Autocar looked similar to the Autocrat, but was a new model featuring wing-root fuel tanks and an enlarged cabin. The designation of J/5 for the Autocar followed on from its progenitor, the wartime Model J, which was designated the Auster AOP.V by the Royal Air Force. Postwar models derived from the Model J commenced with the J/1 Autocrat - note the use of J/1, not J-1.[1][2]  The prototype Autocar G-AJYK, a model J/5B, first flew in August 1949 and was exhibited at the Farnborough Air Show in September.[3] A demand for a more powerful version for the tropics produced in 1950 the J/5E powered by a 155 hp (116 kW) Blackburn Cirrus Major engine. This was further developed as the J/5G which was first flown in 1951 and is also referred to as the Cirrus Autocar.[4] The later J/5P reverted to a more powerful de Havilland Gipsy Major engine.[5] Other variants were built as one-off development aircraft, and some were converted in Australia with more mordern engines. Saunders-Roe of Cowes, Isle of Wight, acquired a J/5G Autocar and fitted it with an experimental hydro-ski undercarriage and emergency under-wing floats. With this equipment, the aircraft could remain almost stationary on the water. The majority of the production Autocars were exported to sixteen countries and later resold in five further territories.[3] The Autocar has been primarily operated by private pilot owners and by aero clubs but some were used by small charter firms in the UK and elsewhere as taxi and photographic aircraft. Pest Control Ltd took delivery of five J/5G Autocars in 1952 for crop spraying operations in Sudan. United Kingdom Data from Jane's All The World's Aircraft 1953–54[9]General characteristics Performance       Media related to Auster Autocar at Wikimedia Commons</t>
  </si>
  <si>
    <t>//upload.wikimedia.org/wikipedia/commons/thumb/4/48/Auster_J.5B_Autocar_G-AJYK_Airviews_Ringway_02.07.50_edited-2.jpg/300px-Auster_J.5B_Autocar_G-AJYK_Airviews_Ringway_02.07.50_edited-2.jpg</t>
  </si>
  <si>
    <t>Touring aircraft</t>
  </si>
  <si>
    <t>Auster Aircraft Limited</t>
  </si>
  <si>
    <t>https://en.wikipedia.org/Auster Aircraft Limited</t>
  </si>
  <si>
    <t>several still airworthy in 2012</t>
  </si>
  <si>
    <t>23 ft 2 in (7.06 m)</t>
  </si>
  <si>
    <t>7 ft 7 in (2.31 m)</t>
  </si>
  <si>
    <t>1,413 lb (641 kg)</t>
  </si>
  <si>
    <t>2,450 lb (1,111 kg)</t>
  </si>
  <si>
    <t>145 imp gal (174 US gal; 660 L)</t>
  </si>
  <si>
    <t>1 × de Havilland Gipsy Major I air-cooled, four-cylinder inline engine, 130 hp (97 kW)</t>
  </si>
  <si>
    <t>100 mph (160 km/h, 87 kn)</t>
  </si>
  <si>
    <t>525 ft/min (2.67 m/s)</t>
  </si>
  <si>
    <t>{'Auster J/5B Autocar': 'oduction version with a 130\xa0hp (97\xa0kW) de Havilland Gipsy Major 1 engine.[5]', 'Auster J/5E Autocar': 'ototype export version with a Blackburn Cirrus Major 3 engine, one built (G-AJYS).[5]', 'Auster J/5G Autocar': 'port version with a 155\xa0hp Blackburn Cirrus Major 3 engine.[5]', 'Auster J/5GL': 'e Auster J/5G converted in Australia by Kingsford Smith Aviation Services (ZK-CXA, a rebuild of ZK-BDK) fitted with a Lycoming piston engine.[5]', 'Auster J/5G Super Autocar': 'e J/5G converted in Australia by Kingsford Smith Aviation Services with a 225\xa0hp (168\xa0kW) Continental O-470 engine.', 'Auster J/5H Autocar': 'th 145\xa0hp (108\xa0kW) Blackburn Cirrus Major 2 engine, one rebuilt (VH-KCO) in Australia by Kingsford Smith Aviation Services from J/5B[5]', 'Auster J/5P Autocar': 'rsion with a 145\xa0hp (108\xa0kW)de Havilland Gipsy Major 10 engine.[5]', 'Auster J/5T Autocar': 'velopment aircraft with 185\xa0hp (138\xa0kW) Continental E-185-10 piston engine, one built (G-25-4, c/n 3421)[6][7]', 'Auster J/5V Autocar': 'velopment aircraft with 160\xa0hp (120\xa0kW) Lycoming O-320 engine, one built (G-APUW)[6]', 'Kingsford Smith Bushmaster': ' Auster J/5G conversion in Australia by Kingsford Smith Aviation Services, fitted with a 180hp (134kW) Lycoming O-360 engine, constant speed propeller and other improvements.'}</t>
  </si>
  <si>
    <t>36 ft 0 in (10.97 m)</t>
  </si>
  <si>
    <t>34 mph (55 km/h, 30 kn) Flaps down</t>
  </si>
  <si>
    <t>11,000 ft (3,400 m)</t>
  </si>
  <si>
    <t>116 mph (187 km/h, 101 kn)</t>
  </si>
  <si>
    <t>private pilot owners</t>
  </si>
  <si>
    <t>1950-1957</t>
  </si>
  <si>
    <t>537 yd (1,611 ft; 491 m)</t>
  </si>
  <si>
    <t>163 yd (489 ft; 149 m)</t>
  </si>
  <si>
    <t>MIP Smyk</t>
  </si>
  <si>
    <t>The MIP Smyk, MIP from the initials of its Polish designers with Smyk meaning Brat or Kid, was an aerodynamically refined motor glider designed and built at Warsaw Technical University from 1935. The Smyk was designed by three students of the Warsaw Technical University, Ludwig Moczarski, Jan Idźkowski and Jerzy Ploszajski, as a diploma project. Their objective was a low-power motor glider with the lowest possible drag.[1][2] The result was a wooden, shoulder wing cantilever monoplane with a retractable undercarriage, powered by a 12–18 kW (16–24 hp) Scott Flying Squirrel AS-2 inverted, air-cooled, twin-cylinder, two-stroke engine.[1][3][Notes 1] Its one piece, tapered wing, which had an aspect ratio of 7.7, contained a plywood covered torsion box from the main spar around the leading edge. Behind the torsion box the wing was fabric covered. An auxiliary rear spar carried long span, tapered ailerons. The wing's deepened, wholly ply-covered centre-section blended wing roots into the upper fuselage.[1][2] The Smyk's cockpit was immediately ahead of the wing main spar within a reinforced cut-out in the torsion box, its rear-hinged transparency closely following the wing profile. The Squirrel engine was conventionally cowled in the nose, with a fuel tank in the centre of the wing behind the main spar. The central part of the fuselage was an oval section, plywood-covered, semi-monocoque structure but the rear fuselage was aluminum-covered for easy inspection of the rear control surface cabling. Its fin was a ply-covered integral part of the fuselage and carried a fabric covered rudder; the tapered, blunt-tipped, cantilever horizontal tail with inset elevators was mounted at mid-fuselage.[1][2] The Smyk's unusual retractable undercarriage had two independent short, vertical legs, with compressed rubber shock absorbers and large, low-pressure tyres. Each leg top was rigidly mounted on a V-strut hinged at slight angles to both the longitudinal and vertical axes of the fuselage on a bulkhead-mounted internal frame. When the legs were lifted with a chain system the hinge geometry, combined with a folding stiffening strut, placed the wheels within the fuselage and parallel to its sides. There were two pairs of undercarriage doors, the rear one only open whilst the legs were in motion. The tailskid was a fixed, laminated spring.[2] The Smyk's first flight was on 1 October 1937, piloted by Aleksander Onoskyo, and testing continued through 1938-9. The Squirrel engine was heavier than specified but nonetheless the aircraft handled well and had a maximum speed of 135 km/h (84 mph; 73 kn). A differential elevator linkage produced precise control input and the usual range of aerobatic manoeuvres, apart from the roll, was available. Some minor modifications were made as a result of these development flights, perhaps the most effective being a high quality repaint, which raised the maximum speed by 20 km/h (12 mph; 11 kn). Since the expensive and heavy retractable undercarriage only increased the maximum speed by 11 km/h (7 mph), it was decided that a second, two-seat Smyk, with a span reduction and powered by a 22–24 kW (30–32 hp) Saroléa Albatros flat-twin engine, should have a fixed undercarriage. Its partially complete airframe was destroyed during the German invasion of Poland in 1939. Data from General J.Cynk,(1974)[1] except where noted.General characteristics Performance</t>
  </si>
  <si>
    <t>Motor glider</t>
  </si>
  <si>
    <t>https://en.wikipedia.org/Motor glider</t>
  </si>
  <si>
    <t>Poland</t>
  </si>
  <si>
    <t>https://en.wikipedia.org/Poland</t>
  </si>
  <si>
    <t>Warsaw Technical University</t>
  </si>
  <si>
    <t>https://en.wikipedia.org/Warsaw Technical University</t>
  </si>
  <si>
    <t>5.95 m (19 ft 6 in)</t>
  </si>
  <si>
    <t>1.68 m (5 ft 6 in)</t>
  </si>
  <si>
    <t>11.5 m2 (124 sq ft)</t>
  </si>
  <si>
    <t>187 kg (412 lb)</t>
  </si>
  <si>
    <t>290 kg (639 lb)</t>
  </si>
  <si>
    <t>1 × Scott Flying Squirrel AS-2 air-cooled, two-cylinder, inverted two-stroke engine, 12–18 kW (16–24 hp)</t>
  </si>
  <si>
    <t>145 km/h (90 mph, 78 kn)</t>
  </si>
  <si>
    <t>1.9 m/s (380 ft/min) [2]</t>
  </si>
  <si>
    <t>Two-bladed</t>
  </si>
  <si>
    <t>10.1 m (33 ft 2 in)</t>
  </si>
  <si>
    <t>450 km (280 mi, 240 nmi)</t>
  </si>
  <si>
    <t>3,200 m (10,500 ft)</t>
  </si>
  <si>
    <t>Ludwik Moczarski. Jan Idźkowski and Jerzy Pioszajski</t>
  </si>
  <si>
    <t>155 km/h (96 mph, 84 kn)</t>
  </si>
  <si>
    <t>Clarke YH</t>
  </si>
  <si>
    <t>Flyitalia MD3 Rider</t>
  </si>
  <si>
    <t>The Flyitalia MD3 Rider is an Italian ultralight and light-sport aircraft that was designed by Jaro Drostal in the Czech Republic and produced by Flyitalia of Dovera, Italy. The aircraft was supplied by Flyitalia complete and ready-to-fly.[1][2] The company went out of business and production ended in 2011, but production was resumed by a new company, Next Aircraft of Rivanazzano in 2013, who supply it ready-to-fly.[2][3] The aircraft was designed to comply with the Fédération Aéronautique Internationale microlight rules and US light-sport aircraft rules. It features a strut-braced high-wing, a two-seats-in-side-by-side configuration enclosed cockpit, fixed tricycle landing gear and a single engine in tractor configuration.[1][2] The aircraft is made with riveted and bonded aluminum sheet semi-monocoque construction, with a welded steel cockpit cage. The engine cowling and fairings are made from composites, with the cockpit doors fashioned from carbon-fibre. Its 8.5 m (27.9 ft) span wing has an area of 9.5 m2 (102 sq ft), electrically-operated flaps, electric elevator trim and integral fuel tanks. The cockpit is 117 cm (46 in) wide. A folding wing for storage and ground transport was a factory option. The standard engines factory supplied are the 80 hp (60 kW) Rotax 912UL and the 100 hp (75 kW) Rotax 912ULS four-stroke powerplant.[1][2] The MD3 has a gross weight of 472.5 kg (1,042 lb) for the European microlight class and 520 kg (1,146 lb) for the US LSA category.[1][2] A float version was under consideration in 2015.[2] Data from Bayerl[1]General characteristics Performance</t>
  </si>
  <si>
    <t>//upload.wikimedia.org/wikipedia/commons/thumb/2/23/FlyItalia_MD3_Rider_AN2272722.jpg/300px-FlyItalia_MD3_Rider_AN2272722.jpg</t>
  </si>
  <si>
    <t>Ultralight aircraft and Light-sport aircraft</t>
  </si>
  <si>
    <t>https://en.wikipedia.org/Ultralight aircraft and Light-sport aircraft</t>
  </si>
  <si>
    <t>https://en.wikipedia.org/Italy</t>
  </si>
  <si>
    <t>FlyitaliaNext Aircraft</t>
  </si>
  <si>
    <t>https://en.wikipedia.org/FlyitaliaNext Aircraft</t>
  </si>
  <si>
    <t>9.5 m2 (102 sq ft)</t>
  </si>
  <si>
    <t>287 kg (633 lb)</t>
  </si>
  <si>
    <t>190 km/h (120 mph, 100 kn)</t>
  </si>
  <si>
    <t>7 m/s (1,400 ft/min)</t>
  </si>
  <si>
    <t>49.74 kg/m2 (10.19 lb/sq ft)</t>
  </si>
  <si>
    <t>8.5 m (27 ft 11 in)</t>
  </si>
  <si>
    <t>62 km/h (39 mph, 33 kn)</t>
  </si>
  <si>
    <t>Jaro Drostal</t>
  </si>
  <si>
    <t>Lloyd 40.15</t>
  </si>
  <si>
    <t>The Lloyd 40.15 was an experimental triplane fighter that was designed and built in the Austro-Hungarian Empire during World War I.[1] Data from [1]General characteristics Performance Armament</t>
  </si>
  <si>
    <t>Ungarische Lloyd Flugzeug und Motorenfabrik</t>
  </si>
  <si>
    <t>https://en.wikipedia.org/Ungarische Lloyd Flugzeug und Motorenfabrik</t>
  </si>
  <si>
    <t>7.1 m (23 ft 4 in)</t>
  </si>
  <si>
    <t>2.82 m (9 ft 3 in)</t>
  </si>
  <si>
    <t>22.2 m2 (239 sq ft)</t>
  </si>
  <si>
    <t>900 kg (1,984 lb)</t>
  </si>
  <si>
    <t>1 × Austro-Daimler 185hp 6-cylinder water-cooled in-line piston engine, 138 kW (185 hp)</t>
  </si>
  <si>
    <t>160 km/h (99 mph, 86 kn) estimated</t>
  </si>
  <si>
    <t>Austro-Hungarian Empire</t>
  </si>
  <si>
    <t>7.6 m (24 ft 11 in)</t>
  </si>
  <si>
    <t>4.2 m (13 ft 9 in)</t>
  </si>
  <si>
    <t>2 × fixed, forward-firing 8 mm (0.315 in) Schwarzlose machine guns</t>
  </si>
  <si>
    <t>5.8 m (19 ft 0 in)</t>
  </si>
  <si>
    <t>Yakovlev UT-3</t>
  </si>
  <si>
    <t>The Yakovlev UT-3, initially known as the AIR-17 and then Ya-17, was a twin-engine low-wing monoplane aircraft designed by Alexander Sergeyevich Yakovlev for the Soviet Air Force (VVS). The UT-3 was to serve as a training aircraft for pilots of multi-engine aircraft and for training air gunners, bomb aimers, navigators and radio operators. The airframe was constructed largely of wood and fabric-covered mild steel tubing. The prototype was powered by imported French Renault 6Q-01 220 hp (160 kW) six-cylinder inline engines but production aircraft may have used the Voronezh MV-6 (Soviet-built Bengali 6 copy). Testing was undertaken in 1938 and the aircraft was approved for construction as the UT-3. While the prototype had been fitted with 2x 7.62 mm (0.300 in) ShKAS machine guns and racks for four FAB 50 bombs, the production model was unarmed and more austere. Production was ordered in 1940 at two factories, No. 135 in Leningrad and No. 272 in Kazan. Only around thirty aircraft were built before orders were cancelled as the VVS high command decided to use multi-engine combat aircraft, modified for dual control, in place of dedicated training types. Despite a seemingly bright future, the UT-3 was only produced in limited numbers, due to slow development and the cessation of MV-6 and Kossov MG-31F engine production. Data from OKB Yakovlev,[1] Yakovlev aircraft since 1924[2]General characteristics Performance</t>
  </si>
  <si>
    <t>Twin-engined trainer</t>
  </si>
  <si>
    <t>USSR</t>
  </si>
  <si>
    <t>https://en.wikipedia.org/USSR</t>
  </si>
  <si>
    <t>OKB Yakovlev</t>
  </si>
  <si>
    <t>https://en.wikipedia.org/OKB Yakovlev</t>
  </si>
  <si>
    <t>~21</t>
  </si>
  <si>
    <t>10.83 m (35 ft 6 in)</t>
  </si>
  <si>
    <t>33.42 m2 (359.7 sq ft)</t>
  </si>
  <si>
    <t>2,042 kg (4,502 lb)</t>
  </si>
  <si>
    <t>350 kg (770 lb) fuel, 32 kg (71 lb) oil</t>
  </si>
  <si>
    <t>2 × Voronezh MV-6 6-cylinder inverted air-cooled in-line piston engines, 160 kW (220 hp)  each</t>
  </si>
  <si>
    <t>2-bladed AV-3</t>
  </si>
  <si>
    <t>{'Samolyet No.17': '', 'S-17': '', 'Ya-17': '', 'UT-3': 'r ', 'M-17': 'Prototype three-seat twin-engined bomber-trainer. Powered by two 220\xa0hp (160\xa0kW) ', 'UT-3 2MV-6 (3-seat)': 'itial production of the armed three seat bomber trainer, powered by two Voronezh MV-6 engines driving AV-3 variable-pitch propellers. Only one aircraft built, of ten ordered, due to poor performance and stability.', 'UT-3 2MV-6 (2-seat)': "llowing the poor results from the 3-seat aircraft's flight tests, the aircraft was re-designed as a two-seat pilot trainer. Nine aircraft were built and sent to service units for testing, with poor results due to design faults and poor manufacturing standards. Production was transferred to GAZ-47.", 'UT-3 2MV-6 (2-seat GAZ-47)': ' GAZ-47 changes were made to address the short-comings revealed in the service tests, which were only partly successful. Only eight aircraft were built to this standard.', "UT-3 'standard setter for 1941'": 'ka S-17A, Ya-17, UT-3 2MV-6A or UT-3M) Optimised as a conversion trainer, the instructor sat offset to starboard behind the trainee who sat offset to port, under a common canopy. The undercarriage was now fixed and power was supplied by 2x 220\xa0hp (160\xa0kW) Voronezh MV-6A engines, mounted on extended engine mounts to retain the centre of gravity in the safe zone. One aircraft built.', 'S-17A': '', 'UT-3 2MV-6A': 'r ', 'UT-3M': 'Optimised as a conversion trainer, the instructor sat offset to starboard behind the trainee who sat offset to port, under a common canopy. The undercarriage was now fixed and power was supplied by 2x 220\xa0hp (160\xa0kW) ', 'UT-3 with MG-31F engines': 'projected version powered by 2x 350\xa0hp (260\xa0kW) Kossov MG-31F 9-cylinder radial engines, (not built).', "UT-3 'standard setter no.2": 'e standard setter no.1 fitted with twin fins and rudders and sweptback outer wing panels, (not built).', 'UTPB': 'chebno-trenirovochnyy pikeeruyushchiy bombardirovshchik – dive bomber trainer) A projected dive bomber trainer to have been fitted with dive brakes under the wings, (not built).', 'S-19': '', 'AIR-19': 'A civil transport derivative of the UT-3 using the wings, tail, undercarriage and engines of the UT-3 married to a new fuselage with a two-crew cockpit and cabin with sets for five passengers, (one built).'}</t>
  </si>
  <si>
    <t>15 m (49 ft 3 in)</t>
  </si>
  <si>
    <t>1,050 km (650 mi, 570 nmi)</t>
  </si>
  <si>
    <t>6,200 m (20,300 ft)</t>
  </si>
  <si>
    <t>A.S. Yakovlev</t>
  </si>
  <si>
    <t>https://en.wikipedia.org/A.S. Yakovlev</t>
  </si>
  <si>
    <t>260 km/h (160 mph, 140 kn) *Landing speed</t>
  </si>
  <si>
    <t>VVS</t>
  </si>
  <si>
    <t>https://en.wikipedia.org/Yakovlev Ya-19</t>
  </si>
  <si>
    <t>2,627 kg (5,792 lb)</t>
  </si>
  <si>
    <t>https://en.wikipedia.org/VVS</t>
  </si>
  <si>
    <t>245 m (804 ft)</t>
  </si>
  <si>
    <t>115 m (377 ft)</t>
  </si>
  <si>
    <t>Air Creation Skypper</t>
  </si>
  <si>
    <t>The Air Creation Skypper is a French ultralight trike, designed and produced by Air Creation of Aubenas. The aircraft was introduced in 2011 and is supplied complete and ready-to-fly.[1] The Skypper was designed as a simpler, lighter and less expensive carriage than the top-of-the line Air Creation Tanarg, to replace the Air Creation GT series in production. It was intended to comply with the Fédération Aéronautique Internationale microlight category. It features a cable-braced hang glider-style high-wing, weight-shift controls, a two-seats-in-tandem, open cockpit, tricycle landing gear with wheel pants and a single engine in pusher configuration.[1] The aircraft is made from bolted-together aluminum tubing, with its double surface wing covered in Dacron sailcloth. The wing is supported by a single tube-type kingpost and uses an "A" frame weight-shift control bar. Available powerplants include the a twin cylinder, liquid-cooled, two-stroke, dual-ignition 64 hp (48 kW) Rotax 582 engine, the four cylinder, air and liquid-cooled, four-stroke, dual-ignition 80 hp (60 kW) Rotax 912UL or 100 hp (75 kW) Rotax 912ULS engine and the twin cylinder, air-cooled, four-stroke, dual-ignition 60 hp (45 kW) HKS 700E.[1] With the Rotax 582 the aircraft has an empty weight of 201 kg (443 lb) and a gross weight of 462 kg (1,019 lb), giving a useful load of 261 kg (575 lb). With full fuel of 55 litres (12 imp gal; 15 US gal) the payload is 221 kg (487 lb).[1] A number of different wings can be fitted to the basic carriage, including the Air Creation NuviX, Fun 450, iFun 16, iXess 13 and the BioniX.[1][2][3] When equipped with the Bionix wing and Rotax 912 engine the Skypper was €6,300 cheaper than the more sophisticated Air Creation Tanarg with the same engine and wing, in 2011.[1] Data from Bayerl and Air Creation[1][2]General characteristics Performance</t>
  </si>
  <si>
    <t>//upload.wikimedia.org/wikipedia/commons/thumb/9/95/Z-Air_Creation_Skypper_%2846779465155%29.jpg/300px-Z-Air_Creation_Skypper_%2846779465155%29.jpg</t>
  </si>
  <si>
    <t>Ultralight trike</t>
  </si>
  <si>
    <t>https://en.wikipedia.org/Ultralight trike</t>
  </si>
  <si>
    <t>15.2 m2 (164 sq ft) with Air Creation NuviX wing</t>
  </si>
  <si>
    <t>201 kg (443 lb)</t>
  </si>
  <si>
    <t>462 kg (1,019 lb)</t>
  </si>
  <si>
    <t>55 litres (12 imp gal; 15 US gal)</t>
  </si>
  <si>
    <t>1 × Rotax 582 twin cylinder, liquid-cooled, two stroke aircraft engine, 48 kW (64 hp)</t>
  </si>
  <si>
    <t>3.5 m/s (690 ft/min)</t>
  </si>
  <si>
    <t>3-bladed composite Ecoprop, 1.72 m (5 ft 8 in) diameter</t>
  </si>
  <si>
    <t>30.4 kg/m2 (6.2 lb/sq ft)</t>
  </si>
  <si>
    <t>9.55 m (31 ft 4 in)</t>
  </si>
  <si>
    <t>53 km/h (33 mph, 29 kn)</t>
  </si>
  <si>
    <t>125 km/h (78 mph, 67 kn)</t>
  </si>
  <si>
    <t>Blériot VII</t>
  </si>
  <si>
    <t>The Blériot VII was an early French aeroplane built by Louis Blériot. Following the success with the tandem wing configuration of the Blériot VI, he continued this line of development. The rear wing of his new design was about half the span of the forward wing, a  step towards the configuration that would later be adopted as the basis for the vast majority of aircraft. The tail surfaces could be moved together, to act as elevators, or independently to act as ailerons: one of the first known examples of what would later become called elevons. On 5 October Blériot began taxying trials at Issy-les-Moulineaux. The aircraft was difficult to control on the ground, and the tests ended when the undercarriage collapsed. Bleriot addressed this issue by redesigning the undercarriage, coming up with the arrangement that was used on nearly all of his subsequent aircraft designs. Each wheel was mounted on a castering trailing arm which was free to slide up and down along the round cross-section vertical members of a fixed, four-sided "bedstead" frame, the movement being sprung by bungee cords.[1] The aircraft was first flown on 16 November, when Blériot made a flight of around 500 m (1,600 ft),[2] and further flights were made during November. At the end of November further modifications were made: the wing was moved from its position immediately above the lower longerons to a position about two thirds of the way up the fuselage, and a tubular steel cabane structure was added to take the wing's bracing wires. In this configuration the aircraft was flown by Blériot on 6 December. On this occasion he succeeded in making a U-turn in the air, and the performance of the aircraft was impressive enough for Patrick Alexander to write "I think Blériot is now leading the way".[3]  However, the next flight trials, on 18 December, ended with a crash: the left wheel collapsed, causing the wing to dig in and the aircraft to turn over, resulting in its destruction. Blériot escaped without serious injury, his life possibly saved by the cabane structure, which acted as a roll bar.  Data from Opdycke 1990, p.49General characteristics</t>
  </si>
  <si>
    <t>//upload.wikimedia.org/wikipedia/commons/thumb/9/9e/Bleriot_VII.jpg/300px-Bleriot_VII.jpg</t>
  </si>
  <si>
    <t>Experimental aircraft</t>
  </si>
  <si>
    <t>Louis Blériot</t>
  </si>
  <si>
    <t>https://en.wikipedia.org/Louis Blériot</t>
  </si>
  <si>
    <t>9 m (29 ft 6 in)</t>
  </si>
  <si>
    <t>425 kg (937 lb)</t>
  </si>
  <si>
    <t>1 × Antoinette V-8 water-cooled piston engine, 37 kW (50 hp)</t>
  </si>
  <si>
    <t>https://en.wikipedia.org/1907</t>
  </si>
  <si>
    <t>Bloch MB.81</t>
  </si>
  <si>
    <t>The MB.81 was a French military aircraft built by Société des Avions Marcel Bloch as a flying ambulance since it was designed to carry one passenger, in or out of a stretcher. Developed in response to a government-sponsored competition in support of the new doctrine of "aerial first aid", it was employed exclusively in the overseas colonies, specifically Morocco and Syria. Unlike the MB.80 prototype, the MB.81 had a closed cockpit and a somewhat larger cargo space. This was the company's first design to reach production. The aircraft was designed to be able to seek patients or casualties by scouting, even at high altitudes, during military operations in mountainous countries, like then-French Morocco over the Atlas Mountains. The main design feature made it possible to transport a casualty lying prone, in a compartment placed between the pilot and the engine. The wings could also be adapted to hold casualties, remaining constantly under the sight of the pilot and connected to him by an Aviaphone communication system. The MB.80 made its first flight at the beginning of summer 1932 in  Villacoublay, piloted by Zacharie Heu. An all-metal monoplane with low wings, it was equipped with a French Lorraine 5Pc of 89 kW (120 hp) which allowed it to reach a speed of 190 km/h (120 mph) at an altitude of 6,400 m (21,000 ft) It was able to take off in 70 m (230 ft)  and to land in 95 m (312 ft). In a 1932 test, the MB.80 carried out 209 landings in thirty-six hours without any problems. The aircraft was built without any assistance from the government, but an initial order of 20 was placed by the Ground French Forces (the French Armée de l'Air was founded in 1933), and it was one of the aircraft that relaunched Marcel Bloch in the aeronautical construction industry. The production model, called the MB.81, was fitted with a French Salmson 9Nd of 128.68 kW (175 hp). It took part in military operations in Morocco and in Syria at the beginning of the 1930s. The MB.81 entered service in 1935, and was used extensively throughout North Africa and the Middle East. A few were used in 1939-1940, before the French surrender, and in July 1941 in the battle for Syria between the Vichy French and the British/Free French. General characteristics Performance     Related lists</t>
  </si>
  <si>
    <t>//upload.wikimedia.org/wikipedia/commons/thumb/2/2d/Bloch_MB.81.jpg/300px-Bloch_MB.81.jpg</t>
  </si>
  <si>
    <t>Air ambulance</t>
  </si>
  <si>
    <t>Bloch</t>
  </si>
  <si>
    <t>https://en.wikipedia.org/Bloch</t>
  </si>
  <si>
    <t>retired</t>
  </si>
  <si>
    <t>1 seated or stretchered</t>
  </si>
  <si>
    <t>8.4 m (27 ft 7 in)</t>
  </si>
  <si>
    <t>2.9 m (9 ft 6 in)</t>
  </si>
  <si>
    <t>580 kg (1,279 lb)</t>
  </si>
  <si>
    <t>1 × Salmson 9Nd 9-cyl. air-cooled radial piston engine, 128.68 kW (172.56 hp)</t>
  </si>
  <si>
    <t>12.59 m (41 ft 4 in)</t>
  </si>
  <si>
    <t>654 km (406 mi, 353 nmi)</t>
  </si>
  <si>
    <t>Marcel Bloch</t>
  </si>
  <si>
    <t>https://en.wikipedia.org/Marcel Bloch</t>
  </si>
  <si>
    <t>Mid-1932</t>
  </si>
  <si>
    <t>188 km/h (117 mph, 102 kn)</t>
  </si>
  <si>
    <t>Armée de l'Air</t>
  </si>
  <si>
    <t>https://en.wikipedia.org/Armée de l'Air</t>
  </si>
  <si>
    <t>https://en.wikipedia.org/Mid-1932</t>
  </si>
  <si>
    <t>Boeing XB-55</t>
  </si>
  <si>
    <t>Boeing XB-55 (company designation Model 474) was a proposed Boeing aircraft designed to be a strategic bomber. The XB-55 was intended to be a replacement for the Boeing B-47 Stratojet in United States Air Force (USAF) service. The XB-55 concept was contained in a Request for Proposal (RFP) issued by the United States Air Force in October 1947, two months before the first flight of the XB-47 prototype. Several United States manufacturers responded to the RFP. Boeing was selected from among this group and given a contract on 1 July 1948 to conduct further engineering studies. Boeing's initial approach was to mount four turboprop engines on an airframe similar to its B-47: the wing would have less sweepback; the Allison T40-A-2 engines would drive three-blade contra-rotating propellers, i.e., six blades per engine; the engines were to be mounted in nacelles hung from the wings, two per side; the landing gear was to be similar to the B-47's tandem gear with outriggers retracting into the outboard engine nacelles. The XB-55 had a projected top speed of 490 mph (790 km/h) and a cruising speed of 435 mph (700 km/h), with a maximum weight of 153,000 lb (69,000 kg), a wingspan of 135 ft (41 m), and length of 118.9 ft (36.2 m).[1] There was a major disagreement between the engine manufacturer and the propeller manufacturer over whether the Allison T40-A-2 driveshaft was strong enough to take the forces caused at high revolutions per minute of the propellers. Allison was predicting that it would be at least four years before a successful powerplant would be delivered. In October 1948, a conference in Dayton, Ohio was addressing the problems of the XB-55 when it was proposed over lunch that the XB-52 (Boeing Model 464), which until that point had been planned with turboprop engines, could be equipped with the forthcoming Pratt &amp; Whitney J57 turbojet engines. Within a week, it was clear that not only would the XB-52 outperform the XB-55, it could be flying at least a year before the XB-55 could be expected to have reliable engines. Also bearing on the decision to abandon the XB-55 program were government funding constraints and the growing realization that the B-47 was becoming more successful than first projected. On 29 January 1949, the Air Materiel Command was directed to cancel the Boeing XB-55 contract. Under a revised contract, the Boeing Project 474 was converted into the Boeing Project 479, which included a study of using six J40 turbojet engines in place of the turboprops on a similar wing platform, but with a thicker root section. Work on detailed engineering and mockup construction was canceled, although Boeing was contracted to continue conceptual studies and wind tunnel investigations. These studies proved valuable in development of the Boeing B-52 Stratofortress, which first flew on April 15, 1952. The XB-55 project did not result in construction of a prototype. Data from Air Force Museum Fact Sheet[2]General characteristics Performance Armament  Related development Aircraft of comparable role, configuration, and era  Related lists</t>
  </si>
  <si>
    <t>Strategic bomber</t>
  </si>
  <si>
    <t>Boeing</t>
  </si>
  <si>
    <t>https://en.wikipedia.org/Boeing</t>
  </si>
  <si>
    <t>Cancelled</t>
  </si>
  <si>
    <t>ten</t>
  </si>
  <si>
    <t>118 ft 11 in (36.25 m)</t>
  </si>
  <si>
    <t>33 ft 8 in (10.26 m)</t>
  </si>
  <si>
    <t>153,000 lb (69,400 kg)</t>
  </si>
  <si>
    <t>4 × Allison T40A-2 coupled turboprop engines, 5,600 hp (4,200 kW)  each</t>
  </si>
  <si>
    <t>391 kn (450 mph, 724 km/h)</t>
  </si>
  <si>
    <t>135 ft 0 in (41.15 m)</t>
  </si>
  <si>
    <t>4,350 nmi (5,010 mi, 8,060 km)</t>
  </si>
  <si>
    <t>42,000 ft (13,000 m)</t>
  </si>
  <si>
    <t>426 kn (490 mph, 789 km/h)</t>
  </si>
  <si>
    <t>United States Air Force</t>
  </si>
  <si>
    <t>168,000 lb (76,204 kg)</t>
  </si>
  <si>
    <t>https://en.wikipedia.org/United States Air Force</t>
  </si>
  <si>
    <t>10× 20 mm (.79 in) cannons</t>
  </si>
  <si>
    <t>24,000 lb (10,900 kg) bombs</t>
  </si>
  <si>
    <t>Blériot VI</t>
  </si>
  <si>
    <t>The Blériot VI "Libellule" ("Dragonfly"), was built in 1907 and was one of the series of experimental aircraft built by Louis Blériot which eventually led to the Blériot XI aircraft in which he made the first flight across the English Channel. Abandoning the canard layout of the Blériot V, Blériot and his chief engineer Louis Peyret next built a tandem wing configuration aircraft, possibly influenced by the Langley Aerodrome. In its initial form the aircraft had two pairs of identical wings rigged with pronounced dihedral mounted on the lower longerons at each end of the wooden box-girder fuselage, with small tip -mounted elevators on the front wings. Triangular fins were mounted above and below the rear fuselage, with a small rudder hinged to their trailing edge. The undercarriage consisted of a pair of wheels on V-struts at the front of the aircraft and a third wheel mounted slightly behind the midpoint of the fuselage. It was powered by a 24 hp (18 kW) Antoinette V-8 engine. First trials were made at Issy-les-Moulineaux on 7 July but the aircraft failed to lift off.  Blériot then enlarged the wings slightly, and on 11 July a short successful flight of around 25–30 metres (84–100 ft) was made, reaching an altitude of around 2 m (7 ft).  Because some onlookers were in the way Blériot then shut off the engine and landed.  Although the achievement was marred by slight damage to the undercarriage, this was Blériot's first truly successful flight. Further successful flights took place that month, and by 25 July he had managed a flight of 150 m (490 ft).  During these flights Blériot made various modifications: he locked the wingtip ailerons and installed a sliding seat, so that he could maintain longitudinal trim by shifting the aircraft's centre of gravity, and extended the vertical tail surface.  On 6 August he managed to reach an altitude of 12 m (39 ft), but one of the blades of the propeller worked loose, resulting in a heavy landing which damaged the aircraft.[1] He then fitted a 50 hp (37 kW) V-16 Antoinette engine. Tests on the 17 September showed a startling improvement in performance, with the aircraft quickly reaching an altitude of 25 m (82 ft), when the engine suddenly cut out and the aircraft went into a spiralling nosedive.  Blériot later said that his immediate thought was that he was finished: in desperation he climbed out of his seat and threw himself towards the tail. The aircraft partially pulled out of the dive, and came to earth in a more or less horizontal attitude.  His only injuries were some minor cuts on the face, caused by fragments of glass from his broken goggles. After this crash Blériot abandoned development of the aircraft, concentrating on his next machine, the Type VII. This event was witnessed by a large proportion of the French aviation community, including Robert Esnault-Pelterie, Ferdinand Ferber and the Voisin brothers: also among the spectators was Blériot's wife Alice, who had come to watch one of her husband's flights for the first time.  Esnault Pelterie paced out the length of the flight, measuring it at 184 m (604 ft). This made it the longest flight achieved in France that year to date, and although the flight had not been officially witnessed, Blériot was awarded a special medal by the Aero Club de France for the feat.[2] General characteristics</t>
  </si>
  <si>
    <t>//upload.wikimedia.org/wikipedia/commons/thumb/5/53/Bleriot_VI.jpg/300px-Bleriot_VI.jpg</t>
  </si>
  <si>
    <t>Experimental tandem wing aircraft</t>
  </si>
  <si>
    <t>https://en.wikipedia.org/Experimental tandem wing aircraft</t>
  </si>
  <si>
    <t>7.00 m (23 ft 0 in)</t>
  </si>
  <si>
    <t>20 m2 (215 sq ft)</t>
  </si>
  <si>
    <t>1 × Antoinette V-16 , 37 kW (50 hp)</t>
  </si>
  <si>
    <t>7.20 m (23 ft 7 in)</t>
  </si>
  <si>
    <t>https://en.wikipedia.org/11 July 1907</t>
  </si>
  <si>
    <t>Blériot-SPAD S.81</t>
  </si>
  <si>
    <t>The Blériot-SPAD S.81 (S.81 C.1) was a French fighter aircraft developed in 1923 to a requirement by the French Air Force. It was flown competitively against the Dewoitine D.1 and was selected over that aircraft due to the Dewoitine's more radical design, leading to an order for 80 aircraft. The S.81 was a single-bay biplane of conventional configuration with I-shaped interplane struts and lacking Herbemont's usual swept upper wing. It featured a wooden fuselage of monocoque construction and metal wings skinned in fabric. Production versions differed from the prototypes in having a lengthened fuselage and larger tail fin. Data from Jane's all the World's Aircraft 1924,[3] Aviafrance:SPAD S-81[1]General characteristics Performance Armament     Related lists</t>
  </si>
  <si>
    <t>Blériot</t>
  </si>
  <si>
    <t>https://en.wikipedia.org/Blériot</t>
  </si>
  <si>
    <t>ca. 85</t>
  </si>
  <si>
    <t>6.4 m (21 ft 0 in)</t>
  </si>
  <si>
    <t>30 m2 (320 sq ft)</t>
  </si>
  <si>
    <t>800 kg (1,764 lb)</t>
  </si>
  <si>
    <t>1 × Hispano-Suiza 8Fb V-8 water-cooled piston engine, 220 kW (300 hp)</t>
  </si>
  <si>
    <t>2-bladed fixed pitch wooden propeller</t>
  </si>
  <si>
    <t>41.6 kg/m2 (8.5 lb/sq ft)</t>
  </si>
  <si>
    <t>{'S.81/1': 'oduction version, powered by a 220\xa0kW (300\xa0hp) Hispano-Suiza 8Fb V-8 engines, designated S.81 C.1 (S.81 Chasseur - single-seater) in air force service.[1]', 'S.81 C.1': 'S.81 ', 'S.81bis': 'ngle example of racer version developed for the Coupe Michelin race. Performance poor.[2]', 'S.81/2': 'ngle machine to evaluate alternative radiator design.', 'S.81/3': 'ngle machine to evaluate alternative radiator design', 'S.81/4': 'ngle machine to evaluate wooden wing design', '[object HTMLElement]': {}}</t>
  </si>
  <si>
    <t>750 km (470 mi, 400 nmi)</t>
  </si>
  <si>
    <t>8,000 m (26,000 ft)</t>
  </si>
  <si>
    <t>André Herbemont</t>
  </si>
  <si>
    <t>https://en.wikipedia.org/André Herbemont</t>
  </si>
  <si>
    <t>250 km/h (160 mph, 130 kn) at sea level</t>
  </si>
  <si>
    <t>French Air Force</t>
  </si>
  <si>
    <t>https://en.wikipedia.org/French Air Force</t>
  </si>
  <si>
    <t>0.1787 kW/kg (0.1087 hp/lb)</t>
  </si>
  <si>
    <t>9.62 m (31 ft 7 in)</t>
  </si>
  <si>
    <t>8.96 m (29 ft 5 in)</t>
  </si>
  <si>
    <t>2 × fixed, forward-firing 7.7 mm (0.303 in) Vickers machine-guns</t>
  </si>
  <si>
    <t>https://en.wikipedia.org/13 March 1923</t>
  </si>
  <si>
    <t>Bloch MB.110</t>
  </si>
  <si>
    <t>The Bloch MB.110 was a mailplane designed and built in France in the early 1930s. It was a high-wing monoplane of all-metal construction. Data from [1]General characteristics Performance</t>
  </si>
  <si>
    <t>Mailplane</t>
  </si>
  <si>
    <t>Société des Avions Marcel Bloch</t>
  </si>
  <si>
    <t>https://en.wikipedia.org/Société des Avions Marcel Bloch</t>
  </si>
  <si>
    <t>10.20 m (33 ft 6 in)</t>
  </si>
  <si>
    <t>3 m (9 ft 10 in)</t>
  </si>
  <si>
    <t>1,050 kg (2,315 lb)</t>
  </si>
  <si>
    <t>1,600 kg (3,527 lb)</t>
  </si>
  <si>
    <t>1 × Gnome &amp; Rhône 7Kb 7-cyl. air-cooled radial piston engines, 220 kW (300 hp)</t>
  </si>
  <si>
    <t>2-bladed fixed-pitch metal propellers</t>
  </si>
  <si>
    <t>61 kg/m2 (12 lb/sq ft)</t>
  </si>
  <si>
    <t>12.90 m (42 ft 4 in)</t>
  </si>
  <si>
    <t>7,300 m (24,000 ft)</t>
  </si>
  <si>
    <t>Pineau &amp; Marcel Riffard</t>
  </si>
  <si>
    <t>Boeing XP-15</t>
  </si>
  <si>
    <t>The Boeing XP-15 was an American prototype monoplane fighter. This aircraft was essentially a monoplane version of the Boeing P-12, differing in having the lower wing omitted and in having all-metal construction as well as altered ailerons. The XP-15 had a split-axle undercarriage and a tail wheel.[1] Boeing numbered the craft as its Model 202; while the United States Army accepted it for testing and designated it as XP-15, they never actually purchased it, and it retained its civil registration of X-270V.[1] The XP-15 first flew in January 1930, when it was discovered that the vertical stabilizer (a P-12C type) needed to be larger in order to compensate for the single wing. Initial testing showed a top speed to 178 mph, but with enlarged tail surfaces and a Townend cowling, it recorded 190 mph at 8,000 ft. The aircraft performed poorly, with a poor rate of climb and a high landing speed. The USAAC did not order the aircraft for production and on 7 February 1931, the prototype was destroyed when a propeller blade failed and the engine tore loose from its mounts.[1] The Navy was offered the similar Model 205. It first flew in February 1930. One was bought by the US Navy as the XF5B-1, but by the time flight testing was complete in 1932, other aircraft were ordered instead. Data from Angelucci 1987, pp. 81–82.[1]General characteristics Performance Armament  Related development   Related lists</t>
  </si>
  <si>
    <t>//upload.wikimedia.org/wikipedia/commons/thumb/4/46/Boeing_XP-15_060906-F-1234P-001.jpg/300px-Boeing_XP-15_060906-F-1234P-001.jpg</t>
  </si>
  <si>
    <t>XP-15 - Destroyed</t>
  </si>
  <si>
    <t>2 (1 XP-15, 1 XF5B-1)</t>
  </si>
  <si>
    <t>21 ft 0 in (6.40 m)</t>
  </si>
  <si>
    <t>9 ft 4.5 in (2.84 m)</t>
  </si>
  <si>
    <t>157.3 sq ft (14.61 m2)</t>
  </si>
  <si>
    <t>2,052 lb (931 kg)</t>
  </si>
  <si>
    <t>2,746 lb (1,246 kg)</t>
  </si>
  <si>
    <t>1 × Pratt &amp; Whitney SR-1340D Wasp , 525 hp (391 kW)</t>
  </si>
  <si>
    <t>160 mph (257 km/h, 140 kn)</t>
  </si>
  <si>
    <t>1,800 ft/min (9.15 m/s)</t>
  </si>
  <si>
    <t>30 ft 6 in (9.29 m)</t>
  </si>
  <si>
    <t>420 mi (676 km, 360 nmi)</t>
  </si>
  <si>
    <t>27,650 ft (8,428 m)</t>
  </si>
  <si>
    <t>XP-15 - 30 January 1930[1]  XF5B-1 - February 1930[1]</t>
  </si>
  <si>
    <t>190.2 mph (306 km/h, 165.3 kn)</t>
  </si>
  <si>
    <t>United States Army Air CorpsUnited States Navy</t>
  </si>
  <si>
    <t>https://en.wikipedia.org/United States Army Air CorpsUnited States Navy</t>
  </si>
  <si>
    <t>Boeing XP-9</t>
  </si>
  <si>
    <t>The Boeing XP-9 (company Model 96) was the first monoplane fighter aircraft produced by the United States aircraft manufacturing company Boeing.  It incorporated sophisticated structural refinements that were influential in later Boeing designs. The sole prototype exhibited unsatisfactory characteristics with its lack of pilot visibility directly leading to its cancellation.[1] The XP-9 was designed in 1928 to meet the requirements of a US Army request for a monoplane fighter. Its primary contribution to aircraft design was its semi-monocoque construction, which would become a standard for future aircraft. Boeing employed the structural features of the XP-9 into their contemporary P-12 biplane fighter when the P-12E variant incorporated a semi-monocoque metal fuselage structure similar to that of the XP-9. The undercarriage arrangement of the P-12C had also been first tried out on the XP-9 and then transferred into the production model.[2] The prototype XP-9, marked A 028-386, was first flown on 18 November 1930. It had impressive stats on the specification sheet, but it quickly became apparent that its large (6 ft chord) wing, which was placed atop the fuselage directly in front of the pilot, obstructed downward visibility so badly that simple landing maneuvers were hazardous.[2] Test pilots at the Army Test Centre at Wright Field found that the XP-9's inherent instability was so severe that immediate modifications were requested to increase the size of the vertical tail.[3] An enlarged vertical tail surface with smooth metal skinning was introduced, but failed to effect any significant improvement, and this revised XP-9 was grounded for instructional airframe use in August 1931, after only 15 hours of test flying, due to the impossibility of its being landed safely.[4] Data from The Complete Encyclopedia of World Aircraft.[5]General characteristics Performance Armament     Related lists</t>
  </si>
  <si>
    <t>//upload.wikimedia.org/wikipedia/commons/thumb/d/d8/Boeing_XP-9_side_view.jpg/300px-Boeing_XP-9_side_view.jpg</t>
  </si>
  <si>
    <t>Monoplane fighter</t>
  </si>
  <si>
    <t>25 ft 1.75 in (7.66 m)</t>
  </si>
  <si>
    <t>7 ft 10.25 in (3.0 m)</t>
  </si>
  <si>
    <t>210 sq ft (19.51 m2)</t>
  </si>
  <si>
    <t>2,669 lb (1,211 kg)</t>
  </si>
  <si>
    <t>× 1 Curtiss SV-1570-15 Conqueror, 600 hp (448 kW)</t>
  </si>
  <si>
    <t>156 kn (180 mph, 290 km/h)</t>
  </si>
  <si>
    <t>1,560 ft/min (7.9 m/s)</t>
  </si>
  <si>
    <t>36 ft 6 in (11.13 m)</t>
  </si>
  <si>
    <t>369 nmi (425 mi, 684 km)</t>
  </si>
  <si>
    <t>26,800 ft (8,170 m)</t>
  </si>
  <si>
    <t>185 kn (213 mph, 343 km/h)</t>
  </si>
  <si>
    <t>United States Army (intended)</t>
  </si>
  <si>
    <t>3,623 lb (1,643 kg)</t>
  </si>
  <si>
    <t>https://en.wikipedia.org/United States Army (intended)</t>
  </si>
  <si>
    <t>2 x machine guns, one .30 (7.62mm) and one .50 (12.7mm)</t>
  </si>
  <si>
    <t>125 lb bombs</t>
  </si>
  <si>
    <t>Bloch MB.60</t>
  </si>
  <si>
    <t>The Bloch MB.60, initially known as the MB.VI (continuing the SEA number series), was a tri-motor mailplane designed and built in France from 1930 to 1931 to an order for an aircraft suitable for use as a postal, commercial or medical transport. Marcel bloch formed Société des Avions Marcel Bloch in 1929, the company's first project was the MB.60 3-engined commercial transport aircraft. Built entirely of light alloys with steel for high strength fittings, the MB.60 introduced several new techniques, including rivetting external stringers and longerons to skin sheets before attachment to ribs and frames; delivering a robust light structure that was also easy to manufacture.[1] Powered by three 89 kW (120 hp) Salmson 9AC in the nose of the fuselage and wing mounted nacelles, the sole MB.60 was a high wing cantilever monoplane with wings in three sections, the outer sections having moderate dihedral. The square section fuselage had a constant-section cabin with rear fuselage tapering to the all metal tail unit constructed using the same external stringer method. The undercarriage consisted of tall, strut braced oleo-pneumatic main-legs, attached at the outer engine nacelles, with a light alloy steerable tail-wheel at the end of the fuselage.[1] A second aircraft, built as the MB.61 powered by three 89 kW (120 hp) Lorraine 5Pc, first flew in February 1931. Neither the MB.60 or MB.61 garnered any production orders.[1] Constructed at Buc by a sub-contractor, under close supervision by Bloch and his team, the MB.60 was first flown on 12 September 1930, piloted by René Delmotte. Testing at Buc and Villacoublay revealed satisfactory flight characteristics and performance.[1]  After a modification programme the MB.61 crashed in April 1931 due to inversion of the controls during re-assembly; after repair the MB.61 continued flight tests from 1 May 1931.[1] Data from: Dassault Aviation: MB 60-61: origins, characteristics and performance data[1] Data from Dassault Aviation: MB 60-61: origins, characteristics and performance data,[1] Jane's all the World's Aircraft 1931[4]General characteristics Performance</t>
  </si>
  <si>
    <t>//upload.wikimedia.org/wikipedia/commons/thumb/3/32/Bloch_MB.61_1931.jpg/300px-Bloch_MB.61_1931.jpg</t>
  </si>
  <si>
    <t>3-engined mailplane</t>
  </si>
  <si>
    <t>350 kg (770 lb) payload</t>
  </si>
  <si>
    <t>42 m2 (450 sq ft)</t>
  </si>
  <si>
    <t>3 × Lorraine 5Pc 5-cyl. air-cooled radial piston engines, 89 kW (120 hp)  each</t>
  </si>
  <si>
    <t>{'MB.VI': 'itial designation of the MB.60 at the project stage, powered by three 89\xa0kW (120\xa0hp) Salmson 9AC engines;not built.', 'MB.60': 'e first prototype, an enlarged version of the MB.VI, powered by three 89\xa0kW (120\xa0hp) Salmson 9AC engines; one built.[2]', 'MB.61': 'second aircraft powered by three 89\xa0kW (120\xa0hp) Lorraine 5Pc engines; one built.[3]', 'MB.62 ET4': 'four seat military trainer version; not built'}</t>
  </si>
  <si>
    <t>18.5 m (60 ft 8 in)</t>
  </si>
  <si>
    <t>2,580 kg (5,688 lb)</t>
  </si>
  <si>
    <t>8.4 kg/kW (13.8 lb/hp)</t>
  </si>
  <si>
    <t>Royal Aircraft Factory B.E.12</t>
  </si>
  <si>
    <t>The Royal Aircraft Factory B.E.12 was a British single-seat aeroplane of The First World War designed at the Royal Aircraft Factory. It was essentially a single-seat version of the B.E.2. Intended for use as a long-range reconnaissance and bombing aircraft, the B.E.12 was pressed into service as a fighter, in which role it proved disastrously inadequate, mainly due to its very poor manoeuvrability. The B.E.12 was essentially a B.E.2c with the front (observer's) cockpit replaced by a large fuel tank, and the 90 hp RAF 1 engine of the standard B.E.2c replaced by the new 150 hp RAF 4. Aviation historians once considered the type a failed attempt to create a fighter aircraft based on the B.E.2 – that was improvised and rushed into service to meet the Fokker threat. Many writers perpetuate this view or something like it. J.M. Bruce, on the other hand, has pointed out that this is simplistic at best and doesn't fit historically.[1] The prototype (a modified B.E.2c airframe fitted with the more powerful 150 hp (112 kW) RAF 4a air-cooled V12 engine) was already in the process of conversion in June 1915, while the Fokker scourge cannot be said to have started before the first victory by a Fokker E.I on 1 August, when Max Immelmann shot down a British aircraft that was bombing Douai aerodrome. At the time the B.E.12 was conceived the necessity for an aeroplane to defend itself was by no means as clear as it became later. The idea of dispensing with defensive armament altogether and replacing the observer's seat with extra fuel capacity and/or bombload was typified by several contemporary designs, such as the bomber versions of the Avro 504, and Sopwith 1½ Strutter. In any case the B.E.12 cannot have been produced specifically as an "answer" to the Fokker. In mid-1915 there was no way for a British single-seat tractor aircraft to carry a forward-firing armament as the Vickers-Challenger "interrupter" gear did not exist until December and was not available in numbers until the following March. The latest Royal Aircraft Factory single-seat fighter of the time, the F.E.8, was a nimble little pusher – proving if nothing else that its designers were very well aware of the basic requirements of a successful fighter. Nor was the B.E.12 "rushed" into service as would have been relatively easy as it was a straightforward conversion of a type in production. Trials with the prototype continued through late 1915 and seem to have been mainly concerned with the development of the new RAF 4 engine, especially the design of a satisfactory air scoop. Cooling of the rear cylinders of the RAF 4, an air-cooled V12 and later the engine of the R.E.8, was always rather dubious. The type was also tested as a bomber. It was May 1916 (when the "Fokker scourge", as a period of German air superiority was over) that it was decided to fit a synchronised Vickers gun to the type, armament trials had already been undertaken with upward-firing Lewis guns, similar to those used by the night fighter version of the B.E.2c. The B.E.12a variant flew for the first time in February 1916 and had the modified wings of the B.E.2e. It was rather more manoeuvrable than the B.E.12 but was otherwise little improved. The B.E.12b used the B.E.2c airframe but had the 200 hp Hispano-Suiza engine. It was intended as a night fighter and carried wing mounted Lewis guns in place of the synchronised Vickers. Apparently it had a good performance but the engine was more urgently needed for the S.E.5a and very few B.E.12b fighters went into service with home defence squadrons. Some of those built may never have received engines. The first B.E.12 squadron, No. 19 did not reach France until 1 August 1916. It was followed by the only other squadron to fly the type in France, No. 21, on the 25th. As might have been expected, the new type had all the inherent stability of the B.E.2c and when pressed into service as a fighter proved quite useless, especially in the face of the new German Halberstadt and Albatros fighters coming into service. It continued to be employed as a bomber but since an effective defensive gun could not be mounted it was too vulnerable and was finally withdrawn from all front line duties in France in March 1917. By the time the B.E.12a became available in numbers the B.E.12 had already proved to be unsatisfactory and this variant was never used operationally in France. Several Home defence squadrons flew B.E.12s, along with examples of the B.E.12a and B.E.12b variants. Its stability and range were obvious advantages in an aircraft that had to fly at night but its rate of climb was inadequate when called on to intercept the improved German airships of 1916/17, not to mention the aeroplane raiders that replaced them. The Zeppelin L.48 was shot down by a Home Defence B.E.12 on 17 June 1917 but otherwise there are few recorded successes of the type in this role.[2] In the Middle East theatre and in Macedonia, the B.E.12 and B.E.12a proved more useful – although typically as long range reconnaissance aircraft rather than as fighters. An exception to this rule was the machine of Captain Gilbert Ware Murlis Green of No. 17 Squadron who shot down several enemy aircraft to become the only B.E.12 ace. The B.E.12b served only with Home Defence squadrons; deliveries began in late 1917, but due to the more urgent need of the S.E.5a squadrons for their Hispano-Suiza engines many were probably either never fitted with engines, or completed as B.E.12s. No original BE12s are known to exist but The Vintage Aviator Ltd in New Zealand has built an airworthy reproduction which is flown from the firm's Hood Aerodrome, Masterton base. Data from War Planes of the First World War:Volume Two Fighters [3]General characteristics Performance Armament  Related development   Related lists</t>
  </si>
  <si>
    <t>//upload.wikimedia.org/wikipedia/commons/thumb/7/7a/Royal_Aircraft_Factory_BE12_1.jpg/300px-Royal_Aircraft_Factory_BE12_1.jpg</t>
  </si>
  <si>
    <t>General purpose aircraft/Fighter</t>
  </si>
  <si>
    <t>Royal Aircraft Factory, Various</t>
  </si>
  <si>
    <t>https://en.wikipedia.org/Royal Aircraft Factory, Various</t>
  </si>
  <si>
    <t>11 ft 1.5 in (3.391 m)</t>
  </si>
  <si>
    <t>371 sq ft (34.5 m2)</t>
  </si>
  <si>
    <t>1,635 lb (742 kg)</t>
  </si>
  <si>
    <t>× RAF 4a V-12 air-cooled piston engine, 150 hp (110 kW)</t>
  </si>
  <si>
    <t>4-bladed fixed-pitch wooden propeller</t>
  </si>
  <si>
    <t>{'B.E.12': '– Initial production version powered by a RAF 4a engine – basically a B.E.2c conversion (250 built by ', 'B.E.12a': ' With the wings and tail unit of the B.E.2e (50 built by ', 'B.E.12b': ' Re-engined version powered by a 200\xa0hp (149 Kw) Hispano-Suiza engine (200 built by '}</t>
  </si>
  <si>
    <t>37 ft 0 in (11.28 m)</t>
  </si>
  <si>
    <t>12,500 ft (3,800 m)</t>
  </si>
  <si>
    <t>102 mph (164 km/h, 89 kn) at sea level</t>
  </si>
  <si>
    <t>Royal Flying Corps</t>
  </si>
  <si>
    <t>https://en.wikipedia.org/Royal Flying Corps</t>
  </si>
  <si>
    <t>1× .303 in (7.7 mm) synchronised Vickers machine gun – some aircraft carried various arrangements of rearward firing Lewis guns.</t>
  </si>
  <si>
    <t>up to 336 lb (150 kg) bombs[4]</t>
  </si>
  <si>
    <t>5,000 ft (1,500 m) in 11 minutes</t>
  </si>
  <si>
    <t>Blériot VIII</t>
  </si>
  <si>
    <t>The Blériot VIII was a French pioneer era aeroplane built by Louis Blériot, significant for its adoption of both a configuration and a control system that were to set a standard for decades to come. The previous year, Blériot had experimented with a tandem wing design, the Blériot VI, then built another aircraft, the Blériot VII, in which the rear wing was somewhat smaller than the front wing, and introduced the later Type XI's "bedstead", shock-absorbing and castoring main landing gear design. In the Blériot VIII, he reduced the size of the rear wing yet again, to the point where it was no longer contributing much in the way of lift, but had become the horizontal stabiliser. More novel was his adoption of a single control stick that would control both roll and pitch, while the rudder was controlled by a horizontal, centrally pivoted bar swung by the pilot's feet.  A similar control arrangement for roll and pitch control had been incorporated into an aircraft the previous year by Robert Esnault-Pelterie, but the Bleriot VIII was the first use in a single airframe of the combination of hand/arm-operated joystick and foot-operated rudder control, that is in use to the present day, for the basic format of aerodynamic aircraft control systems.[2] Blériot found that the new aircraft flew very well, and for the first time he had sufficient control to fly in circles. He could also keep it aloft for up to eight minutes at a time. During the course of 1908, he modified it a number of times, calling the first major revision the VIII-bis and the next the VIII-ter. With this aircraft on June 29, Blériot claimed the second of three prizes being offered by the Automobile Club de France for a flight with an altitude of 200 m (660 ft). Longer and longer flights followed: on October 21, he made one of 7 km (4.3 mi), and ten days later flew 14 km (8.7 mi) cross-country from Toury to Artenay and flew back again. General characteristics</t>
  </si>
  <si>
    <t>//upload.wikimedia.org/wikipedia/commons/thumb/7/7e/Bleriot_VIII.jpg/300px-Bleriot_VIII.jpg</t>
  </si>
  <si>
    <t>7.50 m (24 ft 7 in)</t>
  </si>
  <si>
    <t>22 m2 (237 sq ft)</t>
  </si>
  <si>
    <t>8.50 m (27 ft 11 in)</t>
  </si>
  <si>
    <t>https://en.wikipedia.org/1908</t>
  </si>
  <si>
    <t>Boeing Model 6D</t>
  </si>
  <si>
    <t>The Boeing Model 6D, a.k.a. Boeing Model 6E, Boeing B-1D and Boeing B-1E, was an American pusher biplane flying-boat built by Boeing between 1928 and 1929. The Model 6D continued the designation series of the 1919 Boeing Model 6 but the only similarity was that they are both biplane pusher flying-boats. The 6D was designed in 1928 and 2 aircraft were built between May 1928 and April 1929. The 6Ds rectangular hull was constructed of wood with wood longerons, covered in spruce veneer. Wings were taken from the Model 40 and shortened, with the pusher engine and wood propeller mounted on the lower side of the upper wing.[1] A slightly heavier, more robustly built version, powered by a 410 hp (310 kW) Pratt &amp; Whitney R-1340 Wasp engine, was produced as the B-1E / Model 204 / Model 204A.[1] Data from Boeing aircraft since 1916,[1] Jane's all the World's Aircraft 1928[2]General characteristics Performance</t>
  </si>
  <si>
    <t>//upload.wikimedia.org/wikipedia/commons/thumb/c/c0/Boeing_Model_B1D_or_6D_LFQ_2.jpg/300px-Boeing_Model_B1D_or_6D_LFQ_2.jpg</t>
  </si>
  <si>
    <t>passenger flying-boat</t>
  </si>
  <si>
    <t>10 of all models</t>
  </si>
  <si>
    <t>3 pax</t>
  </si>
  <si>
    <t>30 ft 9 in (9.37 m)</t>
  </si>
  <si>
    <t>12 ft (3.7 m)</t>
  </si>
  <si>
    <t>466 sq ft (43.3 m2)</t>
  </si>
  <si>
    <t>2,442 lb (1,108 kg)</t>
  </si>
  <si>
    <t>1 × Wright J-5 Whirlwind 9-cylinder air-cooled radial piston engine, 220 hp (160 kW)</t>
  </si>
  <si>
    <t>2-bladed wooden fixed pitch pusher propeller</t>
  </si>
  <si>
    <t>7.4 lb/sq ft (36 kg/m2)</t>
  </si>
  <si>
    <t>39 ft 8.25 in (12.0968 m)</t>
  </si>
  <si>
    <t>175 mi (282 km, 152 nmi)</t>
  </si>
  <si>
    <t>April 1928[1]</t>
  </si>
  <si>
    <t>95 mph (153 km/h, 83 kn)</t>
  </si>
  <si>
    <t>https://en.wikipedia.org/Boeing Model 204</t>
  </si>
  <si>
    <t>Boeing 103</t>
  </si>
  <si>
    <t>0.09 hp/lb (0.15 kW/kg)</t>
  </si>
  <si>
    <t>3,400 ft (1,000 m) in 10 minutes</t>
  </si>
  <si>
    <t>Vickers Type 264 Valentia</t>
  </si>
  <si>
    <t>The Vickers Valentia (company designation Type 264) was a British biplane bomber transport aircraft built by Vickers for the Royal Air Force. The majority built were conversions of the earlier Vickers Victoria, itself derived from the Vickers Virginia. While the Napier Lion-powered Victoria served successfully with the RAF as a bomber transport, by 1932, the Lion engine was becoming obsolete and it was clear that it could use more power. It was therefore decided to re-engine the aircraft with more powerful Bristol Pegasus engines.[1] It was decided to carry out a two-stage upgrade, with the first, designated the Victoria Mk VI or Configuration I, having a limited maximum weight. This was followed by Configuration 2 which was capable of taking full advantage of the greater power of the Pegasus engine by virtue of a strengthened airframe featuring a strengthened wing, strut rather than wire-braced landing gear, wheel brakes and a tailwheel in place of a skid. This became the Vickers Valentia Mk I[1] which flew for the first time in 1934. Orders were placed for the 28 new build Valentias to Specification 30/34, with a further 54 being converted from Victorias (Type 278 within the company), with production continuing until 1936.[1] In 1938 a version with Pegasus IIM3 engines (which offered improved 'hot and high' performance) was supplied for service with one flight of No. 31 Squadron then based in Lahore. The Valentia first entered service with No. 70 Squadron RAF at Hinaidi, Iraq in 1934,[2] equipping British forces in India, Persia and Iraq. Like the preceding Vernons and Victorias, the Valentias were extensively used for transport operations in the Middle East, and when necessary used for bombing operations with bomb racks under the wings. Valentias were also experimentally fitted with loudspeakers used to address people being overflown (in this case potentially rebellious tribes during air policing duties).[1] The Valentia was also used for experiments with aerial refuelling by Alan Cobham.[1] Valentias were used for night bombing operations over the Western Desert in 1940.[1] In service with No. 31 Squadron RAF and the RAF Communications Flight Iraq, they took part in the 1941  Siege of RAF Habbaniya and subsequent operations. They then remained in service with the Communications Flight Iraq (later Iraq &amp; Persia) until 1944.[3][4][5] The South African Air Force pressed a Valentia into service as a bomber in the East African Campaign in 1940–41.[6] The Valentia was replaced as a transport in RAF service by the Bristol Bombay.[7] Data from Aircraft of the Royal Air Force[2]General characteristics Performance Armament     Related lists</t>
  </si>
  <si>
    <t>//upload.wikimedia.org/wikipedia/commons/thumb/8/8d/Vickers_Type_264_Valentia.jpg/300px-Vickers_Type_264_Valentia.jpg</t>
  </si>
  <si>
    <t>Bomber Transport</t>
  </si>
  <si>
    <t>Vickers</t>
  </si>
  <si>
    <t>https://en.wikipedia.org/Vickers</t>
  </si>
  <si>
    <t>22 troops</t>
  </si>
  <si>
    <t>59 ft 6 in (18.14 m)</t>
  </si>
  <si>
    <t>2,178 sq ft (202.3 m2)</t>
  </si>
  <si>
    <t>10,944 lb (4,964 kg)</t>
  </si>
  <si>
    <t>19,500 lb (8,845 kg)</t>
  </si>
  <si>
    <t>2 × Bristol Pegasus II L3 or M3 radial engines, 650 hp (480 kW)  each</t>
  </si>
  <si>
    <t>117 mph (188 km/h, 102 kn)</t>
  </si>
  <si>
    <t>700 ft/min (3.6 m/s)</t>
  </si>
  <si>
    <t>{'Valentia Mk I': ' Military transport aircraft for the '}</t>
  </si>
  <si>
    <t>87 ft 4 in (26.62 m)</t>
  </si>
  <si>
    <t>800 mi (1,300 km, 700 nmi)</t>
  </si>
  <si>
    <t>16,250 ft (4,950 m)</t>
  </si>
  <si>
    <t>130 mph (210 km/h, 110 kn) at 5,000 ft (1,500 m)</t>
  </si>
  <si>
    <t>Royal Air Force</t>
  </si>
  <si>
    <t>Vickers Victoria</t>
  </si>
  <si>
    <t>https://en.wikipedia.org/Vickers Victoria</t>
  </si>
  <si>
    <t>https://en.wikipedia.org/Royal Air Force</t>
  </si>
  <si>
    <t>Could be fitted with underwing racks for 2,200 lb of bombs</t>
  </si>
  <si>
    <t>Boeing Y1B-20</t>
  </si>
  <si>
    <t>The Boeing Y1B-20 (Boeing 316) was designed as an improvement on the Boeing XB-15 (Y1- indicates a funding source outside normal fiscal year procurement.)  It was slightly larger than its predecessor, and was intended to use much more powerful engines.  It was presented to the Army in early 1938, and two orders were placed soon after.  The order was reversed before construction began. Despite their cancellation, the XB-15 and Y1B-20 laid the groundwork for the Boeing B-29 Superfortress.[1] General characteristics Performance Armament  Related development Aircraft of comparable role, configuration, and era  Related lists</t>
  </si>
  <si>
    <t>Heavy bomber</t>
  </si>
  <si>
    <t>https://en.wikipedia.org/Heavy bomber</t>
  </si>
  <si>
    <t>109 ft 2 in (33.3 m)</t>
  </si>
  <si>
    <t>23 ft 4 in (7.1 m)</t>
  </si>
  <si>
    <t>87,500 lb (39,700 kg)</t>
  </si>
  <si>
    <t>91,500 lb (41,500 kg)</t>
  </si>
  <si>
    <t>4 × Wright GR-2600-A73 geared radials, 1,350 hp (1,000 kW)  each</t>
  </si>
  <si>
    <t>242 mph (389 km/h, 210 kn)</t>
  </si>
  <si>
    <t>157 ft 0 in (47.8 m)</t>
  </si>
  <si>
    <t>4,000 mi (6,400 km, 3,500 nmi)</t>
  </si>
  <si>
    <t>n/a</t>
  </si>
  <si>
    <t>258 mph (415 km/h, 224 kn)</t>
  </si>
  <si>
    <t>105,100 lb (47,700 kg)</t>
  </si>
  <si>
    <t>Boeing XB-15</t>
  </si>
  <si>
    <t>https://en.wikipedia.org/Boeing XB-15</t>
  </si>
  <si>
    <t>0.059 hp/lb (97 W/kg)</t>
  </si>
  <si>
    <t>3× .30 in (7.62 mm) machine guns4× .50 in (12.7 mm) machine guns</t>
  </si>
  <si>
    <t>17,600 lb (6,620 kg)</t>
  </si>
  <si>
    <t>Lockwood Drifter</t>
  </si>
  <si>
    <t>The Lockwood Drifter is a family of high wing, single engine, pusher configuration, open cockpit, one and two-seat kit aircraft that was first introduced in the 1980s by Maxair and remains in production today by Lockwood Aircraft of Sebring, Florida.[1][2][3][4][5][6][7] The Drifter was first marketed by Maxair in the 1980s as both a single seat and two seats-in-tandem kitplane. The original single seater was light enough when fitted with the 28 hp (21 kW) Rotax 277 engine to qualify for the US FAR 103 Ultralight Vehicles category, with an empty weight of 240 lb (109 kg).[2][7] After Maxair went out of business, the design was picked up in 1997 by Lockwood Aircraft who produced kits for a number of single and two-seat versions, mostly differing by installed engine. The Lockwood versions are all wire-braced using a kingpost to support the ground wires. Over 1000 wire-braced Drifters have been completed and flown.[2][3][4][5][6] Lockwood estimates that a builder will take 300 hours to complete a Super Drifter from the currently supplied kit.[6] From the 1983, Austflight ULA originally based at Ballina, New South Wales began licence production of the Drifter. In 1986, the company moved to purpose built facilities at Boonah, Queensland where they built fully assembled Drifter variants certified by Civil Aviation Safety Authority for the Australian market with powerplants including Rotax 503 to Rotax 582 and Rotax 912 engines. Further improvements led to the Strut Braced (SB) version built to CAO 101.55 class certification in December 1993. [8] The Drifter SB was sold in the US in the 1990s by Tiger Aviation of Trenton, South Carolina. Over 500 strut braced Drifters were completed and flown.[3] In late 1995 a joint venture called the Shanghai Fenton Light Aircraft Company (SFLAC) was established with the Shanghai Aircraft Manufacturing Factory for the manufacture of Australian versions in China. Austflight suffered financial losses due to the costs associated with certification and the joint venture agreement. In May 2002 Austflight sold the last of its assets and transferred the Drifter Type Certificate to Noosa Air Pty Ltd.  Drifter Aircraft Pty Ltd of Dalby, Queensland was incorporated in 2006 to manufacture and market the Drifter and on the 1st of June 2006 was issued with a production certificate by CASA.[8] All models of the Drifter are built around an aluminum tube keel, with aluminum tubing making up the keel-to-wing structure. There is no enclosed fuselage; the seats are open to the air. The conventional landing gear includes a steerable tailwheel. Most Drifter kits were delivered with a small fibreglass nose fairing.[2] The wing is built from aluminum tubing and covered with  pre-sewn Dacron sailcloth envelopes. Controls are conventional three-axis, with dual controls and center-mounted control sticks. Lockwood offers optional flaps as part of its STOL kit. The single seat Drifter and XP503 are both stressed for +6/-3g.[2] With its large wing area the Drifter adapted well to floats and was fitted with several types, including Full Lotus floats. The glide ratio is 9:1.[2][3] Drifters have been widely used in a number of roles, including recreational flying, agricultural spraying, aerial photography, flight training and banner towing, during which many Drifters have accumulated high numbers of flying hours, leading one reviewer to note: "its long track record has revealed no weakness in the Drifter".[2] A number of Lockwood XP503s have been reported to have exceeded 3000 hours and one Drifter used for banner towing exceeded 10,000 flight hours.[2][3] In reviewing the Drifter, Andre Cliche said: The outstanding aspect of the Drifter is its totally unobstructed view. The pilot sits on the boom tube with all the hardware behind him. This gives the impression of free flight. It is like you are flying a chair. The Drifter has other qualities of course. Its forgiving handling, mechanical simplicity, ease of maintenance and solid airframe all contributed to the Drifter’s good reputation.[2] Bayerl et al. describe the aircraft as "light in weight, but aerodynamically handicapped", due to its high-drag cable bracing.[7] Data from Lockwood Aircraft &amp; Kitplanes[4][5][6]General characteristics Performance   Aircraft of comparable role, configuration, and era</t>
  </si>
  <si>
    <t>//upload.wikimedia.org/wikipedia/commons/thumb/0/06/Tiger_Aviation_Drifter_SB_N90TA.JPG/300px-Tiger_Aviation_Drifter_SB_N90TA.JPG</t>
  </si>
  <si>
    <t>Lockwood Aircraft</t>
  </si>
  <si>
    <t>https://en.wikipedia.org/Lockwood Aircraft</t>
  </si>
  <si>
    <t>Kits in production</t>
  </si>
  <si>
    <t>1425 (2011)[1]</t>
  </si>
  <si>
    <t>one passenger and 505 lbs (229 kg) useful load</t>
  </si>
  <si>
    <t>22 ft 0 in (6.71 m)</t>
  </si>
  <si>
    <t>160 sq ft (14.88 m2)</t>
  </si>
  <si>
    <t>495 lb (224 kg)</t>
  </si>
  <si>
    <t>1 × Rotax 912 UL four stroke piston engine, 80 hp (60 kW)</t>
  </si>
  <si>
    <t>75 mph (122 km/h, 65 kn)</t>
  </si>
  <si>
    <t>1,000 ft/min (5.08 m/s)</t>
  </si>
  <si>
    <t>6.25 lb/sq ft (30.51 kg/m2)</t>
  </si>
  <si>
    <t>30 ft 0 in (9.15 m)</t>
  </si>
  <si>
    <t>34 mph (55 km/h, 30 kn)</t>
  </si>
  <si>
    <t>85 mph (138 km/h, 74 kn)</t>
  </si>
  <si>
    <t>230 mi (373 km, 200 nmi)</t>
  </si>
  <si>
    <t>https://en.wikipedia.org/Lockwood AircamSport Flight TalonAdvanced Aviation Explorer</t>
  </si>
  <si>
    <t>12.5 lb/hp (0.13 kW/kg)</t>
  </si>
  <si>
    <t>Kolb Slingshot</t>
  </si>
  <si>
    <t>The Kolb Slingshot is an American tandem two seat, high wing, strut-braced, pusher configuration, conventional landing gear-equipped ultralight aircraft, that was produced in kit form by New Kolb Aircraft of London, Kentucky and intended for amateur construction.[1][2][3] By mid-2014, the company was no longer offering the model for sale and production had ended.[4] The Slingshot was designed as a two-seat ultralight with a small wing and high cruise speed for the installed power, capable of delivering speeds comparable to a general aviation aircraft without the associated cost or complexity. The standard engine was originally the 64 hp (48 kW) Rotax 582 engine, but the 50 hp (37 kW) Rotax 503, 74 hp (55 kW) Rotax 618, 80 hp (60 kW) Rotax 912UL and 80 hp (60 kW) or 2si twin engine packs have been installed. In its home country the aircraft is normally licensed in the Experimental - amateur-built category.[1][2][3] The design features a forward fuselage of welded 4130 steel tubing, mated to an aluminum tailboom. The horizontal stabilizer, tail fin and wings are also constructed of riveted aluminum tubing with all flying surfaces covered in doped aircraft fabric. The wings and horizontal tail are quick-folding for storage and ground transport. The Slingshot can be made ready to fly from trailering in 15 minutes.[1][2][3] The long conventional landing gear consist of sprung tubing for the main gear, with a steerable sprung tailwheel.[2][3] The company described the Slingshot's two seat capabilities, "the rear passenger seat is designed for average size people, up to 175 pounds. The seating arrangement has the passenger's legs overlapping the pilot's seat. This allows the fuselage to be shorter and more compact. It also saves a lot of weight.".[5] In reviewing the aircraft Andre Cliche said: This tandem two-seater is a really hot little racer with a short speedwing and an oversized engine.[2]Data from Kitplanes, Cliche and Purdy[1][2][3]General characteristics Performance Avionics   Aircraft of comparable role, configuration, and era</t>
  </si>
  <si>
    <t>New Kolb Aircraft</t>
  </si>
  <si>
    <t>https://en.wikipedia.org/New Kolb Aircraft</t>
  </si>
  <si>
    <t>Production completed (2014)</t>
  </si>
  <si>
    <t>345 lb (156 kg)</t>
  </si>
  <si>
    <t>10 US gallons (38 litres)</t>
  </si>
  <si>
    <t>1 × Rotax 582 twin cylinder, two-stroke aircraft engine, 64 hp (48 kW)</t>
  </si>
  <si>
    <t>87 mph (140 km/h, 76 kn)</t>
  </si>
  <si>
    <t>1,300 ft/min (6.6 m/s)</t>
  </si>
  <si>
    <t>39 mph (63 km/h, 34 kn)</t>
  </si>
  <si>
    <t>La Mouette Sphinx</t>
  </si>
  <si>
    <t>The La Mouette Sphinx is a French high-wing, single-place and two-place family of hang gliders, designed and produced by La Mouette of Fontaine-lès-Dijon.[1] The Sphinx is described by the manufacturer as "a beginner glider with a single surface and a floating crossbar".[1][2] The aircraft is made from aluminum tubing, with the single-surface wing covered in Dacron sailcloth. All models have a nose angle of 120°.[1][2] Data from Bertrand and La Mouette[1][2]General characteristics Performance</t>
  </si>
  <si>
    <t>Hang glider</t>
  </si>
  <si>
    <t>https://en.wikipedia.org/Hang glider</t>
  </si>
  <si>
    <t>La Mouette</t>
  </si>
  <si>
    <t>https://en.wikipedia.org/La Mouette</t>
  </si>
  <si>
    <t>15.0 m2 (161 sq ft)</t>
  </si>
  <si>
    <t>27 kg (60 lb)</t>
  </si>
  <si>
    <t>117 kg (258 lb)</t>
  </si>
  <si>
    <t>7.8 kg/m2 (1.6 lb/sq ft)</t>
  </si>
  <si>
    <t>9.9 m (32 ft 6 in)</t>
  </si>
  <si>
    <t>Lammer Geyer Jupiter</t>
  </si>
  <si>
    <t>The Lammer Geyer Jupiter is a South African four-seat cabin monoplane designed by Lammer Geyer Aviation for sale as a kit for amateur construction.[1] Design on the Jupiter started in 1996 and the prototype, registered ZU-CNH first flew on 1 December 2002. The Jupiter is an all-composite low-wing cantilever monoplane with a fixed tricycle landing gear. The prototype is powered by a 210 hp (157 kW) Continental IO-360 flat-six engine with a three-bladed tractor propeller. The cabin has room for four seated side-by-side in two rows.[1] Data from Jane's All the World's Aircraft 1989-90[1]General characteristics Performance       This article on an aircraft of the 2000s is a stub. You can help Wikipedia by expanding it.</t>
  </si>
  <si>
    <t>Four-seat homebuilt cabin monoplane</t>
  </si>
  <si>
    <t>https://en.wikipedia.org/Four-seat homebuilt cabin monoplane</t>
  </si>
  <si>
    <t>South Africa</t>
  </si>
  <si>
    <t>Lammer Geyer Aviation</t>
  </si>
  <si>
    <t>https://en.wikipedia.org/Lammer Geyer Aviation</t>
  </si>
  <si>
    <t>three</t>
  </si>
  <si>
    <t>7.25 m (23 ft 9.5 in)</t>
  </si>
  <si>
    <t>2.36 m (7 ft 9 in)</t>
  </si>
  <si>
    <t>15.50 m2 (166.8 sq ft)</t>
  </si>
  <si>
    <t>560 kg (1,235 lb)</t>
  </si>
  <si>
    <t>1,025 kg (2,259 lb)</t>
  </si>
  <si>
    <t>1 × Continental IO-360 flat-six , 157 kW (210 hp)</t>
  </si>
  <si>
    <t>253 km/h (157 mph, 136 kn)</t>
  </si>
  <si>
    <t>10.0 m/s (1,970 ft/min)</t>
  </si>
  <si>
    <t>9.80 m (32 ft 1.75 in)</t>
  </si>
  <si>
    <t>2,000 km (1,242 mi, 1,079 nmi)</t>
  </si>
  <si>
    <t>8,230 m (27,000 ft)</t>
  </si>
  <si>
    <t>Peter Wareham</t>
  </si>
  <si>
    <t>281 km/h (175 mph, 152 kn)</t>
  </si>
  <si>
    <t>+6/-3.5</t>
  </si>
  <si>
    <t>Leduc 022</t>
  </si>
  <si>
    <t>The Leduc 022 was the prototype of a mixed-power French interceptor built in the mid-1950s. Designer René Leduc had been developing ramjet-powered aircraft since before World War II and had flown a series of experimental aircraft, the Leduc 0.10 and Leduc 0.21, throughout the Fifties before he was awarded a contract for two examples of a short-range supersonic interceptor armed with two air-to-air missiles (AAMs).  Intended for combat use, the 022 was able to take off from a runway as it was fitted with a supplementary turbojet engine, unlike his earlier aircraft which required a mother aircraft to carry them to altitude because ramjets cannot produce thrust while stationary. Development was cancelled by the French Air Force (Armée de l'Air) in 1958 due to budgetary problems while flight testing was underway and before the second prototype was completed. In 1953 the French Air Force issued a specification for a high-performance interceptor that could intercept and destroy any aerial threat after taking off from a 940-metre (3,080 ft) grass runway. It ordered two prototype 022S aircraft in competition with the Nord Gerfaut and Griffon. Leduc used a more-powerful version of the ramjet that he had been developing since 1938 and added a turbojet to allow for more autonomous operations. Air for the ramjet was provided by six air ducts surrounding the nose section that emptied into the hollow interior of the double-walled fuselage where fuel was injected and ignited by the exhaust of a Turbomeca Artouste gas turbine. The ramjet was expected to produce a thrust of 160 kilonewtons (36,000 lbf) and a time to 25,000 metres (82,000 ft) of only seven minutes, a climbing speed much faster than jet-powered aircraft.[1][2] The 022S was generally similar in configuration aside from the 30° swept wings and tricycle landing gear. It retained the thick barrel-like monocoque fuselage and the protruding nose section housing the transparent Plexiglass cockpit, but added a range-only radar. The forward part of the nose formed an escape capsule for the pilot. The aircraft was provided with approximately 2,728-litre (600 imp gal; 721 US gal) of fuel distributed between the fuselage, wings and wingtip tanks. Its intended armament consisted of a pair of Nord AA.20 guided missiles and 24 anti-aircraft rockets. Unlike all previous Leduc aircraft, it featured a coaxial turbojet-ramjet powerplant to enable unassisted operation. The turbojet was initially a 15 kN (3,400 lbf) Turbomeca Ossau engine, but this was changed during construction to a much more powerful 31.3 kN (7,000 lbf) SNECMA Atar 101D-3.[2][3] This change caused the aircraft to be redesignated as the 022 and allowed the number of rockets to be increased to 40. First flown on 26 December 1956 on turbojet power alone, the ramjet was finally fired on the 34th flight, on 18 May 1957. It reached a speed of Mach 1.15 on 21 December 1957, but was damaged shortly afterwards when it caught fire while taking off. Construction of a second prototype had been cancelled in October and the flight testing contract was cancelled on 13 February 1958 after 141 flights had been made. The ongoing Algerian War was consuming more of the military budget and the more conventional Dassault Mirage III was selected to meet the interceptor requirement. The cancellation marked the end of Leduc's aircraft development activities.[4] The unflown second prototype 022 is on display at the Musée de l'air et de l'espace at Paris–Le Bourget Airport. It was donated by the Leduc family in 1979.[5] Data from *X-Planes of Europe II: Military Prototype Aircraft from the Golden Age 1946–1974[6]General characteristics Performance</t>
  </si>
  <si>
    <t>//upload.wikimedia.org/wikipedia/commons/thumb/8/88/Leduc_022_Le_Bourget_FRA_002.JPG/300px-Leduc_022_Le_Bourget_FRA_002.JPG</t>
  </si>
  <si>
    <t>Research aircraft</t>
  </si>
  <si>
    <t>Breguet</t>
  </si>
  <si>
    <t>https://en.wikipedia.org/Breguet</t>
  </si>
  <si>
    <t>18.21 m (59 ft 9 in)</t>
  </si>
  <si>
    <t>21.1 m2 (227 sq ft)</t>
  </si>
  <si>
    <t>2,728 l (600 imp gal; 721 US gal)</t>
  </si>
  <si>
    <t>1 × SNECMA Atar 101D-3 turbojet , 31.3 kN (7,000 lbf) thrust</t>
  </si>
  <si>
    <t>9.95 m (32 ft 8 in)</t>
  </si>
  <si>
    <t>8,800 m (28,900 ft) (achieved)</t>
  </si>
  <si>
    <t>René Leduc</t>
  </si>
  <si>
    <t>https://en.wikipedia.org/René Leduc</t>
  </si>
  <si>
    <t>Mach 1.15</t>
  </si>
  <si>
    <t>8,975 kg (19,786 lb)</t>
  </si>
  <si>
    <t>Little Wing Autogyro</t>
  </si>
  <si>
    <t>The Little Wing Autogyro is a series of conventional one and two place autogyros with a tractor engine layout using modern engines and produced by Little Wing Autogyros, Inc. of Mayflower, Arkansas.[1][2][3][4] Ron Herron was concerned about the problem of pushover fatalities in pusher gyrocopters. He set to develop a tractor layout gyrocopter that also met the FAA rules for ultralight aircraft. A Prototype LW-1 powered by a Continental O-200 engine was soon followed on by the LW-2. The design was influenced by Juan de la Cierva's autogyros. [5] Andy Keech set 29 world records in an LW-5 Autogyro.[6][7][8][9][10][11][12] Data from Company[15]General characteristics Performance   Aircraft of comparable role, configuration, and era</t>
  </si>
  <si>
    <t>//upload.wikimedia.org/wikipedia/commons/thumb/7/7c/Littlewing.JPG/300px-Littlewing.JPG</t>
  </si>
  <si>
    <t>Autogyro</t>
  </si>
  <si>
    <t>Little Wing Autogyros, Inc.</t>
  </si>
  <si>
    <t>https://en.wikipedia.org/Little Wing Autogyros, Inc.</t>
  </si>
  <si>
    <t>8 ft 5 in (2.57 m)</t>
  </si>
  <si>
    <t>750 lb (340 kg)</t>
  </si>
  <si>
    <t>8.5 U.S. gallons (32 L; 7.1 imp gal)</t>
  </si>
  <si>
    <t>65 kn (75 mph, 121 km/h)</t>
  </si>
  <si>
    <t>Ron Herron</t>
  </si>
  <si>
    <t>415 sq ft (38.6 m2)</t>
  </si>
  <si>
    <t>1.8 lb/sq ft (8.8 kg/m2)</t>
  </si>
  <si>
    <t>Loehle 5151 Mustang</t>
  </si>
  <si>
    <t>The Loehle 5151 Mustang is a 3/4 scale replica of the P-51 Mustang, designed by American designer Carl Loehle. Its plans are provided for amateur builders. The aircraft has a wooden fuselage with fabric covering.[1][2][3] The wings are wood construction with geodetic supporting structure. The handling is docile and similar to the Piper Cub.[4] Data from Pilot Friend[5]General characteristics Performance</t>
  </si>
  <si>
    <t>//upload.wikimedia.org/wikipedia/commons/thumb/9/98/Loehle_5151_Mustang_HAG_FlyParty_2012.jpg/300px-Loehle_5151_Mustang_HAG_FlyParty_2012.jpg</t>
  </si>
  <si>
    <t>Replica scale warbird</t>
  </si>
  <si>
    <t>https://en.wikipedia.org/Replica scale warbird</t>
  </si>
  <si>
    <t>Loehle Aircraft</t>
  </si>
  <si>
    <t>https://en.wikipedia.org/Loehle Aircraft</t>
  </si>
  <si>
    <t>110 (2011)</t>
  </si>
  <si>
    <t>22 ft 10 in (6.96 m)</t>
  </si>
  <si>
    <t>130 sq ft (12 m2)</t>
  </si>
  <si>
    <t>513 lb (233 kg)</t>
  </si>
  <si>
    <t>885 lb (401 kg)</t>
  </si>
  <si>
    <t>5-13 gallons</t>
  </si>
  <si>
    <t>1 × Rotax 582 , 64 hp (48 kW)</t>
  </si>
  <si>
    <t>4-bladed wooden</t>
  </si>
  <si>
    <t>27 ft 5 in (8.36 m)</t>
  </si>
  <si>
    <t>26 kn (30 mph, 48 km/h)</t>
  </si>
  <si>
    <t>Carl Loehle</t>
  </si>
  <si>
    <t>Kolesnikov-Tsibin KC-20</t>
  </si>
  <si>
    <t>The Kolesnikov-Tsibin KC-20 or KTs-20 (Russian: КЦ-20) was a Soviet light troop military glider of World War II. Shortly after the German attack in 1941, Soviet headquarters realized a need for transport gliders and ordered the development of several designs. The biggest was a design of Dmitry Kolesnikov and Pavel Tsibin, although it was still a light glider. Two prototypes were built in October 1941. It was ordered for production, under the designation KC-20 (or KTs-20) for designers' initials and the number of troopes carried. 68 were built in 1942-1943. They were produced in a wood industry works in Lopatino village near Kazan. The KC-20 was the biggest, but least numerous of Soviet transport gliders. It could transport 20 troops or up to 2200 kg of cargo. It was quite successful, its major drawback was a lack of a big cargo hatch, therefore guns could by only carried in parts. It was initially planned to fit the glider with a back machine gun turret, hence double tailfin, but the plan was abandoned. Like Antonov A-7 and Gribovski G-11, they were mainly used for supplying Soviet partisans with provisions, weapons, equipment and trained men, in night flights. The most intensive use was from April to November 1943 in Belarus, in the Polotsk-Begoml-Lepel area. After landing, gliders were destroyed and pilots were sometimes taken back by aircraft. They were also used to transport sabotage groups behind enemy lines. KC-20s were towed mainly by DB-3 bombers. A less typical action was an air bridge from Moscow to the Stalingrad area in November 1942, in order to quickly deliver antifreeze cooling liquid for tanks, during the battle of Stalingrad. High-wing, wooden construction glider, with a double tailfin. Slim fuselage, semi-monocoque, rectangular in cross-section. Pilot's cab in front, behind it, a transport compartment. There were double doors on both sides, and several small rectangular windows. Landing gear was manually retractable, in order to shorten landing, the glider could land on a skid under a fuselage. Data from Fighting Gliders of World War II[1]General characteristics Performance   Aircraft of comparable role, configuration, and era  Related lists</t>
  </si>
  <si>
    <t>Military glider</t>
  </si>
  <si>
    <t>24 troops 2,000 kg (4,410 lb)</t>
  </si>
  <si>
    <t>14.12 m (46 ft 4 in)</t>
  </si>
  <si>
    <t>2.84 m (9 ft 4 in) [citation needed]</t>
  </si>
  <si>
    <t>55.2 m2 (594 sq ft) [citation needed]</t>
  </si>
  <si>
    <t>2,050 kg (4,519 lb) [citation needed]</t>
  </si>
  <si>
    <t>23.8 m (78 ft 1 in)</t>
  </si>
  <si>
    <t>Dmitry Kolesnikov, Pavel Tsibin</t>
  </si>
  <si>
    <t>https://en.wikipedia.org/Dmitry Kolesnikov, Pavel Tsibin</t>
  </si>
  <si>
    <t>1942-1943</t>
  </si>
  <si>
    <t>https://en.wikipedia.org/1941</t>
  </si>
  <si>
    <t>https://en.wikipedia.org/1942</t>
  </si>
  <si>
    <t>https://en.wikipedia.org/1942-1943</t>
  </si>
  <si>
    <t>L'Intrépide</t>
  </si>
  <si>
    <t>L'Intrépide ("The Intrepid") was a hydrogen balloon of the Compagnie d'Aérostiers (French Aerostatic Corps) and is the oldest preserved manned aircraft in Europe.[1] L'Intrépide was the larger[2] of two observation balloons, the other being Hercule ("Hercules"), issued to the Aerostatic Corps in June 1795, twelve years after the pioneering hydrogen balloon flights of Professor Jacques Charles and the Robert brothers in Paris. These balloons were used by the Corps's first company attached to General Jourdan's Army of Sambre-et-Meuse in 1796. When that army was defeated by Austrian forces at the Battle of Würzburg on 3 September 1796, the balloon was captured and taken to Vienna, where it is now on display at the Heeresgeschichtliches Museum. The balloon's silk envelope is roughly spherical and has a diameter of 9.8 metres (32 ft). Its wooden gondola is very small, measuring 1.14 metres (45 in) by 0.75 metres (30 in) and its railing has a height of 1.05 metres (41 in).[2] The balloon envelope is a replica, with the original displayed folded in a glass case nearby.[1]</t>
  </si>
  <si>
    <t>//upload.wikimedia.org/wikipedia/commons/thumb/d/d8/HGM_L%27Intr%C3%A9pide.jpg/300px-HGM_L%27Intr%C3%A9pide.jpg</t>
  </si>
  <si>
    <t>Hydrogen balloon</t>
  </si>
  <si>
    <t>https://en.wikipedia.org/Hydrogen balloon</t>
  </si>
  <si>
    <t>Compagnie d'Aérostiers</t>
  </si>
  <si>
    <t>https://en.wikipedia.org/Compagnie d'Aérostiers</t>
  </si>
  <si>
    <t>1795 - 1796</t>
  </si>
  <si>
    <t>Captured by Austro-Hungarian forces</t>
  </si>
  <si>
    <t>On display at the Heeresgeschichtliches Museum in Vienna</t>
  </si>
  <si>
    <t>https://en.wikipedia.org/On display at the Heeresgeschichtliches Museum in Vienna</t>
  </si>
  <si>
    <t>3 September 1796</t>
  </si>
  <si>
    <t>Laggin' Dragon</t>
  </si>
  <si>
    <t>Laggin' Dragon was the name of a Boeing B-29 Superfortress (B-29-50-MO, 44-86347 Victor number 95) configured to carry the atomic bomb in World War II. Laggin' Dragon was the last of the fifteen Silverplate B-29s delivered to the 509th Composite Group for use in the atomic bomb operation. Built at the Glenn L. Martin Aircraft plant at Omaha, Nebraska, it was accepted by the USAAF on June 15, 1945, after most of the 509th CG had already left Wendover Army Air Field, Utah, for North Field, Tinian. Assigned to the 393d Bomb Squadron, Crew A-2 (Capt. Edward M. Costello, Aircraft Commander) flew it to Wendover in early July and briefly used in training and practice bombing missions. On July 27, 1945, Costello and his crew flew the airplane from Wendover to Kirtland Army Air Field, Albuquerque, New Mexico, accompanied by another 509th B-29 and one from the Manhattan Project test unit at Wendover (216th AAF Base Unit). There each loaded one of three Fat Man atomic bomb assemblies (without the plutonium core, which had left the day before by courier on one of the 509th CG's C-54 Skymaster transports) in its bomb bay for conveyance to Tinian. The three bombers flew to Mather Army Air Field, California, on July 28, and took off for Hawaii on July 29. During takeoff from Mather, a panel door on Laggin' Dragon enclosing the life raft compartment opened and ejected the raft, which wrapped around the empennage and impeded the B-29's elevators. The aircraft struggled to stay aloft but the pilots managed to return safely to Mather. After removing and replacing some major tail assemblies, Laggin' Dragon and its cargo continued to Hawaii, finally reaching Tinian on August 2. It was assigned the square P tail identifier of the 39th Bomb Group as a security measure and given Victor (unit-assigned identification) number 95 to avoid misidentification with actual 39th BG aircraft.  The airplane was named while still at Wendover but the nose art was not applied until after the atomic missions.  It arrived too late to participate in other combat operations and participated in two practice flights subsequent to the atomic attacks.  On August 9, 1945, as part of the second atomic bomb mission, it was flown by another crew as the weather reconnaissance aircraft for the secondary target of Nagasaki. Laggin' Dragon returned to the United States in November 1945, based with the 509th CG at Roswell Army Air Field, New Mexico.  In June 1946 it was part of the Operation Crossroads task force based on Kwajalein.  In June 1949 it was transferred to the 97th Bomb Group at Biggs Air Force Base, Texas, and in April 1950 was converted to a TB-29 trainer at Kelly Air Force Base, Texas, and the Oklahoma City Air Materiel Area at Tinker Air Force Base. It was subsequently assigned to: Crew A-2 Crew B-8 (regularly assigned to Top Secret) Three FB-111A strategic bombers of the USAF 509th Bomb Wing, serials 68-0269, 68-0274 and 68-0284, carried the name and original nose art of Laggin' Dragon on their nosewheel doors while based at Pease Air Force Base, New Hampshire, in the 1970s and 1980s.</t>
  </si>
  <si>
    <t>Glenn L. Martin Company</t>
  </si>
  <si>
    <t>https://en.wikipedia.org/Glenn L. Martin Company</t>
  </si>
  <si>
    <t>Boeing B-29-50-MO Superfortress</t>
  </si>
  <si>
    <t>https://en.wikipedia.org/Boeing B-29-50-MO Superfortress</t>
  </si>
  <si>
    <t>44-86347</t>
  </si>
  <si>
    <t>June 15, 1945 - July 1960</t>
  </si>
  <si>
    <t>Converted to TB-29 in 1946, scrapped July 1960</t>
  </si>
  <si>
    <t>Victor 95</t>
  </si>
  <si>
    <t>Laird Solution</t>
  </si>
  <si>
    <t>The Laird Solution, also called the Laird LC-DW Solution, Laird LC-DW300 Super Solution and Laird LC-DW500 Super Solution, was touted as being the "solution" to the problem of the Travel Air Mystery Ship.[1] The Solution won the 1930 Thompson Trophy race days.[2] In 1930 Matty Laird was commissioned to build a racing plane based on the Laird Speedwing by B.F. Goodrich's Lee Schoenhair for the 1930 Thompson Trophy race. Schoenhair backed out of the project, believing the aircraft would not be tested in time. Laird entered the Solution himself in the 1930 Thompson Trophy with Charles "Speed" Holman as the pilot.[3] The Solution, (registered NR10538), was a biplane with conventional landing gear, having a welded steel fuselage and aircraft fabric covering. The aircraft kept the same registration number NR10538, and was repainted several times from black and gold, white and gold, to lavender and gold.[4] A second aircraft, (NR12048), powered by a 535 hp Pratt &amp; Whitney Wasp was built as the Laird LC-DW300 Super Solution, retaining the fixed undercarriage of the original, for the 1931 Bendix Trophy which it won, piloted by Jimmy Doolittle. This aircraft was modified with retractable landing gear for the 1932 Bendix Trophy but on a test flight the gear failed to lower and Doolittle was forced to belly land the aircraft, forcing withdrawal from the race. The Laird Solution was restored over a period of seven years and is on display in its Black and Gold paint scheme at the New England Air Museum.[7] Data from Skyways,Race to the WindGeneral characteristics Performance</t>
  </si>
  <si>
    <t>Racing aircraft</t>
  </si>
  <si>
    <t>https://en.wikipedia.org/Racing aircraft</t>
  </si>
  <si>
    <t>E. M. Laird Airplane Company</t>
  </si>
  <si>
    <t>https://en.wikipedia.org/E. M. Laird Airplane Company</t>
  </si>
  <si>
    <t>1,380 lb (626 kg)</t>
  </si>
  <si>
    <t>1 × Pratt &amp; Whitney Wasp Junior radial, 470 hp (350 kW)</t>
  </si>
  <si>
    <t>2-bladed variable-pitch propeller</t>
  </si>
  <si>
    <t>21 ft (6.4 m)</t>
  </si>
  <si>
    <t>E. M. Laird</t>
  </si>
  <si>
    <t>https://en.wikipedia.org/E. M. Laird</t>
  </si>
  <si>
    <t>176 kn (202 mph, 325 km/h) average achieved during races</t>
  </si>
  <si>
    <t>https://en.wikipedia.org/Laird Super Solution</t>
  </si>
  <si>
    <t>Lancair Legacy</t>
  </si>
  <si>
    <t>The Lancair Legacy, a modernized version of the Lancair 320, is a low-wing two-place retractable-gear composite monoplane, manufactured by the US company Lancair. It is available as a kit that cost US$71,500 in 2011.[1] There is also a fixed-gear version, the Legacy FG. The retractable version of the Legacy cruises at 276 mph at 8,000 ft and the fixed gear version cruises at 215 mph.[1][2][3] The Legacy features a cantilever low wing, a two-seats-in-side-by-side configuration enclosed cockpit under a bubble canopy, fixed or retractable tricycle landing gear and a single engine in tractor configuration.[3][4] The aircraft is made from vacuum-formed composite sandwiches. Its 7.8 m (25.6 ft) span wing employs a Cole CG10 airfoil at the wing root and a Cole GC11 airfoil at the wingtip. The wing has an area of 7.6 m2 (82 sq ft) and mounts flaps. The aircraft can accept engines of 200 to 310 hp (149 to 231 kW). The standard engine used is the 310 hp (231 kW) Continental IO-550 but engines as small as the 200 hp (149 kW) Lycoming IO-360 four-stroke powerplant can be fitted.[3][4][5] Four Lancair Legacy aircraft have won the Grand Champion Kit Built award at the EAA AirVenture airshow, in 2012, 2013, 2014, and 2016.[6][7][8][9] In May 2016, Lancair announced that the company was ending production of new Legacy aircraft kits due to the significant investments that would have been needed to continue manufacturing. The company sold the line in 2017 to Mark and Conrad Huffstutler, who now build the design as Lancair International, LLC, in Uvalde, Texas.[10][11][12] In 2009 the Colombian Air Force ordered 25 modified Legacy FGs to be used as basic trainers. The aircraft feature 15% more wing area than the standard Legacy FG wing, leading-edge cuffs and a ventral fin to improve stability and low-speed handling along with a reshaped vertical tail and rudder. The aircraft are known as the Lancair Synergy and were delivered as kits for assembly in Colombia. The first Synergy was flown in September 2010.[15][16][17] Data from Lancair Legacy webpage[2]General characteristics Performance</t>
  </si>
  <si>
    <t>//upload.wikimedia.org/wikipedia/commons/thumb/2/2c/Lancair-Legacy-Landing.jpg/300px-Lancair-Legacy-Landing.jpg</t>
  </si>
  <si>
    <t>Lancair</t>
  </si>
  <si>
    <t>https://en.wikipedia.org/Lancair</t>
  </si>
  <si>
    <t>82.5 sq ft (7.66 m2)</t>
  </si>
  <si>
    <t>65 US gallons (246 litres)</t>
  </si>
  <si>
    <t>1 × Continental IO-550-N six cylinder, four-stroke aircraft engine, 310 hp (230 kW)</t>
  </si>
  <si>
    <t>276 mph (444 km/h, 240 kn) at 8000 feet</t>
  </si>
  <si>
    <t>2,000 ft/min (10 m/s) at gross weight</t>
  </si>
  <si>
    <t>3-bladed constant speed</t>
  </si>
  <si>
    <t>23 lb/sq ft (110 kg/m2)</t>
  </si>
  <si>
    <t>25 ft 6 in (7.77 m)</t>
  </si>
  <si>
    <t>65 mph (105 km/h, 56 kn) flaps down</t>
  </si>
  <si>
    <t>1,150 mi (1,850 km, 1,000 nmi) at 8000 feet with reserves</t>
  </si>
  <si>
    <t>18,000 ft (5,500 m)</t>
  </si>
  <si>
    <t>295 mph (475 km/h, 256 kn)</t>
  </si>
  <si>
    <t>Colombian Air Force</t>
  </si>
  <si>
    <t>https://en.wikipedia.org/Lancair Barracuda</t>
  </si>
  <si>
    <t>Lancair 320</t>
  </si>
  <si>
    <t>https://en.wikipedia.org/Lancair 320</t>
  </si>
  <si>
    <t>https://en.wikipedia.org/Colombian Air Force</t>
  </si>
  <si>
    <t>+4.4/-2.2 utility category, +3.8/-2,0 normal category</t>
  </si>
  <si>
    <t>Light Helicopter Experimental</t>
  </si>
  <si>
    <t>The Light Helicopter Experimental (LHX) program was a 1980s United States Army helicopter procurement project to replace the AH-1 Cobra and OH-58 Kiowa helicopters. In support of the LHX program the United States Army started the Advanced Composite Airframe Program (ACAP) to develop an all-composite helicopter fuselage.[1] In February 1981 contracts were awarded to Sikorsky (for the Sikorsky S-75) and Bell Helicopter (for the Bell D-292). An Army Aviation Mission Area Analysis, completed in 1982, identified deficiencies in current materiel and doctrine that needed to be addressed to meet the requirements of the new Airland Battle Doctrine. The specific material deficiencies were to be resolved through the LHX program.[2] In 1982 the U.S. Army started the Light Helicopter Experimental (LHX) program to replace UH-1, AH-1, OH-6, and OH-58 helicopters.  In August 1986 the Defense Science Board review revealed that the Army suffered from stovepiping in a program development sense, and could not think outside the box. The Army solidified requirements too early without sufficient risk management. A single-crew version was an early requirement, but depended upon successful development of a risky electronic package.[3] Early concepts included both utility and scout/attack versions, but by 1988 the utility concept was dropped.[4]  A Request for proposals for the new helicopter type was released in June 1988. In October 1988, the Boeing-Sikorsky and Bell-McDonnell Douglas teams received contracts for their designs.[5]  The Bell-McDonnell Douglas design featured ordnance carriage within a combined wing/sponson and instead of a tail rotor used a NOTAR ducted exhaust system. The Boeing-Sikorsky design carried ordnance within upward swinging gull-wing doors in the sides of the fuselage and featured a fenestron tail rotor. The program's name was changed to Light Helicopter (LH) in 1990.[6]  In April 1991, the Boeing-Sikorsky team was selected as the contest winner and received a contract to build four prototypes.[7]  Also that month, the helicopter was designated "RAH-66 Comanche" by the Army.[7] In March 2004, the Army Chief of Staff terminated the Comanche program.  The termination happened for several reasons; among them were unrealistic and unachievable overarching requirements, the rising projected cost of production, changing aviation mission of the Army (refusal to consider the changing threat environment), lack of sufficient funding for other critical aviation needs, the lack of achieving reduced risk of certain key technologies, and chronic groupthink.[8]</t>
  </si>
  <si>
    <t>//upload.wikimedia.org/wikipedia/commons/thumb/c/c9/Rah-66.jpg/300px-Rah-66.jpg</t>
  </si>
  <si>
    <t>Utility and Scout/Attack Helicopter</t>
  </si>
  <si>
    <t>https://en.wikipedia.org/Utility and Scout/Attack Helicopter</t>
  </si>
  <si>
    <t>https://en.wikipedia.org/United States Army</t>
  </si>
  <si>
    <t>Boeing-Sikorsky and Bell-McDonnell Douglas</t>
  </si>
  <si>
    <t>Boeing-Sikorsky RAH-66 Comanche, subsequently cancelled</t>
  </si>
  <si>
    <t>https://en.wikipedia.org/Boeing-Sikorsky RAH-66 Comanche, subsequently cancelled</t>
  </si>
  <si>
    <t>Advanced Composite Airframe Program (ACAP)</t>
  </si>
  <si>
    <t>https://en.wikipedia.org/Advanced Composite Airframe Program (ACAP)</t>
  </si>
  <si>
    <t>Loehle Spad XIII</t>
  </si>
  <si>
    <t>The Loehle SPAD XIII is an American single-seat ultralight aircraft scale replica of the First World War SPAD XIII fighter produced in kit form by Loehle Aircraft for amateur construction. The aircraft meets the requirements of the US FAR 103 Ultralight Vehicles regulations when equipped with a lightweight engine.[1][2][3][4][5][6][7][8][9][10][excessive citations] The SPAD XIII is built predominantly from riveted aluminum tubing and stainless steel gussets and stamped aluminum wing ribs, all covered in doped aircraft fabric. The landing gear is of conventional configuration, with a tail skid. For scale requirements the cockpit is only 18 in (46 cm) wide.[1][2][3][9] The standard engine recommended for the design is the out-of-production 28 hp (21 kW) Rotax 277, with the also out-of-production 35 hp (26 kW) Rotax 377 as an option. Other recommended engines include the 40 hp (30 kW) Rotax 447 and 2si powerplants, both also out of production. Kit options include brakes and a long-range fuel tank.[1][2][3][9] The initial aircraft in the line is a scale replica of the First World War SPAD XIII. The same basic airframe has been developed, though the use of different rudders, wingtips, cowlings and other minor cosmetic differences, into replicas of other First World War fighter aircraft.[1][2][3][9] Reviewer Andre Cliche says about the SPAD XIII, that it "looks like a museum piece. But imagine that you can fly this museum piece and feel what the WWI pilots felt when they flew their war machines."[1] Reviewers Roy Beisswenger and Marino Boric wrote in a 2015 review, "the kit is very complete and builder-friendly, leaving you only the fabric covering, the paintwork and the fitting of the engine and instruments before you take off for your dawn patrol."[11] Data from Kitplanes[3] and Loehle[2]General characteristics Performance</t>
  </si>
  <si>
    <t>United States</t>
  </si>
  <si>
    <t>16 (2011)</t>
  </si>
  <si>
    <t>16 ft 5 in (5.00 m)</t>
  </si>
  <si>
    <t>6 ft 8 in (2.03 m)</t>
  </si>
  <si>
    <t>168 sq ft (15.6 m2)</t>
  </si>
  <si>
    <t>250 lb (113 kg)</t>
  </si>
  <si>
    <t>525 lb (238 kg)</t>
  </si>
  <si>
    <t>5 US gallons (38 litres)</t>
  </si>
  <si>
    <t>1 × Rotax 277 single-cylinder, two-stroke aircraft engine, 28 hp (21 kW)</t>
  </si>
  <si>
    <t>53 mph (85 km/h, 46 kn)</t>
  </si>
  <si>
    <t>20 mph (32 km/h, 17 kn)</t>
  </si>
  <si>
    <t>85 mph (137 km/h, 74 kn)</t>
  </si>
  <si>
    <t>85 mi (137 km, 74 nmi)</t>
  </si>
  <si>
    <t>63 mph (101 km/h, 55 kn)</t>
  </si>
  <si>
    <t>Lanitz Escapade Two</t>
  </si>
  <si>
    <t>The Lanitz Escapade Two is a German ultralight aircraft, derived from the Just Escapade, that was produced by Lanitz Aviation of Leipzig. When it was available the aircraft was supplied complete  and ready-to-fly.[1] By March 2018 the aircraft was no longer advertised on the company website and production has likely ended.[2] The aircraft was designed to comply with the Fédération Aéronautique Internationale microlight rules. It features a strut-braced high-wing, a two-seats-in-side-by-side configuration enclosed cockpit, convertible fixed tricycle landing gear and conventional landing gear and a single engine in tractor configuration.[1] The Escapade Two fuselage is made from powder coated welded steel tubing, with its wing made with an aluminium spar and spruce ribs. The aircraft is covered with Oratex aircraft fabric. Its 8.76 m (28.7 ft) span wing has an area of 10.11 m2 (108.8 sq ft) and can be folded for ground transportation on a trailer or for storage in two minutes. The standard engine available is the 95 hp (71 kW) ULPower UL260i four-stroke powerplant. The landing gear can be changed from nose wheel to tail wheel configuration in about two hours.[1] The Escapade Two is certified to United Kingdom BCAR Section "S" and German microlight standards.[1] Data from Bayerl[1]General characteristics Performance</t>
  </si>
  <si>
    <t>Germany</t>
  </si>
  <si>
    <t>https://en.wikipedia.org/Germany</t>
  </si>
  <si>
    <t>Lanitz Aviation</t>
  </si>
  <si>
    <t>https://en.wikipedia.org/Lanitz Aviation</t>
  </si>
  <si>
    <t>10.11 m2 (108.8 sq ft)</t>
  </si>
  <si>
    <t>265 kg (584 lb)</t>
  </si>
  <si>
    <t>1 × ULPower UL260i four cylinder, air-cooled, four stroke aircraft engine, 71 kW (95 hp)</t>
  </si>
  <si>
    <t>167 km/h (104 mph, 90 kn)</t>
  </si>
  <si>
    <t>5 m/s (980 ft/min)</t>
  </si>
  <si>
    <t>46.7 kg/m2 (9.6 lb/sq ft)</t>
  </si>
  <si>
    <t>8.76 m (28 ft 9 in)</t>
  </si>
  <si>
    <t>63 km/h (39 mph, 34 kn)</t>
  </si>
  <si>
    <t>Just Escapade</t>
  </si>
  <si>
    <t>https://en.wikipedia.org/Just Escapade</t>
  </si>
  <si>
    <t>Leger Pataplume 1</t>
  </si>
  <si>
    <t>The Leger Pataplume 1 is a French amateur-built aircraft, designed by Leger Aviation of Archiac and made available in the form of plans for amateur construction. The aircraft's design goals are simplicity and economy of construction with low operating costs.[1] When it was available the aircraft was marketed with the French slogan "simplicite, economie, amusement".[2] By 2013 the company website had been removed and the plans were apparently no longer available.[3] The Pataplume 1 features a strut-braced mid-wing, a two-seats-in-tandem open cockpit with a windshield, fixed conventional landing gear and a single engine in tractor configuration.[1] The aircraft is made from wood and finished with doped aircraft fabric. Its 10 m (32.8 ft) span wing has an area of 16.5 m2 (178 sq ft) and is supported by two parallel struts per wing. The recommended engine is a 45 hp (34 kW) 1600 cc Volkswagen air-cooled engine four-stroke powerplant.[1] While there were no kits supplied for the design, Leger Aviation did supply all needed raw materials.[1] Data from Bayerl and Leger Aviation[1][2]General characteristics Performance</t>
  </si>
  <si>
    <t>Leger Aviation</t>
  </si>
  <si>
    <t>https://en.wikipedia.org/Leger Aviation</t>
  </si>
  <si>
    <t>Plans no longer available (2013)</t>
  </si>
  <si>
    <t>6.00 m (19 ft 8 in)</t>
  </si>
  <si>
    <t>16.5 m2 (178 sq ft)</t>
  </si>
  <si>
    <t>190 kg (419 lb)</t>
  </si>
  <si>
    <t>40 litres (8.8 imp gal; 11 US gal)</t>
  </si>
  <si>
    <t>1 × Volkswagen air-cooled engine 1600 cc, four cylinder, air-cooled, four stroke automotive conversion, 34 kW (45 hp)</t>
  </si>
  <si>
    <t>120 km/h (75 mph, 65 kn)</t>
  </si>
  <si>
    <t>3 m/s (590 ft/min)</t>
  </si>
  <si>
    <t>22.4 kg/m2 (4.6 lb/sq ft)</t>
  </si>
  <si>
    <t>Leger Pataplume 2</t>
  </si>
  <si>
    <t>60 km/h (37 mph, 32 kn)</t>
  </si>
  <si>
    <t>140 km/h (87 mph, 76 kn)</t>
  </si>
  <si>
    <t>https://en.wikipedia.org/Leger Pataplume 2</t>
  </si>
  <si>
    <t>Spijker V.1</t>
  </si>
  <si>
    <t>The Spijker, Spyker V.1 or Spyker-Trompenburg V.1, was a single seat biplane fighter built in the Netherlands during World War I.  It was underpowered and did not go into production. After the outbreak of World War I it was difficult for the neutral Dutch armed forces to obtain aircraft from abroad and so the Ammunition Agency approached the Nederlands Automobile and Aeroplane Co. for an indigenous fighter. This request resulted in the Spijker V.1, a conventionally laid out tractor biplane powered by a 60 kW (80 hp) Swedish licence built Thulin Gnôme rotary engine. It was a single bay design with pairs of parallel interplane struts assisted by four parallel cabane struts between the central upper wing and the fuselage. There was neither stagger nor sweep to the fabric covered wings, which had constant chord and squared tips. A semi-circular cut-out in the upper wing trailing edge over the cockpit enhanced the pilot's upward view.[1] The V.1's fuselage was rectangular in cross-section, with the engine partially enclosed by a helmet shaped cowling open at the bottom.  The open, single seat cockpit was over the wing trailing edge.  The tailplane, carrying separate elevators, was mounted on the top of the fuselage and wire-braced to the fin; the rounded rudder extended to the keel.  The V.1 had a fixed, conventional undercarriage with mainwheels on a single axle supported by two V-form pairs of struts, originally curved but straight by May 1917. There was a small tail skid mounted forward of the elevator.[1] The prototype was complete by late 1916 but concerns over structural strength and some engine tuning delayed the first flight until 31 March 1917, flown by Floris Albert Van Heyst.  Test flights led to aerobatics and Van Heyst became the first Dutchman to execute a loop in a military aircraft.  Nonetheless, its low powered engine did not provide high enough performance for a fighter and no more powerful engines were immediately available in the Netherlands.  No more V.1s were built; the prototype was bought by the Netherlands Naval Aviation Service in 1917 and retired in 1920.[1] Data from Wesselink[1]General characteristics Performance</t>
  </si>
  <si>
    <t>//upload.wikimedia.org/wikipedia/en/thumb/1/19/Spyker_V1.jpg/300px-Spyker_V1.jpg</t>
  </si>
  <si>
    <t>Single seat fighter aircraft</t>
  </si>
  <si>
    <t>https://en.wikipedia.org/Single seat fighter aircraft</t>
  </si>
  <si>
    <t>Netherlands</t>
  </si>
  <si>
    <t>https://en.wikipedia.org/Netherlands</t>
  </si>
  <si>
    <t>Spijker (from March 1914 the Nederlands Automobile and Aeroplane Co.), Trompenburg.</t>
  </si>
  <si>
    <t>https://en.wikipedia.org/Spijker (from March 1914 the Nederlands Automobile and Aeroplane Co.), Trompenburg.</t>
  </si>
  <si>
    <t>1 × Thulin rotary engine, 60 kW (80 hp)</t>
  </si>
  <si>
    <t>9.50 m (31 ft 2 in)</t>
  </si>
  <si>
    <t>Fransman Vannehard and Albert Gilles Von Baumgarter[1]</t>
  </si>
  <si>
    <t>31 March 1917[1]</t>
  </si>
  <si>
    <t>138 km/h (86 mph, 75 kn)</t>
  </si>
  <si>
    <t>MLD</t>
  </si>
  <si>
    <t>https://en.wikipedia.org/MLD</t>
  </si>
  <si>
    <t>Aeronca Chief family</t>
  </si>
  <si>
    <t>The Aeronca K series, Aeronca Chief,  Aeronca Super Chief, Aeronca Tandem, Aeronca Scout, Aeronca Sea Scout, Aeronca Champion and Aeronca Defender were a family of American high-winged light touring aircraft, designed and built starting in the late 1930s by Aeronca Aircraft.[1] Aeronca was noted for producing light side-by-side two-seat touring aircraft since the introduction of the Aeronca C-2 in 1929. A more refined aircraft with an improved undercarriage and steel tube wing bracing struts in place of wires, was developed in 1937 as the Aeronca K, powered by a 42 hp (31 kW) Aeronca E-113 engine, beginning the long line of Aeronca high wing touring, training, military liaison and observation aircraft of the 1930s and 1940s. The K series was powered by a variety of 40 hp (30 kW) to 50 hp (37 kW) Aeronca, Continental, Franklin or Menasco engines.[1] Consumer demand for more comfort, longer range and better instrumentation resulted in development of the Aeronca 50 Chief in 1938. Although little more than an incremental development of the K series the Model 50 heralded a new designation system used for the high-winged tourers, including the manufacturer and power rating of the engine, dropping the letter designation system. Thus the Aeronca 65CA Super Chief' was powered by a 65 hp (48 kW) Continental A-65 with side-by-side seating and improvements over the 65C Super Chief.  Other developments included tandem seating for use as trainer, liaison, observation aircraft or glider trainers as well as float-plane versions. Throughout the production life of the Aeronca Chief family the aircraft was improved incrementally, from a rather basic specification to a reasonably comfortable tourer with car-style interior.[1] The Aeronca high-wing formula used a welded steel tube fuselage covered with fabric, wooden wings covered with plywood and fabric braced by V-struts to the rear undercarriage attachment point on the lower fuselage.  Tail surfaces were also built up with welded steel tubing covered with fabric. The fixed tail-wheel undercarriage, sprung with oleo struts and faired triangular side members hinged at the fuselage. A small tail-wheel on a spring steel leaf at the extreme rear of the fuselage completed the under-carriage. The engine is fitted conventionally in the nose and was either semi-cowled or fully cowled using sheet aluminium alloy, depending on model. Some civilian models had side-by-side seating in a well-glazed cabin under the wing centre-section, with entry through car style doors either side. A tandem seating arrangement was developed for training and military models with the rear seat mounted 9 in (229 mm) inches higher than the front to allow the instructor to use the same instruments as the trainee and improve forward view from the back seat. Tandem seat aircraft had extensively glazed cockpits to allow good all-round visibility.[1] A wide variety of engines were available for use on the Aeronca Chief series, including  home grown Aeronca engines and Continental, Franklin, Menasco or Lycoming engines. The engine installed was reflected in the designation using the initial letter as a suffix in the designation.[1] Aeronca continued development during World War II, introducing the tandem seating Aeronca 7 Champion, taking advantage of the refinements developed with previous versions. The Champion is often regarded as a completely new design, but the influence of the Chief and Tandem is readily apparent. A side-by-side version was also introduced in 1945 as the Aeronca 11 Chief. Military versions of the Aeronca 7 series were operated by the USAF as the Aeronca L-16.[1] Civilian aircraft proved popular as touring aircraft and as trainers. Military aircraft found employment as trainer, liaison, observation aircraft primarily with the USAAF.[1] Data from:Aerofiles.com[2] Data from American Planes and Engines for 1940[5]General characteristics Performance  Related development Aircraft of comparable role, configuration, and era  Related lists</t>
  </si>
  <si>
    <t>//upload.wikimedia.org/wikipedia/commons/thumb/f/f2/Aeronca_65-CA_N29433_lfq.jpg/300px-Aeronca_65-CA_N29433_lfq.jpg</t>
  </si>
  <si>
    <t>America (USA)</t>
  </si>
  <si>
    <t>https://en.wikipedia.org/America (USA)</t>
  </si>
  <si>
    <t>Aeronca</t>
  </si>
  <si>
    <t>https://en.wikipedia.org/Aeronca</t>
  </si>
  <si>
    <t>ca 13,700[2]</t>
  </si>
  <si>
    <t>Aeronca K Aeronca L-3 Aeronca 11 Chief Aeronca Champion Aeronca 50 Chief</t>
  </si>
  <si>
    <t>1937[1]</t>
  </si>
  <si>
    <t>https://en.wikipedia.org/Aeronca K Aeronca L-3 Aeronca 11 Chief Aeronca Champion Aeronca 50 Chief</t>
  </si>
  <si>
    <t>Aeronca C</t>
  </si>
  <si>
    <t>https://en.wikipedia.org/Aeronca C</t>
  </si>
  <si>
    <t>1936 to 1949</t>
  </si>
  <si>
    <t>Loehle Sport Parasol</t>
  </si>
  <si>
    <t>The Loehle Sport Parasol is an American single-seat, parasol winged, single engine, ultralight aircraft produced in kit form by Loehle Aircraft for amateur construction. The aircraft meets the requirements of the US FAR 103 Ultralight Vehicles regulations.[1][2][3][4][5][6][7] When the design was introduced to the market it garnered a high degree of attention for its very low kit price, although the initial price did not include the engine, propeller, instruments or covering supplies. Even in 2010 it remains one of the lower cost kit aircraft.[2][3][5] The Sport Parasol was introduced in 1991. The aircraft is conventional in construction, built predominantly from wood and riveted aluminum tubing, covered in doped aircraft fabric. The wings are double-surface, with half-span ailerons. The wings detach and the tailplane folds for trailer transport and storage. The landing gear is of conventional configuration, with bungee-sprung main gear and a steerable tailwheel.[3][5] The initial engine recommended for the design was the now out-of-production 28 hp (21 kW) Rotax 277. Recommended engines today include 40 hp (30 kW) Rotax 447 and the 50 hp (37 kW) Rotax 503. Kit options include brakes, an extra 5 US gal (19 l) fuel tank, spoked wheels, floats and skis. Construction time from the kit is reported as 350 hours.[3][5] Reviewer Andre Cliche describes the aircraft as "a very attractive and simple parasol design that flies perfectly."[3] Bayerl et al. said of the aircraft, "for very low-cost flying this is pretty much it... [the Sport Parasol] offers  plenty of fun for little money."[8] Data from Kitplanes[1] and Loehle[5]General characteristics Performance   Aircraft of comparable role, configuration, and era</t>
  </si>
  <si>
    <t>82 (2011)</t>
  </si>
  <si>
    <t>18 ft 5 in (5.61 m)</t>
  </si>
  <si>
    <t>114 sq ft (10.6 m2)</t>
  </si>
  <si>
    <t>252 lb (114 kg)</t>
  </si>
  <si>
    <t>600 lb (272 kg)</t>
  </si>
  <si>
    <t>1 × Rotax 503 twin-cylinder, two-stroke aircraft engine, 50 hp (37 kW)</t>
  </si>
  <si>
    <t>750 ft/min (3.8 m/s)</t>
  </si>
  <si>
    <t>22 mph (35 km/h, 19 kn)</t>
  </si>
  <si>
    <t>230 mi (370 km, 200 nmi)</t>
  </si>
  <si>
    <t>+4/-2 operational, +6/-3 ultimate load limit</t>
  </si>
  <si>
    <t>Laird Super Solution</t>
  </si>
  <si>
    <t>The Laird LC-DW300 and LC-DW500 Super Solution aka "Sky Buzzard" was a racing biplane built in the early 1930s by Matty Laird for the Cleveland Speed Foundation, Laird was already famous in the air racing circuit.  It had a large radial engine and an extremely faired windshield.  Other than being a biplane, it was similar in appearance to the Gee Bee, a more famous racer from the period.  It was an advanced design for the time because of the relatively clean aerodynamic construction and tight engine cowling.[1] The Super Solution was the first winner of the Bendix Trophy race from Burbank to Cleveland where it was flown by Maj. James H. Doolittle. Construction of the Super Solution started on 8 July 1931. The aircraft was complete and test flown at Ashborn Field in Chicago by 22 August 1931. Further changes were made by the Christopher Bros. in Wichita, Kansas in 1932, such as raising the seat, installing a sliding canopy, and adding retractable landing gear.[2] Two engines were used in the Solution, the second being a geared variant that allowed a lower propeller rpm with a larger propeller. The engines ran with high-compression pistons and "doped" leaded fuel. Both produced over 500 hp from the standard 375 hp P&amp;W R-985 Wasp Jr. S2A engine of the day. Initial flight tests proved the aircraft required more rudder area to maintain stability and the fixed pitch propeller needed to be adjusted to allow takeoffs under a mile in length. Data from Sport AviationGeneral characteristics Performance</t>
  </si>
  <si>
    <t>//upload.wikimedia.org/wikipedia/commons/thumb/e/e2/Laird_Solution.jpg/300px-Laird_Solution.jpg</t>
  </si>
  <si>
    <t>under restoration</t>
  </si>
  <si>
    <t>112 sq ft (10.4 m2)</t>
  </si>
  <si>
    <t>1,580 lb (717 kg)</t>
  </si>
  <si>
    <t>2,842 lb (1,289 kg)</t>
  </si>
  <si>
    <t>112 U.S. gallons (420 L; 93 imp gal)</t>
  </si>
  <si>
    <t>1 × Pratt &amp; Whitney Wasp Junior S2A 9-cylinder air-cooled radial piston engine, 535 hp (399 kW)   running on doped fuel with high compression pistons</t>
  </si>
  <si>
    <t>27.16 lb/sq ft (132.6 kg/m2)</t>
  </si>
  <si>
    <t>E. M. Matty Laird, Raoul J. Hoffman</t>
  </si>
  <si>
    <t>https://en.wikipedia.org/E. M. Matty Laird, Raoul J. Hoffman</t>
  </si>
  <si>
    <t>https://en.wikipedia.org/Laird Solution</t>
  </si>
  <si>
    <t>Light Wing AC4</t>
  </si>
  <si>
    <t>The Light Wing AC4 is a Swiss ultralight and light-sport aircraft, designed by Hans Gygax and produced by Light Wing AG of Stans. The aircraft was publicly introduced at the AERO Friedrichshafen show in 2013. It is supplied complete and ready-to-fly.[1][2][3] The AC4 was designed to comply with the Fédération Aéronautique Internationale microlight rules and US light-sport aircraft rules. It features a strut-braced high-wing, with "V"-struts and jury struts, a two-seats-in-side-by-side configuration enclosed cockpit, fixed tricycle landing gear and a single engine in tractor configuration.[1][2] The aircraft is made from a combination of composites and aluminum sheet, with its tailboom made from a single large diameter aluminium tube and the wings and tail surfaces covered in aluminium. Its 9.45 m (31.0 ft) span wing has an area of 16.65 m2 (179.2 sq ft), is supported by V-struts and mounts flaps. The standard engine available is the 100 hp (75 kW) Rotax 912ULS or Rotax 912iS four-stroke powerplant.[1][2][4] The AC4 can accommodate one pilot and one passenger and was also designed for aero-towing gliders. It can also accommodate a stretcher for Medevac missions. It received European European Aviation Safety Agency type certification to the Certification Specification for Light Sport Aeroplanes (CS-LSA) on 6 August 2015.[5][1][2] Data from Bayerl, Tacke and manufacturer[1][2][4]General characteristics Performance</t>
  </si>
  <si>
    <t>//upload.wikimedia.org/wikipedia/commons/thumb/c/c7/Light_Wing_AC4_HB-WED_%2840729193433%29.jpg/300px-Light_Wing_AC4_HB-WED_%2840729193433%29.jpg</t>
  </si>
  <si>
    <t>Switzerland</t>
  </si>
  <si>
    <t>https://en.wikipedia.org/Switzerland</t>
  </si>
  <si>
    <t>Light Wing AG</t>
  </si>
  <si>
    <t>https://en.wikipedia.org/Light Wing AG</t>
  </si>
  <si>
    <t>In production (2019)</t>
  </si>
  <si>
    <t>7.04 m (23 ft 1 in)</t>
  </si>
  <si>
    <t>2.67 m (8 ft 9 in)</t>
  </si>
  <si>
    <t>16.65 m2 (179.2 sq ft)</t>
  </si>
  <si>
    <t>350 kg (772 lb)</t>
  </si>
  <si>
    <t>100 litres (22 imp gal; 26 US gal)</t>
  </si>
  <si>
    <t>1 × Rotax 912iS four cylinder, liquid and air-cooled, four stroke aircraft engine, 75 kW (101 hp)</t>
  </si>
  <si>
    <t>160 km/h (99 mph, 86 kn)</t>
  </si>
  <si>
    <t>3-bladed composite</t>
  </si>
  <si>
    <t>32.7 kg/m2 (6.7 lb/sq ft)</t>
  </si>
  <si>
    <t>9.60 m (31 ft 6 in)</t>
  </si>
  <si>
    <t>63 km/h (39 mph, 34 kn) flaps down</t>
  </si>
  <si>
    <t>600 km (370 mi, 320 nmi)</t>
  </si>
  <si>
    <t>Hans Gygax</t>
  </si>
  <si>
    <t>Lioré et Olivier LeO 41</t>
  </si>
  <si>
    <t>The Lioré et Olivier LeO 41 was a French experimental biplane built by Lioré et Olivier.[1] The LeO 41 has been described as a "strange design" with long control surfaces fitted to struts behind each wing, it was powered by a 95 hp (71 kW) Renault 4Pb engine.[1] Only one was built and the design was abandoned.[1] General characteristics        This aircraft of the 1930s article is a stub. You can help Wikipedia by expanding it.</t>
  </si>
  <si>
    <t>Lioré et Olivier</t>
  </si>
  <si>
    <t>https://en.wikipedia.org/Lioré et Olivier</t>
  </si>
  <si>
    <t>Lockheed Big Dipper</t>
  </si>
  <si>
    <t>The Lockheed Model 34 Big Dipper was an American two-seat monoplane, designed and built by Lockheed at Burbank for research into the company's potential entry into the civil lightplane and military light utility aircraft market. Only one was built, and following its loss in an accident the program was abandoned. Developed by John Thorp and based on his work on Lockheed's Little Dipper lightplane project,[1] the Lockheed Model 34, named "Big Dipper", was intended as a prototype for a lightplane to sell on the postwar market - Lockheed hoping to sell the aircraft at a price of $1500[2] - and as a potential 'flying jeep' for the United States Army.[1] It was a low-wing cantilever monoplane with a fixed tricycle landing gear and a conventional empennage; the cabin was enclosed, seating two in side-by-side positions. Unusually the Continental C100 piston engine was fitted in the center fuselage behind the cabin, driving a two-bladed pusher propeller mounted at the rear of the aircraft.[2] The Model 34 was built at Burbank from July 1945. To keep the project secret the aircraft was moved to Palmdale by road when completed, flight testing being conducted at Muroc Dry Lake.[2] It first flew on 10 December 1945, and after 40 hours of flight testing was returned to Burbank for modifications,[3] intended to correct a wing-root stall issue that had been identified.[4] It was decided not to complete the modification, and the aircraft was to be flown back to Palmdale on 6 February 1946. To try to keep the Big Dipper secret, it was decided to use a shorter upward sloping runway nearer the factory; in the steep climb needed during takeoff from the shorter runway, the aircraft stalled and crashed.[3] With the loss of the prototype, and the fact the expected rush of buyers for new lightplanes was failing to materialize amidst a glut of war-surplus aircraft,[5] the project, and a proposed high-wing four-seat "Super Dipper" derivative, was abandoned;[3] Data from Francillon 1982[3]General characteristics Performance  Related development Aircraft of comparable role, configuration, and era</t>
  </si>
  <si>
    <t>//upload.wikimedia.org/wikipedia/commons/thumb/5/54/Lockheed_Model_34_Big_Dipper.jpg/300px-Lockheed_Model_34_Big_Dipper.jpg</t>
  </si>
  <si>
    <t>Two-seat utility monoplane</t>
  </si>
  <si>
    <t>Lockheed</t>
  </si>
  <si>
    <t>https://en.wikipedia.org/Lockheed</t>
  </si>
  <si>
    <t>Crashed 6 February 1946</t>
  </si>
  <si>
    <t>Two (pilot and passenger)</t>
  </si>
  <si>
    <t>8 ft 10 in (2.69 m)</t>
  </si>
  <si>
    <t>935 lb (424 kg)</t>
  </si>
  <si>
    <t>1,450 lb (658 kg)</t>
  </si>
  <si>
    <t>1 × Continental C100-12 piston engine four-cylinder air-cooled horizontally opposed piston engine, 100 hp (75 kW)</t>
  </si>
  <si>
    <t>119 mph (192 km/h, 103 kn)</t>
  </si>
  <si>
    <t>840 ft/min (4.3 m/s)</t>
  </si>
  <si>
    <t>31 ft 0 in (9.45 m)</t>
  </si>
  <si>
    <t>16,000 ft (4,900 m)</t>
  </si>
  <si>
    <t>John Thorp</t>
  </si>
  <si>
    <t>https://en.wikipedia.org/John Thorp</t>
  </si>
  <si>
    <t>136 mph (219 km/h, 118 kn)</t>
  </si>
  <si>
    <t>Lockheed PV-2 Harpoon No. 37396</t>
  </si>
  <si>
    <t>Lockheed PV-2 Harpoon, U.S. Navy Bureau Number 37396 , civil registration N7265C, named "Hot Stuff", is located at 3867 N. Aviation Way, Mount Comfort, Indiana.  The aircraft, an intact example of a World War II anti-submarine patrol bomber, was added to the National Register of Historic Places on April 23, 2009.  It was built in 1945 by the Lockheed Aircraft Corporation, and is one of only 104 built of this PV-2 variant of the Lockheed Ventura.  At the time of its listing, it was the only complete, operable example of a PV-2 in the United States, although one was being restored in Wisconsin.  While this particular plane did not see combat, the type was used in the Aleutian Islands during World War II.[2] The property was the featured listing in the National Park Service's weekly list of May 1, 2009.[3]   This article about a property in Hancock County, Indiana on the National Register of Historic Places is a stub. You can help Wikipedia by expanding it.</t>
  </si>
  <si>
    <t>//upload.wikimedia.org/wikipedia/commons/thumb/c/c7/Lockheed_Ventura_at_Indianapolis_Regional_Airport.jpg/250px-Lockheed_Ventura_at_Indianapolis_Regional_Airport.jpg</t>
  </si>
  <si>
    <t>PV-2 Harpoon</t>
  </si>
  <si>
    <t>https://en.wikipedia.org/PV-2 Harpoon</t>
  </si>
  <si>
    <t>https://en.wikipedia.org/1945</t>
  </si>
  <si>
    <t>N7265C</t>
  </si>
  <si>
    <t>Mount Comfort, Indiana</t>
  </si>
  <si>
    <t>https://en.wikipedia.org/Mount Comfort, Indiana</t>
  </si>
  <si>
    <t>less than 1 acre</t>
  </si>
  <si>
    <t>Lockheed Aircraft Corporation</t>
  </si>
  <si>
    <t>09000234[1]</t>
  </si>
  <si>
    <t>https://en.wikipedia.org/09000234[1]</t>
  </si>
  <si>
    <t>April 23, 2009[1]</t>
  </si>
  <si>
    <t>Lublin R-XI</t>
  </si>
  <si>
    <t>The Lublin R-XI was the Polish passenger plane for 4 passengers, designed in 1930 in the Plage i Laśkiewicz factory in Lublin, that remained a prototype. The aircraft was developed for a contest for a successor of Junkers F-13 as a light passenger and mail plane in LOT Polish Airlines, announced by the Ministry of Communication. The design was partly modeled on a construction of Fokker F.VII, produced under license by Plage i Laśkiewicz, especially in a wing design. The main designer was Jerzy Rudlicki. The prototype was first flown on 8 February 1930 in Lublin (registration: SP-ACC). From June 1930 it was evaluated by the LOT Airlines. The prototype was damaged during take-off in July 1931, and was not repaired. The aircraft was not successful, because its weight appeared 250 kg more, than designed, it also had worse speed, range and ceiling, than expected (its competitor, the PWS-21, was not successful either). Its improved development became Lublin R-XVI, built in a small series, although not as a passenger plane. The R-XI was a mixed construction cantilever high-wing monoplane, single-engine, conventional in layout. It had a steel-framed, canvas-covered fuselage (engine part covered with duralumin) and a single-piece, plywood-covered, three-spar elliptical wing of wooden construction. The empennage was of steel construction, canvas covered. It had a conventional fixed landing gear, with a rear skid, base 2.7 m. The main gear was joined with a wing by struts. The closed cabin had a capacity of six: a pilot, a mechanic and 4 passengers. Two crewmen had twin controls and individual doors on either side, the fifth passenger could be carried instead of the mechanic. The passenger cabin had height 1.5 m and width 1.3 m and two triangular doors on the left side. Behind it there was a place for a baggage. Single engine in front: 9-cylinder air-cooled Polish Skoda Works Wright Whirlwind J-5 radial engine delivering 240 hp (179 kW) take-off power and 220 hp (164 kW) nominal power, with a NACA cowling, driving a two-blade metal propeller of a fixed pitch. A 300-litre fuel tank was fitted in wing and 150-litre under the cab (normal capacity was 200 L). The cruise fuel consumption was 40–50 L/h. Data from Jane's all the World's Aircraft 1931,[1] Polish Aircraft 1893–1939,[2] Polskie konstrukcje lotnicze 1893-1939[3]General characteristics Performance  Related development Aircraft of comparable role, configuration, and era</t>
  </si>
  <si>
    <t>//upload.wikimedia.org/wikipedia/commons/thumb/e/e0/Lublin_R-XI.jpg/300px-Lublin_R-XI.jpg</t>
  </si>
  <si>
    <t>Passenger plane</t>
  </si>
  <si>
    <t>Plage i Laśkiewicz</t>
  </si>
  <si>
    <t>https://en.wikipedia.org/Plage i Laśkiewicz</t>
  </si>
  <si>
    <t>prototype</t>
  </si>
  <si>
    <t>4-5 pax / 733 kg (1,616 lb) payload</t>
  </si>
  <si>
    <t>9.8 m (32 ft 2 in)</t>
  </si>
  <si>
    <t>1,033 kg (2,277 lb)</t>
  </si>
  <si>
    <t>1,943 kg (4,284 lb)</t>
  </si>
  <si>
    <t>1 × Polish-Skoda J-5 Whirlwind 9-cylinder air-cooled radial piston engine, 170 kW (230 hp)</t>
  </si>
  <si>
    <t>168 km/h (104 mph, 91 kn)</t>
  </si>
  <si>
    <t>1.8 m/s (350 ft/min)</t>
  </si>
  <si>
    <t>2-bladed Standard Steel fixed-pitch metal propeller</t>
  </si>
  <si>
    <t>65 kg/m2 (13 lb/sq ft)</t>
  </si>
  <si>
    <t>730 km (450 mi, 390 nmi)</t>
  </si>
  <si>
    <t>6,000 m (20,000 ft)</t>
  </si>
  <si>
    <t>210 km/h (130 mph, 110 kn) at sea level</t>
  </si>
  <si>
    <t>6 hours with wing tanks ; 3 hours 30 minutes with jettisonable fuselage tank only</t>
  </si>
  <si>
    <t>0.05155 hp/lb (0.08475 kW/kg)</t>
  </si>
  <si>
    <t>4,000 m (13,000 ft) in 22 minutes</t>
  </si>
  <si>
    <t>85–90 km/h (53–56 mph; 46–49 kn)</t>
  </si>
  <si>
    <t>900 km (560 mi, 490 nmi)</t>
  </si>
  <si>
    <t>Levasseur PL.8</t>
  </si>
  <si>
    <t>The Levasseur PL.8 was a single engine, two-seat long-distance record-breaking biplane aircraft modified from an existing Levasseur PL.4 carrier-based reconnaissance aircraft produced in France in the 1920s. Levasseur built the aircraft in 1927, specifically for pilots Charles Nungesser and François Coli for a transatlantic attempt to win the Orteig Prize. Only two examples of the type were built, with the first PL.8-01 named L'Oiseau Blanc (The White Bird), that gained fame as Nungesser and Coli's aircraft. At the Pierre Levasseur Company in Paris, Nungesser and Coli, working closely with Chief Engineer Émile Farret and production manager Albert Longelot, assisted in the design of the new Levasseur PL.8 biplane. Based on the PL.4 developed for the Aéronavale to operate from the French aircraft carrier Béarn, the PL.8 was a conventional single-bay wood and fabric-covered biplane that carried a crew of two in a side-by-side open cockpit. Major modifications included the reinforcement of the plywood fuselage, removing two of the forward cockpits with the main cockpit widened to allow Nungesser and Coli to sit side-by-side. The wingspan was also increased to approximately 15 m (49 ft). In adding two additional fuel tanks mounted aft of the firewall, the three fuel tanks held a total of 4,025 litres (1,056 gallons) of gasoline.[1] The PL.8 also incorporated several safety features in case of ditching at sea. Apart from small floats attached directly to the undersides of the lower wing, the main units of the fixed tailskid undercarriage could be jettisoned on takeoff in order to reduce the aircraft's weight. The underside of the fuselage was given a boat-like shape and made watertight for a water landing. Nungesser and Coli's plan was to make a water landing in New York in front of the Statue of Liberty[2] A single W-12ED Lorraine-Dietrich 340 kilowatts (460 hp) engine was used with the cylinders set in three banks spaced 60° apart from one another, similar to the arrangement used in Napier engines. The engine was tested to ensure it would last the entire flight and was run for over 40 hours while still in the Parisian factory.[3] The aircraft christened L'Oiseau Blanc [N 1] was painted white[N 2] and had the French tricolor markings, with Nungesser's personal World War I flying ace logo: a skull and crossbones, candles and a coffin, on a black heart.[6] The biplane carried no radio [N 3] and relied only on celestial navigation, a specialty of Coli from his previous flights around the Mediterranean.[2] In 1928, a second PL.8 was built, equipped with a Hispano-Suiza 12M 375 kW (500 hp) engine. Flown in 1928, the PL.8-02 was intended as a long-range record breaker but modified as an air mail carrier. On 20 December 1929, the second PL.8-02, registered F-AJKP to Cie Generale Aeropostale and based at Dakar while flown by pilot Henry Delaunay, was badly damaged when it hit a pothole on landing at Istres and not repaired.[8] In April 1927, the first PL.8 was shipped from the factory for Nungesser to begin a series of proving tests to determine aircraft performance. Most of the flights were conducted around Villacoublay and Chartres. Although full fuel loads were never carried, during one flight, he reached a speed of 207 kilometres per hour (129 mph) and flight elevation of 4,900 m (16,100 ft). Once the tests were complete, L'Oiseau Blanc was prepared for its record flight. L'Oiseau Blanc took off at 5:17 a.m. 8 May 1927 from Le Bourget Field in Paris, heading for New York.[6][9] The biplane weighed 5,000 kg (11,000 lb) on takeoff, extremely heavy for a single-engined aircraft.[3] The intended flight path was a great circle route, which would have taken them across the English Channel, over the southwestern part of England and Ireland, across the Atlantic to Newfoundland, then south over Nova Scotia, to Boston, and finally to a water landing in New York.[10][11] L'Oiseau Blanc had been carrying a sizable load of fuel, 4,000 litres (1,100 US gal), which would have given them approximately 42 hours of flight time. Crowds of people gathered in New York to witness the historic arrival, with tens of thousands of people crowding Battery Park in Manhattan to have a good view of the Statue of Liberty, where the aircraft was scheduled to touch down. After their estimated time of arrival had passed, with no word as to the aircraft's fate, it was realized that the aircraft had been lost.[12] Rumors circulated that L'Oiseau Blanc had been sighted along its route, in Newfoundland, or over Long Island, and despite the launch of an international search, after two weeks, further search efforts were abandoned.[2][13][14] As of 2008, the landing gear is the only confirmed part of the L'Oiseau Blanc remaining, and is on display at the Musée de l'Air et de l'Espace (French Air and Space Museum), in Le Bourget airport in Paris, the location from which L'Oiseau Blanc took off.[15] General characteristics Performance</t>
  </si>
  <si>
    <t>//upload.wikimedia.org/wikipedia/commons/thumb/d/d0/Carte_postale-Oiseau_blanc-1927.jpg/300px-Carte_postale-Oiseau_blanc-1927.jpg</t>
  </si>
  <si>
    <t>Long-range aircraft [for record attempt]</t>
  </si>
  <si>
    <t>Pierre Levasseur Company</t>
  </si>
  <si>
    <t>https://en.wikipedia.org/Pierre Levasseur Company</t>
  </si>
  <si>
    <t>9.75 m (32 ft 0 in)</t>
  </si>
  <si>
    <t>3.89 m (12 ft 9 in)</t>
  </si>
  <si>
    <t>60.9 m2 (656 sq ft)</t>
  </si>
  <si>
    <t>1,905 kg (4,200 lb)</t>
  </si>
  <si>
    <t>5,000 kg (11,023 lb)</t>
  </si>
  <si>
    <t>× Lorraine 12Ed Courlis W-12 water-cooled piston engine, 340 kW (460 hp)</t>
  </si>
  <si>
    <t>165 km/h (103 mph, 89 kn)</t>
  </si>
  <si>
    <t>7,000 km (4,300 mi, 3,800 nmi)</t>
  </si>
  <si>
    <t>193 km/h (120 mph, 104 kn)</t>
  </si>
  <si>
    <t>Charles Nungesser, François Coli</t>
  </si>
  <si>
    <t>Levasseur PL.4</t>
  </si>
  <si>
    <t>https://en.wikipedia.org/Levasseur PL.4</t>
  </si>
  <si>
    <t>40 hours</t>
  </si>
  <si>
    <t>https://en.wikipedia.org/Charles Nungesser, François Coli</t>
  </si>
  <si>
    <t>Light Miniature Aircraft LM-5</t>
  </si>
  <si>
    <t>The Light Miniature Aircraft LM-5 series is a family of American high-wing, conventional landing gear, strut-braced, single-engine ultralight aircraft that are intended to resemble the Piper PA-18 Super Cub. The designs are all available as plans from Light Miniature Aircraft of Okeechobee, Florida for amateur construction.[1][2][3] The Light Miniature Aircraft company website domain name expired on 25 May 2010 and has not been renewed.[4] The company seems to have gone out of business about 2010, but Wicks Aircraft continues to provide kits for the designs.[5][6] The LM-5 design is rendered in wood or optionally aluminum and covered in doped aircraft fabric. The aircraft are sold as plans, with components or complete kits also available to speed construction time.[1][2][3] Unlike the company's LM-1 series which are scale representations of famous general aviation aircraft, the LM-5 series are the same size as the PA-18 that they resemble.[1][2][3][7]  Data from Kitplanes[2]General characteristics Performance   Aircraft of comparable role, configuration, and era</t>
  </si>
  <si>
    <t>Light Miniature Aircraft</t>
  </si>
  <si>
    <t>https://en.wikipedia.org/Light Miniature Aircraft</t>
  </si>
  <si>
    <t>Plans no longer available, kits still available</t>
  </si>
  <si>
    <t>more than 35 (2007)</t>
  </si>
  <si>
    <t>22 ft 7 in (6.88 m)</t>
  </si>
  <si>
    <t>775 lb (352 kg)</t>
  </si>
  <si>
    <t>1,275 lb (578 kg)</t>
  </si>
  <si>
    <t>12 US gallons (46 litres)</t>
  </si>
  <si>
    <t>2-bladed wooden propeller</t>
  </si>
  <si>
    <t>36 ft 1 in (11.00 m)</t>
  </si>
  <si>
    <t>36 mph (58 km/h, 31 kn)</t>
  </si>
  <si>
    <t>290 mi (470 km, 250 nmi)</t>
  </si>
  <si>
    <t>Spijker V.3</t>
  </si>
  <si>
    <t>The Spijker V.3, sometimes anglicized to Spyker V.3 or Spyker-Trompenburg V.3, was a Dutch single-engine, single-seat biplane fighter, designed and built just before the end of World War I. The Spijker V.3 was a conventionally laid-out single-engine tractor biplane.  Its wings had constant chord and no sweep or stagger.  It was a single-bay biplane, with one pair of parallel interplane struts on each side and with a central cabane between fuselage and the upper wing.  The interplane struts were simple flat steel bands, without the commonly used airfoil profile. Ailerons were fitted to both upper and lower wings. The pilot's cockpit was under the wing, placing his head at about 70% chord, so a cut out was made in the trailing edge of the upper wing to enhance the rearward, upward view and a window in the wing centre section improved the forward, upward view.[2][3] The V.3 had a wooden monocoque fuselage. It was powered by a 97 kW (130 hp) Spijker-Clerget rotary engine, driving a two-blade propeller and enclosed by a full cowling.  The conventional undercarriage was fixed, with mainwheels on a divided axle supported at each end on wooden V-form struts.  A tail skid completed the landing gear. The tailplane was mounted near the top of the fuselage, carrying elevators divided to allow for rudder movement, as the latter extended down to the keel. The fin and rudder were broad chord and rounded in profile.[2][3] The V.3 prototype flew for the first time  in July 1919.[1] It was on display at one of the first post-war air shows, the Eerste Luchtverkeer Tentoonstelling (First Air Traffic Exhibition) held in Amsterdam in August 1919.[3] Large numbers of V.3 were ordered before the first flight; 72 for the Army Aviation Group, 20 for the Dutch Naval Aviation Service and 6 for the KNIL. However, the end of World War I made large numbers of German built Fokker D.7.  These were judged technically superior, so V.3 production never started. A two-seat reconnaissance version of the V.3, designated the Spijker V.4[2] had also been ordered in quantity (118) but not even the prototype was completed.[1] Data from Jane's Fighting Aircraft of World War I[2]General characteristics Performance Armament</t>
  </si>
  <si>
    <t>Single-seat fighter</t>
  </si>
  <si>
    <t>Spijker (from 1915 the Nederlands Automobile and Aeroplane Co.), Trompenburg.</t>
  </si>
  <si>
    <t>https://en.wikipedia.org/Spijker (from 1915 the Nederlands Automobile and Aeroplane Co.), Trompenburg.</t>
  </si>
  <si>
    <t>c.1</t>
  </si>
  <si>
    <t>6.10 m (20 ft 0 in) or 6.30[1]</t>
  </si>
  <si>
    <t>2.6 m (8 ft 6 in) maximum</t>
  </si>
  <si>
    <t>127 L (28 Imp gal, 34 US gal)</t>
  </si>
  <si>
    <t>1 × Spijker Clerget type rotary engine, 97 kW (130 hp)</t>
  </si>
  <si>
    <t>5.6 m/s (1,100 ft/min) with full load</t>
  </si>
  <si>
    <t>8.19 m (26 ft 10 in) upper and lower wings</t>
  </si>
  <si>
    <t>July 1919[1]</t>
  </si>
  <si>
    <t>180 km/h (110 mph, 97 kn)</t>
  </si>
  <si>
    <t>2× machine guns</t>
  </si>
  <si>
    <t>18 L (4.0 Imp gal, 4.8 US gal)</t>
  </si>
  <si>
    <t>Zmaj Fizir FP-2</t>
  </si>
  <si>
    <t>Aircraft Zmaj Fizir FP-2 (Serbian Cyrillic:Змај Физир ФП-2) was a Yugoslav single-engine, two-seater biplane. It was designed by R. Fizir and D. Stankov built at the Factory Zmaj in Zemun in 1936. In 1933, the command of the Yugoslav Royal Air Force (YRAF)decided to replace outdated planes with modern school aircraft, for transitional training from basic training to combat. Zmaj Factory designed a prototype biplane, Fizir FP-1, in 1993 for transitional pilot training, but it did not satisfy all the requirements set by the YRAF. As a result, aircraft designers and  engineers, Rudolf Fizir and Dušan Stankov, made adjustments to the Fizir FP-1 and so the plane became the, Zmaj Fizir FP-2. The designers opted for the concept aircraft biplane, although the YRAF preferred an aircraft with one low wing (due to the development of modern combat aircraft). In the end, the concept of a new transitional school aircraft was accepted. Prototype Zmaj Fizir FP-2 (Fizir Prelazni) with a 300 kW (400 hp) Gnome-Rhône 7K engine was completed and test flown at the end of 1933. More test flights followed, and by 1934 the plane showed good results. Zmaj modified the FP-2 during 1934 using a 235 kW (315 hp) Walter Pollux II engine, but the results were not satisfactory. The Zmaj Fizir FP-2 was a two-seater single-engine biplane aircraft, with air-cooled, 7 cylinder radial engine (Gnome-Rhone K-7 308 kW), and a pair of struts on each side. It had flaps on the upper and lower wings. Landing gear is fixed to a shaft, and deployment uses a rubber rope. Fuselage and wings were wood covered with canvas. The plane represented a classical "Yugoslav manufacturers 'school'" - a two-seater, two wings, solid wood construction and polished aerodynamic shape, easy to fly, stable and reliable aircraft that is largely insensitive to pilot errors. On 22 May 1936, the Zmaj factory offered the Navy a seaplane Zmaj Fizir FP-2H with a Gnome-Rhone K-9 engine, but the project was not accepted.[2] A total of 66 aircraft of this type were produced and served in the Yugoslav Royal Air Force from 1936 to 1941. They were used for training military pilots. The first series of 20 of these aircraft were delivered to the YRAF in early 1936 and were immediately introduced into the first and second Pilot School. From 1938 to 1940 45 more aircraft were delivered. All three series aircraft were equipped the same, except the third series of five aircraft that were equipped to fly blind.[3] These planes had a new pilot's panel and Zemun Teleoptik (similar to the Rogožarski PVT). The fifth series Zmaj Fizir FP-2 (15 copies ordered in 1940) was not completed by the start of the April war. At the beginning of 1943 the Germans allowed factory to complete the fifth series aircraft Zmaj Fizir FP-2 for the Croatian Air Force, but by 22 October 1944 (Liberation Day Zemun) only 8 aircraft were delivered. The last 7 aircraft were completed and handed over after the People's Liberation Army Air Force for use by the Yugoslav Army. Thus the total number of Zmaj Fizir FP-2 aircraft produced was 81. The Italians seized 13 Zmaj Fizir FP-2 aircraft and with the Rogožarski PVT aircraft they were used from May 1941 to June 1943 against the rebels in Montenegro and Albania. The Germans seized 7 Zmaj Fizir FP-2 at the Butmir airport and handed them over to their allies, the Croats (NDH), which used them throughout the war, starting in 1941. All planes of this type that survived the war were included in the Yugoslav Army Air Force (RV JA) and flew there until 1947. The postwar registry included were 12 Zmaj Fizir FP-2 planes. The remains of one of these planes are kept at the Museum of Yugoslav Aviation.  General characteristics Performance</t>
  </si>
  <si>
    <t>//upload.wikimedia.org/wikipedia/commons/thumb/8/81/Fizir_FP-2.jpg/300px-Fizir_FP-2.jpg</t>
  </si>
  <si>
    <t>Advanced trainer</t>
  </si>
  <si>
    <t>https://en.wikipedia.org/Advanced trainer</t>
  </si>
  <si>
    <t>Yugoslavia</t>
  </si>
  <si>
    <t>https://en.wikipedia.org/Yugoslavia</t>
  </si>
  <si>
    <t>Zmaj Zemun</t>
  </si>
  <si>
    <t>https://en.wikipedia.org/Zmaj Zemun</t>
  </si>
  <si>
    <t>inactive</t>
  </si>
  <si>
    <t>81[1]</t>
  </si>
  <si>
    <t>7.90 m (25 ft 11 in)</t>
  </si>
  <si>
    <t>2.90 m (9 ft 6 in)</t>
  </si>
  <si>
    <t>28.80 m2 (310.0 sq ft)</t>
  </si>
  <si>
    <t>740 kg (1,631 lb)</t>
  </si>
  <si>
    <t>1,450 kg (3,197 lb)</t>
  </si>
  <si>
    <t>1 × Gnome-Rhône 7K 7-cylinder radial, 313 kW (420 hp)</t>
  </si>
  <si>
    <t>10.80 m (35 ft 5 in)</t>
  </si>
  <si>
    <t>580 km (360 mi, 310 nmi)</t>
  </si>
  <si>
    <t>6,800 m (22,300 ft)</t>
  </si>
  <si>
    <t>R.Fizir and D.Stankov</t>
  </si>
  <si>
    <t>https://en.wikipedia.org/R.Fizir and D.Stankov</t>
  </si>
  <si>
    <t>238 km/h (148 mph, 129 kn) at sea level</t>
  </si>
  <si>
    <t>Yugoslav Royal Air Force</t>
  </si>
  <si>
    <t>https://en.wikipedia.org/Yugoslav Royal Air Force</t>
  </si>
  <si>
    <t>Laird-Turner Meteor LTR-14</t>
  </si>
  <si>
    <t>The Laird-Turner RT-14 Meteor, also called the Turner TR-14, Ring Free Meteor, PESCO Special, Miss Champion, Turner Special and the Turner Meteor was the winning aircraft of the 1938 and 1939 Thompson Trophy races.[1] The aircraft was commissioned and designed by Roscoe Turner in 1936.[2] The Meteor would be the last of the Matty Laird race planes as well as the last race plane flown by Roscoe Turner.[3] The aircraft is a conventional geared mid-wing monoplane with a radial engine built in California. It was modified in 1936 by Mattie Laird at the E. M. Laird Airplane Company in Chicago with three-foot longer wings, wing flaps, a longer fuselage and a 50 U.S. gallons (190 L; 42 imp gal) fuel tank.[4] In 1938 wheel pants were added for the Oakland races. The aircraft was known by many names. Initially the RT-14 for "Roscoe-Turner 14 cylinder".[5] The air commerce bureau labeled it the Model No. LTR-14, Serial No. 11, Type 1 POLM.[6] The first sponsor was the Ring-Free Oil company, naming the aircraft the Ring-Free Meteor.[7] The 1938 sponsor, Pump Engineering Service Corp renamed the aircraft "The PESCO SPECIAL". In 1939, the Champion Spark Plug Co borrowed the name from its 1931 Pitcairn PCA-2 autogyro, giving the aircraft the name "Miss Champion". The original aircraft was put into storage at Weir Cook Airport for 29 years until it was restored, then donated to the Crawford Auto-Aviation Museum.[9] In December 1972 the plane along with many of Roscoe Turner's trophies were transferred to the Smithsonian.[10] The aircraft retired with less than 30 hours flying time.[11] The Cook Islands minted a $2 Coin in 2008 featuring the Laird-Turner Meteor LTR-14 as part of its 1930s Air Racing Collection[12] Data from SmithsonianGeneral characteristics Performance</t>
  </si>
  <si>
    <t>//upload.wikimedia.org/wikipedia/commons/thumb/b/b2/Laird_Turner_Special.jpg/300px-Laird_Turner_Special.jpg</t>
  </si>
  <si>
    <t>Lawrence Brown Aircraft Company</t>
  </si>
  <si>
    <t>50 U.S. gallons (190 L; 42 imp gal)</t>
  </si>
  <si>
    <t>1 × Pratt &amp; Whitney Twin Wasp , 1,000 hp (750 kW)</t>
  </si>
  <si>
    <t>3-bladed</t>
  </si>
  <si>
    <t>Roscoe Turner, Professor Howard Barlow</t>
  </si>
  <si>
    <t>https://en.wikipedia.org/Roscoe Turner, Professor Howard Barlow</t>
  </si>
  <si>
    <t>300 kn (350 mph, 560 km/h)</t>
  </si>
  <si>
    <t>symmetrical</t>
  </si>
  <si>
    <t>LTV L450F</t>
  </si>
  <si>
    <t>The LTV L450F, also known as the L45ØF,[1] was a prototype quiet reconnaissance aircraft, developed by Ling-Temco-Vought in the late 1960s for use in the Vietnam War by the United States. Based on the airframe of a Schweizer 2-32 sailplane, the aircraft flew in 1970, and was developed into the XQM-93 reconnaissance drone before the project was cancelled. Developed as a follow on to the Igloo White program, the L450F was intended to provide a quiet reconnaissance and communications relay aircraft.[1] Under a $1 million USD contract by LTV Electrosystems, the L450F was developed from a Schweizer SGS 2-32 sailplane, modified by Schweizer to LTV's specifications.[1] These modifications included stronger wing spars, thicker wing skin, installation of a Pratt &amp; Whitney PT6A turboprop engine driving a three-bladed propeller, and main landing gear based on that of the Grumman Ag-Cat agricultural aircraft.[1] An alternative configuration, using a piston engine, was also proposed.[1] The prototype L450F first flew in February 1970, but was  destroyed during its third flight, on 23 March that year, the pilot successfully bailing out. A second prototype was then completed and flown, successfully completing the testing program, and a third prototype was ordered as the unmanned XQM-93 drone, under the Compass Dwell project. Four examples of the XQM-93 were contracted for by the United States Air Force, however the Compass Dwell project was subsequently cancelled.[1][2] 27 March 1972 Donald R. Wilson reached the altitude of 15,456 m (50,708 ft) in horizontal flight flying the remaining L450F, registered N2450F, setting a new Fédération Aéronautique Internationale international record, Class C-1c, Group II[3] (Powered aeroplanes, takeoff weight 1000 to 1750 kg, turboprop). This record still stood as of 27 March 2012. Data from Janes[1]General characteristics Performance  Related development Aircraft of comparable role, configuration, and era  Related lists  Media related to LTV L450F at Wikimedia Commons</t>
  </si>
  <si>
    <t>//upload.wikimedia.org/wikipedia/commons/thumb/2/2f/LTV_L45%C3%98F.jpg/300px-LTV_L45%C3%98F.jpg</t>
  </si>
  <si>
    <t>Reconnaissance aircraft</t>
  </si>
  <si>
    <t>Ling-Temco-Vought</t>
  </si>
  <si>
    <t>https://en.wikipedia.org/Ling-Temco-Vought</t>
  </si>
  <si>
    <t>1 (pilot)</t>
  </si>
  <si>
    <t>29 ft (8.8 m)</t>
  </si>
  <si>
    <t>2,300 pounds (1,000 kg)</t>
  </si>
  <si>
    <t>1 × Pratt &amp; Whitney PT6A-29 , 778 shp (580 kW)</t>
  </si>
  <si>
    <t>2,600 ft/min (13 m/s)</t>
  </si>
  <si>
    <t>3-bladed Hartzell</t>
  </si>
  <si>
    <t>57 ft (17 m)</t>
  </si>
  <si>
    <t>6,000 mi (9,650 km, 5,210 nmi)</t>
  </si>
  <si>
    <t>52,000 ft (16,000 m)</t>
  </si>
  <si>
    <t>4,600 lb (2,087 kg)</t>
  </si>
  <si>
    <t>LTV XQM-93</t>
  </si>
  <si>
    <t>https://en.wikipedia.org/LTV XQM-93</t>
  </si>
  <si>
    <t>24–30 hours</t>
  </si>
  <si>
    <t>LWD Zuch</t>
  </si>
  <si>
    <t>The Zuch was a Polish aerobatics and trainer aircraft, built in 1948 in the LWD bureau and produced in a small series. The aircraft was a development of a military and civilian trainer plane LWD Junak-1, meant as a civilian aerobatics and trainer plane for the Polish Aero Club. It was designed in the Lotnicze Warsztaty Doświadczalne (LWD - Aircraft Experimental Workshops), a main designer was Tadeusz Sołtyk. The design was similar to Junak-1, the main difference was en engine. Unlike Junak, its fixed landing gear, in massive covers, was lacking struts. It was also fitted with split flaps and had slightly enlarged rudder (similar improvements were later adapted in Junak-2). Mixed construction (steel and wood) low-wing monoplane, conventional in layout. Fuselage of a steel frame, covered with canvas, in front with metal sheet. Two-spar wings of wooden construction and trapezoid shape, canvas and plywood covered, fitted with split flaps. Cockpit with two seats in tandem, under a multi-part closed canopy. Conventional fixed landing gear with a tail wheel, main gear in massive covers. Engine in front: Zuch-1: 6-cylinder inline engine Walter Minor 6-III (118 kW / 160 hp), Zuch-2: 7-cylinder radial engine Bramo Sh 14 (118 kW / 160 hp) with a ring cover with individual cowls for cylinders. Two-blade wooden propeller. The first variant Zuch-1 was powered by the Czechoslovak 160 hp Walter Minor 6-III inline engine in a long, slant nose. The prototype flew first on September 1, 1948. The design was quite successful and fit to aerobatics, but it did not enter production because of decision not to produce Walter Minor engines in Poland. The prototype served in aero clubs from 1950 until end of 1955, with markings SP-BAD. The second prototype Zuch-2 was fitted with a radial engine Bramo Sh 14. It was flown on April 1, 1949 and carried markings SP-BAG. Because of increased drag, maximum speed was lower - 222 km/h comparing to 244 km/h of Zuch-1. Because there were several Sh 14 engines available, left in the country by retreating Germans, the LWD next built a short series of 5 Zuch-2s in 1950. They carried markings SP-BAL - SP-BAP and served in aero clubs until 1955, except SP-BAM, which served until 1963. Data from[citation needed]General characteristics Performance  Related development Aircraft of comparable role, configuration, and era</t>
  </si>
  <si>
    <t>//upload.wikimedia.org/wikipedia/commons/thumb/d/d4/LWD_Zuch_2_-_Muzeum_Lotnictwa_Krak%C3%B3w.jpg/300px-LWD_Zuch_2_-_Muzeum_Lotnictwa_Krak%C3%B3w.jpg</t>
  </si>
  <si>
    <t>Trainer/aerobatics aircraft</t>
  </si>
  <si>
    <t>Lotnicze Warsztaty Doświadczalne</t>
  </si>
  <si>
    <t>https://en.wikipedia.org/Lotnicze Warsztaty Doświadczalne</t>
  </si>
  <si>
    <t>7.61 m (25 ft 0 in)</t>
  </si>
  <si>
    <t>2.1 m (6 ft 11 in)</t>
  </si>
  <si>
    <t>17.5 m2 (188 sq ft)</t>
  </si>
  <si>
    <t>1 × Bramo Sh 14 7-cylinder air-cooled radial piston engine, 120 kW (160 hp)</t>
  </si>
  <si>
    <t>181 km/h (112 mph, 98 kn)</t>
  </si>
  <si>
    <t>36 m/s (7,100 ft/min)</t>
  </si>
  <si>
    <t>2-bladed propeller</t>
  </si>
  <si>
    <t>58.3 kg/m2 (11.9 lb/sq ft)</t>
  </si>
  <si>
    <t>1,160 km (720 mi, 630 nmi)</t>
  </si>
  <si>
    <t>4,750 m (15,580 ft)</t>
  </si>
  <si>
    <t>222 km/h (138 mph, 120 kn)</t>
  </si>
  <si>
    <t>LWD Junak-1</t>
  </si>
  <si>
    <t>https://en.wikipedia.org/LWD Junak-1</t>
  </si>
  <si>
    <t>1948-1950</t>
  </si>
  <si>
    <t>https://en.wikipedia.org/1949</t>
  </si>
  <si>
    <t>https://en.wikipedia.org/1963</t>
  </si>
  <si>
    <t>Bréguet 270</t>
  </si>
  <si>
    <t>The Breguet 27 was a 1930s French biplane military reconnaissance aircraft, built for the Armée de l'Air (French Air Force) and for export to Venezuela and China. The Bréguet 27 was designed in response to a 1928 request for proposals by the Armée de l'Air for a two-seat observation aircraft to replace the Bréguet 19.[1] Bréguet submitted a large all-metal sesquiplane with an unusual fuselage that ended abruptly, aft of the two open cockpits. The empennage was mounted on a boom behind the fuselage. Construction was largely of steel tubing with non-structural aluminium alloy sheeting and fabric covering for wings and empennage. The prototype exhibited mediocre performance during flight trials. Nonetheless the military placed orders for 85 aircraft in 1930 and 45 in 1932, this latter batch having a more powerful engine fitted. Two high-altitude reconnaissance versions were also built as the Breguet 33, but these did not lead to further production. Breguet 27s continued in military service through the outbreak of World War II, still equipping three Groupes at the time of the initial German offensive. After they began suffering combat losses, the Army withdrew all remaining examples from service. The two Breguet 33 high-altitude reconnaissance prototypes were used to make significant long-distance flights. The first aircraft was flown from Paris to Hanoi in January 1932 by Paul Codos and Henri Robida in 7 days, 9 hours and 50 minutes, and back again in just 3 days 4 hours and 17 minutes. The second aircraft (christened Joé III) was flown by Maryse Hilsz on a tour of Asia, visiting Calcutta, Saigon, Hanoi, and Tokyo before returning to Paris via Saigon, eventually covering around 35,000 km (22,000 mi). Hilsz also won the 1936 Coupe Héléne Boucher flying a Breguet 27 at an average speed of 277 km/h (172 mph). The French army ordered 85 270s in 1930. In 1932, 45 Breguet 271s, with a more powerful 484 kW (650 hp) engine, and larger useful load were ordered. Older 270s were modified for VIP liaison duties. Data from [3]General characteristics Performance Armament     Related lists</t>
  </si>
  <si>
    <t>//upload.wikimedia.org/wikipedia/commons/thumb/d/de/Breguet_274.jpg/300px-Breguet_274.jpg</t>
  </si>
  <si>
    <t>over 227</t>
  </si>
  <si>
    <t>two, pilot and observer</t>
  </si>
  <si>
    <t>9.76 m (32 ft 0 in)</t>
  </si>
  <si>
    <t>3.58 m (11 ft 9 in)</t>
  </si>
  <si>
    <t>49.67 m2 (534.6 sq ft)</t>
  </si>
  <si>
    <t>1,676 kg (3,695 lb)</t>
  </si>
  <si>
    <t>2,550 kg (5,622 lb)</t>
  </si>
  <si>
    <t>490 L (130 US gal; 110 imp gal) (maximum)</t>
  </si>
  <si>
    <t>1 × Hispano-Suiza 12Hb water-cooled V12 engine, 370 kW (500 hp)</t>
  </si>
  <si>
    <t>2-bladed Bréguet, 3.05 m (10 ft 0 in) diameter</t>
  </si>
  <si>
    <t>{'Bre.270': 'ototypes (ten built) and initial production version (143 built) powered by a single Hispano-Suiza 12Hb engine.[2]', 'Bre.271': 'rsion powered by the Hispano-Suiza 12Y engine, 45 built.', 'Bre.272': 'rsion powered by the Gnome-Rhône 9Kdrs engine, two built.', 'Bre.272TOE': 'héatres des Operations Extérieures) Version optimised for harsh colonial conditions with Renault 9Fas radial engine, 1 built.', 'Bre.273': 'connaissance-bomber variant for export, powered by a Hispano-Suiza 12Ybrs engine, 13 built and one converted from a Bre 270. Ten more were built for China powered by Hispano-Suiza 12Ydrs engines, with three also being modified from Hispano-Suiza 12Ybrs powered versions.', 'Bre.274': 'rsion powered by the Gnome-Rhône 14Kdrs engine, raced by Maryse Hilsz in 1936, one built.', 'Bre.330': 'gh-altitude version of Breguet 27 with Hispano-Suiza 12Nb engine, one later redesignated Bre.27S, two built.', 'Bre.27S': 'two built.', '[object HTMLElement]': {}}</t>
  </si>
  <si>
    <t>1,000 km (620 mi, 540 nmi)</t>
  </si>
  <si>
    <t>7,750 m (25,430 ft) (absolute ceiling)</t>
  </si>
  <si>
    <t>Marcel Vuillierme, Rene Dorand</t>
  </si>
  <si>
    <t>236 km/h (147 mph, 127 kn)</t>
  </si>
  <si>
    <t>2,900 kg (6,393 lb)</t>
  </si>
  <si>
    <t>17.01 m (55 ft 10 in)</t>
  </si>
  <si>
    <t>7.58 m (24 ft 10 in)</t>
  </si>
  <si>
    <t>1 × fixed, forward-firing 7.7 mm (.303 in) Vickers machine gun1 × trainable, rearward-firing 7.7 mm (.303 in) Lewis Guns for observer</t>
  </si>
  <si>
    <t>12 × 10 kg (22 lb) bombs</t>
  </si>
  <si>
    <t>6 min 10 s to 2,000 m (6,600 ft)29 min to 6,000 m (20,000 ft)</t>
  </si>
  <si>
    <t>Armée de l'AirVenezuelan Air Force and China</t>
  </si>
  <si>
    <t>https://en.wikipedia.org/Armée de l'AirVenezuelan Air Force and China</t>
  </si>
  <si>
    <t>Bréguet 960 Vultur</t>
  </si>
  <si>
    <t>The Bréguet Br 960 Vultur was a prototype two-seat carrier-based attack and anti-submarine aircraft (ASW) built for the French Navy (Marine Nationale) during the early 1950s. Meeting contradictory endurance and speed requirements, it was designed as a "mixed-power" aircraft with a turboprop engine in the front and a turbojet in the rear. Only two examples were built, but the second aircraft was rebuilt as the prototype of the Bréguet 1050 Alizé ASW aircraft after the Navy dropped the idea of a turboprop attack aircraft in the mid-1950s. On 12 November 1947, Naval Aviation (Aéronavale) issued a specification for a carrier-based attack and anti-submarine aircraft capable of carrying bombs, depth charges, guided missiles, rockets and torpedoes and using rockets to assist its take off. The aircraft needed to have an endurance of four hours at sea level and be able to reach speeds between 300 and 700 kilometers per hour (190 and 430 mph). Its landing speed had to be less than 155 km/h (96 mph) and the crew protected by armor.[1] Bréguet recognized that the speed requirements were contradictory and could only be met by a mixed-power design that combined a diminutive Armstrong Siddeley Mamba turboprop in the nose with a Rolls-Royce Nene turbojet in the tail. The Br 960 Vultur ("Vulture") was a low-wing monoplane with an oval-shaped monocoque fuselage and tricycle landing gear. Its two-spar wing featured a swept leading edge and a straight trailing edge which used hydraulic mechanisms to fold vertically. The tailplane was similarly swept and had 16° of dihedral. There was a 600-litre (130 imp gal; 160 US gal) self-sealing fuel tank in the fuselage and a 350-litre (77 imp gal; 92 US gal) self-sealing tank in each outer wing panel. The aircraft accommodated a pilot and copilot sitting side-by-side in a framed canopy.[2] The first prototype was fitted with a 970-shaft-horsepower (720 kW) Mamba I engine and a 21.6-kilonewton (4,900 lbf) Nene 101 turbojet which had its air supplied by ducts in the wing roots. The aircraft made its first flight on 4 August 1951 and proved to be very underpowered, so much so that it could not be flown at full load without the Nene running. The second prototype incorporated modifications that addressed some of the problems revealed by the flight testing of the earlier aircraft. It first flew on 15 September 1952 with more powerful engines, a 1,320 shp (980 kW) Mamba III with 1.8 kN (400 lbf) of residual thrust and a 22.2 kN (5,000 lbf) Nene. Installed on its wingtips were small nacelles; the port one contained a 100-litre (22 imp gal; 26 US gal) unprotected fuel tank while the starboard nacelle housed an attack radar. The first prototype proved to have poor flying characteristics, but the second aircraft met all of the requirements of the specifications and demonstrated satisfactory carrier catapulting and landing qualities at the Royal Aircraft Establishment's facility at Farnborough Airfield in early 1953 (no French facility was equipped to evaluate those things at that time). Both aircraft gave no warning of an impending stall. The first prototype was later modified to test engine air blown through slots in the upper surface of the wing intended to improve lift as the Br 963.[3] The aircraft was fitted with a single hardpoint below the fuselage that could carry a 1,000 kg (2,200 lb) payload. Under the wings were four launchers that could carry two rockets apiece. In addition to bombs, the under-fuselage hardpoint was equipped to carry a more powerful search radar in a container.[4] When Aéronavale lost interest in a turboprop attack aircraft in 1953–1954, but was keen to purchase a new dedicated anti-submarine warfare platform, Bréguet modified the second prototype as a proof-of-concept demonstrator. The Nene was removed and its tailpipe was blanked off while the turboprop was upgraded to a more powerful Mamba VI model. A retractable AN/APS-15 search radar was installed in the fuselage while both wingtip nacelles were removed. Additional fuel tanks replaced the engine air ducts and wheel wells in the inner wing sections and the landing gear was modified to retract forward into large nacelles on the wing leading edges. Now known as the Br 965 Épaulard  ("Killer Whale"), it made its first flight on 26 March 1956 and was the immediate forerunner of the Bréguet 1050 Alizé. It continued to fly until it had a landing accident on 2 May after which it was used as a source of spares of the first prototype.[5] Data from X-Planes of Europe II;[9] Les Avions Breguet (1940/1971)[10]General characteristics Performance Armament  Related development Aircraft of comparable role, configuration, and era   The initial version of this article was based on a public domain article from Greg Goebel's Vectorsite.</t>
  </si>
  <si>
    <t>//upload.wikimedia.org/wikipedia/en/thumb/0/02/Br%C3%A9guet_960_Vultur.jpg/300px-Br%C3%A9guet_960_Vultur.jpg</t>
  </si>
  <si>
    <t>Attack and ASW aircraft</t>
  </si>
  <si>
    <t>Bréguet Aviation</t>
  </si>
  <si>
    <t>https://en.wikipedia.org/Bréguet Aviation</t>
  </si>
  <si>
    <t>two</t>
  </si>
  <si>
    <t>13.35 m (43 ft 10 in)</t>
  </si>
  <si>
    <t>36.3 m2 (391 sq ft)</t>
  </si>
  <si>
    <t>1 × Rolls-Royce Nene 104 turbojet, 22.2 kN (5,000 lbf) thrust</t>
  </si>
  <si>
    <t>4-bladed Rotol constant-speed propeller, 2.8 m (9 ft 2 in) diameter</t>
  </si>
  <si>
    <t>{'[object HTMLElement]': {}}</t>
  </si>
  <si>
    <t>16.7 m (54 ft 9 in)</t>
  </si>
  <si>
    <t>12,800 m (42,000 ft)</t>
  </si>
  <si>
    <t>900 km/h (560 mph, 490 kn) turboprop and jet</t>
  </si>
  <si>
    <t>9,800 kg (21,605 lb)</t>
  </si>
  <si>
    <t>Bréguet 1050 Alizé</t>
  </si>
  <si>
    <t>https://en.wikipedia.org/Bréguet 1050 Alizé</t>
  </si>
  <si>
    <t>400 km/h (249 mph) on turboprop power only</t>
  </si>
  <si>
    <t>Brändli BX-2 Cherry</t>
  </si>
  <si>
    <t>The Brändli BX-2 Cherry is two-seat sport homebuilt aircraft, designed by Max Brändli. More than one hundred had been constructed by 2010. Max Brändli designed the Cherry in 1979 when he was 55 years old and started its construction in his cellar. He carried out all the structural and aerodynamic calculations and supervised the building, which took 3½ years and 5,500 hours of work.[1]  He also flew it on its first flight on 24 April 1982.[2] The Cherry is a low wing monoplane.  It has a wood-framed fuselage and wings with wooden spars, styrofoam cores and glass fibre covering. The inner sections of the wings have constant chord and carry flaps; the outer sections are straight tapered with ailerons.  The wings can be removed rapidly for transport. The tail surfaces are straight tapered and the stabilator is fitted with a full-span anti-servo tab.[2][3] The Cherry seats two, in side-by-side configuration under a large, almost fully transparent, forward sliding canopy. It has a retractable tricycle undercarriage, with simple, outward folding main gear.[2] A non-retractable undercarriage is an option.[1] The prototype was powered by a 65 hp (49 kW) Continental A65 flat four engine; since then, Cherrys have used flat fours with power of up to 100 hp (75 kW), including some from the Continental range, the Volkswagen-derived Limbach L.2400 and the Rotax 912.[2][3] Also the flat 2-cylinder motorcycle derived BMW R1200GS has been used.[4] The Cherry is kit-built from plans, with some components provided.[2] By 2010, more than 240 sets of plans had been sold and over 100 aircraft completed.[1]  In mid-2010, 76 were registered in Europe west of Russia,[5][6] flying in Austria, the Czech Republic, France, Germany, the Netherlands, Switzerland, Slovenia and the UK.[1] The prototype Cherry, HB-YBX flew around Europe for 25 years; in 2009, it crashed after take-off from Sundsvall-Härnösand Airport in Sweden, killing both Dani Gerwer and its designer, Max Brändli.[1]  Data from Simpson p.114[2]General characteristics Performance</t>
  </si>
  <si>
    <t>//upload.wikimedia.org/wikipedia/commons/thumb/0/06/HB-YBX_Brandli_BX-2_Cherry.jpg/300px-HB-YBX_Brandli_BX-2_Cherry.jpg</t>
  </si>
  <si>
    <t>2-seat sport homebuilt aircraft</t>
  </si>
  <si>
    <t>https://en.wikipedia.org/2-seat sport homebuilt aircraft</t>
  </si>
  <si>
    <t>&gt;100 by 2010</t>
  </si>
  <si>
    <t>5.31 m (17 ft 5 in)</t>
  </si>
  <si>
    <t>1.7 m (5 ft 7 in)</t>
  </si>
  <si>
    <t>320 kg (705 lb)</t>
  </si>
  <si>
    <t>1 × Teledyne Continental C90 4-cylinder horizontally opposed air-cooled, 67 kW (90 hp)</t>
  </si>
  <si>
    <t>3.0 m/s (590 ft/min)</t>
  </si>
  <si>
    <t>6.98 m (22 ft 11 in)</t>
  </si>
  <si>
    <t>800 km (500 mi, 430 nmi)</t>
  </si>
  <si>
    <t>Max Brändli</t>
  </si>
  <si>
    <t>https://en.wikipedia.org/Max Brändli</t>
  </si>
  <si>
    <t>260 km/h (160 mph, 140 kn)</t>
  </si>
  <si>
    <t>7 h[1]</t>
  </si>
  <si>
    <t>Curtiss Robin</t>
  </si>
  <si>
    <t>The Curtiss Robin, introduced in 1928, was a high-wing monoplane built by the Curtiss-Robertson Airplane Manufacturing Company. The J-1 version was flown by Wrongway Corrigan who crossed the Atlantic after being refused permission. The Robin, a workmanlike cabin monoplane, had a wooden wing and steel tubing fuselage. The cabin accommodated three persons; two passengers were seated side-by-side behind the pilot. Early Robins were distinguished by large flat fairings over the parallel diagonal wing bracing struts; the fairings were abandoned on later versions, having been found to be ineffective in creating lift.[1] The original landing gear had bungee rubber cord shock absorbers, later replaced by an oleo-pneumatic system; a number of Robins had twin floats added.[2] Variants of the Robin were fitted with engines which developed 90–185 hp (67–138 kW).[2] A single modified Robin (with a 110 hp (82 kW) Warner R-420-1) was used by the United States Army Air Corps, and designated the XC-10. This aircraft was used in a test program for radio-controlled (and unmanned) flight.[2] Cuba's national airline, Compañía Nacional Cubana de Aviación Curtiss, was founded in 1929 with the Curtiss-Wright company serving as its co-founder and major investor. The airline's first aircraft was a Curtiss Robin and it was flown on domestic routes as a mail and passenger transport. From September 1929 to May 1930 a Robin C-1 was used to deliver the McCook, Nebraska Daily Gazette to communities in rural Nebraska and Kansas. The airplane flew a nonstop route of 380 miles (610 km) daily, dropping bundles of newspapers from a height of 500 feet (150 m) to local carriers.[3] A Curtiss Robin C was purchased by the Paraguayan government in 1932 for the transport squadron of its air arm. It was intensively used as a VIP transport plane and air ambulance during the Chaco War (1923–1935). Data from:Curtiss aircraft : 1907-1947[2] Data from Curtiss Aircraft 1907–1947,[2] Jane's all the World's Aircraft 1928[39]General characteristics Performance  Related development   Related lists</t>
  </si>
  <si>
    <t>//upload.wikimedia.org/wikipedia/commons/thumb/c/cd/Curtiss_Robin_1.JPG/300px-Curtiss_Robin_1.JPG</t>
  </si>
  <si>
    <t>Touring</t>
  </si>
  <si>
    <t>Curtiss-Robertson Airplane Manufacturing Company</t>
  </si>
  <si>
    <t>https://en.wikipedia.org/Curtiss-Robertson Airplane Manufacturing Company</t>
  </si>
  <si>
    <t>A number still flying[1]</t>
  </si>
  <si>
    <t>769[1]</t>
  </si>
  <si>
    <t>2 pax / 425 lb (193 kg) payload</t>
  </si>
  <si>
    <t>7 ft 10 in (2.4 m)</t>
  </si>
  <si>
    <t>262.5 sq ft (24.39 m2)</t>
  </si>
  <si>
    <t>1,475 lb (669 kg)</t>
  </si>
  <si>
    <t>50 US gal (42 imp gal; 190 l) fuel; 5 US gal (4.2 imp gal; 19 l) oil</t>
  </si>
  <si>
    <t>1 × Curtiss OX-5 V-8 water-cooled piston engine, 90 hp (67 kW)</t>
  </si>
  <si>
    <t>450 ft/min (2.3 m/s)</t>
  </si>
  <si>
    <t>2-bladed fixed pitch propeller</t>
  </si>
  <si>
    <t>8.2 lb/sq ft (40 kg/m2)</t>
  </si>
  <si>
    <t>41 ft 0 in (12.5 m)</t>
  </si>
  <si>
    <t>785 mi (1,263 km, 682 nmi) cruising; 580 mi (500 nmi; 930 km) at full throttle</t>
  </si>
  <si>
    <t>7 August 1928[1]</t>
  </si>
  <si>
    <t>99.7 mph (160.5 km/h, 86.6 kn)</t>
  </si>
  <si>
    <t>U. S. Private Owner Market[1]</t>
  </si>
  <si>
    <t>2,175 lb (987 kg)</t>
  </si>
  <si>
    <t>Curtiss C-72[40]</t>
  </si>
  <si>
    <t>0.0465 hp/lb (0.0764 kW/kg)</t>
  </si>
  <si>
    <t>3,800 ft (1,200 m) in 10 minutes</t>
  </si>
  <si>
    <t>45 mph (39 kn; 72 km/h)</t>
  </si>
  <si>
    <t>Giles G-202</t>
  </si>
  <si>
    <t>The Giles G-202 is an unlimited-level aerobatic airplane designed by Richard Giles. This carbon fiber composite monoplane was manufactured by AkroTech Aviation in Troutdale, Oregon. The tandem two-seater was based upon the single-seater Giles G-200.[2] The G-202 was produced and sold as kit plane by AkroTech, and slightly modified as the CAP 222 by Avions Mudry (France).[3][4] Data from [8][9]General characteristics Performance  Media related to Giles G-202 at Wikimedia Commons</t>
  </si>
  <si>
    <t>//upload.wikimedia.org/wikipedia/commons/thumb/9/94/Giles_G-202.jpg/300px-Giles_G-202.jpg</t>
  </si>
  <si>
    <t>aerobatic aircraft</t>
  </si>
  <si>
    <t>https://en.wikipedia.org/aerobatic aircraft</t>
  </si>
  <si>
    <t>AkroTech AviationAvions Mudry</t>
  </si>
  <si>
    <t>https://en.wikipedia.org/AkroTech AviationAvions Mudry</t>
  </si>
  <si>
    <t>At least 26[1]</t>
  </si>
  <si>
    <t>one or two pilots</t>
  </si>
  <si>
    <t>5.89 m (19 ft 4 in)</t>
  </si>
  <si>
    <t>1.70 m (5 ft 7 in) [10][11]</t>
  </si>
  <si>
    <t>450–500 kg (992–1,102 lb)</t>
  </si>
  <si>
    <t>1 × Lycoming AEIO-360-A1E piston engine, 175 kW (235 hp)</t>
  </si>
  <si>
    <t>259 km/h (161 mph, 140 kn)</t>
  </si>
  <si>
    <t>6.71 m (22 ft 0 in)</t>
  </si>
  <si>
    <t>107 km/h (66 mph, 58 kn)</t>
  </si>
  <si>
    <t>415 km/h (258 mph, 220 kn) [11][12] - higher values according to other sources</t>
  </si>
  <si>
    <t>Richard Giles</t>
  </si>
  <si>
    <t>726 kg (1,600 lb) cruise; 640 kg (1,400 lb) max aerobatic weight; 1,200 lb (540 kg) max weight for competition aerobatics[11]</t>
  </si>
  <si>
    <t>Giles G-200</t>
  </si>
  <si>
    <t>https://en.wikipedia.org/Giles G-200</t>
  </si>
  <si>
    <t>&gt;400°/s</t>
  </si>
  <si>
    <t>about 40-60 L/h</t>
  </si>
  <si>
    <t>cruise</t>
  </si>
  <si>
    <t>+/-10g</t>
  </si>
  <si>
    <t>Breda Ba.19</t>
  </si>
  <si>
    <t>The Breda Ba.19 was an Italian single-seat aerobatic biplane aircraft developed as an air force trainer in 1928. The Breda Ba.19 was a single-bay, unequal-span, unstaggered biplane of conventional configuration which seated its pilot in an open cockpit. A few Ba.19s were produced as two-seaters with a second open cockpit in tandem with the first. The Ba.19s were used throughout the 1930s for display flights by the Squadriglia di Alta Acrobazia Aerea, performing formation aerobatics. General characteristics Performance</t>
  </si>
  <si>
    <t>//upload.wikimedia.org/wikipedia/commons/thumb/3/37/Breda_Ba.19.jpg/300px-Breda_Ba.19.jpg</t>
  </si>
  <si>
    <t>Military aerobatic trainer</t>
  </si>
  <si>
    <t>Breda</t>
  </si>
  <si>
    <t>https://en.wikipedia.org/Breda</t>
  </si>
  <si>
    <t>1, pilot</t>
  </si>
  <si>
    <t>6.60 m (21 ft 8 in)</t>
  </si>
  <si>
    <t>2.20 m (7 ft 3 in)</t>
  </si>
  <si>
    <t>25.0 m2 (269 sq ft)</t>
  </si>
  <si>
    <t>735 kg (1,620 lb)</t>
  </si>
  <si>
    <t>1 × Alfa Romeo licence-built Armstrong Siddeley Lynx radial , 149 kW (200 hp)</t>
  </si>
  <si>
    <t>9.00 m (29 ft 6 in)</t>
  </si>
  <si>
    <t>840 km (522 mi, 454 nmi)</t>
  </si>
  <si>
    <t>7,000 m (22,960 ft) [1]</t>
  </si>
  <si>
    <t>Cesare Pallavicino</t>
  </si>
  <si>
    <t>https://en.wikipedia.org/Cesare Pallavicino</t>
  </si>
  <si>
    <t>210 km/h (131 mph, 114 kn)</t>
  </si>
  <si>
    <t>Regia Aeronautica</t>
  </si>
  <si>
    <t>https://en.wikipedia.org/Regia Aeronautica</t>
  </si>
  <si>
    <t>https://en.wikipedia.org/1928</t>
  </si>
  <si>
    <t>https://en.wikipedia.org/1931</t>
  </si>
  <si>
    <t>Sukhoi Su-28</t>
  </si>
  <si>
    <t>The Sukhoi Su-28 is a downgraded variant of the Su-25UB / Su-25T, with reductions in avionics and aircraft systems, together with the elimination of all weapon-carrying capability. The Su-28 trainer is intended for technical skill, general flight and formation flying training. It is also used as an aerobatic aircraft The Su-28 is a highly maneuverable and robust aircraft with the ability to perform take-off and landing with only one of its two engines running. The aircraft's engines can also run on a diesel based fuel as opposed to more traditional aviation fuel. Like the MiG-29, it also has the ability to operate from unpaved runways while maintaining high reliability and a low maintenance requirement. In addition, the Su-28 can withstand heavy landings, allowing it to be more forgiving in the training role. Range can be extended by up to four PTB-800 drop tanks, each of 800 L capacity. Differences between the Su-28 and its parent Su-25UB model include the absence of targeting systems, weapon-operating systems, internal guns, wing pylons (used on military aircraft to mount weaponry such as bombs and missiles). It also lacks armor protection for the engines,  electronic countermeasures and any systems dedicated to ground attack operations. Data from AirWar.ruGeneral characteristics Performance  Related development</t>
  </si>
  <si>
    <t>//upload.wikimedia.org/wikipedia/commons/thumb/8/89/Su-25UT_Frogfoot_02.jpg/300px-Su-25UT_Frogfoot_02.jpg</t>
  </si>
  <si>
    <t>Trainer</t>
  </si>
  <si>
    <t>Sukhoi</t>
  </si>
  <si>
    <t>https://en.wikipedia.org/Sukhoi</t>
  </si>
  <si>
    <t>15.36 m (50 ft 5 in)</t>
  </si>
  <si>
    <t>4.8 m (15 ft 9 in)</t>
  </si>
  <si>
    <t>33.7 m2 (363 sq ft)</t>
  </si>
  <si>
    <t>4,500 kg (9,921 lb) [citation needed]</t>
  </si>
  <si>
    <t>12,000 kg (26,455 lb)</t>
  </si>
  <si>
    <t>2,750 kg (6,063 lb) internal + 4 × 1,150 kg (2,535 lb) drop tanks</t>
  </si>
  <si>
    <t>2 × Tumansky TRD R-95Sh turbofan engines, 40 kN (9,000 lbf) thrust  each</t>
  </si>
  <si>
    <t>85 m/s (16,700 ft/min)</t>
  </si>
  <si>
    <t>14.36 m (47 ft 1 in)</t>
  </si>
  <si>
    <t>1,050 km (650 mi, 570 nmi) at high altitude, 560 km at low altitude</t>
  </si>
  <si>
    <t>950 km/h (590 mph, 510 kn)</t>
  </si>
  <si>
    <t>Russian Air Force</t>
  </si>
  <si>
    <t>17,222 kg (37,968 lb)</t>
  </si>
  <si>
    <t>Sukhoi Su-25</t>
  </si>
  <si>
    <t>https://en.wikipedia.org/Sukhoi Su-25</t>
  </si>
  <si>
    <t>https://en.wikipedia.org/Russian Air Force</t>
  </si>
  <si>
    <t>+6</t>
  </si>
  <si>
    <t>2,150 km (1,340 mi, 1,160 nmi)</t>
  </si>
  <si>
    <t>Akaflieg Berlin B9</t>
  </si>
  <si>
    <t>The Akaflieg Berlin B 9 was a twin-engined[1] experimental aircraft, developed by Akaflieg Berlin and Flugtechnische Fachgruppe in the 1940s. It was designed to examine the benefits of having a pilot in a prone position. The aircraft was flown in 1943, but was eventually abandoned. Data from FFG-Berlin B9[2]General characteristics Performance   Aircraft of comparable role, configuration, and era  Related lists</t>
  </si>
  <si>
    <t>//upload.wikimedia.org/wikipedia/commons/thumb/8/8b/Akaflieg_Berlin_B9.jpg/300px-Akaflieg_Berlin_B9.jpg</t>
  </si>
  <si>
    <t>https://en.wikipedia.org/Experimental aircraft</t>
  </si>
  <si>
    <t>Akaflieg Berlin</t>
  </si>
  <si>
    <t>https://en.wikipedia.org/Akaflieg Berlin</t>
  </si>
  <si>
    <t>Prototype only</t>
  </si>
  <si>
    <t>6.06 m (19 ft 11 in)</t>
  </si>
  <si>
    <t>2.32 m (7 ft 7 in)</t>
  </si>
  <si>
    <t>11.9 m2 (128 sq ft)</t>
  </si>
  <si>
    <t>940 kg (2,072 lb)</t>
  </si>
  <si>
    <t>1,115 kg (2,458 lb)</t>
  </si>
  <si>
    <t>95L</t>
  </si>
  <si>
    <t>2 × Hirth HM 500 4-cylinder air-cooled inverted in-line piston engine, 77 kW (103 hp)105PS each</t>
  </si>
  <si>
    <t>9.4 m (30 ft 10 in)</t>
  </si>
  <si>
    <t>250 km/h (160 mph, 130 kn)</t>
  </si>
  <si>
    <t>Miles M.30</t>
  </si>
  <si>
    <t>The Miles M.30 X-Minor was an experimental aircraft, designed by Miles Aircraft to evaluate the characteristics of blended fuselage and wing intersections. Begun in 1938, the X series of designs was Miles designation M.26, covering a wide range of aircraft designs from small feeder-liners to very large 8-engined transatlantic transports. To investigate the design philosophy of the blended wing/body Miles was given a contract to design and build a sub-scale flying model of the X.9 design, which emerged as the M.30 X-Minor. The small size of the X Minor made it impossible to follow the buried engine design exactly; the engines were too large and had to be mounted externally, resulting in an aircraft similar in layout but differing in aerodynamics. The X Minor first flew in February 1942, providing Miles with useful data for several years. A larger scale prototype of the X transport was planned but never built. Data from Miles aircraft since 1925 [1]General characteristics Performance   Aircraft of comparable role, configuration, and era  Related lists</t>
  </si>
  <si>
    <t>//upload.wikimedia.org/wikipedia/commons/thumb/3/36/Miles_M.30_X_Minor.jpg/300px-Miles_M.30_X_Minor.jpg</t>
  </si>
  <si>
    <t>Miles Aircraft</t>
  </si>
  <si>
    <t>https://en.wikipedia.org/Miles Aircraft</t>
  </si>
  <si>
    <t>26 ft 3 in (8.00 m)</t>
  </si>
  <si>
    <t>9 ft (2.7 m)</t>
  </si>
  <si>
    <t>2,710 lb (1,229 kg)</t>
  </si>
  <si>
    <t>4,240 lb (1,923 kg)</t>
  </si>
  <si>
    <t>2 × de Havilland Gipsy Major 4-cyl inverted in-line air-cooled piston engine, 130 hp (97 kW)  each</t>
  </si>
  <si>
    <t>2-bladed fixed-pitch propellers</t>
  </si>
  <si>
    <t>21.2 lb/sq ft (104 kg/m2)</t>
  </si>
  <si>
    <t>Miles M.26</t>
  </si>
  <si>
    <t>33 ft (10 m) 38 ft 6 in (11.73 m) when extended later</t>
  </si>
  <si>
    <t>https://en.wikipedia.org/Miles M.26</t>
  </si>
  <si>
    <t>0.0613 hp/lb</t>
  </si>
  <si>
    <t>Bréguet 16</t>
  </si>
  <si>
    <t>The Breguet 16 was a bomber biplane produced in France toward the end of World War I. The design of the Breguet 16 was essentially a scaled-up version of Breguet's highly successful 14 — a conventionally configured biplane with two-bay, unstaggered, equal-span wings. Trials in 1918 proved promising, and mass production by several French manufacturers, under licence from Breguet, was planned for 1919. These plans were discarded upon the Armistice, but more limited production was revived in the early 1920s as the French Air Force began a programme of modernisation.[1] In service, the single-engine Breguet 16 was used to replace obsolete twin-engine Farman F.50s in the night bomber role as the Bre.16Bn.2. Some of the 200 aircraft built were deployed to Syria and Morocco, and Breguet also managed to sell some to the military air arms of China and Czechoslovakia.[2] A single Breguet 16 was acquired by the Portuguese Air Force in 1924 for an attempted flight between Portugal and Macau, but the attempt failed, with the aircraft being destroyed in a forced landing in India.[3] General characteristics Performance Armament</t>
  </si>
  <si>
    <t>//upload.wikimedia.org/wikipedia/commons/thumb/e/e4/Breguet_Bre.16Bn.2_Patria.jpg/300px-Breguet_Bre.16Bn.2_Patria.jpg</t>
  </si>
  <si>
    <t>Night bomber</t>
  </si>
  <si>
    <t>https://en.wikipedia.org/Night bomber</t>
  </si>
  <si>
    <t>ca. 200</t>
  </si>
  <si>
    <t>Two, pilot and observer</t>
  </si>
  <si>
    <t>3.32 m (10 ft 11 in)</t>
  </si>
  <si>
    <t>75.5 m2 (813 sq ft)</t>
  </si>
  <si>
    <t>1,265 kg (2,789 lb)</t>
  </si>
  <si>
    <t>2,200 kg (4,850 lb)</t>
  </si>
  <si>
    <t>1 × Renault 12Fe , 224 kW (300 hp)</t>
  </si>
  <si>
    <t>16.96 m (55 ft 8 in)</t>
  </si>
  <si>
    <t>900 km (559 mi, 486 nmi)</t>
  </si>
  <si>
    <t>4,600 m (15,090 ft)</t>
  </si>
  <si>
    <t>Marcel Vuillierme</t>
  </si>
  <si>
    <t>https://en.wikipedia.org/Marcel Vuillierme</t>
  </si>
  <si>
    <t>https://en.wikipedia.org/1921</t>
  </si>
  <si>
    <t>https://en.wikipedia.org/1926</t>
  </si>
  <si>
    <t>Brochet MB.100</t>
  </si>
  <si>
    <t>The Brochet MB.100 was a three-seat light aircraft developed in France in the early 1950s. A further derivative of the Brochet MB.70, the MB.100 uses essentially the same airframe as the MB.80, but with a revised tail and cabin, the latter now including a third seat. Service de l'Aviation Légère et Sportive purchased several examples for distribution to French aeroclubs, including a number of tropicalised versions for use in North Africa. Unlike its predecessors, the MB.100 was not designed for homebuilding. Data from Janes's All The World's Aircraft 1956–57[1]General characteristics Performance</t>
  </si>
  <si>
    <t>Brochet</t>
  </si>
  <si>
    <t>https://en.wikipedia.org/Brochet</t>
  </si>
  <si>
    <t>2 passengers</t>
  </si>
  <si>
    <t>6.50 m (21 ft 4 in)</t>
  </si>
  <si>
    <t>2.0 m (6 ft 7 in)</t>
  </si>
  <si>
    <t>14.23 m2 (153.2 sq ft)</t>
  </si>
  <si>
    <t>465 kg (1,025 lb)</t>
  </si>
  <si>
    <t>780 kg (1,720 lb)</t>
  </si>
  <si>
    <t>1 × Hirth HM 504 four-cylinder inverted air-cooled engine, 68 kW (91 hp)</t>
  </si>
  <si>
    <t>{'MB.100': ' initial production version (7 built)', 'MB.101': ' tropicalised version with engine air filter and more durable exterior finish (14 built)'}</t>
  </si>
  <si>
    <t>10.66 m (35 ft 0 in)</t>
  </si>
  <si>
    <t>3,500 m (11,500 ft)</t>
  </si>
  <si>
    <t>Maurice Brochet</t>
  </si>
  <si>
    <t>https://en.wikipedia.org/Maurice Brochet</t>
  </si>
  <si>
    <t>https://en.wikipedia.org/3 January 1951</t>
  </si>
  <si>
    <t>Potez 29</t>
  </si>
  <si>
    <t>The Potez 29 was a 1920s French passenger biplane designed and built by Avions Henry Potez. Although designed as a civilian aircraft, a large number entered service with the French Air Force. The Potez 29 was a biplane powered by a nose-mounted 335 kW (450 hp) Lorraine 12Eb broad-arrow piston engine, with a fixed tailskid landing gear. Based on the earlier Potez 25, with the same wings and engine, the Potez 29 had a new fuselage with an enclosed cockpit for two crew and a cabin for five passengers. The 29 proved to be a success; it entered service with civilian airlines, and 120 were delivered to the French Air Force, mainly as an air ambulance and light transport. General characteristics Performance     Related lists</t>
  </si>
  <si>
    <t>//upload.wikimedia.org/wikipedia/commons/thumb/2/2a/Potez_29_North_Africa_January_1943_342-FH_000698.jpg/300px-Potez_29_North_Africa_January_1943_342-FH_000698.jpg</t>
  </si>
  <si>
    <t>Transport biplane</t>
  </si>
  <si>
    <t>https://en.wikipedia.org/Transport biplane</t>
  </si>
  <si>
    <t>Potez</t>
  </si>
  <si>
    <t>https://en.wikipedia.org/Potez</t>
  </si>
  <si>
    <t>10.68 m (35 ft 0 in)</t>
  </si>
  <si>
    <t>3.67 m (12 ft 0 in)</t>
  </si>
  <si>
    <t>2,650 kg (5,842 lb)</t>
  </si>
  <si>
    <t>1 × Lorraine 12Eb W-12 liquid-cooled piston engine, 360 kW (480 hp)</t>
  </si>
  <si>
    <t>185 km/h (115 mph, 100 kn)</t>
  </si>
  <si>
    <t>500 km (310 mi, 270 nmi)</t>
  </si>
  <si>
    <t>4,500 m (14,800 ft)</t>
  </si>
  <si>
    <t>219 km/h (136 mph, 118 kn)</t>
  </si>
  <si>
    <t>https://en.wikipedia.org/1927</t>
  </si>
  <si>
    <t>14.5 m (47 ft 7 in)</t>
  </si>
  <si>
    <t>Dewoitine D.332</t>
  </si>
  <si>
    <t>The Dewoitine D.332 was a 1930s French eight-passenger airliner built by Dewoitine. The D.332 was an all-metal cantilever low-wing monoplane. The pilot and co-pilot were seated side by side in a cabin located forward of the wing leading edge. A radio operator station was located behind the pilots, and it had a passenger cabin for eight passengers. The landing gear had trouser-type fairings on the main gear legs. The aircraft first flew on 11 July 1933 powered by three Hispano-Suiza 9V radial engines. The prototype was named Émeraude ("Emerald" in French) and carried out demonstration flights around European capitals. Émeraude gained a world class record on 7 September 1933 when it flew a 1,000-kilometer (621-mile) course with a useful load of 2,000 kilograms (4,410 pounds) at an average speed of 159.56 km/h (99.1 mph). Designed to meet an Air France requirement for use on the route to French Indochina, the aircraft set out for Saigon on 21 December 1933 on a proving flight. The aircraft arrived at Saigon on 28 December 1933. On the return flight when only 400 km (250 mi) from its destination, Le Bourget airport, Émeraude struck a hill near Corbigny in a violent snowstorm and was destroyed. Despite the accident, Air France decided to order three of an improved version designated the D.333. The D.333 was a heavier and strengthened ten-seat version, the fully loaded weight being increased by 1,650 kg (3,640 lb). The three D.333s were used on the Toulouse-Dakar sector of the Air France South American route for several years. Two of these aircraft were  transferred to the Argentine Air Force after World War II and used,  along with two 338s. Argentina had a total of two of each kind On January 15, 1934, while flying from Lyon, France, to Paris-Le Bourget Airport outside Paris – the final leg of a flight that began on 5 January in Saigon, French Indochina, with stops at Karachi, British India; Baghdad, Iraq; Marseilles, France; and Lyons – the prototype Emeraude, operating for Air France and registered as F-AMMY, crashed in a snowstorm at Corbigny, France, killing all ten people on board. The crash probably occurred due to icing.[1] Data from The Illustrated Encyclopedia of Aircraft,[2] Flight : The New Dowoitine Transport Monoplane, D.332,[3] Aviafrance : Dewoitine D.332 'Emeraude'[4]General characteristics Performance</t>
  </si>
  <si>
    <t>//upload.wikimedia.org/wikipedia/commons/thumb/a/ab/Dewoitine_D332.jpg/300px-Dewoitine_D332.jpg</t>
  </si>
  <si>
    <t>https://en.wikipedia.org/Airliner</t>
  </si>
  <si>
    <t>Dewoitine</t>
  </si>
  <si>
    <t>https://en.wikipedia.org/Dewoitine</t>
  </si>
  <si>
    <t>D.332 1</t>
  </si>
  <si>
    <t>4 (two pilots, radio operator and a mechanic)</t>
  </si>
  <si>
    <t>18.95 m (62 ft 2 in)</t>
  </si>
  <si>
    <t>5.356 m (17 ft 7 in)</t>
  </si>
  <si>
    <t>96 m2 (1,030 sq ft)</t>
  </si>
  <si>
    <t>5,280 kg (11,640 lb)</t>
  </si>
  <si>
    <t>3 × Hispano-Suiza 9V 9-cylinder air-cooled radial piston engines, 429 kW (575 hp) each</t>
  </si>
  <si>
    <t>2-bladed variable-pitch propellers</t>
  </si>
  <si>
    <t>{'D.332': '', 'D.333': 'Production aircraft with ten seats. Three built.', 'D.338': 'Improved version with retractable undercarriage.'}</t>
  </si>
  <si>
    <t>29 m (95 ft 2 in)</t>
  </si>
  <si>
    <t>2,000 km (1,200 mi, 1,100 nmi)</t>
  </si>
  <si>
    <t>6,300 m (20,700 ft)</t>
  </si>
  <si>
    <t>300 km/h (190 mph, 160 kn)</t>
  </si>
  <si>
    <t>Air France</t>
  </si>
  <si>
    <t>https://en.wikipedia.org/D.338</t>
  </si>
  <si>
    <t>9,350 kg (20,613 lb)</t>
  </si>
  <si>
    <t>https://en.wikipedia.org/Air France</t>
  </si>
  <si>
    <t>4,000 m (13,123 ft) in 17 minutes 30 seconds</t>
  </si>
  <si>
    <t>https://en.wikipedia.org/11 July 1933</t>
  </si>
  <si>
    <t>Indonesian Aerospace N-219</t>
  </si>
  <si>
    <t>The Indonesian Aerospace N-219 Nurtanio is a utility aircraft designed by Indonesian Aerospace. In 2003, after the IPTN N-250 program halt, Indonesian Aerospace (IAe) plannbd to develop a 19-seat aircraft to offset the IPTN NC-212 end of production.[1] In early 2004, IAe was in discussions with Malaysian aerospace companies and was estimating the N219 development at $60-80 million to fly a prototype in April 2006 and certify it in August 2007.[2] In 2006, the $65m funding for the 19 seat N-219 development was proposed under the Qatar-Indonesia Joint Investment Fund,  70% funded by Qatar and 30% by Indonesia, for a prototype within two years.[3] By June 2011, its price was forecast to be US$4 million each and it was expected to fly in 2014.[4] The Indonesian Industry Minister requested Rp59 billion to build the prototype.[5][6] In January 2012, the predicted development budget was about $30 million for 15 aircraft.[7] In August 2014, the forecast price rose to $5 million.[8] The first metal was cut in September 2014, before a planned roll-out in August 2015 and certification in 2016, before EASA certification with support from Airbus for export.[9] First deliveries were scheduled for 2017. The roll-out was then scheduled in November 2015.[10] In August 2016, Airbus was engaged to provide assistance with certification.[11] The prototype entered testing after the November 2015 public introduction.[12] The first prototype construction was planned to be completed in mid-2016 for a maiden flight at the end of 2016, but this first flight was delayed to March 2017 for certification in the same year and production start in 2018.[13] In February, it was delayed again to April.[14] After a series of high-speed taxiing runs on 11 August 2017 at Husein Sastranegara International Airport in Bandung, the prototype took off on 16 August 2017 for a 26 minute flight.[15] At that time it was estimated that at least Rp 200 billion was needed to complete 200 hours of flight tests for certification from the Indonesian Transport Ministry.[16] Production was forecast in 2019 to start with six aircraft, increasing to 16 in 2020 and 36 per year in a new  $90-100 million facility raised through equity participation, private-public partnerships, manufacturing subsidiaries, and joint ventures.[17] The Indonesian Directorate General of Civil Aviation issued a type certificate on 18 December 2020.[18]  The N-219 is twin-engine, 19-seater transport aircraft designed for multi-purpose missions in remote areas.[19] It is intended to operate in and out of remote, semi-prepared airstrips; suitable to conditions in Indonesia's archipelago.[20] It was developed from the CASA C-212 Aviocar and, like that design, is also of all metal construction. It is claimed that it will have the largest cabin volume in its class (6.50 x 1.82 x 1.70m).[9] A flexible door system to allow a multi-purpose missions for transporting passengers and cargo. The aircraft is designed to comply with FAR 23 (commuter category aircraft). Priced at $5.8-6 million, slightly lower than the Viking DHC-6 Twin Otter, the 190 kn (350 km/h) cruise aircraft is intended for cargo and passenger transport, troop transport, military surveillance, search and rescue, and medevac operations, with a possible amphibian version later. Sixty percent of the materials are domestically produced and local suppliers produce landing gear parts, rubber components and tooling.[17] In August 2013, Lion Air was to sign a memorandum of understanding for 100 $4.5-5 million N219s.[21] The total market for the N-219 was forecast as 97 civil and 57 military aircraft. On 13 April 2015, three memoranda of understanding were signed: with Nusantara Buana Air for 20 aircraft and ten options, with Aviastar Mandiri for 20 aircraft and ten options and with Trigana Air Service for ten aircraft and five options.[22] Indonesia has signed deals with China and Mexico to export N-219 to those countries.[23] In 2017 southeast Asian countries such as Thailand and Myanmar expressed interest in the aircraft.[16] By October 2018, domestic airline Avistar signed a memorandum of understanding for 20 more while the N219 had 120 orders and was due to be certified in April or May 2019.[17] Other customers include Lion Air, Trigana Air Service, Nusantara Buana Air, Pelita Air, Air Born and the government of Thailand.[17] On 9 December 2019, the government of Aceh signed a cooperation agreement or Memorandum of Understanding (MoU) for the procurement of N219 aircraft, crew training and the operation of Aceh's air transport swervice.[24] On 8 December 2021, a Memorandum of Understanding (MoU) was signed by PT Dirgantara Indonesia (PTDI) and PT Infoglobal Teknologi Semesta/Infoglobal to integrate maritime surveillance aircraft (MSA) mission systems into the N219. It will be based on a previous system that also installed on the Navy's IPTN NC-212 Maritime Patrol aircraft.[25] Data from Manufacturer[26]General characteristics Performance  Related development Aircraft of comparable role, configuration, and era</t>
  </si>
  <si>
    <t>//upload.wikimedia.org/wikipedia/commons/thumb/d/d7/N219_testflight.jpg/300px-N219_testflight.jpg</t>
  </si>
  <si>
    <t>Utility aircraft</t>
  </si>
  <si>
    <t>https://en.wikipedia.org/Utility aircraft</t>
  </si>
  <si>
    <t>Indonesia</t>
  </si>
  <si>
    <t>2 prototypes (October 2018)</t>
  </si>
  <si>
    <t>19 passengers</t>
  </si>
  <si>
    <t>16.49 m (54 ft 1 in)</t>
  </si>
  <si>
    <t>6.18 m (20 ft 3 in)</t>
  </si>
  <si>
    <t>4,309 kg (9,500 lb)</t>
  </si>
  <si>
    <t>1,600 kg</t>
  </si>
  <si>
    <t>2 × Pratt &amp; Whitney Canada PT6A-42 turboprop engines, 630 kW (850 shp)  each</t>
  </si>
  <si>
    <t>310 km/h (200 mph, 170 kn) Economical</t>
  </si>
  <si>
    <t>9.85 m/s (1,938 ft/min)</t>
  </si>
  <si>
    <t>4-bladed Hartzell Propeller</t>
  </si>
  <si>
    <t>19.5 m (64 ft 0 in)</t>
  </si>
  <si>
    <t>109 km/h (68 mph, 59 kn)</t>
  </si>
  <si>
    <t>890 km (550 mi, 480 nmi) with 19 pax</t>
  </si>
  <si>
    <t>3,000 m (10,000 ft) operating altitude, max altitude 24,000 feet (7,315 m)</t>
  </si>
  <si>
    <t>390 km/h (240 mph, 210 kn)</t>
  </si>
  <si>
    <t>7,030 kg (15,498 lb)</t>
  </si>
  <si>
    <t>CASA C-212 Aviocar</t>
  </si>
  <si>
    <t>https://en.wikipedia.org/CASA C-212 Aviocar</t>
  </si>
  <si>
    <t>2017-present</t>
  </si>
  <si>
    <t>1,533 km (953 mi, 828 nmi)</t>
  </si>
  <si>
    <t>Supermarine Commercial Amphibian</t>
  </si>
  <si>
    <t>The Supermarine Commercial Amphibian (originally named the Supermarine Amphibian, later designated N147 by the British Air Ministry) was a passenger-carrying flying boat. The first aircraft to be designed by Supermarine's Reginald Mitchell, it was built at the company's works at Woolston, Southampton, for an Air Ministry competition that took place during September 1920. Based on the Supermarine Channel, the Amphibian was a biplane flying boat with a single engine, a wooden hull, unequal wingspans and a 350 horsepower (260 kW) Rolls-Royce Eagle engine. The front of the aircraft was designed to lift clear of the water prior to take-off. The pilot sat in an open cockpit behind two passengers. The Commercial Amphibian finished second in the competition, but was judged the best of the three entrants in terms of design and reliability, and as a result the prize money of GB£4,000 (equivalent to GB£159,400 in 2019)[1] was doubled. In October 1920 it crashed and was damaged beyond repair, and no more Commercial Amphibians were built, but on the strength of the performance of the aircraft during the competition, Supermarine was commissioned to make a prototype three-seater Fleet Spotter Amphibian. later named the Supermarine Seal II. In April 1920, the British Air Ministry announced that it would hold two competitions for commercial aircraft, one for land planes and one for seaplanes. The Ministry's aim  was to attempt to stimulate Britain's aircraft industry, which had struggled since the end of World War I. The Supermarine Commercial Amphibian—originally known as the Supermarine Amphibian—was designed by Supermarine's chief designer Reginald Mitchell to compete for the seaplane prize, and was his first aircraft design.[2][3] The Air Ministry's requirements for the entrants included the need to accommodate at least two passengers that could board the aircraft on land or on the water. Both the passengers and the crew had to have access to lifebelts. The aircraft had to be able to fly 350 nautical miles (650 km; 400 mi) at 300 metres (980 ft) at a speed of at least 70 knots (130 km/h; 81 mph), whilst carrying a minimum load of 230 kilograms (510 lb). The aircraft also had to show that it could fly for three minutes at 914 metres (3,000 ft), and land over tethered balloons positioned 7.6 metres (25 ft) above the ground.[2] Mitchell based his design for the Amphibian on Supermarine's Channel flying boat, itself a modified version of the AD Flying Boat. A reconnaissance and patrol aeroplane that was produced at the end of World War I, the AD Flying Boat never saw action during the war.[4]  The Amphibian was a single-engined biplane flying boat with a wooden hull and unequal wingspans. The 350 horsepower (260 kW) Rolls-Royce Eagle engine was mounted between the wings in a pusher configuration (with the propeller mounted behind the engine). The tail had a single vertical fin, and single tailplane mounted halfway up the fin.[4][5] The front of the aircraft was designed to make sure that it lifted clear of the water prior to take-off, and the nose profile was similar to that of a boat. An innovation introduced by Mitchell was a mechanism to operate the ailerons simultaneously. The undercarriage was designed to be partially retractable.[4] The Amphibian's pilot was accommodated in an open cockpit just forward of the wings, with space for two passengers in an enclosed cabin further forward. There was a tiller for the pilot to use when the aircraft was on the water, so that it could more easily be navigated through narrow waters.[4][5] The Air Ministry competition was held during September 1920 at the experimental Royal Air Force stations at Martlesham Heath and Felixstowe. The Supermarine Amphibian (given the registration G-EAVE) was piloted by Herbert Hoare.[6][7] it competed against two other seaplanes, a Vickers Viking, and a Fairey III.[8][9] Two other seaplanes failed to arrive for the competition.[10]  Because of its larger weight and slower speed in comparison with its two competitors, the Supermarine Amphibian performed poorly in the air, but it was judged to be the competition's best constructed and most reliable aircraft. It was the only entrant to complete all the tests, and throughout the competition there was never any need to adjust the aircraft. The competition was won by the Vickers Viking, which gained the winner's prize of GB£10,000 (equivalent to GB£398,500 in 2019)[1], and the Amphibian came second. The Amphibian's consolation prize of £4,000 was doubled to GB£8,000 (equivalent to GB£318,800 in 2019)[1] by the Air Ministry, which judged Mitchell's design to be excellent and the aircraft to have performed well, considering that it had the lowest powered engine of the three competitors.[7][11] The Commercial Amphibian crashed a month after the competition,[12] when on 13 October 1920, after departing from Southampton, it was involved in an accident at Great Bookham, Surrey. It was damaged beyond repair,[13] and no other Amphibians were produced.[7] After the competition, the Air Ministry designated the Vickers Viking as N146, and the Supermarine Amphibian as N147.[14] On the strength of the Amphibian's performance, the Air Ministry commissioned Supermarine to make a prototype three-seater Fleet Spotter Amphibian.[15] The ministry produced specification 7/20 for the prototype, named the Supermarine Seal II, and drawings were completed by Supermarine in November 1920.[15] Features seen in the Amphibian were later used to develop the Supermarine Walrus, hundreds of which were built and were in operational service throughout the World War II.[16] Mitchell also used ideas both from the Amphibian and the Supermarine Channel II to design an Amphibian Flying Boat for Ship Work in 1920.[17] Data from Supermarine Aircraft since 1914.[18]General characteristics Performance   Aircraft of comparable role, configuration, and era  Related lists</t>
  </si>
  <si>
    <t>//upload.wikimedia.org/wikipedia/commons/thumb/b/b5/The_Supermarine_Commercial_Amphibian.jpg/300px-The_Supermarine_Commercial_Amphibian.jpg</t>
  </si>
  <si>
    <t>Passenger flying boat</t>
  </si>
  <si>
    <t>https://en.wikipedia.org/Passenger flying boat</t>
  </si>
  <si>
    <t>destroyed</t>
  </si>
  <si>
    <t>32 ft 6 in (9.91 m)</t>
  </si>
  <si>
    <t>14 ft 6 in (4.42 m)</t>
  </si>
  <si>
    <t>600 sq ft (56 m2)</t>
  </si>
  <si>
    <t>3,996 lb (1,813 kg)</t>
  </si>
  <si>
    <t>5,700 lb (2,585 kg)</t>
  </si>
  <si>
    <t>1 × Rolls-Royce Eagle VIII V-12 water-cooled piston engine, 350 hp (260 kW)</t>
  </si>
  <si>
    <t>4-bladed wooden fixed-pitch propeller</t>
  </si>
  <si>
    <t>312 mi (502 km, 271 nmi)</t>
  </si>
  <si>
    <t>R.J. Mitchell</t>
  </si>
  <si>
    <t>https://en.wikipedia.org/R.J. Mitchell</t>
  </si>
  <si>
    <t>94 mph (151 km/h, 82 kn)</t>
  </si>
  <si>
    <t>Supermarine Channel</t>
  </si>
  <si>
    <t>https://en.wikipedia.org/Supermarine Channel</t>
  </si>
  <si>
    <t>Supermarine Seal II</t>
  </si>
  <si>
    <t>https://en.wikipedia.org/Supermarine Seal II</t>
  </si>
  <si>
    <t>50 ft (15 m)</t>
  </si>
  <si>
    <t>47 ft (14 m)</t>
  </si>
  <si>
    <t>55 mph (48 kn; 89 km/h)</t>
  </si>
  <si>
    <t>Supermarine Seagull (1948)</t>
  </si>
  <si>
    <t>The Supermarine Seagull was a British amphibious, military flying boat and the last to be built by the Supermarine company. Design started during the Second World War but it did not fly until three years after the war had ended and the project was cancelled without it being adopted for service. In October 1940, the British Air Ministry issued Specification S.12/40 to Supermarine and Fairey for a catapult-launched, amphibian, reconnaissance and spotter aircraft to replace the Supermarine Walrus and Supermarine Sea Otter.[1] An order for three prototypes of Supermarine's aircraft was issued in March 1943.[1] There was an interruption in design due to the necessity of moving the Supermarine design office, after the bombing of the facility at Woolston. Further delays were caused by the extensive wind tunnel testing that was needed and the change from a Rolls-Royce Merlin to the more powerful Rolls-Royce Griffon. Also, the design specification was changed in 1944 to a new requirement, S.14/44 (later S.14/44/2[1]) - the role of the aircraft being changed from ship-based reconnaissance and gunnery spotting to land-based Air-sea rescue.[2] This change removed the four-gun turret the design had featured.[3] The first prototype - Seagull serial PA143 - first took off on 14 July 1948 from Southampton Water, flown by test pilot Mike Lithgow.[4] The second aircraft - PA147 - flew in September 1949, and was used for carrier trials on HMS Ark Royal later in that year,[4] during which it demonstrated the capability to carry five passengers.[5] Experiments were also carried out with rocket assisted take-offs.[6] By the early 1950s, helicopters were taking over the air-sea rescue role. In 1952, the two completed prototypes and the partially built third aircraft, PA152, were scrapped.[6] The Seagull had an all-metal construction with a two spar parasol wing mounted on a pylon connecting it to the fuselage. The single engine, a Rolls-Royce Griffon drove contra-rotating propellers; radiators were mounted below the engine in the pylon. The rear of the pylon accommodated an observer's position with two windows. An eye bolt was fitted on the wing, behind the engine, so the aircraft could be easily lifted from the water by crane. The wings were fitted with slotted flaps and full length leading edge slats and could be folded for compact, ship-board stowage. They also had a variable angle of incidence, pivoting at the front spar and actuated by an electrically driven jackscrew attached to the rear spar. This arrangement reduced stalling speed and increased lift, allowing the aircraft to use a smaller wing – compactness being an important feature for a ship-borne aircraft.[1] Supermarine had tested this arrangement in the Type 322 and its capability was demonstrated when test pilot Mike Lithgow flew a Seagull at only 35 miles per hour (56 km/h).[4] In July 1950, a Seagull, flown by Les Colquhoun[7] competing in the Air League Cup Race gained the air-speed record for amphibian aircraft over a 100-kilometre (62 mi) course, by flying at an average speed of 241.9 miles per hour (389.3 km/h).[6] The hull was a normal frame and longeron design with chines. The tailplane, carried on top of the fin, had a very large dihedral, with smaller fins mounted on its tips perpendicular to its surface. A third fin was later added to the centre after testing of the first prototype had revealed an instability in yaw. This was added to the second prototype while it was still being constructed. The undercarriage retracted into bays on either side of the fuselage and could be easily removed, saving 180 kilograms (400 lb) of weight when the aircraft was operating as a pure flying-boat.[5] The Seagull was also fitted with an arrestor hook for carrier landings; mounting points for JATO rockets were located just above the wheel wells. The crew normally consisted of three.[1]  During air-sea rescue work, a Seagull would be able to accommodate a pilot, navigator and medic, plus up to seven survivors.[5] (performance - production aircraft estimated performance with Griffon 57 / RG30SM) Data from Supermarine aircraft since 1914,[8] Dumbo and Seagull,[9]General characteristics Performance</t>
  </si>
  <si>
    <t>//upload.wikimedia.org/wikipedia/commons/thumb/5/57/Supermarine_Seagull.jpg/300px-Supermarine_Seagull.jpg</t>
  </si>
  <si>
    <t>Air-sea rescue amphibian</t>
  </si>
  <si>
    <t>https://en.wikipedia.org/Air-sea rescue amphibian</t>
  </si>
  <si>
    <t>Prototypes only</t>
  </si>
  <si>
    <t>2 (plus 1 uncompleted)</t>
  </si>
  <si>
    <t>up to seven survivors (2 on bunks, one seated and four on "emergency stations" on floor)</t>
  </si>
  <si>
    <t>44 ft 1.5 in (13.449 m)</t>
  </si>
  <si>
    <t>15 ft 10.5 in (4.839 m) on wheels</t>
  </si>
  <si>
    <t>432 sq ft (40.1 m2)</t>
  </si>
  <si>
    <t>10,510 lb (4,767 kg)</t>
  </si>
  <si>
    <t>14,500 lb (6,577 kg)</t>
  </si>
  <si>
    <t>1 × Rolls-Royce Griffon 29 V-12 liquid-cooled piston engine, 1,815 hp (1,353 kW)</t>
  </si>
  <si>
    <t>131 mph (211 km/h, 114 kn)</t>
  </si>
  <si>
    <t>1,430 ft/min (7.3 m/s) at 7,000 ft (2,134 m) in MS supercharger gear ratio</t>
  </si>
  <si>
    <t>6-bladed Rotol, 10 ft (3.0 m) diameter contra-rotating propeller with Duralumin blades</t>
  </si>
  <si>
    <t>52 ft 6 in (16.00 m)</t>
  </si>
  <si>
    <t>875 mi (1,408 km, 760 nmi) at cruise speed</t>
  </si>
  <si>
    <t>23,700 ft (7,200 m)</t>
  </si>
  <si>
    <t>260 mph (420 km/h, 230 kn) at 11,800 ft (3,597 m)</t>
  </si>
  <si>
    <t>Royal Navy</t>
  </si>
  <si>
    <t>root</t>
  </si>
  <si>
    <t>https://en.wikipedia.org/Royal Navy</t>
  </si>
  <si>
    <t>23 ft 6 in (7.16 m) wings folded</t>
  </si>
  <si>
    <t>312 ft (95 m) with 31 mph (27 kn; 50 km/h) wind over deck</t>
  </si>
  <si>
    <t>Szekely Flying Dutchman</t>
  </si>
  <si>
    <t>The Szekely Model V Flying Dutchman is a single seat sport aircraft that was built by the aircraft engine manufacturer Szekely in Holland, Michigan in 1928–29.[1] The Flying Dutchman was designed in 1927 at the University of Detroit by professor Peter Altman.[2] The aircraft was originally marketed by the Niles Aircraft Corporation as the Williams Gold Tip, powered by a three cylinder Anzani engine. The rights were purchased by Szekely to produce the aircraft using its own engine design.[3] An airport was built in Holland to accommodate the company, opening on 28 August 1928, acquiring the name Szekely Airport in 1929. Szekely claimed a production capacity of 24 planes per week, though only 21 aircraft were produced in total. The Szekely company filed for bankruptcy in March 1932, and the factory assets were purchased by Michigan Bumper in 1936.[4] The Flying Dutchman is a single place, low wing, open cockpit monoplane with conventional landing gear and a 3-cylinder Szekely engine. The fuselage was made of welded steel tubing with aircraft fabric covering.[5] A Flying Dutchman was featured in the 1938 film Men with Wings.[6] Data from AeronauticsGeneral characteristics Performance   Aircraft of comparable role, configuration, and era</t>
  </si>
  <si>
    <t>//upload.wikimedia.org/wikipedia/commons/thumb/7/72/Szekely_Flying_Dutchman_Aero_Digest_February_1929.jpg/300px-Szekely_Flying_Dutchman_Aero_Digest_February_1929.jpg</t>
  </si>
  <si>
    <t>Szekely Aircraft and Engine Company</t>
  </si>
  <si>
    <t>https://en.wikipedia.org/Szekely Aircraft and Engine Company</t>
  </si>
  <si>
    <t>1928 Los Angeles International Aircraft Show</t>
  </si>
  <si>
    <t>18 ft 6 in (5.64 m)</t>
  </si>
  <si>
    <t>1 × Szekely SR-3 3 Cylinder Radial, 40 hp (30 kW)</t>
  </si>
  <si>
    <t>26 ft (7.9 m)</t>
  </si>
  <si>
    <t>Peter Altman</t>
  </si>
  <si>
    <t>83 kn (96 mph, 154 km/h)</t>
  </si>
  <si>
    <t>Niles Aircraft Corporation Williams Gold Tip</t>
  </si>
  <si>
    <t>1928–1929</t>
  </si>
  <si>
    <t>The Galloping Ghost (aircraft)</t>
  </si>
  <si>
    <t>The Galloping Ghost was a P-51D Mustang air racer that held various airspeed records and whose fatal crash in 2011 led to several changes to make air shows safer. Built in 1944 by North American Aviation for the Army Air Force, the plane was sold as postwar surplus. Over the next half-century, it was modified and raced by a series of owners, including, finally, Aero Trans Corp. DBA in Ocala, Florida.[1] It was destroyed on September 16, 2011, when it crashed into spectators at the Reno Air Races, at the Reno Stead Airport north of Reno, Nevada. The Galloping Ghost was built by North American Aviation as a P-51D-15-NA, Army Air Force serial number 44-15651,[2] at the NAA's Inglewood, California, plant[3] for military use during World War II. Once the aircraft was delivered, it was transferred to Walnut Ridge Army Air Field in Walnut Ridge, Arkansas. It was later classified as surplus stock and offered to the public for around $3,500 ($46,600 today). Around that time, Steve Beville and Bruce Raymond were looking to compete in the National Air Races in Cleveland, Ohio, that were to be held in September.  Beville was able to secure the aircraft from the WAA  on July 22, 1946, even though P-51 sales at Walnut Ridge Army Air Field had formally ended.  Thus, the aircraft was the last to be sold to the public.[4][5] Beville and Raymond registered the plane as NX79111 and named it The Galloping Ghost after football star Red Grange.  Raymond piloted the aircraft in its first race, the 1946 Thompson Trophy, the first since 1939, when World War II suspended the annual event.  Raymond took fourth place on the closed-course track, winning $3,000.[6] The following year, Beville piloted the aircraft in the Kendall Trophy race. He broke the record for fastest closed-course speed on August 31, 1947, with 384.6 miles per hour (619 km/h), breaking the record of 601.7 km/h (374 mph) set by Alvin "Tex" Johnson in the Thompson Trophy race the previous year, winning $2,500.[7][8][9]  Beville also raced for the 1947 Thompson Trophy, taking fourth.  For 1948, Raymond raced in the Sohio (taking fourth), Thompson (second) and Tinnerman (first) Trophies.  He won the Tinnerman by less than a second,[10] taking $3,150 and earning a total of $11,850 for all three races.  In 1949, Beville raced in the Sohio and Thompson Trophies, taking fourth for both and earning a total of $3,700.[6] In 1963, the aircraft was purchased by Dr. Cliff Cummins as a stripped hulk.[11] He restored the aircraft and had it modified for racing, included the addition of a lower-profile canopy and reducing the wingspan four feet (120 cm). He first raced it at the Reno Air Races in 1969 as Miss Candace (named after his daughter) race number 69.  At the 1970 races, he suffered an engine failure and landed short of the runway, damaging the aircraft.[12][13] The aircraft was rebuilt again, this time with a very small canopy taken from a Formula One air racer and a smaller belly cooling scoop. In this configuration, Cummins first raced the aircraft in 1972. In 1973 he qualified the airplane in the third position for the Unlimited Class Gold Race and he took second place behind Lyle Shelton's winning Bearcat. He did win the 1976 National Air Races at Mojave, California, with a speed of 422 miles per hour (679 km/h). After racing the aircraft for several years with limited success, he sold the aircraft in 1979 to Wiley Sanders of Sanders Truck Lines.[12] Sanders renamed the aircraft Jeannie, after his wife.  The aircraft was rebuilt with an eye to weight reduction.  In the end, 600 pounds (270 kg) were removed from the airframe.[13]  Roy "Mac" McLain flew the aircraft in 1979 at the Reno Air Races. Shortly before the 1980 air races, the aircraft was damaged in a crash at the Van Nuys Airport. In a frantic effort, the aircraft was rebuilt and again flown by McLain, winning the Gold Race at Reno just days later. At the 1981 Reno Air Races, Skip Holm piloted the aircraft to victory in the Unlimited Class Gold Race. The following year, the aircraft suffered an engine failure and did not participate in the Gold Race.[12] The aircraft was sold to Jimmy Leeward in 1983, shortly after the aircraft's wing span had been reduced another six feet (180 cm).[14] Leeward initially raced the aircraft as Specter, race number X.[15]  He later raced the aircraft at Reno as race number 9 and later race number 44 "The Leeward Air Ranch Special."[13] After an engine failure at the 1989 Reno Air Races forced Leeward to land the airplane on a dirt road,[13] the aircraft did not appear at the races between 1990 and 2009. In 2010, the Galloping Ghost returned to the Reno races.[11] In 2011, Leeward flew the aircraft again in the Reno Air Races. On September 16, 2011, The Galloping Ghost crashed into spectators at the races, killing Leeward and 10 spectators and injuring 69 others.[16] The aircraft had just rounded the last pylon when it pitched upward and then went inverted. While inverted, the plane rocked its wings and suddenly pitched downward towards the ground and grandstands, crashing into the box seating area in front of the grandstands. The National Transportation Safety Board (NTSB) examined whether the loss of a component of the tail played a role in the crash of The Galloping Ghost.[17] News reports included a photograph taken right before the crash while the airplane was inverted show a missing left elevator trim tab.[17][18]  A similar event had taken place in 1998: the left trim tab was lost by a modified P-51 Mustang named Voodoo Chile, piloted by "Hurricane" Bob Hannah, during the Reno Air Races. The 1998 incident did not lead to a crash, but Hannah reported that when the elevator trim tab came off, the airplane pitched up and subjected him to over 10 g and a loss of consciousness. When he regained consciousness, the plane had climbed to over 9,000 feet (2,750 m). In that incident, Hannah had been able to bring the damaged plane in for a safe landing.[19][20] In the NTSB investigation report, the cause was attributed to extreme pitch-up to 17 g+ caused by the loss of the port elevator trim tab due to wear in the trim tab mounts, exacerbated by lock-nuts on the mounting bolts losing their self-locking ability due to use past their normal life.[21] General characteristics Performance   Aircraft of comparable role, configuration, and era</t>
  </si>
  <si>
    <t>//upload.wikimedia.org/wikipedia/commons/thumb/7/7f/Galloping_Ghost.jpg/300px-Galloping_Ghost.jpg</t>
  </si>
  <si>
    <t>North American Aviation</t>
  </si>
  <si>
    <t>https://en.wikipedia.org/North American Aviation</t>
  </si>
  <si>
    <t>1 × Packard V-1650-9A Merlin V-12 liquid-cooled piston engine, 3,000 hp (2,200 kW)</t>
  </si>
  <si>
    <t>450 kn (520 mph, 840 km/h)</t>
  </si>
  <si>
    <t>North American P-51D-15-NA Mustang</t>
  </si>
  <si>
    <t>https://en.wikipedia.org/North American P-51D-15-NA Mustang</t>
  </si>
  <si>
    <t>44-15651</t>
  </si>
  <si>
    <t>Crashed September 2011</t>
  </si>
  <si>
    <t>N79111</t>
  </si>
  <si>
    <t>Supermarine 545</t>
  </si>
  <si>
    <t>The Supermarine 545 was a supersonic jet fighter project designed by the British aircraft manufacturer Supermarine. A single aircraft was built, but remained unflown, largely due to the project having fallen out of political favour. The project commenced during the early 1950s in response to interest in transonic aircraft within the Royal Air Force. Supermarine, who was at the time engaged in the development of another front-line fighter, the Swift, decided to use this existing programme as the Type 545's starting point. Major differences from the proceeding Swift was the adoption of a crescent wing and a more powerful powerplant in the form of the reheated Rolls-Royce Avon turbojet engine; amongst its performance capabilities, Supermarine claimed that the aircraft would be readily capable of achieving Mach 1.3. During February 1952, the company received an order for a pair of prototypes to be built. However, by the time that the first was completed, the project had become politically unpalatable due to the considerable shortcomings of the Swift. Having lost confidence in Supermarine, on 25 March 1956, the contract was cancelled prior to the first aircraft ever taking flight. After a brief period in storage, the sole Type 545 was donated as an instructional aid to College of Aeronautics at Cranfield Airport, Bedfordshire; it was eventually scrapped in 1967. A few years later, Supermarine ceased to exist as an independent company. The origins of the Type 545 can be traced back to the early 1950s and the Royal Air Force's (RAF) interest in developing transonic aircraft to serve as a stopgap while the next generation of supersonic fighters were being developed. Two rival aircraft manufacturers, Supermarine and Hawker, separately prepared proposed such aircraft, both choosing to design derivatives of their respective Swift and Hunter fighter aircraft, these being the Type 545 and Hawker P.1083 respectively.[1] During February 1951, Supermarine made its initial submission; it was formally accepted by the Air Ministry roughly one month later.[2] At this stage, the Swift programme was in development and its shortcomings were yet to become apparent, this fortunate timing is a factor that aviation author Derek Wood accredits as a major reason for Supermarine's submission having received greater favour over Hawker's bid amongst RAF officials reviewing the two proposals.[3] The Type 545 had been drawn up to conform with the requirements stipulated within the Air Ministry's Specification F.105D; it was projected to have been capable of attaining Mach 1.3; in comparison to the rival P.1083, the company had predicted it to attain superior performance.[3] Externally, the Type 545 bore a crude resemblance to the Swift, and would have served as a spiritual successor to it. However, the aircraft was radically redesigned, having been furnished with an area-ruled fuselage amongst other changes.[4] One of the most visually prominent feature of the Type 545 was its unorthodox crescent-shaped wing, which was envisioned as heavily contributing to the aircraft's performance characteristics, particularly during supersonic speeds. [5][6] It was paired with a somewhat bullet-shaped fuselage; the lower portion of the fuselage was flattened around the junction with the wings to  smooth airflow and avoid the poor low-speed handling characteristics of the Swift.[7] The aircraft's structure comprised a relatively thick exterior skin supported by a thin closely-positioned spanwise web underneath that was claimed to provide the fuselage with an above-average strength-to-weight ratio amongst its contemporaries.[2] The aircraft was powered by a single Rolls-Royce Avon turbojet, which was fitted with reheat, and supplied with air via elliptical intake near the nose. According to aviation author Francis Mason, the distinct design of this intake was the most obvious difference between the Type 545 and its precursor, which had side intakes.[6][8] The crescent wing had three sections, 50° of sweep inboard, 40° in the centre and 30° outboard, the mean aspect ratio would be 7.5 per cent and the thickness/chord ratio reduce from 8 per cent at the root to 6 per cent at the tips.[9] During February 1952, Supermarine received an order for two prototype Type 545s to be completed under contract 6/Acft/7711.[10] During 1955, it was announced that work on the Type 545 project was to be cancelled. According to Wood, this was in part due to the considerable difficulties that had been experienced with the Swift, which largely remained unresolved.[4] Specifically, Wood observed that the Swift had become a national scandal by early 1955, which not only tarnished the aircraft but also the RAF and the British aircraft industry, the public and ministers alike generally adopting a more averse nature to aviation and other aircraft projects. The Type 545, with its close association to the Swift, thus became a particular target for scepticism.[1] Others reasons, such as budget constraints having compelled cutbacks, were publicly spoken at the time.[11] The first of the prototypes, serial number XA181, had been completed at Hursley Park and was preparing for its maiden flight when news was received of the contract's formal cancellation on 25 March 1956. The second aircraft, XA186, which was to be furnished with a more powerful model of the Avon engine that was to enable a maximum speed of Mach 1.6 to be achieved, was cancelled prior to construction of the airframe being commenced.[10][11] Roughly two years later, Supermarine was effectively dissolved, having been absorbed into what would emerge as the state-owned British Aircraft Corporation (BAC).[12] Shortly following its completion, the sole completed prototype was put into storage by Supermarine during mid-1950s. Several years later, the aircraft was donated to the College of Aeronautics at Cranfield Airport, Bedfordshire, where it was used as an instructional aid for aircraft engineering students attending the college.[6] During 1967, the sole Type 545 was scrapped.[citation needed] Data from The British Fighter since 1912,[8] Supermarine Aircraft Since 1914[13]General characteristics Performance Armament</t>
  </si>
  <si>
    <t>//upload.wikimedia.org/wikipedia/commons/thumb/a/a7/Supermarine_545_Cranfield_10.09.60_edited-3.jpg/300px-Supermarine_545_Cranfield_10.09.60_edited-3.jpg</t>
  </si>
  <si>
    <t>Supersonic fighter aircraft</t>
  </si>
  <si>
    <t>https://en.wikipedia.org/Supersonic fighter aircraft</t>
  </si>
  <si>
    <t>Completed, but not flown</t>
  </si>
  <si>
    <t>47 ft 0 in (14.33 m)</t>
  </si>
  <si>
    <t>20,147 lb (9,139 kg)</t>
  </si>
  <si>
    <t>1 × Rolls-Royce RA.14R Avon turbojet, 9,500 lbf (42 kN) thrust dry, 14,500 lbf (64 kN) with afterburner</t>
  </si>
  <si>
    <t>39 ft 0 in (11.89 m)</t>
  </si>
  <si>
    <t>53,000 ft (16,000 m)</t>
  </si>
  <si>
    <t>Mach 1.3</t>
  </si>
  <si>
    <t>Supermarine Swift</t>
  </si>
  <si>
    <t>https://en.wikipedia.org/Supermarine Swift</t>
  </si>
  <si>
    <t>Four × 30 mm ADEN cannons</t>
  </si>
  <si>
    <t>Sling Aircraft Sling 2</t>
  </si>
  <si>
    <t>Sonaca 200 The Sling Aircraft Sling 2, formerly called The Airplane Factory Sling 2, is a South African two-seater light aircraft designed and produced by Sling Aircraft in Johannesburg, South Africa.[2] In 2009 the specially modified second prototype was flown around the world in a westerly circumnavigation which took 40 days.[3] This was the first time any aircraft of this class had achieved a circumnavigation.[4] The design complies with the requirements of four different regulatory aircraft classes.[5][6] The design was originally known as the Sling, but was re-designated as the Sling 2 to distinguish it from the later four-seat Sling 4. The Sling 2 is supplied as a kit and as a ready-to-fly aircraft and can be operated as a light-sport aircraft or homebuilt aircraft. Development of the Sling 2 commenced in 2006. The Sling is a two-seat, low wing, all metal aircraft with tricycle landing gear made from composites. The aircraft is powered by an 80 hp (60 kW) Rotax 912UL,100 hp (75 kW), a Rotax 912ULS, or a 912iS engine, or optionally a turbocharged 115 hp (86 kW) Rotax 914 UL, driving a 3-bladed Warp Drive Inc propeller. The factory later discontinued the 80 hp (60 kW) Rotax 912UL model. The airplane features a sliding canopy, large fuel tanks, and standard equipment includes a "glass cockpit" style display.[7][2][8][9][10] Mike Blyth began working on the design of the Sling 2 in 2006; the first prototype first flew on November 18, 2008. A full testing programme followed, with the help of a South African military aerodynamicist, which was completed in 2009. Blyth and partner James Pitman then flew the second prototype around the world to accomplish a challenging circumnavigation.[4][11] 310 Sling 2s had been completed and flown by the end of 2019.[1] The second prototype Sling 2 was flown on a westerly global circumnavigation in 2009. Blyth and Pitman departed from South Africa flying up through Western Africa, across the Atlantic to Brazil and Guyana, up through the US Virgin Islands and the East Coast of the United States to Oshkosh, Wisconsin for EAA AirVenture Oshkosh 2009. After the air show they flew across the United States to Los Angeles, then on to Hawaii, the Marshall Islands, Micronesia, Indonesia, Malaysia, Sri Lanka, Seychelles, and finally back to South Africa. They completed the whole journey in 40 days.[3] The aircraft used for the circumnavigation was a standard production Sling, but with larger 118.8 U.S. gallons (450 L; 98.9 imp gal) fuel tanks, strengthened landing gear, seats that lie flat for sleeping and removable control sticks.[12][13] After being modified, the aircraft had an endurance at standard cruise of approximately 24 hours. The aircraft cruised at 89 knots Indicated airspeed (IAS) (98 knots True airspeed (TAS)) with almost full fuel. When more nearly empty, it would cruise at 96 knots IAS (105 knots TAS). With full fuel, fully loaded with crew the Sling weighed approximately 1,984 Lbs (900 kg), or about 600 pounds overweight. At sea level the aircraft would climb slowly, at a rate of 350 feet per minute.[7][4][13] Data from The Airplane Factory[17]General characteristics Performance   Aircraft of comparable role, configuration, and era</t>
  </si>
  <si>
    <t>//upload.wikimedia.org/wikipedia/commons/thumb/f/f7/Sling2_OnGround_ZUSOL.jpg/300px-Sling2_OnGround_ZUSOL.jpg</t>
  </si>
  <si>
    <t>Sling Aircraft</t>
  </si>
  <si>
    <t>https://en.wikipedia.org/Sling Aircraft</t>
  </si>
  <si>
    <t>310 (2019)[1]</t>
  </si>
  <si>
    <t>22.89 ft (6.98 m)</t>
  </si>
  <si>
    <t>8.202 ft (2.500 m)</t>
  </si>
  <si>
    <t>127.5 sq ft (11.85 m2)</t>
  </si>
  <si>
    <t>816 lb (370 kg)</t>
  </si>
  <si>
    <t>1,543 lb (700 kg) [10]</t>
  </si>
  <si>
    <t>Two tanks with 19.3 U.S. gallons (73 L; 16.1 imp gal) usable</t>
  </si>
  <si>
    <t>1 × Rotax 912iS , 100 hp (75 kW)</t>
  </si>
  <si>
    <t>120 kn (140 mph, 220 km/h) true airspeed[10]</t>
  </si>
  <si>
    <t>3-bladed Warp Drive Inc composite</t>
  </si>
  <si>
    <t>12.10 lb/sq ft (59.1 kg/m2)</t>
  </si>
  <si>
    <t>30.09 ft (9.17 m)</t>
  </si>
  <si>
    <t>40 kn (46 mph, 74 km/h) full flaps, indicated airspeed</t>
  </si>
  <si>
    <t>135 kn (155 mph, 250 km/h) indicated airspeed</t>
  </si>
  <si>
    <t>13,000 ft (4,000 m)</t>
  </si>
  <si>
    <t>Mike Blyth</t>
  </si>
  <si>
    <t>https://en.wikipedia.org/Sling Aircraft Sling 4 Sonaca 200</t>
  </si>
  <si>
    <t>+4/-2 g</t>
  </si>
  <si>
    <t>Swamp Ghost</t>
  </si>
  <si>
    <t>The Swamp Ghost is a Boeing B-17E Flying Fortress piloted by Captain Frederick 'Fred' C. Eaton, Jr, that ditched in a swamp on  Papua New Guinea during the Second World War, after an attack on ships at Japanese-occupied New Britain on February 23, 1942. While flying over Rabaul, it was intercepted and eventually, having run out of fuel, had to force-land in a remote swamp near the north coast of New Guinea. All of the crew survived the crash landing and arduous trek out.[1] The aircraft was rediscovered in 1972 in Agaiambo swamp, where it earned the nickname Swamp Ghost. In 1989, the Travis Air Force Base Heritage Center planned to recover it.[2] It was salvaged in 2006 and moved to Lae wharf where it lay waiting for permission to be transferred to the United States.[3]  By February 2010, the wreck had been cleared for import to the United States.[4] In 2010, the aircraft was shipped to the United States, and on June 11, 2010, was shown to a public gathering in Long Beach, California, that included family members of the original crew.  Plans were made to bring Swamp Ghost to the Pima Air &amp; Space Museum in Tucson for restoration to static display. After arriving at Long Beach, the aircraft was on indefinite loan to the Planes of Fame Air Museum at Chino Airport.[5] The Swamp Ghost was received by the Pacific Aviation Museum in Pearl Harbor on April 10, 2013.[1] As of August 2013, the museum planned to restore the aircraft for static display in Hangar 79 on Ford Island. As of February 2022[update], the aircraft is on display in Hangar 79, undergoing restoration.[6]</t>
  </si>
  <si>
    <t>//upload.wikimedia.org/wikipedia/commons/thumb/d/d2/Swamp_Ghost_at_Pacific_Aviation_Museum_Pearl_Harbor.jpg/300px-Swamp_Ghost_at_Pacific_Aviation_Museum_Pearl_Harbor.jpg</t>
  </si>
  <si>
    <t>Boeing B-17E Flying Fortress</t>
  </si>
  <si>
    <t>https://en.wikipedia.org/Boeing B-17E Flying Fortress</t>
  </si>
  <si>
    <t>41-2446</t>
  </si>
  <si>
    <t>Delivered new to the USAAF</t>
  </si>
  <si>
    <t>https://en.wikipedia.org/Delivered new to the USAAF</t>
  </si>
  <si>
    <t>1941-1942</t>
  </si>
  <si>
    <t>Ran out of fuel and crash-landed in Agaiambo swamp, Oro Province, Papua New Guinea</t>
  </si>
  <si>
    <t>Currently (May 2013) un-restored at the Pacific Aviation Museum Pearl Harbor.</t>
  </si>
  <si>
    <t>https://en.wikipedia.org/Ran out of fuel and crash-landed in Agaiambo swamp, Oro Province, Papua New Guinea</t>
  </si>
  <si>
    <t>Synergy Paramotors Synergy</t>
  </si>
  <si>
    <t>The Synergy Paramotors Synergy is an American paramotor, designed and produced by Synergy Paramotors of California for powered paragliding.[1] The aircraft was shown at AirVenture for the first time in 2012.[1] The Synergy was designed to comply with the US FAR 103 Ultralight Vehicles rules. It features a paraglider-style high-wing, single-place or two-place-in-tandem accommodation and a single Snap Ego 110 or C-Max 175 two-stroke engine in pusher configuration driving a 49 in (124 cm) propeller. The larger than usual diameter German Helix-Carbon propeller is employed to reduce noise and increase delivered thrust. The design uses a unique thumb-activated throttle switch that is available in left and right-handed configurations.[1] The paramotor frame incorporates two small wheels that prevent wear when moving the power unit and also add safety during takeoff. As is the case with all paramotors, take-off and landing is normally accomplished by foot.[1] The power unit can be broken down to a size of 32 X 24 X 18 inches (81.3 X 61.0 X 45.7 cm) for ground transportation in an automobile trunk. Reassembly requires only fastening nine Velcro straps.[1] Data from Kitplanes[1]General characteristics</t>
  </si>
  <si>
    <t>Paramotor</t>
  </si>
  <si>
    <t>https://en.wikipedia.org/Paramotor</t>
  </si>
  <si>
    <t>Synergy Paramotors</t>
  </si>
  <si>
    <t>https://en.wikipedia.org/Synergy Paramotors</t>
  </si>
  <si>
    <t>1 × Snap Ego 110 single cylinder, two-stroke, air-cooled aircraft engine</t>
  </si>
  <si>
    <t>2-bladed Helix-Carbon fixed pitch propeller, 4 ft 1 in (1.24 m) diameter</t>
  </si>
  <si>
    <t>Tachikawa Ki-94</t>
  </si>
  <si>
    <t>The Tachikawa Ki-94 was a single-seat fighter-Interceptor aircraft project undertaken by the Tachikawa Aircraft Company and to be operated by the Imperial Japanese Army. The project refers to two aircraft designs: the Ki-94-I and the Ki-94-II, both of which did not advance beyond the mock-up and prototype stage respectively. The first was a twin-boom monoplane with two 1,641 kW (2,201 hp) Mitsubishi Ha211 18-cylinder engines, driving two 4-blade propellers in a push-pull configuration.  The very heavy armament that should have been mounted on the aircraft (two 37 mm/1.46 in and two 30 mm/1.18 in cannon,[1] should have been enough to make short work of most US heavy bombers of the era. Notwithstanding the outstanding prospective performance, which however was judged as "unduly optimistic" by the technical department of the Japanese Army Air Force, this design was judged too complex by the technical department and the design was discarded. The second Ki-94 design, made by a team also under Tatsuo Hasegawa as type I, chief designer of the aircraft and responsible for the used airfoil, was a more conventional single-seat, piston-engine monoplane fighter, developed for the Imperial Japanese Army Air Force along the same requirements as the Nakajima Ki-87, which had been the Army's fall-back design for the original Ki-94.[1] Intended to counter B-29 raids, it was optimized for high-altitude interception with a pressurized cockpit and heavy armament. This design was approved by the Koku Hombu, and the aircraft was designated Ki-94-II (the scrapped earlier Ki-94 design was named the Ki-94-I). An order was placed for one static test airframe, three prototypes, and eighteen pre-production aircraft.  Only 2 prototypes were built in the event; the first was equipped with a single 1,895 kW (2,541 hp) Nakajima Ha219 [Ha-44] engine, driving a 4-blade propeller because the 6-blade one was not ready.[2] The second prototype was to be fitted with a 6-blade propeller. The war's end however stopped the construction of the second prototype and also found the first prototype still being readied for its maiden flight, the Ki-94-II never taking to the air. Data from Famous Aircraft of the World, first series, no.76: Japanese Army Experimental Fighters (1),[3] Japanese Aircraft of the Pacific War[2]General characteristics Performance Armament   Aircraft of comparable role, configuration, and era  Related lists</t>
  </si>
  <si>
    <t>Interceptor</t>
  </si>
  <si>
    <t>https://en.wikipedia.org/Interceptor</t>
  </si>
  <si>
    <t>Tachikawa Aircraft Company Ltd</t>
  </si>
  <si>
    <t>https://en.wikipedia.org/Tachikawa Aircraft Company Ltd</t>
  </si>
  <si>
    <t>12 m (39 ft 4 in)</t>
  </si>
  <si>
    <t>4.65 m (15 ft 3 in)</t>
  </si>
  <si>
    <t>28 m2 (300 sq ft)</t>
  </si>
  <si>
    <t>4,690 kg (10,340 lb)</t>
  </si>
  <si>
    <t>6,450 kg (14,220 lb)</t>
  </si>
  <si>
    <t>1 × Nakajima Ha219 (unified [Ha-44-12]) 18-cylinder air-cooled radial piston engine, 1,830 kW (2,450 hp)   for take-off</t>
  </si>
  <si>
    <t>440 km/h (270 mph, 240 kn)</t>
  </si>
  <si>
    <t>4-bladed constant-speed propeller</t>
  </si>
  <si>
    <t>230.4 kg/m2 (47.2 lb/sq ft)</t>
  </si>
  <si>
    <t>14 m (45 ft 11 in)</t>
  </si>
  <si>
    <t>2,100 km (1,300 mi, 1,100 nmi)</t>
  </si>
  <si>
    <t>14,680 m (48,160 ft)</t>
  </si>
  <si>
    <t>Tatsuo Hasegawa</t>
  </si>
  <si>
    <t>https://en.wikipedia.org/Tatsuo Hasegawa</t>
  </si>
  <si>
    <t>712 km/h (442 mph, 384 kn)</t>
  </si>
  <si>
    <t>Imperial Japanese Army Air Service</t>
  </si>
  <si>
    <t>https://en.wikipedia.org/Imperial Japanese Army Air Service</t>
  </si>
  <si>
    <t>0.283 kW/kg (0.172 hp/lb)</t>
  </si>
  <si>
    <t>2 × 30 mm (1.181 in) Ho-155 cannon and 2 × 20 mm (0.787 in) Ho-5 cannon both in the wings,</t>
  </si>
  <si>
    <t>2 × 250 kg (551 lb) bombs or 1x 500 kg (1,102 lb) bomb</t>
  </si>
  <si>
    <t>5,000 m (16,404 ft) in 5 minutes 9 seconds</t>
  </si>
  <si>
    <t>https://en.wikipedia.org/Prototype</t>
  </si>
  <si>
    <t>Taggart GyroBee</t>
  </si>
  <si>
    <t>The Taggart GyroBee is an American autogyro that was designed by Ralph E. Taggart of Michigan State University and made available as free documentation. The aircraft is also produced in kit form by Star Bee Gyros of Worcester, Massachusetts for amateur construction.[1] The GyroBee was designed to comply with the US FAR 103 Ultralight Vehicles rules, including the category's maximum empty weight of 254 lb (115 kg). The aircraft has a standard empty weight of 247 lb (112 kg). It features a single main rotor, a single-seat open cockpit without a windshield, tricycle landing gear and a twin-cylinder, air-cooled, two-stroke, dual-ignition 45 hp (34 kW) Zanzottera MZ 201 engine in pusher configuration.[1] The aircraft fuselage is made from bolted-together 6061-T6 aluminum tubing. Its 23 ft (7.0 m) diameter Sport Copter rotor has a chord of 7 in (17.8 cm). With its empty weight of 247 lb (112 kg) and a gross weight of 550 lb (249 kg), it has a useful load of 303 lb (137 kg).[1] Data from Bayerl[1]General characteristics Performance</t>
  </si>
  <si>
    <t>https://en.wikipedia.org/Autogyro</t>
  </si>
  <si>
    <t>Star Bee Gyros</t>
  </si>
  <si>
    <t>https://en.wikipedia.org/Star Bee Gyros</t>
  </si>
  <si>
    <t>Free documentation available (2013)Kits in production (2013)</t>
  </si>
  <si>
    <t>247 lb (112 kg)</t>
  </si>
  <si>
    <t>551 lb (250 kg)</t>
  </si>
  <si>
    <t>1 × Zanzottera MZ 201 twin cylinder, air-cooled, two stroke aircraft engine, 45 hp (34 kW)</t>
  </si>
  <si>
    <t>590 ft/min (3 m/s)</t>
  </si>
  <si>
    <t>3-bladed Ivoprop</t>
  </si>
  <si>
    <t>Ralph E. Taggart</t>
  </si>
  <si>
    <t>24 ft 0 in (7.31 m)</t>
  </si>
  <si>
    <t>68 mph (110 km/h, 59 kn)</t>
  </si>
  <si>
    <t>https://en.wikipedia.org/Midwest Hornet</t>
  </si>
  <si>
    <t>Temco D-16</t>
  </si>
  <si>
    <t>The Temco D-16 is a 1950s twin engine civil aircraft from the United States. It was produced by conversion of a Ryan Navion to replace its single engine with two wing-mounted engines. It is commonly known as the Twin Navion, although that name is also often applied to a later similar conversion, the Camair 480. The project began in 1951 as a requirement by Charles Daubenberger for an inexpensive replacement for the corporate Ryan Navion operated by his Dauby Equipment Company, to achieve better reliability while crossing high mountain ranges. He commissioned Roger Keeney of the Acme Aircraft Company to provide a solution, that evolved into a twin engine conversion of a Navion.[1] Jack Riley Sr. built the first model with a team of four.[2] With encouragement from Lycoming, the 125 hp Lycoming O-290 four-cylinder engine was selected for the project. Design changes from the basic Navion structure included strengthened wing spars, that supported engine mounts and other components from Piper PA-18 Super Cub, plus new engine nacelles, a faired nose section that replaced the existing engine and cowling, and a new vertical tail and rudder based on the existing horizontal stabilizer. During testing in 1952, the aircraft was initially named the X-16 Bi-Navion. On 10 November 1952, it was granted certification by the Civil Aeronautics Administration (CAA), after which it was renamed as the D-16 Twin Navion.[1][3] A second aircraft was converted for Jack Riley, who specified 140 hp engines, and he purchased the production rights from Dauby. Riley Aircraft then started production of the Riley D-16 Twin Navion, that standardized the design with 150 hp Lycoming O-320 engines and other improvements. In March 1953, after 19 conversions had been carried out, Riley subcontracted production to Temco Aircraft. Temco then purchased the sole production rights, and produced a further 46 conversions under the name Temco D-16. In September 1954, the design was upgraded to include 170 hp Lycoming O-340 engines plus increased fuel capacity in wingtip tanks, officially named Temco D-16A but typically marketed as the Riley 55 for the 1955 model year.[1][3][4][5][6] In 1957, after 45 conversions to D-16A specification, production ceased in the face of competition from more cost-effective new-build types such as the Piper PA-23 Apache. Many of the D-16 models were upgraded to D-16A standards. In 2012, about 52 Temco D-16 and D-16A models remain on the US civil aircraft register, and at least three are preserved in museum collections.[1][3][4][7] Data from Simpson 2001 and FAA Spec 2A1[3][8]General characteristics Performance  Related development Aircraft of comparable role, configuration, and era    Media related to Temco D-16 at Wikimedia Commons</t>
  </si>
  <si>
    <t>//upload.wikimedia.org/wikipedia/commons/thumb/c/c9/Riley-Temco_%28Ryan%29_D-16_Twin_Navion.jpg/300px-Riley-Temco_%28Ryan%29_D-16_Twin_Navion.jpg</t>
  </si>
  <si>
    <t>Business &amp; touring aircraft</t>
  </si>
  <si>
    <t>Temco Aircraft</t>
  </si>
  <si>
    <t>https://en.wikipedia.org/Temco Aircraft</t>
  </si>
  <si>
    <t>27 ft 2 in (8.28 m)</t>
  </si>
  <si>
    <t>9 ft 6 in (2.9 m)</t>
  </si>
  <si>
    <t>178.3 sq ft (16.56 m2)</t>
  </si>
  <si>
    <t>2,300 lb (1,043 kg)</t>
  </si>
  <si>
    <t>59.5 US gal</t>
  </si>
  <si>
    <t>2 × Lycoming O-320 air-cooled flat-four, 150 hp (111.8 kW)  each</t>
  </si>
  <si>
    <t>170 mph (274 km/h, 148 kn)</t>
  </si>
  <si>
    <t>1,400 ft/min (7.1 m/s)</t>
  </si>
  <si>
    <t>33 ft 4 in (10.16 m)</t>
  </si>
  <si>
    <t>190 mph (310 km/h, 165 kn)</t>
  </si>
  <si>
    <t>700 mi (1,120 km, 609 nmi)</t>
  </si>
  <si>
    <t>20,000 ft (6,096 m)</t>
  </si>
  <si>
    <t>180 mph (290 km/h, 157 kn)</t>
  </si>
  <si>
    <t>3,350 lb (1,519 kg)</t>
  </si>
  <si>
    <t>Ryan Navion</t>
  </si>
  <si>
    <t>https://en.wikipedia.org/Ryan Navion</t>
  </si>
  <si>
    <t>1953-1957</t>
  </si>
  <si>
    <t>TeST TST-14 Bonus</t>
  </si>
  <si>
    <t>The TeST TST-14 Bonus is a Czech high-wing, T-tailed, two-seats-in-tandem glider and motor glider, designed and produced by TeST Gliders.[1][2][3] The TST-14 motor glider was designed for private owner and flying school use and as such features wing tip wheels that allow independent taxiing and take-off.[1][3] The TST-14 is constructed from composite materials, with the forward-swept wing a ribless composite sandwich structure. Each wing weighs 40 kg (88 lb) and has a single spar made with a carbon fibre composite flange plate and a polyurethane foam/fibreglass composite web plate. Glidepath control is by upper surface air brakes made from aluminium. The motor glider version is powered by a retractable 50 hp (37 kW) Rotax 503UL two-stroke powerlant. Extension and retraction of the engine is fully automatic, controlled with two cockpit-mounted buttons and actuated by two electric servo motors. The landing gear consists of dual fuselage-mounted tandem mainwheels and wing tip-mounted wheels.[1][4][5] The aircraft was type certified to the Joint Aviation Authorities JAR 22 standard for gliders on 10 Dec 2001. The TST-14 was not certified in the United States as the company explains, "due to the expense involved". The aircraft can be registered with the US Federal Aviation Administration as a Special Light Sport Aircraft glider or in the Experimental - racing/exhibition category.[2][5][6] Data from Sailplane Directory and company website[1][4][5]General characteristics Performance</t>
  </si>
  <si>
    <t>Glider and Motor glider</t>
  </si>
  <si>
    <t>https://en.wikipedia.org/Glider and Motor glider</t>
  </si>
  <si>
    <t>Czech Republic</t>
  </si>
  <si>
    <t>https://en.wikipedia.org/Czech Republic</t>
  </si>
  <si>
    <t>TeST Gliders</t>
  </si>
  <si>
    <t>https://en.wikipedia.org/TeST Gliders</t>
  </si>
  <si>
    <t>8.24 m (27 ft 0 in)</t>
  </si>
  <si>
    <t>12.01 m2 (129.3 sq ft)</t>
  </si>
  <si>
    <t>36 litres (7.9 imp gal; 9.5 US gal)</t>
  </si>
  <si>
    <t>1 × Rotax 503UL two-stroke, twin cylinder inline aero engine, 37 kW (50 hp)</t>
  </si>
  <si>
    <t>2.5 m/s (490 ft/min)</t>
  </si>
  <si>
    <t>17 m (55 ft 9 in)</t>
  </si>
  <si>
    <t>205 km/h (127 mph, 111 kn)</t>
  </si>
  <si>
    <t>https://en.wikipedia.org/TeST TST-14J BonusJet</t>
  </si>
  <si>
    <t>0.65 m/s (128 ft/min) at 85 km/h (53 mph; 46 kn)</t>
  </si>
  <si>
    <t>+5.2/-2.6</t>
  </si>
  <si>
    <t>Surrey Flying Services AL.1</t>
  </si>
  <si>
    <t>The Surrey Flying Services AL.1 was a single-engined side-by-side two-seat training biplane, built at a UK flying club in 1929.  Only one was built, but it was flying until the outbreak of war in 1939 and remains in storage. Surrey Flying Services Ltd operated a flying school from Croydon Aerodrome.  In 1929 they built a biplane designed by John Bewsher, who had earlier designed the ANEC Missel Thrush.  The Surrey Flying Services AL.1 was a single-engined side-by-side two-seater.  It was a single-bay biplane, with considerable stagger and with wings of constant and equal chord,[1] built using spruce and three ply construction with fabric covering.[2]  The upper wing span was slightly greater than that of the lower.   Simple spruce[2]  parallel interplane struts were used, leaning slightly outwards; on the underside of the lower wing, beneath these struts, were fitted looped wire protector skids.[1]  The centre section was supported by two pairs of outward-leaning cabane struts linking the upper fuselage longerons to the front and rear wing spars.  The rear pair of these was just in front of the open cockpit; above the occupants the wing trailing edge was cut back to the rear spar for improved visibility, and the lower wing had small nicks at the root for the same purpose.[1] The fuselage was flat sided, fabric covered over ash longerons[2] with a rounded decking, deepest at the cockpit, from tail to nose. The tail surfaces were also fabric covered wooden structures. The fin was quite small and triangular, carrying a generous, semicircular unbalanced rudder on a hinge which leaned forward in flying attitude.  The rudder continued down to the fuselage bottom, so the elevators, mounted with the tailplane on the top of the fuselage had a cut out in which it could move. The cockpit was fully upholstered, with a large luggage space behind that could alternatively have seated a child. The AL.1 was powered by a 95 hp (71 kW) seven cylinder[3] Salmson AC.7 radial engine, mounted without a cowling and driving a two-bladed propeller.  The undercarriage was a single axle unit with the main legs attached at the front spar roots.  The legs were braced, unusually, by  struts from the axle to the forward fuselage just behind the engine. The undercarriage legs splayed outwards to produce a large track.  The wheels were wire braced, though in some images they are covered.  There was a tailskid on the rear fuselage.[1] The AL.1 first flew in 1929.  Registered G-AALP[4] in the name of the Flying School secretary it flew occasionally until 1931.  Plans to market it and a proposed Cirrus engined variant were defeated by the economic depression, and in 1931 the sole AL.1 was stored.[1]  In September 1936 there was an advertisement in Flight, offering it for sale at £65.[1]  In May 1938 it was bought by Bertram Arden of Exeter,[4] who restored and flew it up to the outbreak of war in 1939.  It is currently stored by the Arden Family Trust.[5][6] Data from Ord-Hume 2000, pp. 478General characteristics Performance</t>
  </si>
  <si>
    <t>https://en.wikipedia.org/Trainer</t>
  </si>
  <si>
    <t>Surrey Flying Services Ltd</t>
  </si>
  <si>
    <t>20 ft 0 in (6.10 m)</t>
  </si>
  <si>
    <t>216 sq ft (20.1 m2)</t>
  </si>
  <si>
    <t>680 lb (308 kg)</t>
  </si>
  <si>
    <t>1,200 lb (544 kg)</t>
  </si>
  <si>
    <t>1 × Salmson AC.7 7-cylinder air cooled radial, 95 hp (71 kW)</t>
  </si>
  <si>
    <t>28 ft 9 in (8.76 m)</t>
  </si>
  <si>
    <t>42 mph (68 km/h, 36 kn)</t>
  </si>
  <si>
    <t>200 mi (320 km, 170 nmi)</t>
  </si>
  <si>
    <t>John Bewsher</t>
  </si>
  <si>
    <t>110 mph (180 km/h, 96 kn)</t>
  </si>
  <si>
    <t>Team Mini-Max AeroMax</t>
  </si>
  <si>
    <t>The Team Mini-Max AeroMax is an American amateur-built aircraft and light-sport aircraft, produced by Team Mini-Max of Niles, Michigan. The aircraft is supplied as a kit for amateur construction.[1] Developed from the ISON Airbike, the AeroMax features a strut-braced high-wing, a single-seat open cockpit that is 14 in (36 cm) wide, fixed conventional landing gear and a single engine in tractor configuration. The narrow fuselage allows the pilot to sit in the cockpit with his or her legs on the outside of the aircraft, with feet on the external rudder pedals.[1][2] The aircraft is made from pre-fabricated metal components and CNC laser-cut plywood parts. Its 28.4 ft (8.7 m) span wing  has an area of 127.7 sq ft (11.86 m2), is supported by "V" struts and features fiberglass drooped wingtips. The main landing gear is made from sprung steel and mounts drum brakes. The elevator trim system is electric. The aircraft's recommended engine the 50 hp (37 kW) Hirth F-23 two-stroke powerplant. Tricycle landing gear, tundra tires and floats are under development. Construction time from the supplied kit is estimated as 200–300 hours.[1][2] A tandem two seat model is also under development by the company.[1] As of August 2012, the design does not appear on the Federal Aviation Administration's list of approved special light-sport aircraft.[3] Data from Kitplanes and manufacturer[1][2]General characteristics Performance</t>
  </si>
  <si>
    <t>Amateur-built aircraft and Light-sport aircraft</t>
  </si>
  <si>
    <t>https://en.wikipedia.org/Amateur-built aircraft and Light-sport aircraft</t>
  </si>
  <si>
    <t>Team Mini-Max</t>
  </si>
  <si>
    <t>https://en.wikipedia.org/Team Mini-Max</t>
  </si>
  <si>
    <t>17 ft 10 in (5.44 m)</t>
  </si>
  <si>
    <t>5 ft 11 in (1.80 m)</t>
  </si>
  <si>
    <t>127.7 sq ft (11.86 m2)</t>
  </si>
  <si>
    <t>429 lb (195 kg)</t>
  </si>
  <si>
    <t>738 lb (335 kg)</t>
  </si>
  <si>
    <t>13 U.S. gallons (49 L; 11 imp gal)</t>
  </si>
  <si>
    <t>1 × Hirth F-23 twin cylinder, air-cooled, two stroke aircraft engine, 50 hp (37 kW)</t>
  </si>
  <si>
    <t>69 mph (111 km/h, 60 kn)</t>
  </si>
  <si>
    <t>5.8 lb/sq ft (28 kg/m2)</t>
  </si>
  <si>
    <t>28 ft 5 in (8.66 m)</t>
  </si>
  <si>
    <t>75 mph (121 km/h, 65 kn)</t>
  </si>
  <si>
    <t>ISON Airbike</t>
  </si>
  <si>
    <t>https://en.wikipedia.org/ISON Airbike</t>
  </si>
  <si>
    <t>+3.5/-1.8</t>
  </si>
  <si>
    <t>2012-present</t>
  </si>
  <si>
    <t>Swallow Aeroplane Company Swallow</t>
  </si>
  <si>
    <t>The Swallow Aeroplane Company Swallow is a series of American ultralight aircraft that was designed by Chet Fudge and  produced by the Swallow Aeroplane Company in the 1980s. The aircraft was supplied as a kit for amateur construction.[1][2] The Swallow Aeroplane Company should not be confused with the 1920s era Swallow Airplane Company. The aircraft was designed to comply with the US FAR 103 Ultralight Vehicles rules, including the category's maximum empty weight of 254 lb (115 kg). When equipped with a lightweight Rotax 277 engine the aircraft has a standard empty weight of 253 lb (115 kg). It features a cable-braced high-wing, a single-seat, open cockpit, tricycle landing gear and one or two engines in pusher configuration.[1][2] The aircraft is made from bolted-together aluminum tubing, with the flying surfaces covered in Dacron sailcloth. Its 34.4 ft (10.5 m) span wing is cable-braced from an inverted "V" kingpost. The pilot is accommodated on an open seat, without a windshield. The aircraft controls are conventional three-axis. The engine or engines are mounted to the wing leading edge and drive the propeller, located at the trailing edge and in between the tail boom tubes, through an extension shaft. Some Swallows used an unusual tubular engine fairing.[1][2] Data from Cliche and the Virtual Ultralight Museum[1][2]General characteristics Performance</t>
  </si>
  <si>
    <t>Swallow Aeroplane Company</t>
  </si>
  <si>
    <t>https://en.wikipedia.org/Swallow Aeroplane Company</t>
  </si>
  <si>
    <t>8 ft (2.4 m)</t>
  </si>
  <si>
    <t>138 sq ft (12.8 m2)</t>
  </si>
  <si>
    <t>290 lb (132 kg)</t>
  </si>
  <si>
    <t>585 lb (265 kg)</t>
  </si>
  <si>
    <t>3.8 U.S. gallons (14 L; 3.2 imp gal)</t>
  </si>
  <si>
    <t>1 × Cuyuna 430 twin cylinder, two stroke aircraft engine, 30 hp (22 kW)</t>
  </si>
  <si>
    <t>60 mph (97 km/h, 52 kn)</t>
  </si>
  <si>
    <t>780 ft/min (4.0 m/s)</t>
  </si>
  <si>
    <t>34 ft 3 in (10.44 m)</t>
  </si>
  <si>
    <t>28 mph (45 km/h, 24 kn)</t>
  </si>
  <si>
    <t>137 mi (220 km, 119 nmi)</t>
  </si>
  <si>
    <t>Chet Fudge</t>
  </si>
  <si>
    <t>70 mph (110 km/h, 61 kn)</t>
  </si>
  <si>
    <t>550 ft/min (2.8 m/s)</t>
  </si>
  <si>
    <t>+4/-3</t>
  </si>
  <si>
    <t>Swearingen SX-300</t>
  </si>
  <si>
    <t>The Swearingen SX-300 is a  high-performance homebuilt aircraft, featuring two seats and developed by Ed Swearingen (1925 - 2014) of San Antonio, Texas during the 1980s.[2] The aircraft was offered as a kit, but the kit was not a comprehensive kit like contemporary designs and its construction was beyond the abilities of the average amateur aircraft builder.[3] The plane features a 300 horsepower (220 kW) six-cylinder engine.[citation needed] Plans have been made to revive the plane and offer it as a quick-build kit, but there is no current kit being offered.[citation needed] There are eight known crashes of SX-300 aircraft, ten deaths.[citation needed] Data from Flying[2]General characteristics Performance</t>
  </si>
  <si>
    <t>//upload.wikimedia.org/wikipedia/commons/thumb/8/83/SwearingenSX-300Landing.jpg/300px-SwearingenSX-300Landing.jpg</t>
  </si>
  <si>
    <t>21 ft 1.5 in (6.439 m)</t>
  </si>
  <si>
    <t>7 ft 6.5 in (2.299 m)</t>
  </si>
  <si>
    <t>70.73 sq ft (6.571 m2)</t>
  </si>
  <si>
    <t>1,400–1,600 lb (635–726 kg) based on builder options</t>
  </si>
  <si>
    <t>400lbs, 66gal useable.</t>
  </si>
  <si>
    <t>1 × Lycoming IO-540 6-cyl. air-cooled horizontally-opposed piston engine, 300 hp (220 kW)</t>
  </si>
  <si>
    <t>230–245 kn (265–282 mph, 426–454 km/h) 75% power, altitude dependant</t>
  </si>
  <si>
    <t>2,400 ft/min (12 m/s)</t>
  </si>
  <si>
    <t>31.10–33.93 lb/sq ft (151.8–165.7 kg/m2)</t>
  </si>
  <si>
    <t>24 ft 4.5 in (7.430 m)</t>
  </si>
  <si>
    <t>75–91 kn (86–105 mph, 139–169 km/h) landing configuration, clean</t>
  </si>
  <si>
    <t>280 kn (320 mph, 520 km/h)</t>
  </si>
  <si>
    <t>Ed Swearingen</t>
  </si>
  <si>
    <t>https://en.wikipedia.org/Ed Swearingen</t>
  </si>
  <si>
    <t>1 July 1984[1]</t>
  </si>
  <si>
    <t>250 kn (290 mph, 460 km/h)</t>
  </si>
  <si>
    <t>2,200–2,400 lb (998–1,089 kg) Experimental</t>
  </si>
  <si>
    <t>NASA NLF(1)-0416</t>
  </si>
  <si>
    <t>+6/-3</t>
  </si>
  <si>
    <t>T-X program</t>
  </si>
  <si>
    <t>The T-X program is a United States Air Force development and acquisition program for a new two-seat jet trainer to replace the Northrop T-38 Talon. On 27 September 2018, the US Air Force selected the Boeing/Saab T-X entry to become its trainer aircraft.[1] The new aircraft was given the designation and name "T-7 Red Hawk" in September 2019.[2] The Air Force's initial plan is to purchase 351 T-7s, and has an option to purchase up to 475. The USAF's Air Education and Training Command (AETC) began developing the requirements for a replacement for the Northrop T-38 Talon as early as 2003. The average age of the T-38 fleet is over 50 years, and a fatigue failure in 2008 killed the two-person crew of a T-38C. Originally, the replacement trainer was expected to enter service around 2020, but the Air Force advanced the target date to 2017.[3][4][5] In the Fiscal 2013 budget proposal, the USAF suggested delaying the initial operating capability to FY2020 with the contract award not expected before FY2016.[6] Shrinking budgets and the need to fund higher priority modernization projects pushed the full implementation of the yet-to-be-selected T-X aircraft to "fiscal year 2023 or 2024". Although the program was left out of the FY 2014 budget entirely, the service still viewed the trainer as a priority.[7] In February 2013, there was an expectation that the program might succumb to budget pressures in the USAF.[8] In May 2013, the T-X industry day was postponed "until further notice" due to the fiscal climate.[9] In December 2013 the head of the program said there were no plans for 2014 or 2015, but that he would speak to the chief of staff about the program either in February 2014 or later.[10] On 20 March 2015, the US Air Force released the T-X program requirements.[11]  On 30 December 2016, the US Air Force released a formal request for proposals. The request includes 350 aircraft and initial operational capability by 2024. [12]  On 27 September 2018, the U.S. Air Force officially selected the Boeing T-X entry as its new advanced jet trainer to replace the T-38.[13][14] One of the driving requirements for the new trainer will be to help prepare pilots for the increased complexity in some areas, particularly information management, that are a part of fifth generation jet fighters like the F-22 Raptor and the F-35 Lightning II. The Air Force first viewed this as unnecessary and costly, but industry analysis showed it to be cheaper in the long run.[15] The aircraft and simulation system will have to fulfill several basic training roles; basic aircraft control, airmanship, formation, instrument and navigation, advanced air-to-air, advanced air-to-ground, and advanced crew/cockpit resource management. Furthermore, there are five advanced training roles that the system is expected to fulfill; sustained high-G operations at 6.5–7.5g,[15] aerial refueling, night vision imaging systems operations, air-to-air intercepts, and data-link operations. The 2009 Request For Information (RFI) mentions that some tasks, such as aerial refueling, may be performed in the simulator and not on the aircraft itself.[16] Aircraft availability is to be 80%, but not higher, as that would drive cost too high. Program requirements focus on life-cycle costs rather than just purchase price.[15] Additionally, while the RFI is specifically for a USAF trainer, it asked potential suppliers about the feasibility of a fighter/attack variant of the aircraft and a carrier-capable variant for the United States Navy.[16] However, the requirements manager for the program, Stephan Lyon, has stated that it is unlikely that potential combat performance will be considered. Similarly, while Navy officials will be participating in some stages of the program, carrier suitability will not be part of the evaluation.[3] Similarly, the Air Force considered the possibility of adapting the T-X aircraft to perform light attack and close air support as part of their effort to retire the A-10 Thunderbolt II.  With the T-X already invested in, making it a multirole combat and training plane could defray costs of developing a new attack jet that can operate efficiently in a low-threat environment.[17] However, by 2016 the Air Force decided to pursue other aircraft to meet CAS requirements and not "dilute" the trainer program to support other missions.[18] Several competitors submitted existing aircraft and others proposed all new designs.  The following were submitted as bids:[19] Leonardo S.p.A. with the M-346-based T-100,[20] Korea Aerospace Industries/Lockheed Martin with the T-50 Golden Eagle,[21] Boeing and Saab Group new, purpose-built Boeing T-X,[22] and Sierra Nevada Corporation and Turkish Aerospace Industries with a new design.[citation needed] On 6 December 2013, Boeing and Saab Group announced they would team up to offer a new aircraft (Boeing T-X) for the T-X program.[23] On 22 August 2016, Boeing publicly revealed first pictures of the T-X concept.[24] The single-engine, twin-tail aircraft was presented to the public on 13 September.[25]  The aircraft was first flown on 20 December 2016.[26] Italian aerospace company Leonardo S.p.A. (formerly Alenia Aermacchi) is part of a bid with its M-346 Master.  The company had initially considered submitting the aircraft as the prime contractor, but changed its mind in 2010.  The company is offering a variant of the aircraft as the "Leonardo DRS T-100 Integrated Training System" for the competition. Alenia anticipates moving the final assembly location from Italy to the United States if it wins the competition.[3] In January 2013, General Dynamics joined Alenia Aermacchi and signed a letter of intent (LOI) to compete jointly on the program.[27] In February 2014, CAE Inc., which specializes in flight simulators and flight training, joined General Dynamics and Alenia Aermacchi to offer the T-100 for the T-X program.[28] On 26 March 2015, General Dynamics withdrew as the prime contractor for the M-346 Master/T-100 offering. General Dynamics would no longer retain its role as the lead contractor and systems integrator for the bid.[29] Alenia Aermacchi which had been a subsidiary to a holding company Finmeccanica, was taken over completely on 1 January 2016 and renamed Leonardo in 2017. On 22 February 2016, Raytheon announced it was replacing General Dynamics and going to head-up the bid in the US for the T-X program, as the primary contractor, teamed with Leonardo, Honeywell Aerospace, and CAE USA Inc.  The aircraft to be submitted would be a modified M-346 platform, named T-100, using two Honeywell/ITEC F124 low-bypass turbofan engines.[30][31] On January 25, 2017, Raytheon announced its withdrawal from the T-X program, leaving Leonardo without a partner in the program.[32] On 8 February 2017, Leonardo announced its return to the U.S. Air Force T-X competition, proposing the T-100 with its American subsidiary, Leonardo DRS, as the prime contractor.[33] Leonardo DRS will be supported by CAE USA in the design and development of the T-100 Ground-Based Training System (GBTS). Honeywell will also provide twin F124 turbofan propulsion engines.[33] The aircraft is to be built at a new 750-employee manufacturing facility at Moton Field in Tuskegee, Alabama.[34] Lockheed Martin with Korea Aerospace Industries (KAI) proposed their KAI T-50 Golden Eagle, which first flew in 2002, for the T-X program. While the T-50 was explicitly designed and built for the South Korean trainer requirement, Lockheed Martin officials acknowledged that the aircraft was designed with replacing the T-38 in mind. Hence, the Defense Department reserved the T-50A designation for the KAI T-50 in hopes of not creating confusion between two "T-50" trainers by allocating T-50 to an unrelated trainer aircraft.[35] Lockheed anticipated proposing the T-50 with few changes, mostly avionics related. Plans were in place to build a new assembly line in the United States for manufacturing the T-50 for the United States Air Force instead of manufacturing them in South Korea, should the Lockheed Martin/KAI team win the contract.[3] On 17 December 2015, Lockheed and KAI revealed their T-X prototype in South Korea based on the T-50, the first competitor in the program to do so publicly. Referred to as the "T-X demonstrator aircraft", it adds to the T-50 airframe the ability for aerial refueling, embedded ground training systems, and a large area display in place of the five smaller screens. South Korean president Park Geun-hye attended the rollout ceremony. Lockheed Martin's upgraded T-50A jet trainer successfully completed its first flight test in June 2016 in Sacheon, South Korea, a key milestone for the aircraft.[36][37]  Flight tests in the U.S. should begin in 2017.[38][39][40][41] As a line replaceable unit, the aircraft can have an optional large dorsal hump, which houses the aerial refueling receptacle.[42][43] Northrop Grumman with partners BAE Systems, L-3 Communications, and Rolls-Royce Holdings, initially had intentions of proposing an updated version of the Hawk T2/128 for the T-X program. Northrop Grumman assumed prime responsibilities for the team in 2014.[44] Northrop built the U.S. Air Force's current training aircraft, the T-38 Talon. The Hawk T2 features an all glass cockpit, new wing, and fuselage components. Although the basic Hawk design dates back to the 1970s, the only parts shared between the T1 and T2 versions are the canopy and airbrake, making the T2 version essentially a new aircraft. The Northrop Grumman team was expecting this to be a low-risk, low-cost strategy for the competition, augmented by the fact that Hawk-based McDonnell Douglas/Boeing T-45C Goshawk with glass cockpit is used to train Naval Aviators and Naval Flight Officers students slated for tactical jet aircraft for the U.S. Navy and U.S. Marine Corps. On 13 September 2013, Rolls-Royce announced it would join the team and provide integration support for its Adour Mk951 engine.[45] However, in 2015, Northrop Grumman was no longer submitting the Hawk for T-X consideration, primarily due to airframe performance shortcomings with maneuvers such as high angle-of-attack and sustained accelerations, as well as concerns regarding affordability. Instead, Northrop Grumman had begun a new clean-sheet design to closely match the evolving T-X requirements. Scaled Composites, a subsidiary of Northrop Grumman, was to construct the prototype, with a first flight expected in late 2015.[46] On 19 August 2016 in Mojave, Northrop Grumman publicly revealed a model of its T-X concept powered by a single GE F404-102D engine.[47] The Scaled Composites Model 400 Swift made its first flight on August 26, and six more thereafter; its maximum takeoff weight of 15,400 lb (7.0 t) was lighter than the Lockheed/KAI T-50A or the M-346-based Leonardo T-100, and 25% heavier than the winning Boeing/Saab design, it had a maximum speed of 500 kn (930 km/h) and a ceiling of 35,000 ft (11,000 m).[48] On 1 February 2017, the companies announced they would not submit a proposal for the T-X program.[49] Sierra Nevada Corporation (SNC) and Turkish Aerospace Industries (TAI) are also considering offering a new aircraft for the T-X program[50] based on the TAI Hürjet trainer.[citation needed] The companies have formed the Freedom Aircraft Ventures LLC in Centennial, Colorado to develop a lightweight, all-composite trainer for the competition.[50] Stavatti Aerospace announced on 31 March 2017 it submitted the Javelin for the T-X competition. The Javelin is a new single-engine, two-seat, military trainer jet and Very Light Fighter (VLF) aircraft derived from the Aviation Technology Group Javelin Mk-30.[51] Textron AirLand, a joint venture between Textron and AirLand Enterprises, developed the Textron AirLand Scorpion light attack jet which had potential as a candidate for the T-X program.  Textron management stated that with some modifications, such as swapping the two engines with a single engine and changing the wings, the aircraft would be an ideal match for the T-X role.[52]  Additionally, during the Farnborough 2014 Airshow, Textron representatives expressed significant interest in the T-X program, and indicated they were closely following the progression of the draft requirements.[21]  On 23 August 2014, Textron AirLand formally confirmed they would compete for the T-X trainer and modify the Scorpion to better fit the training requirements.[53] However, in September 2015 Textron AirLand revealed it would not offer a version of the Scorpion for the program due to changing Air Force requirements, moving from a low-cost advanced jet trainer requiring little development to a high-performance fly-by-wire trainer with top tier handling qualities.  The company stated it was still interested in the T-X, but would have to offer a clean-sheet design like most of the other competitors.[54][55]</t>
  </si>
  <si>
    <t>//upload.wikimedia.org/wikipedia/commons/thumb/a/ad/Two_parked_Boeing_T-Xs_%28181005-F-PO640-0021%29.JPG/300px-Two_parked_Boeing_T-Xs_%28181005-F-PO640-0021%29.JPG</t>
  </si>
  <si>
    <t>Fast-jet trainer</t>
  </si>
  <si>
    <t>https://en.wikipedia.org/Fast-jet trainer</t>
  </si>
  <si>
    <t>Boeing/Saab T-X Leonardo T-100  Lockheed Martin/KAI T-50A</t>
  </si>
  <si>
    <t>Boeing/Saab T-X selected for production as the T-7 Red Hawk</t>
  </si>
  <si>
    <t>https://en.wikipedia.org/Boeing/Saab T-X selected for production as the T-7 Red Hawk</t>
  </si>
  <si>
    <t>Advanced Pilot Training System</t>
  </si>
  <si>
    <t>https://en.wikipedia.org/Boeing/Saab T-X Leonardo T-100  Lockheed Martin/KAI T-50A</t>
  </si>
  <si>
    <t>Tapanee Pegazair-100</t>
  </si>
  <si>
    <t>The Pegazair-100 STOL is a two-seat STOL homebuilt aircraft developed in Canada by Tapanee Aviation, Inc. of Mont-Saint-Michel, Quebec.[1][2][3] Development of the Pegazair started in 1985 by Serg Dufour of Mont-Saint-Michel, Quebec. Originally it consisted of a new set of Pega-STOL wings with retractable leading edge slats to be installed on Zenair CH 701 STOLs to replace their wings which have fixed leading edge slots. Dufour went on to develop a new fuselage and tail to match the wings. The Pegazair is a two seats in side-by-side configuration, strut-braced, high-wing monoplane with conventional landing gear. Fuselage construction is welded steel tubing with aluminum skin. The wings employ full length flaperons and leading edge slats that deploy automatically. The tailplane is slotted for slow speed authority. The prototype was outfitted with a 65 hp (48 kW) Continental A-65 engine.[2][3][4] The design was later developed into the four-seat Tapanee Levitation 4.[2][3] Data from Manufacturer and Kitplanes[5]General characteristics Performance</t>
  </si>
  <si>
    <t>//upload.wikimedia.org/wikipedia/commons/thumb/0/07/Pegazair-100.jpg/300px-Pegazair-100.jpg</t>
  </si>
  <si>
    <t>Tapanee Aviation, Inc.</t>
  </si>
  <si>
    <t>https://en.wikipedia.org/Tapanee Aviation, Inc.</t>
  </si>
  <si>
    <t>6.83 m (22 ft 5 in)</t>
  </si>
  <si>
    <t>374 kg (825 lb)</t>
  </si>
  <si>
    <t>658 kg (1,450 lb)</t>
  </si>
  <si>
    <t>134 litres (29 imp gal; 35 US gal)</t>
  </si>
  <si>
    <t>1 × Continental O-200 horizontally opposed piston, 75 kW (100 hp)</t>
  </si>
  <si>
    <t>169 km/h (105 mph, 91 kn)</t>
  </si>
  <si>
    <t>47 kg/m2 (9.7 lb/sq ft)</t>
  </si>
  <si>
    <t>{'Pegazair P80': 'wered by an 80\xa0hp (60\xa0kW) Rotax 912UL', 'Pegazair P100': 'wered by an 80\xa0hp (60\xa0kW) Continental O-200 or 115\xa0hp (86\xa0kW) Rotax 914'}</t>
  </si>
  <si>
    <t>8.8 m (29 ft)</t>
  </si>
  <si>
    <t>45 km/h (28 mph, 24 kn)</t>
  </si>
  <si>
    <t>201 km/h (125 mph, 109 kn)</t>
  </si>
  <si>
    <t>1,010 km (630 mi, 550 nmi)</t>
  </si>
  <si>
    <t>Serg Dufour</t>
  </si>
  <si>
    <t>https://en.wikipedia.org/Tapanee Levitation 4</t>
  </si>
  <si>
    <t>NACA 2415</t>
  </si>
  <si>
    <t>+6/-3.3</t>
  </si>
  <si>
    <t>Butterfly Super Sky Cycle</t>
  </si>
  <si>
    <t>The Butterfly Super Sky Cycle is an American homebuilt roadable gyroplane designed and manufactured by The Butterfly Aircraft LLC. The Super Sky Cycle is a pusher gyroplane with tricycle undercarriage and belt drive propulsion. A second two cycle engine drives the main wheels. A kevlar tail provides directional control in flight. The rotors are able to be folded for road travel. Two 5 U.S. gallons (19 L; 4.2 imp gal) tanks are mounted in reserve.[1][2] Data from ManufacterGeneral characteristics Performance</t>
  </si>
  <si>
    <t>//upload.wikimedia.org/wikipedia/commons/thumb/c/c1/SuperSkyCycle.jpg/300px-SuperSkyCycle.jpg</t>
  </si>
  <si>
    <t>Gyroplane</t>
  </si>
  <si>
    <t>https://en.wikipedia.org/Gyroplane</t>
  </si>
  <si>
    <t>The Butterfly Aircraft LLC</t>
  </si>
  <si>
    <t>https://en.wikipedia.org/The Butterfly Aircraft LLC</t>
  </si>
  <si>
    <t>14 ft 8 in (4.47 m)</t>
  </si>
  <si>
    <t>8 ft 3 in (2.51 m) Can be reduced to 7 ft 10 in (2.39 m) for storage</t>
  </si>
  <si>
    <t>7.5 U.S. gallons (28 L; 6.2 imp gal)</t>
  </si>
  <si>
    <t>1 × Zanzottera MZ 34 two stroke aircraft engine, 27 hp (20 kW)   (ground propulsion only)</t>
  </si>
  <si>
    <t>Larry Neal</t>
  </si>
  <si>
    <t>Titan Tornado</t>
  </si>
  <si>
    <t>The Titan Tornado is large family of cantilever high-wing, pusher configuration, tricycle gear-equipped kit aircraft manufactured by Titan Aircraft of Austinburg, Ohio for amateur construction.[1][2][3][4][5][6][7][8][9][10][11] The first in the Tornado series, the Tornado 103, which started development in 1990, was introduced in 1994 and designed to fit into the US FAR 103 Ultralight Vehicles category, meeting the 254 lb (115 kg) empty weight limit. If equipped with a light enough engine the Tornado 103 could qualify as a US ultralight.[1][3] The Tornado borrows from the design of the Earthstar Thunder Gull J and shares a similar cantilever wing of small area, keeping stall speeds low by use of flaps. This low drag design manages high cross country speeds as a result. The cockpit is constructed from 4130 steel, while the fuselage boom tube and the wings are built from aluminium. Unlike the Gull's wing, which is aircraft fabric-covered or optionally finished in sheet aluminium,[12] the Tornado's wing is stressed skin. The Tornado has a tricycle undercarriage with a supplemental tailwheel castor, as the aircraft sits on its tail when unoccupied.[1][3] The Tornado 103 was named Ultralight Grand Champion at Sun 'n Fun 1994.[4] Data from Cliche[1]General characteristics Performance  Related development Aircraft of comparable role, configuration, and era</t>
  </si>
  <si>
    <t>//upload.wikimedia.org/wikipedia/commons/thumb/2/27/Titan_Tornado_II_N291TT.JPG/300px-Titan_Tornado_II_N291TT.JPG</t>
  </si>
  <si>
    <t>Titan Aircraft</t>
  </si>
  <si>
    <t>https://en.wikipedia.org/Titan Aircraft</t>
  </si>
  <si>
    <t>5 US Gallons (19 litres)</t>
  </si>
  <si>
    <t>1 × Rotax 277 single cylinder, two-stroke aircraft engine, 28 hp (21 kW)</t>
  </si>
  <si>
    <t>850 ft/min (4.3 m/s)</t>
  </si>
  <si>
    <t>{'Tornado II': 'o seats in tandem version, intended for the previous US ultralight trainer category and presently for the US homebuilt and light-sport categories. It has a 23.5\xa0ft (7.2\xa0m) wingspan. Standard engine is the 64\xa0hp (48\xa0kW) Rotax 582 and cruise speed is 100\xa0mph (161\xa0km/h) with that engine. Acceptable power range is 52 to 80\xa0hp (39 to 60\xa0kW). The 60\xa0hp (45\xa0kW) HKS 700E four-stroke engine has also been used. Still in production. Reported construction time is 350 hours. 120 were reported flying in 1998.[1][2][3][4][5][10][13]', 'Tornado II Trainer': 'o seats in tandem version, intended for the previous US ultralight trainer category. It has a 23.5\xa0ft (7.2\xa0m) wingspan. Standard engine is the 64\xa0hp (48\xa0kW) Rotax 582. Acceptable power range is 52 to 80\xa0hp (39 to 60\xa0kW). No longer in production. Reported construction time is 350 hours. 510 were reported flying in 2011.[4][5][6][7][8][9][11]', 'Tornado II Sport': 'o seats in tandem version, intended for the US homebuilt category. It has a 23.5\xa0ft (7.2\xa0m) wingspan. Standard engine is the 80\xa0hp (60\xa0kW) Rotax 912UL. Acceptable power range is 50 to 80\xa0hp (37 to 60\xa0kW). No longer in production. Reported construction time is 350 hours. 500 were reported flying in 2003.[6][7]', 'Tornado II 912': 'o seats in tandem version, intended for the US homebuilt category. It has a 23.5\xa0ft (7.2\xa0m) wingspan. Standard engine is the 80\xa0hp (60\xa0kW) Rotax 912 and cruise speed is 120\xa0mph (193\xa0km/h) with that engine. Acceptable power range is 52 to 80\xa0hp (39 to 60\xa0kW). No longer in production. 145 were reported flying in 1999.[6]', 'Tornado II FP': 'o seats in tandem amphibious floatplane version, intended for the US homebuilt category with a 23.5\xa0ft (7.2\xa0m) wingspan. Standard engine is the 74\xa0hp (55\xa0kW) Rotax 618 and cruise speed is 105\xa0mph (169\xa0km/h) with that engine. Out of production. Reported construction time is 350 hours. Twelve were reported flying in 2001.[3][4][6]', 'Tornado MG II': 'o seats in tandem version, with a 26\xa0ft (7.9\xa0m) wingspan. The wing is detachable for storage or transport. Standard engine is the 40\xa0hp (30\xa0kW) Rotax 447 and the acceptable power range is 40 to 80\xa0hp (30 to 60\xa0kW). No longer in production. Reported construction time is 400 hours. Eight were reported flying in 2001.[4][5][6]', 'Tornado S': 'o seats in tandem "stretched" fuselage version, intended for the US homebuilt and light-sport categories. It has a 23.5\xa0ft (7.2\xa0m) wingspan. Standard engine is the 100\xa0hp (75\xa0kW) Rotax 912ULS and cruise speed is 120\xa0mph (193\xa0km/h) with that engine. Acceptable power range is 52 to 120\xa0hp (39 to 89\xa0kW) and alternate engines include the 52\xa0hp (39\xa0kW) Rotax 503, 64\xa0hp (48\xa0kW) Rotax 582, 80\xa0hp (60\xa0kW) Rotax 912UL, 85\xa0hp (63\xa0kW) Jabiru 2200, or the 120\xa0hp (89\xa0kW) Jabiru 3300. Still in production. Reported construction time is 300 hours. 55 reported flying in 2011.[2][8][9][11]'}</t>
  </si>
  <si>
    <t>25 mph (40 km/h, 22 kn) flaps down</t>
  </si>
  <si>
    <t>120 mi (190 km, 100 nmi)</t>
  </si>
  <si>
    <t>10,000 ft (3,000 m)</t>
  </si>
  <si>
    <t>Earthstar Thunder Gull J</t>
  </si>
  <si>
    <t>https://en.wikipedia.org/Earthstar Thunder Gull J</t>
  </si>
  <si>
    <t>1994–present</t>
  </si>
  <si>
    <t>Supermarine Sparrow</t>
  </si>
  <si>
    <t>The Supermarine Sparrow was a British two-seat light sports aircraft designed by R.J. Mitchell and built by Supermarine at Woolston, Southampton. The Sparrow I was designed and built for the 1924 Lympne light aircraft trials.  It was a two-seat biplane powered by a 35 hp (26 kW) Blackburne Thrush piston engine, with dual controls. The Sparrow I (registered G-EBJP) first flew on 11 September 1924.[1] The Thrush, a three-cylinder radial engine proved to be extremely unreliable and the Sparrow was eliminated from the light aircraft trial due to engine failure. In the Grosvenor Trophy Race at Lympne Aerodrome on 14 October 1924, it came fourth with a speed of 62.08 mph (99.91 km/h).[2] The aircraft was rebuilt for the 1926 Lympne Trials as a parasol monoplane (and redesignated the Sparrow II) and re-engined with a 32 hp (24 kW) Bristol Cherub III engine. During the trials the Sparrow force landed near Beachy Head on 12 September 1926, again being eliminated from the competition, which was won by the Hawker Cygnet.[3] After use for testing wing sections, the aircraft was sold to the Halton Aero Club,[4] remaining in existence until 1933.[5] Data from British Civil Aircraft since 1919.[5]General characteristics Performance   Aircraft of comparable role, configuration, and era</t>
  </si>
  <si>
    <t>//upload.wikimedia.org/wikipedia/commons/thumb/8/8d/Supermarine_Sparrow.png/300px-Supermarine_Sparrow.png</t>
  </si>
  <si>
    <t>Two-seat light sports aircraft</t>
  </si>
  <si>
    <t>Supermarine Aviation Works</t>
  </si>
  <si>
    <t>https://en.wikipedia.org/Supermarine Aviation Works</t>
  </si>
  <si>
    <t>22 ft 8 in (6.91 m)</t>
  </si>
  <si>
    <t>7 ft 5 in (2.26 m) [6]</t>
  </si>
  <si>
    <t>256 sq ft (23.8 m2) [6]</t>
  </si>
  <si>
    <t>215 lb (98 kg)</t>
  </si>
  <si>
    <t>390 lb (177 kg)</t>
  </si>
  <si>
    <t>1 × Blackburne Thrush 3-cylinder air-cooled radial piston engine, 35 hp (26 kW)</t>
  </si>
  <si>
    <t>2-bladed fixed-pitch propeller</t>
  </si>
  <si>
    <t>3,350 ft (1,020 m)</t>
  </si>
  <si>
    <t>Swift Aircraft Swift</t>
  </si>
  <si>
    <t>The Swift Aircraft Swift is a single engine, conventional light aircraft, seating two in side-by-side configuration.  It is being developed in the UK but has yet to fly. The Swift is mostly built from composite materials; flying surfaces and the fuselage are formed from composite sandwiches and the wing and tailplane have carbon fibre spars. It has a low wing of trapezoidal plan with slightly upturned tips, fitted with Frise ailerons and slotted flaps. The rear surfaces are also trapezoidal.  There is a trim tab in the elevator and a ground adjustable tab on the rudder.[1] The cockpit has a fixed windscreen and rearward-sliding canopy and is equipped with dual controls. There is a baggage space behind the side-by-side seats.  The Swift has a fixed, tricycle undercarriage with the mainwheels on fuselage mounted, spring steel, cantilever legs. The mainwheels have disc brakes and the nosewheel is steerable.  The Swift is designed to accept a range of Textron Lycoming horizontally opposed engines in the power range 119-194 kW (160-260 hp), driving a three-bladed propeller.[1] The Swift program was announced in May 2009. In 2015 Swift Technology Group announced a "multi million pound investment" supporting development of the aircraft and other products,[2][3] and exhibited a static display at AeroExpo UK.[4] Data from Jane's All the World's Aircraft 2011/12[1]  Performance estimated.General characteristics Performance Avionics</t>
  </si>
  <si>
    <t>Aerobatic two seat light aircraft</t>
  </si>
  <si>
    <t>https://en.wikipedia.org/Aerobatic two seat light aircraft</t>
  </si>
  <si>
    <t>Swift Aircraft</t>
  </si>
  <si>
    <t>https://en.wikipedia.org/Swift Aircraft</t>
  </si>
  <si>
    <t>6.565 m (21 ft 6 in)</t>
  </si>
  <si>
    <t>2.015 m (6 ft 7 in)</t>
  </si>
  <si>
    <t>372 kg (820 lb)</t>
  </si>
  <si>
    <t>187 L (49.4 US gal; 41.1 Imp gal)</t>
  </si>
  <si>
    <t>1 × Textron Lycoming air-cooled flat-six engine, 194 kW (260 hp)</t>
  </si>
  <si>
    <t>302 km/h (188 mph, 163 kn) at 75% power</t>
  </si>
  <si>
    <t>10.7 m/s (2,110 ft/min) maximum, at sea level</t>
  </si>
  <si>
    <t>3-bladed MT-Propeller, constant speed</t>
  </si>
  <si>
    <t>8.055 m (26 ft 5 in) including winglets</t>
  </si>
  <si>
    <t>93 km/h (58 mph, 50 kn) flaps down</t>
  </si>
  <si>
    <t>Not yet occurred (February 2012)</t>
  </si>
  <si>
    <t>340 km/h (210 mph, 180 kn)</t>
  </si>
  <si>
    <t>743 kg (1,638 lb)</t>
  </si>
  <si>
    <t>+6/-4</t>
  </si>
  <si>
    <t>TAI Keklik</t>
  </si>
  <si>
    <t>TAI Keklik is a radio-controlled tracking target drone introduced in 2001. Designed, developed and built by Turkish Aerospace Industries (TAI), the unmanned aerial vehicle (UAV) is in use by the Turkish Armed Forces for target tracking in non-firing gunnery exercises. Keklik is the Turkish word for "partridge". TAI produces other UAVs named after birds. The Research and Development Department of the Turkish Ministry of National Defence awarded a contract to TAI in August 1995 for the development of a low-cost training target drone for use by the Turkish Army and Navy in target tracking and non-firing gunnery exercises with anti-aircraft guns; and with radar-guided and heat-seeking anti-aircraft missiles. It was also intended for training the operators of the much larger TAI Turna target drone.[1][2] The Keklik prototype was completed in July 1997, and it went in production in late 1999. Since November 2001, the Keklik has been in the inventory of the Turkish Air Force and Turkish Army.[2][3] The Keklik is propelled by an OS-MAX 91 FX two-stroke engine developing 2.09 kW (2.80 hp), produced by German company Graupner GmbH.[4] The delta-winged, robust and simple UAV takes off from a manually operated bungee catapult, and is recovered by a remotely controlled parachute on land or sea. The drone can be re-launched in 15 minutes. The tractor type aircraft is made of composite material and painted in bright colors for easy visibility.[2] Data from TUSAŞ Türk Havacılık ve Uzaay Sanayii A.Ş.-Network 54[2]General characteristics Performance This article on an unmanned aerial vehicle is a stub. You can help Wikipedia by expanding it.</t>
  </si>
  <si>
    <t>Unmanned drone tracking target drone</t>
  </si>
  <si>
    <t>https://en.wikipedia.org/Unmanned drone tracking target drone</t>
  </si>
  <si>
    <t>Turkish Aerospace Industries (TAI)</t>
  </si>
  <si>
    <t>https://en.wikipedia.org/Turkish Aerospace Industries (TAI)</t>
  </si>
  <si>
    <t>In use</t>
  </si>
  <si>
    <t>1.36 m (4 ft 6 in)</t>
  </si>
  <si>
    <t>0.32 m (1 ft 1 in)</t>
  </si>
  <si>
    <t>1.05 m2 (11.3 sq ft)</t>
  </si>
  <si>
    <t>7 kg (15 lb)</t>
  </si>
  <si>
    <t>1 × Graupner OS-MAX 91 Fx 2.09 kW two-stroke engine</t>
  </si>
  <si>
    <t>1.61 m (5 ft 3 in)</t>
  </si>
  <si>
    <t>50 km/h (31 mph, 27 kn)</t>
  </si>
  <si>
    <t>150 km/h (93 mph, 81 kn)</t>
  </si>
  <si>
    <t>Turkish Armed Forces</t>
  </si>
  <si>
    <t>10 kg (22 lb)</t>
  </si>
  <si>
    <t>30 min</t>
  </si>
  <si>
    <t>https://en.wikipedia.org/Turkish Armed Forces</t>
  </si>
  <si>
    <t>Taiwan Dancer TD-3</t>
  </si>
  <si>
    <t>The Taiwan Dancer TD-3 is a Taiwanese amateur-built aircraft produced by Taiwan Dancer Technology Co. of Nangang Village, Dayuan District, Taoyuan City. Designed by Chin Lien Wei, the aircraft is supplied as a kit for amateur construction.[1][2] By May 2017 the company website had been taken down and the company may have ceased operations.[3] The aircraft features a strut-braced high-wing, a two-seats-in-side-by-side configuration enclosed cockpit with doors for access, fixed tricycle landing gear or conventional landing gear and a single engine in tractor configuration.[1][2][4] The aircraft fuselage is made from welded steel tubing while the wing is made from aluminum sheet parts, with all surfaces covered in formed epoxy polymer. Its 8.62 m (28.3 ft) span wing is supported by "V" struts, employs a NASA-HQ3.0 airfoil, has an area of 11.16 m2 (120.1 sq ft) and mounts flaperons. The wings can be folded in 15 minutes for ground transportation or storage. The recommended power range is 65 to 110 hp (48 to 82 kW) and the standard engines used are the 97 hp (72 kW) geared Volkswagen air-cooled engine and the 100 hp (75 kW) Rotax 912ULS four-stroke powerplants.[1][2][4] The TD-3 was completed in 2007 and won first prize for an aircraft design, awarded by the Taiwanese Ministry of Economic Affairs.[5] Data from Bayerl and Taiwan Dancer[1][4]General characteristics Performance</t>
  </si>
  <si>
    <t>Taiwan</t>
  </si>
  <si>
    <t>https://en.wikipedia.org/Taiwan</t>
  </si>
  <si>
    <t>Taiwan Dancer Technology Co.</t>
  </si>
  <si>
    <t>https://en.wikipedia.org/Taiwan Dancer Technology Co.</t>
  </si>
  <si>
    <t>Production completed (2017)</t>
  </si>
  <si>
    <t>7.2 m (23.5 ft)</t>
  </si>
  <si>
    <t>2.3 m (7.7 ft)</t>
  </si>
  <si>
    <t>11.16 m2 (120.1 sq ft)</t>
  </si>
  <si>
    <t>272 kg (600 lb)</t>
  </si>
  <si>
    <t>499 kg (1,100 lb)</t>
  </si>
  <si>
    <t>60 litres (13 imp gal; 16 US gal)</t>
  </si>
  <si>
    <t>1 × Volkswagen air-cooled engine four cylinder, air-cooled, four stroke geared automotive conversion, 72 kW (97 hp)</t>
  </si>
  <si>
    <t>4.6 m/s (900 ft/min)</t>
  </si>
  <si>
    <t>44.6 kg/m2 (9.1 lb/sq ft)</t>
  </si>
  <si>
    <t>8.62 m (28 ft 3 in)</t>
  </si>
  <si>
    <t>Chin Lien Wei</t>
  </si>
  <si>
    <t>NASA-HQ3.0</t>
  </si>
  <si>
    <t>Tapanee Levitation 4</t>
  </si>
  <si>
    <t>The Tapanee Levitation 4 is a Canadian four-seat STOL aircraft designed to be homebuilt by Michel Lequin for Tapanee Aviation of Mont-Saint-Michel, Quebec.[1][2][3][4] A larger version of the companies earlier Pegazair bushplane, the Levitation is a high-wing monoplane with V-strut bracing, leading edge slats and Junkers flaperons. Powered by a 180 hp (134 kW) Lycoming O-360 flat-six piston engine with a two-blade propeller. The Leviation has a fixed conventional landing gear with a tailwheel and a cabin holding a pilot and three passengers in two rows of side-by-side seating. By December 2004 five kits had been sold.[2][3][4] Data from [2]Jane's All the World's Aircraft 2008-2009General characteristics Performance  Related development     This article on an aircraft of the 2000s is a stub. You can help Wikipedia by expanding it.</t>
  </si>
  <si>
    <t>Four-seat homebuilt STOL aircraft</t>
  </si>
  <si>
    <t>https://en.wikipedia.org/Four-seat homebuilt STOL aircraft</t>
  </si>
  <si>
    <t>Tapanee Aviation</t>
  </si>
  <si>
    <t>https://en.wikipedia.org/Tapanee Aviation</t>
  </si>
  <si>
    <t>3 (Dec 2011)[1]</t>
  </si>
  <si>
    <t>7.47 m (24 ft 6 in)</t>
  </si>
  <si>
    <t>2.44 m (8 ft 0 in)</t>
  </si>
  <si>
    <t>16.72 m2 (180 sq ft)</t>
  </si>
  <si>
    <t>621 kg (1,368 lb)</t>
  </si>
  <si>
    <t>1,133 kg (2,500 lb)</t>
  </si>
  <si>
    <t>1 × Lycoming O-360 flat-four piston engine , 134 kW (180 hp)</t>
  </si>
  <si>
    <t>3.6 m/s (700 ft/min)</t>
  </si>
  <si>
    <t>Tapanee Levitation 2</t>
  </si>
  <si>
    <t>10.21 m (33 ft 6 in)</t>
  </si>
  <si>
    <t>62 km/h (38 mph, 33 kn)</t>
  </si>
  <si>
    <t>925 km (575 mi, 500 nmi)</t>
  </si>
  <si>
    <t>Michel Lequin</t>
  </si>
  <si>
    <t>255 km/h (159 mph, 138 kn)</t>
  </si>
  <si>
    <t>https://en.wikipedia.org/Tapanee Levitation 2</t>
  </si>
  <si>
    <t>https://en.wikipedia.org/Tapanee Pegazair-100</t>
  </si>
  <si>
    <t>Free Life (balloon)</t>
  </si>
  <si>
    <t>Free Life was the name of the Rozière balloon (registration N2079) that made the fourth attempt at crossing the Atlantic Ocean.  The balloon was launched from East Hampton, New York on September 20, 1970, piloted by Malcolm Brighton, with Rodney Anderson and Pamela Brown on board.[1][2] The adventure was conceived by Rodney Anderson and his wife, Pamela Brown.  Pamela Brown was the actress daughter of Kentucky politician and attorney John Y. Brown Sr. and the sister of Kentucky Fried Chicken entrepreneur and future Kentucky Governor John Y. Brown Jr. At age 28, she and her 32-year-old husband, commodities broker Rod Anderson, hoped to break records with the first manned balloon flight across the Atlantic. The couple planned to recoup the cost of the venture by writing a book about their experience.[3] When the pilot whom they had been counting on for the flight withdrew close to the time of departure, the Andersons hired Englishman Malcolm Brighton, 32, whose ascent in the Free Life was to be his 100th - and his last.[4]  Brighton had built several balloons and became the main builder for the Bristol Belle, the name given to the first modern hot air balloon in Europe.[5] The Free Life attempt was the first use of a Rozière style balloon for an Atlantic attempt, built by Mark Semich, using a combination of helium and hot air. Below the spherical helium gas cell is a conical sleeve where air can be heated by burners in the same way as a normal hot air balloon. By varying the hot air temperature, altitude can be maintained without having to release helium or to drop ballast. The burners are principally used to compensate for the lack of solar heating at night. After four years of planning and postponements, Brighton still had reservations about the balloon and in an interview, in which Brighton was asked what he thought of Free Life, he said  "I think I could have done better." Even experienced balloonists, to whom Brighton had confided his plans to pilot Free Life, advised against it. Despite this, the balloon was launched from George Sid Miller's pasture on Fireplace Road in Springs, New York on September 20, 1970. The weather was perfect; families picnicked and partied; the giant yellow, white and orange balloon, seven stories tall, was spectacular; spirits were high, and the 1,500 well-wishers seemed to share a sense of participating in something extraordinary, cheering their ascent.[6] Disaster struck 30 hours after launch. A hot-air mechanism designed to maintain the balloon’s altitude at night failed on the second day of the flight. When the balloon encountered a high-altitude cold front and a severe rainstorm, they were forced to ditch in the Atlantic that night, about 600 miles southeast of Newfoundland.  On September 21 came the last message from the Free Life. "We are ditching," it said. "We request search and rescue." The balloon went down in stormy seas off Newfoundland.  Three Coast Guard cutters, a Royal Canadian Air Force aircraft and six United States Air Force and United States Coast Guard aircraft scoured the area for 14 days. A few items from the balloon gondola were spotted, but the rescue effort was unsuccessful. Up to August 1978, 10 subsequent transatlantic balloon crossing attempts were made: In February 1974, while making one such attempt, Colonel Thomas Leigh Gatch, Jr. USAR also disappeared in his Light Heart superpressure balloon. Finally, on August 17, 1978, three Americans - Ben Abruzzo, Maxie Anderson, and Larry Newman crossed the Atlantic by balloon, in the Double Eagle II. In October 1972 Pamela Brown was memorialized with the opening of the Pamela Brown Auditorium, the first and largest theater in the newly built Actors Theatre of Louisville complex. A book commemorating the attempt was published in 1994 by writer and balloonist Anthony Smith.[7] Entitled The Free Life: The Spirit of Courage, Folly and Obsession, the book was awarded the W.W. Norton &amp; Co. thirteenth Annual Editors' Book Award. Smith was not present at the launch of the balloon in 1970, but he had taught Brighton to fly, and he had flown with him more frequently than anyone else.  8. "Flight of a Lovely Folly," Life magazine, Oct. 23, 1970 https://books.google.com/books?id=clMEAAAAMBAJ&amp;q=flight#v=onepage&amp;q=folly&amp;f=false</t>
  </si>
  <si>
    <t>Mark Semich</t>
  </si>
  <si>
    <t>Roziere type hot-air / helium balloon</t>
  </si>
  <si>
    <t>https://en.wikipedia.org/Roziere type hot-air / helium balloon</t>
  </si>
  <si>
    <t>Rodney Anderson</t>
  </si>
  <si>
    <t>Crashed / force-landed in the Atlantic, killing all aboard and leaving little identifiable wreckage behind.</t>
  </si>
  <si>
    <t>N2079</t>
  </si>
  <si>
    <t>ca 500 mi (800 km; 430 nmi)</t>
  </si>
  <si>
    <t>Szaraz SDS-1A Daphne</t>
  </si>
  <si>
    <t>The Szaraz SD-1A Daphne is a homebuilt aircraft that was designed for efficiency competitions.[1] The Daphne is a two place side-by-side configuration strut-braced high-wing, conventional landing gear equipped homebuilt. The fuselage uses welded steel tubing with aircraft fabric covering. The wings are wood, with one-piece plywood ribs. Both ailerons and flaperons have been installed on the design.[2] The first three examples were built on the same jigs at Art Szaraz's workshop.[2] Data from Sport Aviation.[2]General characteristics Performance   Aircraft of comparable role, configuration, and era</t>
  </si>
  <si>
    <t>//upload.wikimedia.org/wikipedia/commons/thumb/7/79/Szaraz_SD-1A_Daphne_N32DP.jpg/300px-Szaraz_SD-1A_Daphne_N32DP.jpg</t>
  </si>
  <si>
    <t>19 ft 7 in (5.97 m)</t>
  </si>
  <si>
    <t>820 lb (372 kg)</t>
  </si>
  <si>
    <t>21 US gal (79 l)</t>
  </si>
  <si>
    <t>1 × Continental C85-12F or Lycoming O-235/O-290 , 85–135 hp (63–101 kW)</t>
  </si>
  <si>
    <t>100 kn (120 mph, 190 km/h)</t>
  </si>
  <si>
    <t>150 kn (170 mph, 270 km/h)</t>
  </si>
  <si>
    <t>390 nmi (450 mi, 720 km)</t>
  </si>
  <si>
    <t>14,500 ft (4,400 m)</t>
  </si>
  <si>
    <t>Art Szaraz, Bernie Darmstadt</t>
  </si>
  <si>
    <t>130 kn (150 mph, 240 km/h)</t>
  </si>
  <si>
    <t>Thruster T600 Sprint</t>
  </si>
  <si>
    <t>The Thruster T600 Sprint is a British ultralight aircraft, designed and produced by Thruster Air Services of Langworth, Lincolnshire and introduced in the mid-1990s. The aircraft is supplied as a complete ready-to-fly-aircraft.[1][2] The aircraft complies with the Fédération Aéronautique Internationale microlight rules and UK certified under BCAR Section "S". It features a strut-braced high-wing, a two-seats-in-side-by-side configuration enclosed cockpit accessed via doors, fixed tricycle landing gear or conventional landing gear and a single engine in tractor configuration.[1][2] The aircraft is made from bolted-together aluminum tubing, with its flying surfaces covered in treated Dacron sailcloth and a fibreglass cockpit fairing. Fittings and mounts are 316 stainless steel and 4130 steel. Its 9.60 m (31.5 ft) span wing has an area of 15.70 m2 (169.0 sq ft) and flaps. The engine is mounted on the keel tube, above the cockpit. Standard engines available are the 64 hp (48 kW) Rotax 582 two-stroke and the 85 hp (63 kW) Jabiru 2200 four-stroke powerplant.[1][2][3] Data from Bayerl and Thruster Air Services[1][3]General characteristics Performance</t>
  </si>
  <si>
    <t>//upload.wikimedia.org/wikipedia/commons/thumb/4/48/Thruster_T600_Sprint_Compton_Abbas_30th_June_2013_%289215819217%29.jpg/300px-Thruster_T600_Sprint_Compton_Abbas_30th_June_2013_%289215819217%29.jpg</t>
  </si>
  <si>
    <t>Thruster Air Services</t>
  </si>
  <si>
    <t>https://en.wikipedia.org/Thruster Air Services</t>
  </si>
  <si>
    <t>mid-1990s</t>
  </si>
  <si>
    <t>15.70 m2 (169.0 sq ft)</t>
  </si>
  <si>
    <t>197 kg (434 lb)</t>
  </si>
  <si>
    <t>1 × Rotax 582 two cylinder, liquid-cooled, two stroke aircraft engine with "E" gearbox, 48 kW (64 hp)</t>
  </si>
  <si>
    <t>105 km/h (65 mph, 57 kn)</t>
  </si>
  <si>
    <t>4.5 m/s (890 ft/min)</t>
  </si>
  <si>
    <t>2-bladed Warp Drive Inc composite</t>
  </si>
  <si>
    <t>28.67 kg/m2 (5.87 lb/sq ft)</t>
  </si>
  <si>
    <t>{'T600N': 'se wheel version[2]', 'T600T': 'ilwheel version[2]'}</t>
  </si>
  <si>
    <t>9.6 m (31 ft 6 in)</t>
  </si>
  <si>
    <t>59 km/h (37 mph, 32 kn)</t>
  </si>
  <si>
    <t>Tiger Cub Developments Sherwood Ranger</t>
  </si>
  <si>
    <t>The Tiger Cub Developments (TCD) Sherwood Ranger is a single engine, tandem two seat biplane microlight designed and built in the United Kingdom in the early 1990s.  Kits were originally produced by TCD; later, design rights were acquired by The Light Aircraft Company Ltd (TLAC) who resumed kit production in 2009. The TCD Sherwood Ranger was designed by Russ Light as a successor to the Micro Biplane Aviation Tiger Cub, a foldable biplane built in Worksop.[2]  Almost 100 Tiger Cubs, which Light partly designed, appeared on the UK civil aircraft register.[3] The Sherwood Ranger is named after a Retford, Notts inn, perhaps the only aircraft to be named after a public house.[4] The Sherwood Ranger is a single bay biplane, its wings having 3.83° of sweepback, 3° of dihedral on the lower wing alone but no stagger. They have constant chord and are of mixed construction, with single aluminium spars and drag struts,  plywood covered D-box leading edges, ply and spruce ribs and fabric covering.  There are externally interconnected Frise ailerons on both upper and lower wings. The latter are mounted on the lower fuselage longerons and single, faired, deep chord, I-shaped interplane struts position the upper wing well above the fuselage, assisted by central cabane struts. These latter struts, together with the wing centre section, are part of the tubular aluminium fuselage structure.  Additional bracing is provided by two flying wires and two landing wires on each side. The wings fold for transport.[4] The fuselage of the Sherwood Ranger has an aluminium tube structure, with ply formers and spruce stringers, and is fabric covered apart from glass fibre mouldings in the engine and cockpit areas and forming the rear decking.  The nose is quite slender; the separate open cockpits are in tandem with the forward one a little behind the leading edge of the wing and the other under the trailing edge, where a slight upper wing cut-out improves the pilot's view.  The fin is integral with the fuselage structure and carries a deep, rounded rudder which extends to the lower fuselage.  The tailplane, mounted on top of the fuselage, has an unusually low aspect ratio and is almost semicircular in plan. These horizontal surfaces are thin and without camber. Separate elevators allows rudder movement between them. The tailplane is braced to the top of the fin and to the fuselage bottom. The fixed conventional undercarriage has mainwheels, fitted with brakes, on split axles mounted from a bungee  sprung compression frame below the central fuselage and hinged by faired, V-form legs to its lower longerons.  There is a bungee sprung, castoring tailwheel.[4] The Sherwood Ranger first flew in 1992. Several versions of the Ranger have been built, with different maximum take-off weights (MTOW) and engines.  The early aircraft were built as the LW variant, with a MTOW of 390 kk (860 lb) and with engines in the 37-49 kW (50-65 hp) power range.[4] Engines fitted include the 48 kW (64 hp) Rotax 532, the similar 48 kW (64 hp) Rotax 582 two cylinder two stroke engine and the 64 kW (85 hp) Jabiru 2200 flat four.[5]  Some were later built as, or upgraded to, an MTOW of 450 kg (992 lb), the ST variant standard.  Some of these use the Rotax 582 or Jabiru engines and one is fitted with a BMW RS1100.[4][5] The LW is no longer offered but the ST is available for building from plans, kit or quick build kit. The XP variant has short span wing (7.07 m; 23 ft 0 in) to provide aerobatic capability and can be fitted with engines rated up to 75 kW (100 hp).[4][6] Twelve Sherwood Rangers kits were produced by TCD until the death of Russ Light, after which the company ceased to trade.  TLAC acquired the rights in 2007, flew their first prototype on 31 July 2009 and in 2010 were working on an XP prototype with the target of aerobatic approval.[4] Twelve Rangers have been on the UK civil register, though not all have flown or retain permits to fly.[5] One of these was transferred to Italy.[5] One XP was built in the USA.  By 2009 TLAC had sold two of its own kits.[4] Construction of Rangers continues; one incomplete example appears on the Maltese register.[7] Data from Jane's All the World's Aircraft 2011/12[4]General characteristics Performance</t>
  </si>
  <si>
    <t>//upload.wikimedia.org/wikipedia/commons/thumb/1/1b/Sywell_070_-_Flickr_-_mick_-_Lumix.jpg/300px-Sywell_070_-_Flickr_-_mick_-_Lumix.jpg</t>
  </si>
  <si>
    <t>Two seat biplane microlight</t>
  </si>
  <si>
    <t>https://en.wikipedia.org/Two seat biplane microlight</t>
  </si>
  <si>
    <t>Tiger Cub Developments Ltd,[1] DoncasterlaterThe Light Aircraft Company Ltd and Lanitz Aviation</t>
  </si>
  <si>
    <t>2.375 m (7 ft 10 in) to fin tip, tail up</t>
  </si>
  <si>
    <t>15.61 m2 (168.0 sq ft)</t>
  </si>
  <si>
    <t>182 kg (401 lb)</t>
  </si>
  <si>
    <t>24 L (6.3 US gal; 5.3 Imp gal)</t>
  </si>
  <si>
    <t>1 × Rotax 582 water cooled 2 cylinder two-stroke engine, 48 kW (64 hp)</t>
  </si>
  <si>
    <t>96 km/h (60 mph, 52 kn) economical</t>
  </si>
  <si>
    <t>3-bladed, 1.73 m (5 ft 8 in) diameter ground adjustable pitch, geared down 3.0</t>
  </si>
  <si>
    <t>7.92 m (26 ft 0 in)</t>
  </si>
  <si>
    <t>61 km/h (38 mph, 33 kn)</t>
  </si>
  <si>
    <t>161 km/h (100 mph, 87 kn)</t>
  </si>
  <si>
    <t>320 km (199 mi, 173 nmi)</t>
  </si>
  <si>
    <t>Russ Light</t>
  </si>
  <si>
    <t>Swedish Aerosport Mosquito</t>
  </si>
  <si>
    <t>The Swedish Aerosport Mosquito is a Swedish powered hang glider designed and produced by Swedish Aerosport and introduced in 1995.[1][2] The Mosquito was the power package that started renewed interest in the powered self-launching hang glider concept when it was introduced in 1995. The power package can be mated with any hang glider wing. Ready to fly the aircraft features a cable-braced hang glider-style high-wing, weight-shift controls, single-place accommodation, foot-launching and landing and a single engine in pusher configuration.[1] The aircraft uses a standard hang glider wing, made from bolted-together aluminum tubing, with its wing covered in Dacron sailcloth. The wing is supported by a single tube-type kingpost and uses an "A" frame control bar. The engine is a lightweight, two-stroke, single cylinder Radne Raket 120 of 14 hp (10 kW) that produces power though a 3.5:1 belt reduction drive, with an extension shaft. Folding legs protect the propeller during ground operations. The engine package can be installed in most hang glider pod harnesses. The Mosquito can also be purchased as a complete harness assembly.[1] The original Mosquito design was updated in 2001 as the Mosquito NRG, which remains in production. The NRG incorporates a flat back plate, front opening, propeller brake, integrated controls and electric starting.[2] Wings that are approved for the Mosquito include the A-I-R Atos rigid wing and the Aeros Discus M.[3][4] Data from Cliche[1]General characteristics Performance The harness attached to the glider when it is tethered nose down and into wind With full fuel the motorised harness weighs around 15 kg more than a standard hang gliding harness A Pegasus rigid wing hang glider with a Mosquito A10 harness, the model previous to the NRG The tail section of the keel is removed to prevent conflict with the propeller.</t>
  </si>
  <si>
    <t>//upload.wikimedia.org/wikipedia/commons/thumb/1/19/NRG_In_Flight.jpg/300px-NRG_In_Flight.jpg</t>
  </si>
  <si>
    <t>Powered hang glider</t>
  </si>
  <si>
    <t>https://en.wikipedia.org/Powered hang glider</t>
  </si>
  <si>
    <t>Sweden</t>
  </si>
  <si>
    <t>https://en.wikipedia.org/Sweden</t>
  </si>
  <si>
    <t>Swedish Aerosport</t>
  </si>
  <si>
    <t>https://en.wikipedia.org/Swedish Aerosport</t>
  </si>
  <si>
    <t>44 lb (20 kg) plus the wing weight</t>
  </si>
  <si>
    <t>1.5 U.S. gallons (5.7 L; 1.2 imp gal)</t>
  </si>
  <si>
    <t>1 × Radne Raket 120 single cylinder, two-stroke, air-cooled aircraft engine, 14 hp (10 kW)</t>
  </si>
  <si>
    <t>14 mph (23 km/h, 12 kn) depending on wing employed</t>
  </si>
  <si>
    <t>About 2 hours</t>
  </si>
  <si>
    <t>Synergy Aircraft Synergy</t>
  </si>
  <si>
    <t>The Synergy Aircraft Synergy is a proposed five-seat, single-engine, kit aircraft, designed by John McGinnis of Kalispell, Montana and intended for production by his company, Synergy Aircraft.[1][2] The aircraft's closed wing design, termed a "double box tail", is intended to lower induced drag and be stall resistant, along with boundary layer control methods.[2] Many of the details are disclosed in .mw-parser-output .citation{word-wrap:break-word}.mw-parser-output .citation:target{background-color:rgba(0,127,255,0.133)}US patent 8657226 . Development was started in 2010 to develop the Synergy as a future kit airplane. The Synergy is the first aircraft that was designed to use the 200 hp (149 kW) DeltaHawk V-4 engine. An electric-powered 1/4 scale version of the aircraft has been built and flown via radio control.[2] The Synergy design was unveiled at the 2011 CAFE Foundation electric aircraft symposium.[3] The aircraft was intended to compete in the 2011 NASA/CAFE Green Flight Challenge,[4] but its funding and engine were delayed, forcing the team to withdraw from the competition.[5] After receiving the DeltaHawk engine in December 2011 work resumed and a funding drive was launched to complete the prototype. Intended as a Kickstarter crowdfunding project, the initial project application and appeal were rejected on the basis of not fitting in with Kickstarter's creative arts focus.[6] On 13 May 2012, however, Kickstarter informed McGinnis that they had reconsidered and that the project was approved.[7] The project raised US$95,627 gross funds.&gt; By mid-December 2012 McGinnis indicated that the Kickstarter campaign had raised US$80,000 and that he was intending to have a flying proof-of-concept aircraft at AirVenture 2013. He also stated that if the aircraft is not complete then he will not have a display there. The Kickstarter campaign also attracted a lot of interest, but answering email and phones calls has slowed work on the prototype down.[8] Data from Experimental Aircraft Association and Synergy[2][9]General characteristics Performancemin level flight speed</t>
  </si>
  <si>
    <t>//upload.wikimedia.org/wikipedia/en/thumb/e/e8/Synergy_Artist%27s_Concept.jpg/300px-Synergy_Artist%27s_Concept.jpg</t>
  </si>
  <si>
    <t>Air Mobility</t>
  </si>
  <si>
    <t>https://en.wikipedia.org/Air Mobility</t>
  </si>
  <si>
    <t>DBT Aero</t>
  </si>
  <si>
    <t>4 passengers</t>
  </si>
  <si>
    <t>156 sq ft (14.5 m2)</t>
  </si>
  <si>
    <t>3,100 lb (1,406 kg)</t>
  </si>
  <si>
    <t>23.2 lb/sq ft (113 kg/m2)</t>
  </si>
  <si>
    <t>32 ft (9.8 m)</t>
  </si>
  <si>
    <t>John McGinnis</t>
  </si>
  <si>
    <t>TeST TST-13 Junior</t>
  </si>
  <si>
    <t>The TeST TST-13 Junior is a single-seat touring motor glider with a nose-mounted engine, built by TeST in Czech Republic.  It is an all composite design which succeeded the TeST TST-9 Junior motor glider in production, incorporating some features of the TeST TST-10 Atlas sailplane, including its wing.[1] TeST introduced the TST-13 single seat motor glider in 2005 as an all-composite replacement for their wood and composite TST-9.  It has a similar layout, front engined and with a high T-tail.  The TST-13 shares  a similar rear fuselage and tail design and identical wing spars with the all-composite TST-10 single seat sailplane. It is a mid wing design with straight tapered wings which, unlike those of the TST-10, are swept forward 5° at 25% chord.  The wing tips carry winglets and there are outboard ailerons, two position flaps and upper surface spoilers.[2] The fuselage of the TST-13 is built from two half shells which incorporate the straight tapered fin.  The fuselage tapers rearwards, producing an arched shape below.  The tailplane carries a single piece elevator.  The light aircraft style cockpit has a rear hinged, single piece canopy and is placed ahead of the wing leading edge.  The TST-13 has a tailwheel undercarriage, with spatted mainwheels on fuselage-mounted, sprung, cantilever legs.[2] There is a choice of two engines: either a 31 kW (42 hp) Rotax 447 or a 37 kW (50 hp) Rotax 503.[2]  The 447 drives a propeller which is only adjustable in pitch on the ground, but that of the 503, geared down 2:1, can be feathered in flight. Feathering improves the best glide ratio from 1:24 to 1:32.  The greater power of the Rotax 503 increases the cruising speed by about 10 km/h and the climb rate to about 6 m/s (1,200 ft/min).[3] 5 TST-13s had been built by 2007.[2] In mid-2010 2 appeared on civil aircraft registers of European countries west of Russia.[4]  The TST-13 is designed to meet the US LSA glider constraints and is S-LSA registerable.[3] Data from Jane's All the World's Aircraft 2010/11[2]General characteristics Performance</t>
  </si>
  <si>
    <t>TeST sro (Division of Comp-Let sro), Velké Meziříĉi</t>
  </si>
  <si>
    <t>https://en.wikipedia.org/TeST sro (Division of Comp-Let sro), Velké Meziříĉi</t>
  </si>
  <si>
    <t>5 by 2007</t>
  </si>
  <si>
    <t>7.45 m (24 ft 5 in)</t>
  </si>
  <si>
    <t>10.3 m2 (111 sq ft)</t>
  </si>
  <si>
    <t>195 kg (430 lb)</t>
  </si>
  <si>
    <t>20 L (4.4 Imp gal; 5.3 US gal) standard</t>
  </si>
  <si>
    <t>1 × Rotax 447 , 31 kW (42 hp)</t>
  </si>
  <si>
    <t>unpowered, 24[3]</t>
  </si>
  <si>
    <t>2-bladed ground adjustable pitch SportProp 1600 or similar, 1.60 m (5 ft 3 in) diameter</t>
  </si>
  <si>
    <t>65 km/h (40 mph, 35 kn) maximum; normal 120 km/h (75 mph; 65 kt)</t>
  </si>
  <si>
    <t>300 kg (661 lb) 322 kg (710 lb) with BRS ballistic parachute recovery parachute</t>
  </si>
  <si>
    <t>TeST TST-9 Junior, TeST TST-10 Atlas</t>
  </si>
  <si>
    <t>https://en.wikipedia.org/TeST TST-9 Junior, TeST TST-10 Atlas</t>
  </si>
  <si>
    <t>+4.8/-2.8</t>
  </si>
  <si>
    <t>THK-2</t>
  </si>
  <si>
    <t>The THK-2 was a single-seat, single-engine aerobatic trainer aircraft developed in Turkey in 1944 intended as an advanced trainer.[1][2] It was a conventional, low-wing cantilever monoplane with an elliptical planform and of wooden construction. The cockpit was enclosed and the main units of the tailwheel undercarriage retracted backwards into the wing.[3] Designed by Polish engineers who had come to Turkey to help establish the Türk Hava Kurumu factory, the first prototype flew in 1944 and the second flew the following year. This led to production in series, but only four further examples were built before the project was abandoned. When THK was taken over by MKEK, this was one of the designs selected for further work. However, although the designation MKEK-2 was allocated, nothing further came of this. The THK-2s were used by the Turkish Air Force in their intended role until the mid-1950s.  Data from Jane's All The World's Aircraft 1951–52[4]General characteristics Performance</t>
  </si>
  <si>
    <t>Aerobatic trainer</t>
  </si>
  <si>
    <t>Turkey</t>
  </si>
  <si>
    <t>THK</t>
  </si>
  <si>
    <t>https://en.wikipedia.org/THK</t>
  </si>
  <si>
    <t>2.08 m (6 ft 10 in)</t>
  </si>
  <si>
    <t>10.4 m2 (112 sq ft)</t>
  </si>
  <si>
    <t>490 kg (1,080 lb)</t>
  </si>
  <si>
    <t>660 kg (1,455 lb)</t>
  </si>
  <si>
    <t>1 × de Havilland Gipsy Major , 101 kW (135 hp)</t>
  </si>
  <si>
    <t>8.7 m/s (1,710 ft/min)</t>
  </si>
  <si>
    <t>8 m (26 ft 3 in)</t>
  </si>
  <si>
    <t>500 km/h (310 mph, 270 kn)</t>
  </si>
  <si>
    <t>700 km (430 mi, 380 nmi)</t>
  </si>
  <si>
    <t>Stanisław Rogalski, Jerzy Teisseyre and Leszek Dulęba</t>
  </si>
  <si>
    <t>https://en.wikipedia.org/Stanisław Rogalski, Jerzy Teisseyre and Leszek Dulęba</t>
  </si>
  <si>
    <t>265 km/h (165 mph, 143 kn)</t>
  </si>
  <si>
    <t>Turkish Air Force</t>
  </si>
  <si>
    <t>3.5 hr</t>
  </si>
  <si>
    <t>https://en.wikipedia.org/Turkish Air Force</t>
  </si>
  <si>
    <t>Thomas-Morse MB-6</t>
  </si>
  <si>
    <t>The Thomas-Morse MB-6 was an American racing aircraft built by Thomas-Morse Aircraft for the US Army Air Service. After a Thomas-Morse MB-3 finished second[2] at the 1920 Pulitzer Trophy air race, the Army asked Thomas-Morse to build a new aircraft for the 1921 race. On 21 May 1921 they ordered three aircraft for $48,000 each. The MB-6 was a redesigned MB-3, with a reduced wingspan and 400 hp (300 kW) Wright H-2 engine. The three aircraft arrived for testing at McCook Field on 20 September 1921. The first one was for ground testing, the second one first flew on 21 October 1921. The third MB-6 crashed during a landing and was destroyed. [1] The MB-6 competed in the 1921 Pulitzer Trophy. Piloted by Lt. J.A. Mccready, it came in third behind two Curtiss aircraft, with a speed of 160.71 mph (258.64 km/h). The aircraft was given the military designation R-2 in 1922 and scrapped on 31 October 1924.[1] Data from Angelucci, 1987. p. 422.[1]General characteristics Performance</t>
  </si>
  <si>
    <t>//upload.wikimedia.org/wikipedia/commons/thumb/5/5d/THOMAS-MORSE_R-2_RACER_USAF.JPG/300px-THOMAS-MORSE_R-2_RACER_USAF.JPG</t>
  </si>
  <si>
    <t>Racing</t>
  </si>
  <si>
    <t>Thomas-Morse Aircraft</t>
  </si>
  <si>
    <t>https://en.wikipedia.org/Thomas-Morse Aircraft</t>
  </si>
  <si>
    <t>7 ft 10 in (2.38 m)</t>
  </si>
  <si>
    <t>185 sq ft (14.68 m2)</t>
  </si>
  <si>
    <t>2,033 lb (922 kg)</t>
  </si>
  <si>
    <t>1 × Wright H-2 , 400 hp (300 kW)</t>
  </si>
  <si>
    <t>21 October 1921[1]</t>
  </si>
  <si>
    <t>160 mph (258 km/h, 140 kn)</t>
  </si>
  <si>
    <t>US Army Air Service</t>
  </si>
  <si>
    <t>Thomas-Morse MB-3</t>
  </si>
  <si>
    <t>https://en.wikipedia.org/Thomas-Morse MB-3</t>
  </si>
  <si>
    <t>https://en.wikipedia.org/US Army Air Service</t>
  </si>
  <si>
    <t>Thomas-Morse MB-9</t>
  </si>
  <si>
    <t>The Thomas Morse MB-9 was an experimental American fighter aircraft of the 1920s. It was a single-engined, single-seat parasol winged monoplane, but was unsuccessful, being quickly abandoned. In 1921, B. Douglas Thomas, chief designer of Thomas-Morse Aircraft designed two closely related parasol monoplanes, a single-seat fighter, the MB-9 and a two-seat trainer, the MB-10. They were of all-metal construction, with corrugated duralumin skinning.[1] First to be completed was the MB-10, which had tandem cockpits and was designed to be powered by a 200 hp (150 kW) Wright or Lawrance radial engine. In the absence of the intended engine, it was fitted with a 110 hp (82 kW) Le Rhône 9Ja rotary engine to allow flight testing to start in late 1921. The MB-10's handling proved to be extremely poor,[1] while it also suffered severe vibration and was structurally weak.[2] The MB-9 fighter was completed early in 1922,[3] differing principally from the MB-10 in the removal of the forward cockpit and the use of a 320 hp (240 kW) Wright Hispano H-3 V8 engine, cooled by a radiator situated (along with the oil tank) in a torpedo-shaped structure under the fuselage.[1] Planned armament was two machine guns; one .50 in (12.7 mm) and one .30 in (7.62 mm).[3] While the MB.9 handled better than the MB.10,[1] it still suffered from the severe vibration and structural problems that plagued the trainer,[2] together with a weak undercarriage and cooling problems.[1] The development of both aircraft was quickly stopped, with the types not being sent for formal evaluation by the United States Army Air Service at McCook Field.[2] Data from The Complete Book of Fighters[3]General characteristics Performance Armament  Related development Thomas-Morse TM-22</t>
  </si>
  <si>
    <t>https://en.wikipedia.org/Fighter aircraft</t>
  </si>
  <si>
    <t>1 (MB-9)</t>
  </si>
  <si>
    <t>1 × Wright Hispano H-3 water-cooled V8 engine, 320 hp (240 kW)</t>
  </si>
  <si>
    <t>29 ft 0 in (8.84 m)</t>
  </si>
  <si>
    <t>B Douglas Thomas</t>
  </si>
  <si>
    <t>170 mph (270 km/h, 150 kn)</t>
  </si>
  <si>
    <t>1 × .30 in (7.62 mm) and 1 × .50 in (12.7 mm) machine gun (planned)</t>
  </si>
  <si>
    <t>Thorp T-5</t>
  </si>
  <si>
    <t>The Boeing T-5 or Thorp T-5 was a student-built aircraft that was designed by John Thorp for the Boeing School of Aeronautics.[1] The T-5 was an all-metal, side-by-side configuration, low-wing, conventional landing gear-equipped aircraft.[2] The prototype was test flown in 1939 by Eddie Allen.[citation needed] Data from Popular AviationGeneral characteristics Performance       Media related to Thorp T-5 at Wikimedia Commons</t>
  </si>
  <si>
    <t>//upload.wikimedia.org/wikipedia/commons/thumb/5/58/Boeing_School_T-5_NX15542_%288125941747%29.jpg/300px-Boeing_School_T-5_NX15542_%288125941747%29.jpg</t>
  </si>
  <si>
    <t>Boeing School of Aeronautics</t>
  </si>
  <si>
    <t>https://en.wikipedia.org/Boeing School of Aeronautics</t>
  </si>
  <si>
    <t>1 × Wright R-760 radial engine, 350 hp (260 kW)</t>
  </si>
  <si>
    <t>233 mph (375 km/h, 202 kn)</t>
  </si>
  <si>
    <t>{'T-5': 'ildragger prototype', 'T-6': 'icycle gear conversion of the T-5 with a Lycoming engine.[3]'}</t>
  </si>
  <si>
    <t>Supermarine Aircraft Spitfire</t>
  </si>
  <si>
    <t>The Supermarine Aircraft Spitfire is an Australian homebuilt aircraft produced in kit form by Supermarine Aircraft.[1][2][3] A replica of the famous British Supermarine Spitfire World War II fighter, it was originally produced to 75% scale. Subsequent models have increased the scale of the fuselage and added a second seat. Australian pilot and aviation engineer Mike O'Sullivan had always wanted a Spitfire and built a replica for his own use in 1991. This was followed by a 75 hp (56 kW), Rotax-powered prototype in 1994. The next year, in 1995, he joined with business partner John McCarron to form the Supermarine Aircraft company and produce all-Australian homebuild aircraft kits. In the event, the constant-speed, four-blade propeller would be obtained from a specialist firm in New Zealand.[4] Supermarine Aircraft is not related to the original British Supermarine company, although the owners of the Supermarine marque have given their permission for the name to be used.[5] The first production model was named the Spitfire Mk25 and was a 75% scale replica of the original Supermarine Spitfire design. The stressed skin structure consists of 2024 aluminium alloy skins, formers and longerons with some fibre-glass mouldings for parts such as fairings and air scoops. The design features electrically-operated retractable undercarriage, with differential braking to the main wheels, and landing flaps. The later Spitfire MK26 uses the MK25 wings with the fuselage increased to 80% scale to provide room for a passenger seat in tandem behind the pilot. The Mk26B has a 90% scale fuselage. The Spitfire kit has the same power-to-weight ratio as the original.[6] The aircraft was reviewed by the Australian Ultralight Federation in 2001.  It was approved as meeting Australian rules for kit-built aircraft.[7]  Supermarine began promoting the kit plane to the US market in 2004.[8] The aircraft has been approved by the British Light Aircraft Association.[9][10] The company has since moved to Cisco Airport, Texas in the US, which O'Sullivan also manages.[5] The prototype MK25 was initially fitted with a Rotax engine, before development progressed through a series of more powerful Jabiru types.[4] Early production models were powered by eight-cylinder, 200 hp (149 kW) Jabiru engines made in Australia. Subsequently, the company introduced a V6 Isuzu engine conversion, producing 260 or 320 hp (194 or 239 kW) with supercharger, as well as a V8 General Motors automotive engine conversion producing 430 hp (321 kW).[4][11] Early versions of the Spitfire MK26 used an eight-cylinder 180 hp (134 kW) Jabiru 5100 horizontally opposed aero engine, but early installations suffered from inadequate cooling. The company now offers a V6 engine. The normally aspirated version of this engine produces 226 hp (169 kW) with a supercharged version producing up to 310 hp (231 kW).[12] The maximum rpm of a propeller (at about 2800 depending on its diameter) is about half that at the maximum torque/power rpm of about 5500 rpm for a car engine, which therefore must be fitted with a drive reduction unit. Such units absorb about 20% of the engine power and therefore the normally aspirated Isuzu unit delivers the same maximum power as the Jabiru 5100. Recent developments of the Jabiru engine range by Rotec have produced replacement water-cooled cylinder heads for the 5100. This has removed the overheating problems and also allowed the nose cowling of the Mk26 to be reshaped to remove the air intake and considerably reduce the frontal area to be in keeping with the original sleek design of the Spitfire. Construction of the Spitfire requires metalworking skills and tools and makes extensive use of aviation grade pull rivets or pop rivets. Pre-assembled kits are provided but still leave the builder with 1,200 man-hours of work to be completed.[13] Over 92 Spitfires have now been sold around the world.[6] After a fatal accident at Gympie, Australia, in October 2010, involving a Mk 26, the coroner reported, on December 29, 2014. The inquest concluded that Michael O’Sullivan, the CEO of Supermarine Pty Ltd, admitted that the aircraft test flight period had only been 20 hours instead of the 37.5 hours declared, that he had "knowingly falsified documents to achieve registration of his aircraft with RA-Aus (Recreational Aviation Australia), rather than the more stringent registration with CASA (Civil Aviation Safety Authority)", and he admitted to "significantly understating the weight of the aircraft (by about 200kg)" (around half of the aircraft's stated empty weight of 401 kg).[14] In 2013, A MK26 80% scale Spitfire crashed in Adelaide, Australia. The pilot, as the only passenger in the aircraft, died as a result of the accident. Official findings show pilot error as the main contributor of the accident, however, the ATSB report stated: "The aircraft was prone to aerodynamically stall with little or no aerodynamic precursors and it was not fitted with a stall warning device, increasing the risk of inadvertent stall."[15] Data from Supermarine Aircraft [16]General characteristics Performance  Related development Aircraft of comparable role, configuration, and era</t>
  </si>
  <si>
    <t>//upload.wikimedia.org/wikipedia/commons/thumb/c/c4/SupermarineSpitfireMk26.jpg/300px-SupermarineSpitfireMk26.jpg</t>
  </si>
  <si>
    <t>Supermarine Aircraft</t>
  </si>
  <si>
    <t>https://en.wikipedia.org/Supermarine Aircraft</t>
  </si>
  <si>
    <t>100 (Dec 2011)[1]</t>
  </si>
  <si>
    <t>23 ft 9 in (7.24 m)</t>
  </si>
  <si>
    <t>122 sq ft (11.3 m2)</t>
  </si>
  <si>
    <t>992 lb (450 kg)</t>
  </si>
  <si>
    <t>1,785 lb (810 kg)</t>
  </si>
  <si>
    <t>1 × General Motors-Isuzu V-6 liquid-cooled piston engine, 226 hp (169 kW)</t>
  </si>
  <si>
    <t>184 mph (296 km/h, 160 kn)</t>
  </si>
  <si>
    <t>3-bladed Ivoprop composite propeller</t>
  </si>
  <si>
    <t>14.6 lb/sq ft (71 kg/m2)</t>
  </si>
  <si>
    <t>{'MK25': "ngle-seat version, no longer produced, 75% scale. This was a true 'three-quarter' scale size of the original World War Two Mk 5 Spitfire.", 'MK26': "o-seat version. '80% scale'. Discontinued by 2011 in favor of the '90%' version. The '80% scale' refers only to the fuselage that was lengthened to 80% of the original MK5 Spitfire. The same wing was used from the 75% scale aircraft, resulting in a wingspan and undercarriage height identical to the original 75% scale aircraft.[2]", 'MK26b': "proved MK26. Option of dual controls, '90% scale'. Again the '90% scale' refers only to the fuselage, that was again lengthened (in fact to 89.5% the length of the original MK5 Spitfire); the fuselage was also made fatter in the cockpit area. The same wing was used from the 75% scale aircraft, resulting in a wingspan and undercarriage height identical to the original 75% scale aircraft."}</t>
  </si>
  <si>
    <t>27 ft 8 in (8.43 m)</t>
  </si>
  <si>
    <t>48 mph (77 km/h, 42 kn)</t>
  </si>
  <si>
    <t>Michael O'Sullivan</t>
  </si>
  <si>
    <t>265 mph (426 km/h, 230 kn)</t>
  </si>
  <si>
    <t>+6 -4 (limited aerobatics)</t>
  </si>
  <si>
    <t>Supermarine Swan</t>
  </si>
  <si>
    <t>The Supermarine Swan was a 1920s British experimental amphibian aircraft built by Supermarine at Woolston, Southampton. The single aircraft that was built was used for a passenger service between England and France. The Supermarine Swan was designed by R. J. Mitchell, chief designer at Supermarine as an experimental wooden biplane amphibian aircraft, in parallel with the Supermarine Scylla design for a replacement for the Royal Air Force's Felixstowe F5s.[1] First flown on 25 March 1924 (as serial N175), the Swan was powered by two 350 hp (261 kW) Rolls-Royce Eagle IX engines. It was re-engined with two 450 hp (336 kW) Napier Lion engines and had the landing gear removed for evaluation at the Marine Aircraft Experimental Establishment in August 1924. In 1926, it was registered G-EBJY and loaned to Imperial Airways as a flying boat with accommodation for 10 passengers. It was scrapped in 1927. Data from [2]  [3]General characteristics Performance  Related development Aircraft of comparable role, configuration, and era  Related lists</t>
  </si>
  <si>
    <t>//upload.wikimedia.org/wikipedia/commons/thumb/d/d9/Supermarine_Swan.jpg/300px-Supermarine_Swan.jpg</t>
  </si>
  <si>
    <t>Maritime Reconnaissance/Passenger Flying boat</t>
  </si>
  <si>
    <t>https://en.wikipedia.org/Maritime Reconnaissance/Passenger Flying boat</t>
  </si>
  <si>
    <t>10 passengers, or 1352 kg (2982 lbs.) of cargo</t>
  </si>
  <si>
    <t>14.78 m (48 ft 6 in)</t>
  </si>
  <si>
    <t>5.57 m (18 ft 3 in)</t>
  </si>
  <si>
    <t>117.6 m2 (1,266 sq ft)</t>
  </si>
  <si>
    <t>4,588 kg (10,114 lb)</t>
  </si>
  <si>
    <t>6,219 kg (13,710 lb)</t>
  </si>
  <si>
    <t>2 × Napier Lion IIB inline piston, 336 kW (451 hp) each</t>
  </si>
  <si>
    <t>148 km/h (92 mph, 80 kn)</t>
  </si>
  <si>
    <t>2.6 m/s (510 ft/min)</t>
  </si>
  <si>
    <t>52.6 kg/m2 (10.78 lb/sq ft)</t>
  </si>
  <si>
    <t>Supermarine Southampton</t>
  </si>
  <si>
    <t>20.93 m (68 ft 8 in)</t>
  </si>
  <si>
    <t>480 km (300 mi, 260 nmi)</t>
  </si>
  <si>
    <t>3,110 m (10,200 ft)</t>
  </si>
  <si>
    <t>R. J. Mitchell</t>
  </si>
  <si>
    <t>https://en.wikipedia.org/R. J. Mitchell</t>
  </si>
  <si>
    <t>https://en.wikipedia.org/Supermarine Southampton</t>
  </si>
  <si>
    <t>Imperial AirwaysMarine Aircraft Experimental Establishment</t>
  </si>
  <si>
    <t>https://en.wikipedia.org/Imperial AirwaysMarine Aircraft Experimental Establishment</t>
  </si>
  <si>
    <t>The Butterfly Monarch</t>
  </si>
  <si>
    <t>The Butterfly Monarch is an American autogyro, designed and produced by The Butterfly LLC of Aurora, Texas.  The aircraft is supplied as a kit for amateur construction.[1] The Monarch was designed to comply with the US Experimental - Amateur-built rules. It features a single main rotor, a single-seat open cockpit without a windshield, tricycle landing gear with wheel pants and a twin cylinder, liquid-cooled, two-stroke, dual-ignition 64 hp (48 kW) Rotax 582 engine in pusher configuration.[1] The Monarch's fuselage is made from metal tubing and mounts a two-bladed main rotor with a diameter of 8 m (26.2 ft), with an electric pre-rotator to shorten take-off distances. The aircraft has an empty weight of 360 lb (160 kg) and a gross weight of 630 lb (290 kg), giving a useful load of 270 lb (120 kg). The tail surfaces are made from Kevlar. The landing gear is of 4130 steel construction, incorporates springs and has a long stroke of 18 in (46 cm) to allow almost vertical landings, including descent rates of 500 ft/min (2.5 m/s) at touchdown. The tricycle landing gear is supplemented by a triple tail caster.[1][2] Optional equipment available includes a cockpit fairing with a windshield, rotor brake, auxiliary 6 U.S. gallons (23 L; 5.0 imp gal) fuel tank and an airshow smoke system.[2] By December 2012 eight examples had been registered in the United States with the Federal Aviation Administration.[3] Data from Bayerl and The Butterfly[1][2]General characteristics Performance</t>
  </si>
  <si>
    <t>The Butterfly LLC</t>
  </si>
  <si>
    <t>https://en.wikipedia.org/The Butterfly LLC</t>
  </si>
  <si>
    <t>11 ft 2 in (3.40 m)</t>
  </si>
  <si>
    <t>7 ft 5 in (2.26 m)</t>
  </si>
  <si>
    <t>359 lb (163 kg)</t>
  </si>
  <si>
    <t>628 lb (285 kg)</t>
  </si>
  <si>
    <t>1 × Rotax 582 twin cylinder, liquid-cooled, two stroke aircraft engine, 64 hp (48 kW)</t>
  </si>
  <si>
    <t>62 mph (100 km/h, 54 kn)</t>
  </si>
  <si>
    <t>2-bladed Tennessee Propellers wooden</t>
  </si>
  <si>
    <t>26 ft 3 in (8 m)</t>
  </si>
  <si>
    <t>70 mph (112 km/h, 60 kn)</t>
  </si>
  <si>
    <t>Titan T-51 Mustang</t>
  </si>
  <si>
    <t>The Titan T-51 Mustang is a three-quarter scale replica of the P-51 Mustang that was designed by Titan Aircraft owner John Williams. It is a two-seat homebuilt aircraft with dual controls and tandem seats, and has remarkable performance given the small size of the engine.[1][2] T-51 kits are fabricated by Titan Aircraft Company at South Austinburg, Ohio in the United States and are being assembled and flown in several countries where they are popular with pilots and particularly with spectators at airshows. The aircraft has a wide range of handling abilities, from a stall speed of only 39 mph (63 km/h) to high performance up to 197 mph (317 km/h) and agility afforded by a +6g / -4g load limit capability. Titan has a long history with building a variety of aircraft to be flown under ultralight regulations, now including the FAA Light-sport Aircraft category. Pilots choose whether they want to buy a kitset which is fully complete and ready to assemble or a basic kitset to which they add their own choices of propellers, engines, and instruments. Two versions are available: the homebuilt with retractable gear which must be flown by pilots with retractable gear experience and the amateur built fixed-landing-gear version which qualifies for the 1,200 lb (540 kg) and under weight category in New Zealand and Australia and can be flown by a sport pilot in the US. When scaled down the Titan T-51 is not wide enough to fit a standard aircraft engine, so the Titan T-51 incorporates light-sport and ultralight type aircraft engines. The most frequently applied powerplant is the Rotax 912ULS/3, which produces 100 hp (75 kW), but the Rotax 914 UL3, which produces 115 hp (86 kW), is also fitted by owners wanting even higher performance. Some builders also consider Mazda Rotary engines due to their power-to-weight ratios and their dependability. The current engine of choice for the T-51 is the Suzuki H engine, specifically the H27A 2.7L V6, which generates 185 hp (138 kW). The construction-to-flying time for the Titan T-51 is about 1400–1600 hours, and jigs or complicated tools are not required. Data from[citation needed]General characteristics Performance       Media related to Titan T-51 Mustang at Wikimedia Commons</t>
  </si>
  <si>
    <t>28 (Sept. 2012)</t>
  </si>
  <si>
    <t>23 ft 6 in (7.16 m)</t>
  </si>
  <si>
    <t>118 sq ft (10.96 m2)</t>
  </si>
  <si>
    <t>850 lb (385 kg)</t>
  </si>
  <si>
    <t>1 × Rotax 912ULS 4 cyl, 4 stroke, 100 hp (75 kW)</t>
  </si>
  <si>
    <t>4-bladed controllable propeller</t>
  </si>
  <si>
    <t>197 mph (317 km/h, 171 kn)</t>
  </si>
  <si>
    <t>720 mi (1,159 km, 630 nmi) with reserve</t>
  </si>
  <si>
    <t>16,000–18,000 ft (4,877–5,486 m)</t>
  </si>
  <si>
    <t>John Williams</t>
  </si>
  <si>
    <t>300 ft (91 m)</t>
  </si>
  <si>
    <t>Wings of Freedom Flitplane</t>
  </si>
  <si>
    <t>The Wings of Freedom Flitplane is an American single-seat, high-wing, single-engine ultralight aircraft that is available as a kit aircraft or as plans for amateur construction from Wings of Freedom of Hubbard, Ohio.[1][2][3][4] The Flitplane was designed as a low-cost aircraft with the look of an antique aircraft design for the US FAR 103 Ultralight Vehicles category with its maximum 254 lb (115 kg) empty weight requirement.[3][5] In late 2019 the company website had been taken down and it is likely that production had ended.[6] The Flitplane was designed in 1995 by Ed Fisher who also designed the Skylite ultralight and the Micro-Mong home-built aircraft. The design was acquired by Joe Naylor and Mark W. Klotz who formed Wings of Freedom Aviation Inc. in 1996 to develop the design and market it.[7] Naylor and Klotz made many changes to the design but retained the antique look of the aircraft and its distinctive large triangular windshield.[2] The Flitplane's fuselage is fabricated from a welded truss of 4130 steel tubing. The 27 ft (8.2 m) wings are of aluminum "ladder-type" construction, are strut-braced and utilize jury struts. The fuel tank is integrated into the wing centre-section. The wings and tail are covered in doped aircraft fabric. The engine is mounted in front of the high wing, above the cockpit. The original powerplant was a 35 hp (26 kW) Cuyuna 460 engine, with a 40 hp (30 kW) Rotax 447 optional. Later engine options added included the 28 hp (21 kW) Hirth F-33, the 45 hp (34 kW) Zanzottera MZ 201 and the Kawasaki 440 40 hp (30 kW) engine.[2][4] The conventional landing gear is suspended using fibreglass axles. The tailwheel is steerable. The controls are conventional three-axis and include full-span ailerons. The large, flat-plate triangular windshield protects the pilot from the propeller blast and has distinctive cut-outs for the rudder pedals.[2][4] The Flitplane is available as plans, a complete kit, partial kits or as a finished and ready-to-fly aircraft. The company claims that the aircraft can be built from the kit in 100 hours or 500 hours from plans.[2][5] Data from Company website[4]General characteristics Performance   Aircraft of comparable role, configuration, and era</t>
  </si>
  <si>
    <t>Wings of Freedom</t>
  </si>
  <si>
    <t>https://en.wikipedia.org/Wings of Freedom</t>
  </si>
  <si>
    <t>Production ended (2019)</t>
  </si>
  <si>
    <t>50 (Dec 2011)[1]</t>
  </si>
  <si>
    <t>360 lbs (163 kg) useful load, no passengers</t>
  </si>
  <si>
    <t>15 ft 9 in (4.80 m)</t>
  </si>
  <si>
    <t>145 sq ft (13.49 m2)</t>
  </si>
  <si>
    <t>240 lb (109 kg)</t>
  </si>
  <si>
    <t>1 × Hirth F-33 two-stroke, dual capacitor discharge ignition single-cylinder engine with 2.5</t>
  </si>
  <si>
    <t>63 mph (102 km/h, 55 kn)</t>
  </si>
  <si>
    <t>600 ft/min (3.05 m/s)</t>
  </si>
  <si>
    <t>5 ft 4 in (1.62 m) diameter</t>
  </si>
  <si>
    <t>3.4 lb/sq ft (20.16 kg/m2)</t>
  </si>
  <si>
    <t>27 ft 0 in (8.24 m)</t>
  </si>
  <si>
    <t>Ed Fisher</t>
  </si>
  <si>
    <t>https://en.wikipedia.org/Ed Fisher</t>
  </si>
  <si>
    <t>14.3 lb/hp (0.077 kW/kg)</t>
  </si>
  <si>
    <t>Yamaha KT100</t>
  </si>
  <si>
    <t>The  Yamaha KT100 is a 100 cc two-stroke cycle kart engine made by Yamaha that has also been adapted for ultralight aircraft use.[1] The KT100 is a simple and rugged air-cooled engine that uses piston-ported intake induction with a Walbro WB-3A carburetor. The KT100 is a popular high-performance two-stroke kart racing engine. It comes in various forms used in many countries. The KT100J is slightly smaller with fewer options in comparison to its bigger brother, the KT100SE.[citation needed] The KT100 is a very versatile engine using different exhaust systems and carburetors through a large range of classes. The KT100 can be tuned for most series and organizations with maximum and minimum rules.[citation needed] In the late 1970s and early 1980s the engine was adapted for use on ultralight aircraft. The ultralights of that era were lighter and had much lower wing loadings than today, making flight practical on the KT100's 15 hp (11 kW) developed at 10,000 rpm. In aircraft use it was usually equipped with a recoil starter and a belt reduction drive.[1] Data from Cliche[1] and Yamaha[2]</t>
  </si>
  <si>
    <t>//upload.wikimedia.org/wikipedia/commons/thumb/a/a9/Kosmic_TS28.JPG/300px-Kosmic_TS28.JPG</t>
  </si>
  <si>
    <t>Yamaha Motor Corporation</t>
  </si>
  <si>
    <t>https://en.wikipedia.org/Yamaha Motor Corporation</t>
  </si>
  <si>
    <t>Single-cylinder, two-stroke engine</t>
  </si>
  <si>
    <t>https://en.wikipedia.org/Single-cylinder, two-stroke engine</t>
  </si>
  <si>
    <t>Kart racingUltralight aircraft</t>
  </si>
  <si>
    <t>https://en.wikipedia.org/Kart racingUltralight aircraft</t>
  </si>
  <si>
    <t>52 mm (2.05 in)</t>
  </si>
  <si>
    <t>46 mm (1.81 in)</t>
  </si>
  <si>
    <t>97.6 cc (5.96 cu in)</t>
  </si>
  <si>
    <t>21 lb (10 kg)</t>
  </si>
  <si>
    <t>Piston port</t>
  </si>
  <si>
    <t>Walbro WB-3A carburetor</t>
  </si>
  <si>
    <t>premix 20</t>
  </si>
  <si>
    <t>Air-cooled</t>
  </si>
  <si>
    <t>PTO to clutch or direct drive, belt drive in aircraft use</t>
  </si>
  <si>
    <t>15 hp (11 kW) at 10,000 rpm</t>
  </si>
  <si>
    <t>Yeoman Cropmaster</t>
  </si>
  <si>
    <t>The Yeoman Cropmaster was an Australian agricultural aircraft developed from the CAC Wackett trainer of World War II. The type was developed by Yeoman Aviation, a company set up by Kingsford Smith Aviation Services Pty. Ltd. (KSA) at Bankstown Airport to engage in agricultural aircraft production. KSA had obtained a number of Wacketts following the type's retirement from Royal Australian Air Force service and had converted four for agricultural use as KS-3 Cropmasters in the second half of the 1950s.[1] The conversion involved little more than the installation of a hopper located in the rear cockpit of the Wackett, the cutting of a hole in the centre section of the Wackett's wooden wing to allow the dispersal of the chemical load, and re-routing controls to bypass the hopper.[1] By contrast the YA-1 Cropmaster involved major modifications to the Wackett airframe. The Wackett fuselage structure of steel tube was retained but had a 23 cubic ft. (650 litre) capacity hopper in lieu of the Wackett's rear cockpit and different external panels of metal and fibreglass (the Wackett fuselage was fabric covered); the Wackett's wooden wing was replaced by a new metal wing. The first five aircraft retained the Wackett's wooden tail, but subsequent aircraft had a metal tail that featured a stabilator, a swept-back fin and larger rudder. The Wackett's fixed tailwheel undercarriage was retained. The Warner Scarab radial engine of the Wackett was replaced by a horizontally-opposed engine, the YA-1 250 being fitted with a Lycoming O-540 engine of 250hp driving a Hartzell Propeller, while the YA-1 250R was fitted with a Continental IO-470 also developing 250 hp (190 kW), driving a Hartzell or McCauley propeller. The first Cropmaster, a YA-1 250, took to the air for the first time on 15 January 1960.[2] Twenty further aircraft were converted before production ceased in 1966, by which time the company was known as Cropmaster Aircraft. Like its contemporary the CAC Ceres the Cropmaster was unable to compete with more modern types of agricultural aircraft. Six of the twenty-one aircraft were the YA-1 250R model and the final three aircraft produced featured relocated main landing gear to counteract a tendency for the type to nose over on the ground. Six Cropmasters were exported to New Zealand where one example is still on the civil aircraft register. One example is registered in Australia[3] and is under rebuild at Wagga Wagga. Several other Cropmasters reportedly still exist in Australia and New Zealand. An intermediate flying test-bed, the single Yeoman 175 was converted from CA-6 Wackett airframe C/N 257 for trials of a new all-metal empennage, and had the swept fin of later Cropmasters but retained the Warner Scarab radial engine and fabric-covered aft fuselage of the Wackett. A proposed variant with tricycle undercarriage was the YA-1B, none were built. A cut-away drawing of the YA-1B was included in a Yeoman Aviation brochure. The YA-1B design proposal also included an early version of the design for the all-metal empennage, with a more upright tail-fin than was actually produced. Another variant was the YA-1 285 with a 285 hp (213 kW) Continental engine, sources disagree as to whether any of this variant were produced. At the time manufacture ceased, metal had been cut on the next evolution, this being the Cropmaster 300. The existing wing was to be retained with the span increased to 37 ft (11.28 m). The tail group was to remain unchanged. The tailwheel configuration was retained although new oleo legs to handle the heavier take-off weight were required. New plastic fuel tanks, still mounted between the front and rear wing spars, were of 21.5 imperial gallons capacity each, giving a total capacity of 43 gallons (195 lit.). Therefore, the practical working endurance remained at two hours or so. The fuselage was an all new design optimized for the topdressing role. The hopper remained in the same position but was of considerably increased capacity. Hopper load on topdressing would have varied between 12 and 17 cwt. (611/865 kg). The area from the hopper to the tail was to be of monocoque construction with an access hatch to permit loading of cargo/work equipment or (no doubt) the odd passenger. The cockpit section forward of the hopper was to be built on a steel tube frame and featured side by side seating for the pilot and a passenger (typically the landholder or the loader driver). Four pilots were killed in Cropmasters. In 1961 at Deniliquin, Ralph Dennis ran a tank dry in Marshall's VH-MSS and spun in. In 1964 John Waddell pranged VH-BAQ near Boorowa while doing low level aerobatics. In 1965 Air-Culture's VH-CXQ, with Richard Adams flying, struck a tree whilst entering a spray run at Highbury near Narrogin. Also in 1965 Bill Pearson flying Bender's VH-RPB at Kempton went in from a hundred feet or so, just after lift-off. Non-fatal misadventures included wire strike, jammed elevators after fence strike, getting trapped in a blind gully, Hartzell propeller blade failures and nose-overs. Data from Jane's All The World's Aircraft 1965–66[4]General characteristics Performance   Aircraft of comparable role, configuration, and era</t>
  </si>
  <si>
    <t>agricultural aircraft</t>
  </si>
  <si>
    <t>https://en.wikipedia.org/agricultural aircraft</t>
  </si>
  <si>
    <t>Yeoman Aviation</t>
  </si>
  <si>
    <t>23 cu ft (0.65 m3) capacity hopper, 1,456 lb (660 kg) payload</t>
  </si>
  <si>
    <t>9 ft 9 in (2.97 m)</t>
  </si>
  <si>
    <t>179 sq ft (16.6 m2)</t>
  </si>
  <si>
    <t>1,800 lb (816 kg)</t>
  </si>
  <si>
    <t>34 imp gal (41 US gal; 150 L)</t>
  </si>
  <si>
    <t>1 × Continental IO-470-R six-cylinder air-cooled horizontally-opposed engine, 250 hp (190 kW)</t>
  </si>
  <si>
    <t>129 mph (208 km/h, 112 kn) (econ cruise, 60% power)</t>
  </si>
  <si>
    <t>1,100 ft/min (5.6 m/s)</t>
  </si>
  <si>
    <t>2-bladed McCauley constant-speed</t>
  </si>
  <si>
    <t>{'Yeoman 175': 'as converted from CA-6 Wackett airframe C/N 257 for trials of a new all-metal empennage, and had the swept fin of later Cropmasters but retained the Warner Scarab radial engine and fabric-covered aft fuselage of the Wackett.', 'YA-1B': 'none were built. A cut-away drawing of the YA-1B was included in a ', 'Yeoman Aviation': 'rochure. The YA-1B design proposal also included an early version of the design for the all-metal empennage, with a more upright tail-fin than was actually produced. Another variant was the ', 'YA-1 285': 'ith a 285\xa0hp (213\xa0kW) Continental engine, sources disagree as to whether any of this variant were produced.'}</t>
  </si>
  <si>
    <t>35 ft 0 in (10.67 m)</t>
  </si>
  <si>
    <t>240 mph (390 km/h, 210 kn)</t>
  </si>
  <si>
    <t>C. W. (Bill) Smith</t>
  </si>
  <si>
    <t>152 mph (245 km/h, 132 kn) at sea level</t>
  </si>
  <si>
    <t>3,530 lb (1,601 kg)</t>
  </si>
  <si>
    <t>Kingsford Smith Cropmaster</t>
  </si>
  <si>
    <t>https://en.wikipedia.org/Kingsford Smith Cropmaster</t>
  </si>
  <si>
    <t>1960–1966</t>
  </si>
  <si>
    <t>1,200 ft (370 m)</t>
  </si>
  <si>
    <t>Zenair Zipper</t>
  </si>
  <si>
    <t>The Zenair Zipper is a Canadian ultralight high-wing, single seat aircraft that was designed by Chris Heintz and produced by Zenair. The Zipper is a highly innovative design that strongly emphasizes portability over speed or carrying capacity.[1] The Zipper was designed in the early 1980s by established Canadian aircraft designer Chris Heintz and put into production by his company Zenair, of Midland, Ontario. Heintz's motivation for the Zipper was the ultralight aviation boom that was occurring in Canada at that time and the introduction of new aviation regulations by Transport Canada legally permitting the operation of ultralights. The Zipper incorporates many unique features, all aimed at making the aircraft more portable. This focus was due to the nature of operations in the early days of the ultralight popularity. Aircraft were not flown great distances to fly-ins or other sites, but were transported by trailer or on car top to be flown locally at remote locations.[1] The Zipper has a quick-folding wing, built around a D-cell leading edge and spar. There are no wing ribs and the trailing edge of the wing is established by a cable which tensions the sailcloth wing covering. The wing is folded by releasing the anti-drag cables next to the nosewheel and folding the wings back along the tailboom, still supported by their struts. The wing is designed to +6 and -3 g.[1] The Zipper features conventional three-axis controls, which was unusual in ultralights designed at this time. The all-metal, one piece, all-flying rudder and the elevator are quickly removable for transport. The tailboom is aluminum and square in cross section.[1] The standard powerplants provided with the Zipper kits were the JPX PUL 425 engine of 26 hp (19 kW) and the Rotax 277 of 28 hp (21 kW). Fuel capacity is 6 US gal (5 imp gal; 23 L). The twin-engined Zipper II used a similar engine configuration to its competitor, the Ultraflight Lazair, placing both engines close together to minimize engine-out requirements.[1] Zenith Aircraft Company President Sebastien Heintz, son of the designer Chris Heintz, learned to fly in a Zenair Zipper.[2] In December 2008 there were four Zippers still registered in Canada. Consisting of two Zippers, one Zipper-RX and one Zipper II[3] Data from Ultralight Aircraft Shopper's Guide 8th Edition[1]General characteristics Performance   Aircraft of comparable role, configuration, and era</t>
  </si>
  <si>
    <t>Zenair</t>
  </si>
  <si>
    <t>https://en.wikipedia.org/Zenair</t>
  </si>
  <si>
    <t>240 lb (109 kg) useful load</t>
  </si>
  <si>
    <t>140 sq ft (13.25 m2)</t>
  </si>
  <si>
    <t>180 lb (82 kg)</t>
  </si>
  <si>
    <t>420 lb (190 kg)</t>
  </si>
  <si>
    <t>1 × JPX PUL 425 fixed pitch, 26 hp (19 kW)</t>
  </si>
  <si>
    <t>40 mph (65 km/h, 35 kn)</t>
  </si>
  <si>
    <t>3.0 lb/sq ft (14.3 kg/m2)</t>
  </si>
  <si>
    <t>28 ft 0 in (8.54 m)</t>
  </si>
  <si>
    <t>100 mi (162 km, 87 nmi)</t>
  </si>
  <si>
    <t>Chris Heintz</t>
  </si>
  <si>
    <t>https://en.wikipedia.org/Chris Heintz</t>
  </si>
  <si>
    <t>50 mph (81 km/h, 43 kn)</t>
  </si>
  <si>
    <t>private owners</t>
  </si>
  <si>
    <t>19.1 lb/hp (0.087 kW/kg)</t>
  </si>
  <si>
    <t>Medwecki HL 2</t>
  </si>
  <si>
    <t>The Medwecki HL 2 was a Polish two seat lightplane flown in 1927. Handicapped by a low power, unreliable engine, its flying life lasted little more than a month.  Light aircraft design was slow to start in Poland but from 1924 the Airborne and Antigas Defence League, generally known by their Polish acronym L.O.P.P., began to fund amateur builders. One of the first successful bidders was Jozef Medwecki, an aircraft designer with the Samolot company. The result was the HL 2 two-seater which Medwecki built, with Samolot's approval, in their factory in his spare time. It was finished in August 1927.[1] The HL 2 had a parasol wing with a quite thick section and a plan that was strictly rectangular apart from a central trailing edge cut-out to improve the pilot's field of view. The wing was in two parts, built around pairs of wooden spars and ply-covered. It was supported over the fuselage on cabane struts, one leaning back from the upper central fuselage to the forward strut and the other a vertical inverted V-strut to the rear spar; the principal bracing members were parallel steel tubes from the lower fuselage longerons to the spars.[1] Medwecki's greatest problem was to obtain a suitable engine and in the end had to settle for an elderly, three-cylinder 26 kW (35 hp) Anzani lent to him by Samolot, which left the HL 2 seriously underpowered. It was installed in a simple, flat-sided  metal cowling with its cylinder heads exposed for cooling. The cowling widened rearwards to match the dimensions of the HL 2's simple, rectangular section fuselage which was built around four wooden longerons and ply covered. Behind the fuel tanks the open cockpits were in tandem and fitted with dual control. The forward one was under the wing and was entered via a car-type door with a special lock to insure integrity of the upper longeron and the rear one, conventionally entered, was under the trailing edge cut-out.[1] The HL 2's strut-braced tailplane was mounted on top of the fuselage and, like the elevators, was essentially rectangular in plan. The fin was triangular and carried a rectangular rudder. Its fixed undercarriage had mainwheels on a single axle with rubber cord shock absorbers and supported at each end by a V-strut to the lower fuselage longeron. There was a short tailskid under the fin.[1] The HL 2 made its first flights in September 1927 from Samolot's home ground of Poznan-Lawica, flown by Wladyslaw Szulczewski. Despite the lack of power it was capable of aerobatics.  It was entered as a competitor in the L.O.P.P.-organised First National Lightplane Contest held at the start of October in Warsaw but engine problems on the way there caused it to fail to meet the deadline. Nonetheless, Szulczewski took part as an unofficial contestant and at first its performance was outstanding but during a cross-country flight the engine failed again. The HL 2 was seriously damaged in the consequent emergency landing and never flew again.[1] Data from Cynk (1971)[1] except where notedGeneral characteristics Performance</t>
  </si>
  <si>
    <t>//upload.wikimedia.org/wikipedia/commons/thumb/e/ee/HL-2_Haroldek.jpg/300px-HL-2_Haroldek.jpg</t>
  </si>
  <si>
    <t>Light aircraft</t>
  </si>
  <si>
    <t>https://en.wikipedia.org/Light aircraft</t>
  </si>
  <si>
    <t>2.2 m (7 ft 3 in) [2]</t>
  </si>
  <si>
    <t>291 kg (642 lb)</t>
  </si>
  <si>
    <t>470 kg (1,036 lb)</t>
  </si>
  <si>
    <t>1 × Anzani 3-cylinder air-cooled</t>
  </si>
  <si>
    <t>102 km/h (63 mph, 55 kn) [2]</t>
  </si>
  <si>
    <t>1.3 m/s (260 ft/min) [2]</t>
  </si>
  <si>
    <t>1,300 m (4,300 ft) [2]</t>
  </si>
  <si>
    <t>Jozef Medwecki</t>
  </si>
  <si>
    <t>55 km/h (34 mph)</t>
  </si>
  <si>
    <t>Thulin G</t>
  </si>
  <si>
    <t>The Thulin G was a Swedish military reconnaissance aircraft built in the late 1910s. The Thulin G was a two-seat biplane of conventional configuration derived from the Albatros B.II that seated the observer and the pilot in separate cockpits in tandem. The upper wing was supported by 12 struts from the underwing and four supports from the fuselage. The inline engine was mounted in the aircraft's nose where it drove a wooden propeller . The exhaust gases from the engine were led via a manifold to pass above the upper wing. The pilot was seated in the front cockpit which was placed under the wing while the observer was seated in a cockpit behind the wings to allow good visibility to the sides. The Type G used floats for takeoff and landing on water. Five Type G and two Type GA aircraft were built for the Swedish naval air force, serving from 1917-1922. All but two aircraft were lost in accidents or destroyed in hangar fires. Data from [1]General characteristics Performance     Related lists</t>
  </si>
  <si>
    <t>//upload.wikimedia.org/wikipedia/commons/thumb/9/99/Thulin-G.jpg/300px-Thulin-G.jpg</t>
  </si>
  <si>
    <t>AB Thulinverken</t>
  </si>
  <si>
    <t>https://en.wikipedia.org/AB Thulinverken</t>
  </si>
  <si>
    <t>1,538 kg (3,391 lb)</t>
  </si>
  <si>
    <t>1 × Benz Bz.III 6-cylinder water-cooled in-line piston engine, 110 kW (150 hp)</t>
  </si>
  <si>
    <t>17.2 m (56 ft 5 in)</t>
  </si>
  <si>
    <t>118 km/h (73 mph, 64 kn)</t>
  </si>
  <si>
    <t>Swedish Navy</t>
  </si>
  <si>
    <t>https://en.wikipedia.org/Swedish Navy</t>
  </si>
  <si>
    <t>Wings of Freedom Phoenix 103</t>
  </si>
  <si>
    <t>The Wings of Freedom Phoenix 103 is an American amateur-built ultralight aircraft that was produced by Wings of Freedom of Hubbard, Ohio. When it was available it was supplied as a kit for amateur construction.[1] In late 2019 the company website had been taken down and it is likely that production had ended.[2] The Phoenix 103 is based on the discontinued Aero-Works Aerolite 103. With a standard empty weight of 254 lb (115 kg), it was designed to comply with the US FAR 103 Ultralight Vehicles rules, including the category's maximum empty weight of 254 lb (115 kg). It features a strut-braced high-wing, a single-seat open cockpit with windshield, fixed tricycle landing gear and a single engine in pusher configuration.[1] The aircraft is made from aluminum tubing, with its flying surfaces covered in Dacron sailcloth. Its 26.8 ft (8.2 m) span wing has an area of 124 sq ft (11.5 m2). Its recommended engine power range is 28 to 50 hp (21 to 37 kW); standard engines used include the 50 hp (37 kW) two-stroke Hirth F-23. Construction time is estimated at 100 hours.[1] By December 2011, the manufacturer reported that ten of the aircraft had been completed and flown.[1] Data from Kitplanes[1]General characteristics Performance</t>
  </si>
  <si>
    <t>Production completed (2019)</t>
  </si>
  <si>
    <t>124 sq ft (11.5 m2)</t>
  </si>
  <si>
    <t>254 lb (115 kg)</t>
  </si>
  <si>
    <t>1 × Hirth F-23 twin cylinder, horizontally-opposed, two stroke aircraft engine, 50 hp (37 kW)</t>
  </si>
  <si>
    <t>5.2 lb/sq ft (25 kg/m2)</t>
  </si>
  <si>
    <t>26.8 ft (8.2 m)</t>
  </si>
  <si>
    <t>100 mi (160 km, 87 nmi)</t>
  </si>
  <si>
    <t>Aero-Works Aerolite 103</t>
  </si>
  <si>
    <t>https://en.wikipedia.org/Aero-Works Aerolite 103</t>
  </si>
  <si>
    <t>Wittemann-Lewis Training Tractor</t>
  </si>
  <si>
    <t>The Wittemann-Lewis Training Tractor (sometimes referred to as the T-T) is an American two-seat military training biplane designed and built by the Wittemann-Lewis Aircraft Company.[1][2] The Training Tractor was designed as a military training biplane, a conventional tractor biplane with two-open cockpits in tandem.[1] It had a square section fuselage and a conventional landing gear with a tailskid.[1] The Training Tractor was powered by a 70 hp (52 kW) Hall-Scott A-7 engine mounted in the nose.[1] It was not ordered into production. General characteristics Performance       This article on an aircraft of the 1910s is a stub. You can help Wikipedia by expanding it.</t>
  </si>
  <si>
    <t>Military training biplane</t>
  </si>
  <si>
    <t>https://en.wikipedia.org/Military training biplane</t>
  </si>
  <si>
    <t>Wittemann-Lewis Aircraft Company</t>
  </si>
  <si>
    <t>https://en.wikipedia.org/Wittemann-Lewis Aircraft Company</t>
  </si>
  <si>
    <t>11 ft 6.5 in (3.52 m)</t>
  </si>
  <si>
    <t>400 sq ft (27.9 m2)</t>
  </si>
  <si>
    <t>1,560 lb (708 kg)</t>
  </si>
  <si>
    <t>2,165 lb (982 kg)</t>
  </si>
  <si>
    <t>1 × Hall-Scott A-7 , 70 hp (52 kW)</t>
  </si>
  <si>
    <t>42 ft 0 in (12.8 m)</t>
  </si>
  <si>
    <t>38 mph (61 km/h, 33 kn)</t>
  </si>
  <si>
    <t>74 mph (119 km/h, 64 kn)</t>
  </si>
  <si>
    <t>3 hours 0 minutes</t>
  </si>
  <si>
    <t>Fauvel AV.36</t>
  </si>
  <si>
    <t>The Fauvel AV.36 was a single-seat tailless glider designed in France in the 1950s by Charles Fauvel. Although the "AV" in AV.36 stands for Aile Volante (Flying Wing), it was not a true flying wing: it featured two large fins mounted on stubby tailbooms extending back from the wing's trailing edge, and accommodated the pilot within a stubby fuselage. The aircraft was designed to be quickly disassembled for road transport, with the nose detaching, and the fins able to fold back against the trailing edge of the wing. A refined version with a slightly longer wingspan, the AV.361 was introduced in 1960. The AV.36 lent itself to easy motorisation, with some builders installing an engine at the rear of the cockpit pod to drive a pusher propeller turning between the tail fins, and the Bölkow factory manufactured some aircraft in this configuration as the AV.36 C11. Plans for the AV.36 have not been available in France since Fauvel's death in 1979, but as of 2012[update] they are still available from  Canadian supplier Falconar Avia of Edmonton, Alberta.[1] Data from The World's Sailplanes:Die Segelflugzeuge der Welt:Les Planeurs du Monde Volume II[3]General characteristics Performance   Aircraft of comparable role, configuration, and era Fauvel AV.45  Related lists List of gliders</t>
  </si>
  <si>
    <t>//upload.wikimedia.org/wikipedia/commons/thumb/b/b3/Fauvel_A.V.36_%27No133%27_%28BGA.1999%29_%2826804496122%29.jpg/300px-Fauvel_A.V.36_%27No133%27_%28BGA.1999%29_%2826804496122%29.jpg</t>
  </si>
  <si>
    <t>Flying wing glider</t>
  </si>
  <si>
    <t>Homebuilt</t>
  </si>
  <si>
    <t>https://en.wikipedia.org/Homebuilt</t>
  </si>
  <si>
    <t>over 100</t>
  </si>
  <si>
    <t>3.2 m (10 ft 6 in) nose to rudder tips</t>
  </si>
  <si>
    <t>1.2 m (3 ft 11 in) at cockpit</t>
  </si>
  <si>
    <t>14.6 m2 (157 sq ft)</t>
  </si>
  <si>
    <t>125 kg (276 lb)</t>
  </si>
  <si>
    <t>215 kg (474 lb)</t>
  </si>
  <si>
    <t>26 at 84 km/h (52.2 mph; 45.4 kn)</t>
  </si>
  <si>
    <t>14.7 kg/m2 (3.0 lb/sq ft) normal 17.7 kg/m2 (3.625 lb/sqft) maximum</t>
  </si>
  <si>
    <t>12.78 m (41 ft 11 in)</t>
  </si>
  <si>
    <t>58 km/h (36 mph, 31 kn)</t>
  </si>
  <si>
    <t>Charles Fauvel</t>
  </si>
  <si>
    <t>https://en.wikipedia.org/Charles Fauvel</t>
  </si>
  <si>
    <t>258 kg (569 lb)</t>
  </si>
  <si>
    <t>F2 17%</t>
  </si>
  <si>
    <t>0.75 m/s (148 ft/min) at 65 km/h (40.4 mph; 35.1 kn)</t>
  </si>
  <si>
    <t>+8 -4 at 254 km/h (157.8 mph; 137.1 kn)</t>
  </si>
  <si>
    <t>https://en.wikipedia.org/December 31 1951</t>
  </si>
  <si>
    <t>158 km/h (98.2 mph; 85.3 kn)</t>
  </si>
  <si>
    <t>128 km/h (79.5 mph; 69.1 kn)</t>
  </si>
  <si>
    <t>119 km/h (73.9 mph; 64.3 kn)</t>
  </si>
  <si>
    <t>with full airbrakes 165 km/h (103 mph; 89 kn)</t>
  </si>
  <si>
    <t>Thulin FA</t>
  </si>
  <si>
    <t>The Thulin FA was a Swedish reconnaissance aircraft built in the late 1910s. The Thulin FA was a two-seat biplane with the lower wings mounted at the bottom of the fuselage. The upper wing was supported by four wing struts and two V-shaped supports from the fuselage. Only the upper wings were fitted with ailerons. The fuselage was provided with two open cockpits in tandem under the upper wing. The wheel ground was fixed with a spur spring under the height knob (??). The Type FA was alternatively equipped with floats for water operation. Eight Type FA airframes were built, seven with the Benz Bz.III and the eighth with a Thulin D rotary engine. Three were destroyed in accidents by late 1919. Data from [1]General characteristics Performance Armament     Related lists</t>
  </si>
  <si>
    <t>//upload.wikimedia.org/wikipedia/commons/thumb/3/36/Thulin_typ_FA.jpg/300px-Thulin_typ_FA.jpg</t>
  </si>
  <si>
    <t>7.2 m (23 ft 7 in)</t>
  </si>
  <si>
    <t>41 m2 (440 sq ft)</t>
  </si>
  <si>
    <t>1,595 kg (3,516 lb)</t>
  </si>
  <si>
    <t>1 × Benz Bz.III six-cylinder, water-cooled, inline engine, 120 kW (160 hp)</t>
  </si>
  <si>
    <t>12.8 m (42 ft 0 in)</t>
  </si>
  <si>
    <t>Enoch Thulin</t>
  </si>
  <si>
    <t>https://en.wikipedia.org/Enoch Thulin</t>
  </si>
  <si>
    <t>Swedish Air Force</t>
  </si>
  <si>
    <t>https://en.wikipedia.org/Swedish Air Force</t>
  </si>
  <si>
    <t>1× 8 mm (0.315 in) Madsen machine-gun</t>
  </si>
  <si>
    <t>Wright XF3W Apache</t>
  </si>
  <si>
    <t>The Wright XF3W was an American racing aircraft built by Wright Aeronautical for the United States Navy. After the U.S. Navy declared its preference for radial engines, Wright developed the P-1 Simoon. To demonstrate the engine, the F3W was designed to carry it. The F3W was a single-seat biplane, with a steel tubing fuselage and wood wings, covered by fabric. Designed to be a carrier-based fighter and powered by the Simoon engine, its performance was poor. After the Navy took delivery of the aircraft, they installed a rival company's engine, the Pratt &amp; Whitney R-1340 radial. The aircraft was redesignated XF3W, and flew with the new engine for the first time on 5 May 1926.[1] The Navy used the XF3W as a test bed for the Pratt &amp; Whitney engine until 1930, during which time the aircraft set a number of records. On 6 September 1926, the XF3W set the world altitude record for seaplanes of 38,500 ft (11,700 m). On 6 April 1930, it set the landplane altitude record of 43,166 ft (13,157 m). The XF3W was also fitted with a single centreline float to evaluate the concept of basing floatplanes on battleships.[2] Data from Angelucci, 1987. p. 462.[1]General characteristics Performance       Media related to Wright XF3W Apache at Wikimedia Commons</t>
  </si>
  <si>
    <t>//upload.wikimedia.org/wikipedia/commons/thumb/9/9d/Wright_XF3W_Apache_at_NACA_Langley_in_1926.jpeg/300px-Wright_XF3W_Apache_at_NACA_Langley_in_1926.jpeg</t>
  </si>
  <si>
    <t>Racer</t>
  </si>
  <si>
    <t>Wright Aeronautical</t>
  </si>
  <si>
    <t>https://en.wikipedia.org/Wright Aeronautical</t>
  </si>
  <si>
    <t>22 ft 1 in (6.73 m)</t>
  </si>
  <si>
    <t>8 ft 6 in (2.59 m)</t>
  </si>
  <si>
    <t>215 sq ft (19.97 m2)</t>
  </si>
  <si>
    <t>1,414 lb (641 kg)</t>
  </si>
  <si>
    <t>2,128 lb (965 kg)</t>
  </si>
  <si>
    <t>1 × Pratt &amp; Whitney R-1340-B , 450 hp (336 kW)</t>
  </si>
  <si>
    <t>27 ft 4 in (8.33 m)</t>
  </si>
  <si>
    <t>38,560 ft (11,753 m)</t>
  </si>
  <si>
    <t>5 May 1926[1]</t>
  </si>
  <si>
    <t>162 mph (261 km/h, 141 kn)</t>
  </si>
  <si>
    <t>Yuneec International EViva</t>
  </si>
  <si>
    <t>The Yuneec EViva is a Chinese low-wing, two-seat motor glider that was designed by Martin Wezel is now under development by Yuneec International of Kunshan, Jiangsu.[1] The EViva was originally designed by Martin Wezel in conjunction with the Czech company Composit and initially intended to be powered by a 50 hp (37 kW) Rotax 503 two-stroke or 60 hp (45 kW) HKS 700E four-stroke powerplant. The design was purchased by Yuneec, development shifted to China and the aircraft was adapted for electric power.[1] The aircraft was designed to comply with the Fédération Aéronautique Internationale microlight rules. It features a cantilever wing, a T-tail, a two-seats-in-side-by-side configuration enclosed cockpit under a bubble canopy, retractable monowheel gear with wing tip and tail casters, and a single electric motor in tractor configuration driving a folding propeller.[1] The aircraft is made from composites. Its 17 m (55.8 ft) span wing has an area of 14.2 m2 (153 sq ft) and upper wing telescopic air brakes as well as flaps. The wing is derived from the Wezel Apis 2 wing. The standard engine fitted is the 40 kW (54 hp) Yuneec Power Drive 40 electric motor, controlled by a Yuneec Power Block 40 400 Amp power controller and powered by two Kokam Lithium polymer battery packs of 31 ampere hours (Ah) each (62 Ah total). The engine weighs 23 kg (51 lb), the controller 7 kg (15 lb) and the batteries weigh 67 kg (148 lb) in total. The propeller folds aft into the engine cooling vents when not in use and deploys automatically on engine start. The batteries are charged by a Yuneec E-Charger that can run on 110-240 volts and charge in 3–4 hours. The aircraft will come equipped with a Ballistic Recovery Systems ballistic parachute[1][2] Data from World Directory of Leisure Aviation 2011-12 and Yuneec[1][2]General characteristics Performance</t>
  </si>
  <si>
    <t>//upload.wikimedia.org/wikipedia/en/thumb/a/a3/Yuneec_International_EViva_prototype.jpg/300px-Yuneec_International_EViva_prototype.jpg</t>
  </si>
  <si>
    <t>Electric motor glider</t>
  </si>
  <si>
    <t>https://en.wikipedia.org/Electric motor glider</t>
  </si>
  <si>
    <t>Yuneec International</t>
  </si>
  <si>
    <t>https://en.wikipedia.org/Yuneec International</t>
  </si>
  <si>
    <t>Under development (2012)</t>
  </si>
  <si>
    <t>One prototype</t>
  </si>
  <si>
    <t>2.65 m (8 ft 8 in)</t>
  </si>
  <si>
    <t>14.2 m2 (153 sq ft)</t>
  </si>
  <si>
    <t>225 kg (496 lb)</t>
  </si>
  <si>
    <t>1 × Yuneec Power Drive 40 electric motor, powered by two Kokam Lithium polymer battery packs of 31 Ah each (62 Ah total), 40 kW (54 hp)</t>
  </si>
  <si>
    <t>2-bladed folding carbon fibre, 1.60 m (5 ft 3 in) diameter</t>
  </si>
  <si>
    <t>33.3 kg/m2 (6.8 lb/sq ft)</t>
  </si>
  <si>
    <t>17 m (55 ft 9 in) convertible to 11.6 M with wing tips removed</t>
  </si>
  <si>
    <t>65 km/h (40 mph, 35 kn) flaps down</t>
  </si>
  <si>
    <t>230 km/h (140 mph, 120 kn)</t>
  </si>
  <si>
    <t>Martin Wezel</t>
  </si>
  <si>
    <t>1.3 hours on batteries</t>
  </si>
  <si>
    <t>0.65 m/s (128 ft/min) at 85 km/h (53 mph)</t>
  </si>
  <si>
    <t>Zenair CH 150</t>
  </si>
  <si>
    <t>The Zenith CH 150 Acro Zenith is a Canadian single-engine, low wing, all-aluminum aircraft designed by Chris Heintz and produced by Zenair in kit form for amateur construction. The aircraft is intended for aerobatic use and was introduced at the Experimental Aircraft Association convention in 1980.[1][2] The CH 150 is one of only six amateur-built aircraft types specifically approved by Transport Canada for aerobatics, without other restrictions.[3] After emigrating to Canada and setting up Zenair to sell plans and kits for amateur construction of his Zenith two seat-light aircraft, the German aircraft designer Chris Heintz started design of a smaller, single seat development of the Zenith, the Zenair CH 100 Mono-Zenith. The first CH 100 made its maiden flight on 8 May 1975, powered by a 55 hp (41 kW) Volkswagen air-cooled engine of 1600 cc.[4] Heintz used the Mono-Zenith as a starting point to develop a single-seat aircraft for aerobatic training and competition flying, the resulting aircraft, the CH 150 Acro-Zenith making its maiden flight on 19 May 1980. It was designed to be powered by engines of between 100–180 hp (75–134 kW) and had a tailwheel undercarriage instead of the nosewheel undercarriage of the earlier aircraft.[4] Zenair continued to produce kits until 1988.[5] In a 1983 advertisement Zenair described the design goals of the CH150: A dandy little aircraft for the serious student in aerobatics. The Acro Zenith has strength for learning and competition (+/-12G). Light on the controls and beautiful to fly. Discover how it does things best - Lady flyers especially will find its roll and pitch forces easy on the arms. Approved for all aerobatic maneuvres - fully inverted system. Suitable for engines from 115 to 180 HP to give marvelous inexpensive flying to any aerobatic pilot.[2]  Data from Jane's All The World's Aircraft 1982–83[4]General characteristics Performance  Related development</t>
  </si>
  <si>
    <t>Homebuilt light aircraft</t>
  </si>
  <si>
    <t>https://en.wikipedia.org/Homebuilt light aircraft</t>
  </si>
  <si>
    <t>6.17 m (20 ft 3 in)</t>
  </si>
  <si>
    <t>1.52 m (5 ft 0 in)</t>
  </si>
  <si>
    <t>331 kg (730 lb)</t>
  </si>
  <si>
    <t>1 × Lycoming 0-320 , 110 kW (150 hp)</t>
  </si>
  <si>
    <t>257 km/h (160 mph, 139 kn)</t>
  </si>
  <si>
    <t>11 m/s (2,200 ft/min)</t>
  </si>
  <si>
    <t>6.15 m (20 ft 2 in)</t>
  </si>
  <si>
    <t>89 km/h (55 mph, 48 kn)</t>
  </si>
  <si>
    <t>1,220 km (760 mi, 660 nmi)</t>
  </si>
  <si>
    <t>4,900 m (16,000 ft)</t>
  </si>
  <si>
    <t>280 km/h (170 mph, 150 kn)</t>
  </si>
  <si>
    <t>522 kg (1,150 lb)</t>
  </si>
  <si>
    <t>Zenair CH 100</t>
  </si>
  <si>
    <t>https://en.wikipedia.org/Zenair CH 100</t>
  </si>
  <si>
    <t>Flaris LAR01</t>
  </si>
  <si>
    <t>Flaris LAR01, also variously called the LAR 1 and LAR-1, is a Polish five-seat very light jet, currently under development by Metal-Master of Jelenia Góra.[3] It is the only single-engined very light jet currently being developed by a non-American aircraft manufacturer.[4] The programme was publicly unveiled at the 2013 Paris Air Show, and has been promoted to private owner-operators and corporate customers, as well as commercial operators.[4] Originally intended to perform its maiden flight as early as 2013, the prototype first flew on 5 April 2019. The Flaris LAR01 project was started by Sylwia and Rafał Ładzińscy with the assistance of the Instytut Lotnictwa, Instytut Techniczny Wojsk Lotniczych, Politechnika Warszawska, Politechnika Wrocławska and Wojskowa Akademia Techniczna.[5][6] According to Ładziński, the aircraft had emerged from an ambition to produce an affordable aircraft that would be well-suited to short-haul point-to-point routes and operated by a variety of commercial, corporate, and private owners that sought to progress from operating piston engine and turboprop-powered aircraft.[4] Rafał Ładziński, who had co-originated the aircraft's design with Sylwia Ładziński, serves as the head of the FLARIS project and the chief of Research and Development.[7][8] The chief designer is Andrzej Frydrychewicz.[9] Significant work on the aircraft's aerodynamics was performed by Krzysztof Kubryński.[10] In June 2013, the existence of the LAR01 programme was publicly unveiled at the 2013 Paris Air Show.[6][11][12] Among the attributes of the aircraft emphasised during its initial announcement were its unique and previously-unserved role in the general aviation market, ease of flight, lightweight construction, low operational cost, safety, and versatility.[13] The company has forecast a demand for the type of hundreds of aircraft per year.[14] During the 2013 event, at which a prototype of the aircraft was displayed, it was announced that the LAR01 would be the first of three aircraft that manufacturer planned to launch; while few details were stated, it was said that of the two future aircraft, one would be smaller than the LAR01 while the other would be larger.[11] In June 2015, at which point the subject of future family members was discussed in greater detail by the manufacturer, it was revealed that there were future ambitions for a series of business jets to be produced, and that the next design following on from the LAR01 was to adopt a twin-engine configuration.[13] During the 2013 reveal at the Paris airshow, it was stated that an initial prototype of the aircraft would fly later that same year, as well as speculation on the delivery of a batch of 20 aircraft during 2014.[11][15] During March 2014, the non-flying first prototype was being used for non-destructive load testing, while the second prototype was announced as being intended to perform the type's maiden flight later that year; however, it was acknowledged at the time that there was a lack of certainty over exact dates.[16][15] The order book is intended to be opened shortly after the maiden flight taking place.[14][4] By May 2014, the company was already in the process of establishing an assembly line for the type, as well as beginning the construction of the third and fourth prototypes.[17] The second prototype was powered by a single Pratt &amp; Whitney Canada PW610, although alternative powerplants were already under consideration to power subsequent production aircraft. Aerospace publication Aviation Week has attributed uncertainty over the engine as a reason for delays in the programme.[15][17] Once in flight, the second prototype would participate in the certification programme, along with a further two prototypes; in December 2014, the manufacturer envisioned the construction of a total of five prototypes.[16] Final CS-23 certification for the LAR01 from the European Aviation Safety Agency (EASA) was anticipated to occur roughly three years following the first flight.[18][4] In February 2015, the second prototype commenced a series of taxi tests while it reportedly approached the end of ground-based testing.[19][20] In March 2015, it was stated that the type was expected to receive type certification during 2018.[21] During 2015, it was stated that initial deliveries, then forecast to take place in 2016, would be validated under the Polish civil aviation authority's S-1 experimental aircraft designation, prior to full EASA certification being issued.[22] In February 2016, it was stated that the first flight of the LAR01 was set to take place within the following months.[23] In July 2016, engine ground tests of a LAR-1 equipped with the Williams FJ33-5A, which is to be used in production aircraft, commenced.[14][24] In February 2017, it was reported that the LAR01 has entered the final stage of ground testing and would perform its first flight within the first half of the year. According to the company, it has been working closely with the Polish civil aviation authority on tests of the onboard systems, including the final tests of the aircraft's detachable wing and cabin pressurisation system.[4] In June 2018, ground testing was completed before a maiden flight that was anticipated at that time for July 2018. The first 50–100 hours of flight testing was forecast to be carried out at the Zielona Góra Airport in western Poland before a transfer to Copernicus Airport Wrocław. At that time the company anticipated that the Polish Civil Aviation Authority S-1 experimental certification would be granted after 150 hours of flight testing, all completed within 12 months, before 10 local deliveries, and before full EASA CS-23 type certification, which would follow within 18 and 24 months. Customer orders were expected to be accepted starting in 2019. The aircraft is intended to be exhibited in May 2019 at EBACE in Geneva and in July 2019 at EAA AirVenture Oshkosh.[25] In September 2018 the first flight had still not occurred and the company website stated, "The maiden flight depends on many factors, such as the weather, and it is difficult to set the exact date. We plan to hold a public demonstration flight only after completing the first test flights."[26] The prototype, registered SP-YLE, first flew on 5 April 2019 from Zielona Gora Babimost Airport.[27] By February 2020, the initial prototype had logged 60 hours ands the production-conforming test aircraft was prepared for a maiden flight in early April. The company had received 50 orders, mostly from owner-flyers. Polish S-1 experimental certification was expected in the fourth quarter, after 200 hours of flight testing, with delivery of the first aircraft forecast for 2021, before applying for EASA CS-23 certification sometime after that. The flight testing program was planned to include system tests on the Williams FJ33 engine, the retractable landing gear, hydraulics, the Garmin G600TXi flightdeck, autopilot and autothrottle. The prototype reached 25,000 ft in under three minutes and 30 seconds, and demonstrated a stall speed of 58 knots (107 km/h).[28] The Flaris LAR01 is a Polish five-seat very light jet, intended for general aviation use.[16][12] It is made largely of carbon fiber reinforced polymers and powered by a single turbojet engine – the production version of the LAR01 is to be powered by a single Williams FJ33-5A engine.[29][22] The LAR01 is intended to be affordable and accessible to individual private owners.[16] Proposed uses for it include air taxi operations, personal transport, emergency medical services and aerial surveillance, as well as its potential modification into an unmanned aerial vehicle (UAV).[13] The LAR01 has been optimised for use by private pilots. Where possible, the cockpit is deliberately designed to mimic that of a traditional car.[15] The designers intend to provide removable elliptical wings for the aircraft; this measure is to enable the type to be readily parked within typical garages; sections of the tailplane can be similarly detached for the same purpose.[30][16] Fuel is housed within a tank mounted on the fuselage, deliberately avoiding the use of the wings for fuel storage.[12] The LAR01 is also reported as being relatively easy to control.[15] Various features for safety and convenience are to be incorporated into the LAR01's design. Unlike many jet-powered aircraft, it is claimed to be readily capable of being operable from unpaved runways and grass strips.[13] For safety purposes, the LAR01 has been designed to use a ballistic rescue parachute system, one parachute being installed within the tail and the other within the nose, which is intended to assist in the safe recovery of the aircraft.[13][18] It can be equipped with various models of Garmin glass cockpits.[16] An electric de-icing system is also fitted.[12] The €1.8 million ($2 million) aircraft is forecast to have direct operating costs (fuel, maintenance and insurance) of $450 per hour and have a Garmin G600 TXi flight deck. It should cruise at 430 kn (796 km/h), have a range of 1,900 nmi (3,519 km) with a MTOW of 1,500 kg (3,300 lb), and will be able to take off and land on grass airstrips and short runways of less than 250 m (820 ft).[25][31] Data from Company[29][31][32][33][34][35]General characteristics Performance     Related lists</t>
  </si>
  <si>
    <t>//upload.wikimedia.org/wikipedia/en/thumb/d/d4/Flaris_LAR-1_publicity_photo-26.jpg/300px-Flaris_LAR-1_publicity_photo-26.jpg</t>
  </si>
  <si>
    <t>Very light jet</t>
  </si>
  <si>
    <t>https://en.wikipedia.org/Very light jet</t>
  </si>
  <si>
    <t>Metal-Master</t>
  </si>
  <si>
    <t>https://en.wikipedia.org/Metal-Master</t>
  </si>
  <si>
    <t>Under development[2]</t>
  </si>
  <si>
    <t>four passengers</t>
  </si>
  <si>
    <t>8.32 m (27 ft 4 in)</t>
  </si>
  <si>
    <t>2.43 m (8 ft 0 in)</t>
  </si>
  <si>
    <t>10.0 m2 (108 sq ft)</t>
  </si>
  <si>
    <t>1,850 kg (4,079 lb)</t>
  </si>
  <si>
    <t>1 × Williams FJ33-5A turbofan engine, 8.5 kN (1,900 lbf) thrust</t>
  </si>
  <si>
    <t>800 km/h (500 mph, 430 kn)</t>
  </si>
  <si>
    <t>30 m/s (5,900 ft/min)</t>
  </si>
  <si>
    <t>150 kg/m2 (31 lb/sq ft)</t>
  </si>
  <si>
    <t>8.68 m (28 ft 6 in)</t>
  </si>
  <si>
    <t>115 km/h (71 mph, 62 kn)</t>
  </si>
  <si>
    <t>3,500 km (2,200 mi, 1,900 nmi)</t>
  </si>
  <si>
    <t>9,449 m (31,000 ft)</t>
  </si>
  <si>
    <t>Rafał Ładziński, Andrzej Frydrychewicz[1]</t>
  </si>
  <si>
    <t>Mach 0.72</t>
  </si>
  <si>
    <t>122 cm (48 in)[36]</t>
  </si>
  <si>
    <t>Berliner-Joyce XF3J</t>
  </si>
  <si>
    <t>The Berliner-Joyce XF3J was an American biplane fighter, built by Berliner-Joyce Aircraft. It was submitted to the United States Navy for their request for a single-seat carrier-based fighter powered by a 625 hp (466 kW) Wright R-1510-26 engine.[1] The XF3J had elliptical fabric covered wings which gave it the appearance of a butterfly. The fuselage was semimonocoque metallic with an aluminum skin. The undercarriage was fixed, and would be the last biplane fighter without a retractable gear that the U.S. Navy would test. The aircraft performed satisfactorily in testing, but more promising aircraft had been developed and, in September 1935, the program was terminated.[1] Data from [1]General characteristics Performance Armament</t>
  </si>
  <si>
    <t>//upload.wikimedia.org/wikipedia/commons/thumb/e/ef/Berliner-Joyce_XF3J-1.jpg/300px-Berliner-Joyce_XF3J-1.jpg</t>
  </si>
  <si>
    <t>Berliner-Joyce Aircraft</t>
  </si>
  <si>
    <t>https://en.wikipedia.org/Berliner-Joyce Aircraft</t>
  </si>
  <si>
    <t>22 ft 11 in (6.99 m)</t>
  </si>
  <si>
    <t>10 ft 9 in (3.28 m)</t>
  </si>
  <si>
    <t>240 sq ft (22.3 m2)</t>
  </si>
  <si>
    <t>2,717 lb (1,232 kg)</t>
  </si>
  <si>
    <t>4,016 lb (1,822 kg)</t>
  </si>
  <si>
    <t>1 × Wright XR-1510-26 , 625 hp (466 kW)</t>
  </si>
  <si>
    <t>1,400 mi (2,253 km, 1,200 nmi)</t>
  </si>
  <si>
    <t>24,500 ft (7,468 m)</t>
  </si>
  <si>
    <t>23 January 1934[1]</t>
  </si>
  <si>
    <t>209 mph (336 km/h, 182 kn)</t>
  </si>
  <si>
    <t>United States Navy</t>
  </si>
  <si>
    <t>https://en.wikipedia.org/United States Navy</t>
  </si>
  <si>
    <t>Whisper Aircraft Whisper</t>
  </si>
  <si>
    <t>The Whisper Aircraft Whisper motor glider is a South African two-seat kit aircraft that was designed by Russell Phillips in 2004 and is produced by Whisper Aircraft of Port Elizabeth. Major assemblies are completed at the factory with assembly intended to be completed by the owner. It is powered by a four-cylinder Limbach L2000 aero engine with options for the 85 hp (63 kW) Jabiru 2200 and 80 hp (60 kW) Rotax 912 available.[1][2] The design was developed into the Whisper X350 Generation II kit aircraft in 2015.[1] Data from Whisper Aircraft[3]General characteristics Performance</t>
  </si>
  <si>
    <t>//upload.wikimedia.org/wikipedia/commons/thumb/4/40/Whisper_Whisper_ZU-GAC_%2815190844705%29.jpg/300px-Whisper_Whisper_ZU-GAC_%2815190844705%29.jpg</t>
  </si>
  <si>
    <t>https://en.wikipedia.org/South Africa</t>
  </si>
  <si>
    <t>Whisper Aircraft</t>
  </si>
  <si>
    <t>https://en.wikipedia.org/Whisper Aircraft</t>
  </si>
  <si>
    <t>30 (2020)[1]</t>
  </si>
  <si>
    <t>1 pilot</t>
  </si>
  <si>
    <t>7.16 m (23 ft 6 in)</t>
  </si>
  <si>
    <t>15 m2 (160 sq ft)</t>
  </si>
  <si>
    <t>500 kg (1,102 lb)</t>
  </si>
  <si>
    <t>775 kg (1,709 lb)</t>
  </si>
  <si>
    <t>85 L</t>
  </si>
  <si>
    <t>1 × Limbach L2000 ,four-cylinder, four-stroke aircraft engine, 56 kW (75 hp)</t>
  </si>
  <si>
    <t>3.6 m/s (710 ft/min)</t>
  </si>
  <si>
    <t>2-bladed Hoffmann, 3 position or fixed pitch</t>
  </si>
  <si>
    <t>51.67 kg/m2 (10.58 lb/sq ft)</t>
  </si>
  <si>
    <t>16 m (52 ft 6 in)</t>
  </si>
  <si>
    <t>Russell Phillips</t>
  </si>
  <si>
    <t>Whisper X350 Generation II</t>
  </si>
  <si>
    <t>https://en.wikipedia.org/Whisper X350 Generation II</t>
  </si>
  <si>
    <t>0.9 m/s (180 ft/min)</t>
  </si>
  <si>
    <t>Wingco Atlantica</t>
  </si>
  <si>
    <t>Atlantica is a blended wing body aircraft being developed by Wingco,[2] an aircraft manufacturer. Wingco's website states that the aircraft is based on technology developed before World War II. The aircraft features five seats and a top speed of 240 knots. The aircraft is unique in that it is made from five different sections welded together.[3] During testing at Orlando Melbourne International Airport in Florida in January 2003, a prototype aircraft was involved in an accident. The pilot told authorities that he had been carrying out a high speed taxi to test the aircraft, and had not intended to become airborne, however the plane lifted off the tarmac and impacted with it again seconds later. The pilot suffered minor injuries in the accident. A report by the NTSB (National Transportation Safety Board) found that:  During the high speed taxi, the pilot raised the nose of the airplane and it became airborne. The airplane climbed with a high angle of attack to approximately 100 feet. The pilot then reduced the power to idle and lowered the airplane nose. The airplane collided with the ground as the pilot attempted to recover from the inadvertent flight. During the collision with the ground the ballistic recovery parachute was deployed, and the airplane was dragged 200 feet off the runway.[4] The investigators concluded that pilot error was to blame, specifically "the National Transportation Safety Board determines the probable cause of this accident [to be] the pilot's inadvertent liftoff and his failure to maintain airspeed which resulted in a stall."  This article on an aircraft of the 2000s is a stub. You can help Wikipedia by expanding it.</t>
  </si>
  <si>
    <t>Personal aircraft</t>
  </si>
  <si>
    <t>Wingco</t>
  </si>
  <si>
    <t>https://en.wikipedia.org/Wingco</t>
  </si>
  <si>
    <t>prototypes only</t>
  </si>
  <si>
    <t>Alan Shaw[1]</t>
  </si>
  <si>
    <t>World Aircraft Spirit</t>
  </si>
  <si>
    <t>The World Aircraft Spirit is a Colombian/American amateur-built aircraft, designed by Max Tedesco and produced by World Aircraft Company. The aircraft was publicly introduced at AirVenture in 2011 and production is expected to commence in 2014. It is supplied as a kit for amateur construction or as a complete ready-to-fly aircraft.[1][2][3] The Spirit features a strut-braced high-wing, a two-seats-in-side-by-side configuration enclosed cockpit that is 48 in (122 cm) wide, fixed tricycle landing gear and a single engine in tractor configuration.[1] The aircraft is made from aluminum sheet. Its 32.9 ft (10.0 m) span wing has an area of 132 sq ft (12.3 m2) and mounts flaps. The wing is supported by "V" struts and jury struts. The aircraft's recommended engine power range is 100 to 130 hp (75 to 97 kW) and standard engines used include the 100 hp (75 kW) Rotax 912ULS, 100 hp (75 kW) Continental O-200 and the  100 hp (75 kW) Lycoming IO-233 four-stroke powerplants.[1][2] The aircraft has a design maximum gross weight of 1,653 lb (750 kg), but is restricted to 1,320 lb (599 kg) if flown in the US light-sport aircraft category.[4] The Spirit airframe is constructed in Colombia and then shipped to World Aircraft's facility at Henry County Airport in Paris, Tennessee for final assembly and paint. Kits shipped are fully assembled and then disassembled for customer delivery and may be shipped painted as well. Construction time from the supplied kit is estimated as 110 hours.[1][2][4] As of October 2012, the design appears on the Federal Aviation Administration's list of approved special light-sport aircraft.[5] By December 2011 55 examples had been completed and flown.[1] Data from Kitplanes, World Aircraft Company and AVweb[1][3][4]General characteristics Performance Avionics</t>
  </si>
  <si>
    <t>//upload.wikimedia.org/wikipedia/commons/thumb/4/4f/WAC-Spirit.jpg/300px-WAC-Spirit.jpg</t>
  </si>
  <si>
    <t>Amateur-built aircraftLight-sport aircraft</t>
  </si>
  <si>
    <t>https://en.wikipedia.org/Amateur-built aircraftLight-sport aircraft</t>
  </si>
  <si>
    <t>Colombia/United States</t>
  </si>
  <si>
    <t>https://en.wikipedia.org/Colombia/United States</t>
  </si>
  <si>
    <t>World Aircraft Company</t>
  </si>
  <si>
    <t>https://en.wikipedia.org/World Aircraft Company</t>
  </si>
  <si>
    <t>Production anticipated for 2014</t>
  </si>
  <si>
    <t>55 (2011)</t>
  </si>
  <si>
    <t>22 ft 3 in (6.78 m)</t>
  </si>
  <si>
    <t>132 sq ft (12.3 m2)</t>
  </si>
  <si>
    <t>728 lb (330 kg)</t>
  </si>
  <si>
    <t>1,320 lb (599 kg) light-sport aircraft version, 1,653 lb (750 kg) for other versions</t>
  </si>
  <si>
    <t>24 U.S. gallons (91 L; 20 imp gal)</t>
  </si>
  <si>
    <t>1 × Rotax 912ULS four cylinder, liquid and air-cooled, four stroke aircraft engine, 100 hp (75 kW)</t>
  </si>
  <si>
    <t>115 mph (185 km/h, 100 kn)</t>
  </si>
  <si>
    <t>10.0 lb/sq ft (49 kg/m2)</t>
  </si>
  <si>
    <t>World Aircraft Vision</t>
  </si>
  <si>
    <t>35 mph (56 km/h, 30 kn) flaps down</t>
  </si>
  <si>
    <t>143 mph (230 km/h, 124 kn)</t>
  </si>
  <si>
    <t>600 mi (970 km, 520 nmi)</t>
  </si>
  <si>
    <t>Max Tedesco</t>
  </si>
  <si>
    <t>https://en.wikipedia.org/World Aircraft Vision</t>
  </si>
  <si>
    <t>The World Aircraft Vision, also called the Sentinel, is an American STOL amateur-built aircraft, produced by the World Aircraft Company. The aircraft was publicly introduced at Sun 'n Fun in 2012 and production is expected to commence in 2014. It is supplied as a kit for amateur construction or as a complete ready-to-fly aircraft.[1][2] A development of the World Aircraft Spirit, the Vision features a strut-braced high-wing, a two-seats-in-side-by-side configuration enclosed cockpit that is 48.5 in (123 cm) wide, fixed tricycle landing gear and a single engine in tractor configuration. It also has large clear plastic doors and an enlarged front windshield to enhance visibility.[1][3] The aircraft is made from aluminum sheet. Its 31.4 ft (9.6 m) span wing has an area of 132 sq ft (12.3 m2) and mounts flaps. The wing is supported by "V" struts and jury struts. The aircraft's recommended engine is the 100 hp (75 kW) Rotax 912ULS four-stroke powerplant. The tricycle landing gear is strengthened for rough field operations and includes an adjustable nose strut shock absorber. Electric rudder trim is standard.[1][3] The aircraft has a design maximum gross weight of 1,653 lb (750 kg), but is restricted to 1,320 lb (599 kg) if flown in the US light-sport aircraft category.[3] Vision kits are fully assembled at the factory and then disassembled for customer delivery and may be shipped painted as well.[4] As of October 2012, the design appears on the Federal Aviation Administration's list of approved special light-sport aircraft under the name Sentinel.[5] By November 2012 two examples had been registered in the United States with the Federal Aviation Administration under the Sentinel name.[6] Data from Kitplanes and World Aircraft Company[1][3]General characteristics Performance</t>
  </si>
  <si>
    <t>//upload.wikimedia.org/wikipedia/commons/thumb/e/e9/WAC-Vision.jpg/300px-WAC-Vision.jpg</t>
  </si>
  <si>
    <t>Production anticipated in 2014</t>
  </si>
  <si>
    <t>2 (2012)</t>
  </si>
  <si>
    <t>131.86 sq ft (12.250 m2)</t>
  </si>
  <si>
    <t>28 U.S. gallons (110 L; 23 imp gal)</t>
  </si>
  <si>
    <t>31 ft 3 in (9.53 m)</t>
  </si>
  <si>
    <t>27 mph (43 km/h, 23 kn) flaps down</t>
  </si>
  <si>
    <t>625 mi (1,006 km, 543 nmi) with no reserve</t>
  </si>
  <si>
    <t>https://en.wikipedia.org/World Aircraft Spirit</t>
  </si>
  <si>
    <t>Thulin L</t>
  </si>
  <si>
    <t>The Thulin L was a Swedish reconnaissance plane built in the late 1910s. The Thulin L was a two-seat biplane derived from the unsuccessful Thulin E. It differed from the latter in that the wing surface was increased and the float location was made easier. Four production Thulin L floatplanes were ordered July 4, 1916, and they were delivered from November 1916 to March 1917. Data from [1]General characteristics Performance     Related lists</t>
  </si>
  <si>
    <t>7.5 m (24 ft 7 in)</t>
  </si>
  <si>
    <t>3.52 m (11 ft 7 in)</t>
  </si>
  <si>
    <t>36.5 m2 (393 sq ft)</t>
  </si>
  <si>
    <t>965 kg (2,127 lb)</t>
  </si>
  <si>
    <t>1 × Thulin A 9-cylinder air-cooled rotary piston engine, 67 kW (90 hp)</t>
  </si>
  <si>
    <t>95 km/h (59 mph, 51 kn)</t>
  </si>
  <si>
    <t>Thulin LA</t>
  </si>
  <si>
    <t>11.6 m (38 ft 1 in)</t>
  </si>
  <si>
    <t>https://en.wikipedia.org/Thulin LA</t>
  </si>
  <si>
    <t>Whitcraft Model 165</t>
  </si>
  <si>
    <t>The Whitcraft Model 165 was an American single-seat homebuilt sporting aircraft designed by Mickey Whittenburg and built by him over a ten-year period, first flying in 1965.[1] The Model 165 is a strut-braced, low-wing monoplane with a welded steel-tube fuselage with a fabric covering.[1] The wing is a conventional light alloy structure with a fabric covering with vee-bracing strut on each side, ailerons but no flaps.[1] The aircraft is powered by a 65 hp (48 kW) Continental A-65 air-cooled engine driving a two-bladed fixed-pitch tractor propeller.[1] The pilot has an enclosed cockpit with a rearward-sliding transparent canopy, the landing gear is a fixed tailwheel type.[1] Data from Jane's All the World's Aircraft 1973-74[1]General characteristics Performance</t>
  </si>
  <si>
    <t>Single-seat homebuilt sporting aircraft</t>
  </si>
  <si>
    <t>https://en.wikipedia.org/Single-seat homebuilt sporting aircraft</t>
  </si>
  <si>
    <t>Whitcraft Corporation</t>
  </si>
  <si>
    <t>https://en.wikipedia.org/Whitcraft Corporation</t>
  </si>
  <si>
    <t>5 ft 6 in (1.68 m)</t>
  </si>
  <si>
    <t>88 sq ft (8.18 m2)</t>
  </si>
  <si>
    <t>606 lb (274 kg)</t>
  </si>
  <si>
    <t>930 lb (421 kg)</t>
  </si>
  <si>
    <t>1 × Continental A-65 four-cylinder, horizontally opposed and air-cooled piston , 65 hp (48 kW)</t>
  </si>
  <si>
    <t>100 mph (161 km/h, 87 kn)</t>
  </si>
  <si>
    <t>23 ft 8 in (7.21 m)</t>
  </si>
  <si>
    <t>250 mi (402 km, 220 nmi)</t>
  </si>
  <si>
    <t>9,000 ft (2,745 m)</t>
  </si>
  <si>
    <t>Mickey Whittenburg</t>
  </si>
  <si>
    <t>120 mph (192 km/h, 100 kn)</t>
  </si>
  <si>
    <t>Windward Performance DuckHawk</t>
  </si>
  <si>
    <t>The Windward Performance DuckHawk is an American mid-wing, single-seat, 15-metre class glider, that was designed and produced by Windward Performance of Bend, Oregon.[1] Since 2016 the aircraft has been no longer advertised as available by the manufacturer.[2] The DuckHawk is a development of the Windward Performance SparrowHawk and is intended as a higher performance glider than its predecessor, with very high structural limits and Vne. The DuckHawk has less than 10% parts commonality with the SparrowHawk. It features a cantilever wing, a single-seat enclosed cockpit under a bubble canopy and retractable monowheel gear.[1][3] The aircraft is made from preimpregnated carbon fiber. Its 15 m (49.2 ft) span wing employs a Greg Cole-designed airfoil, has an area of 80 sq ft (7.4 m2) and an aspect ratio of 30:1.[1][4] By December 2016 four examples had been registered in the United States with the Federal Aviation Administration, including three "V" models and one "E" model.[5] Data from Bayerl and Windward Performance[1][3][7]General characteristics Performance  Related development   Related lists</t>
  </si>
  <si>
    <t>Windward Performance</t>
  </si>
  <si>
    <t>https://en.wikipedia.org/Windward Performance</t>
  </si>
  <si>
    <t>Production completed (2016)</t>
  </si>
  <si>
    <t>20.6 ft (6.3 m)</t>
  </si>
  <si>
    <t>3 ft 8 in (1.12 m)</t>
  </si>
  <si>
    <t>80 sq ft (7.4 m2)</t>
  </si>
  <si>
    <t>960 lb (435 kg)</t>
  </si>
  <si>
    <t>12 lb/sq ft (59 kg/m2)</t>
  </si>
  <si>
    <t>49.2 ft (15.0 m)</t>
  </si>
  <si>
    <t>193 mph (311 km/h, 168 kn)</t>
  </si>
  <si>
    <t>Windward Performance SparrowHawk</t>
  </si>
  <si>
    <t>https://en.wikipedia.org/Windward Performance SparrowHawk</t>
  </si>
  <si>
    <t>Greg Cole-designed</t>
  </si>
  <si>
    <t>+7/-5g</t>
  </si>
  <si>
    <t>Dabrowski D.1 Cykacz</t>
  </si>
  <si>
    <t>The Dąbrowski D.1 Cykacz (Ticktock) was an unusual, small, low-powered, single-seat biplane, intended to provide wider access to flying. Though it was exceptionally aerodynamically clean, it was under-powered and had limited range. Only one was built. Jerzy Dąbrowski's first aircraft design, produced early in 1924 while he was a student at the Warsaw Technical University, was an unusually clean biplane with an entirely wooden structure. Its one-piece wings were built around two spars and had plywood covered leading edges, with fabric covering elsewhere.[1]  The leading edges were straight and unswept out to semi-elliptical tips and the inboard part of the wings had parallel chord inboard but tapered outboard. These outboard regions carried tapered ailerons, though only on the upper wing;[2] ailerons apart, the upper and lower wings were identical. The great majority of biplanes have had upper and lower wings braced together with interplane struts but the Cykacz had none; instead, the fairly thick section wings were cantilevers. The upper wing was supported high over the fuselage on a pair of outward-leaning N-struts with the forward V faired in and the centre of the lower wing was attached to the bottom of the fuselage. There was significant stagger.[1][2] The Cykacz was powered by a 12 kW (16 hp) Blackburne Tomtit, an air-cooled V-twin engine. The whole fuselage was a smooth, oval section semi-monocoque structure with wooden frames and ply skin and the engine was in its forward part, though with its cylinders exposed for cooling. The small diameter propeller, designed by Dabrovsky, had a dished spinner that blended into the fuselage's lines. The biplane's single, open cockpit was under the upper trailing edge where there was a cut-out to increase the pilot's field of view.[1] The Cykacz had a conventional empennage with a fin that was integral with the fuselage and ply covered. Its tailplane was, like the wings, in a single piece  with a ply-covered leading edge and fabric elsewhere. It was mounted on the top of the fuselage and, together with its separated elevators, was roughly elliptical in plan. Its rudder, which was rounded, low but broad, extended down to the keel. These control surfaces were wooden with fabric covering.[1][2] Its undercarriage was fixed and conventional, with a track of 1.03 m (40.6 in). A single axle was held on two V-struts from the lower fuselage, with rubber chord shock absorbers. The V-struts had ply fairings and the axle was enclosed within a small lift-giving aerofoil.[1] When first tested, the Cykacz was reluctant to take-off, partly because the Tomtit engine was unreliable and had to be kept below the high output shaft speeds for which the propeller was designed. Babinski took it on its first flight on 26 February 1925. Once off the ground it proved responsive and easy to fly and to land, which it did at low speeds and in short distances. A series of short flights led to some empennage modifications and the fitting of a better-matched propeller enabled the Cykacz to log a total of about forty  rather short flights. Its engine remained unreliable and the biplane was both underpowered in flight and of short range. It appeared in an exhibition at the Warsaw Technical University in August 1925 but by 1926 Dąbrowski had abandoned it and was working on a new design.[1] Data from Cynk (1971) p.115[1] except where noted.General characteristics Performance</t>
  </si>
  <si>
    <t>//upload.wikimedia.org/wikipedia/commons/thumb/3/38/D-1_Cykacz.png/300px-D-1_Cykacz.png</t>
  </si>
  <si>
    <t>3.7 m (12 ft 2 in)</t>
  </si>
  <si>
    <t>1.65 m (5 ft 5 in)</t>
  </si>
  <si>
    <t>8.2 m2 (88 sq ft)</t>
  </si>
  <si>
    <t>227 kg (500 lb)</t>
  </si>
  <si>
    <t>11 l (2.4 imp gal; 2.9 US gal)</t>
  </si>
  <si>
    <t>1 × Blackburne Tomtit air-cooled V-twin, 12 kW (16 hp)   at 2,400 rpm and 18 kW (24 hp) at 3,600 rpm.[2]</t>
  </si>
  <si>
    <t>2-bladed designed by Jerzy Dabrowski, 1.35 m (4 ft 5 in) diameter wooden</t>
  </si>
  <si>
    <t>5 m (16 ft 5 in)</t>
  </si>
  <si>
    <t>Jerzy Dąbrowski</t>
  </si>
  <si>
    <t>https://en.wikipedia.org/Jerzy Dąbrowski</t>
  </si>
  <si>
    <t>100 km/h (62 mph, 54 kn) approximately</t>
  </si>
  <si>
    <t>10–15 m (33–49 ft)</t>
  </si>
  <si>
    <t>about 40 mph (64 km/h)</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</si>
</sst>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mmmm yyyy"/>
    <numFmt numFmtId="165" formatCode="d mmmm yyyy"/>
    <numFmt numFmtId="166" formatCode="mmmm d, yyyy"/>
    <numFmt numFmtId="167" formatCode="m-d"/>
    <numFmt numFmtId="168" formatCode="mmmm d yyyy"/>
  </numFmts>
  <fonts count="3">
    <font>
      <sz val="10.0"/>
      <color rgb="FF000000"/>
      <name val="Arial"/>
      <scheme val="minor"/>
    </font>
    <font>
      <color theme="1"/>
      <name val="Arial"/>
      <scheme val="minor"/>
    </font>
    <font>
      <u/>
      <color rgb="FF0000FF"/>
    </font>
  </fonts>
  <fills count="2">
    <fill>
      <patternFill patternType="none"/>
    </fill>
    <fill>
      <patternFill patternType="lightGray"/>
    </fill>
  </fills>
  <borders count="1">
    <border/>
  </borders>
  <cellStyleXfs count="1">
    <xf borderId="0" fillId="0" fontId="0" numFmtId="0" applyAlignment="1" applyFont="1"/>
  </cellStyleXfs>
  <cellXfs count="8">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1" numFmtId="164" xfId="0" applyAlignment="1" applyFont="1" applyNumberFormat="1">
      <alignment readingOrder="0"/>
    </xf>
    <xf borderId="0" fillId="0" fontId="1" numFmtId="165" xfId="0" applyAlignment="1" applyFont="1" applyNumberFormat="1">
      <alignment readingOrder="0"/>
    </xf>
    <xf borderId="0" fillId="0" fontId="1" numFmtId="166" xfId="0" applyAlignment="1" applyFont="1" applyNumberFormat="1">
      <alignment readingOrder="0"/>
    </xf>
    <xf borderId="0" fillId="0" fontId="1" numFmtId="167" xfId="0" applyAlignment="1" applyFont="1" applyNumberFormat="1">
      <alignment readingOrder="0"/>
    </xf>
    <xf borderId="0" fillId="0" fontId="1" numFmtId="168" xfId="0" applyAlignment="1" applyFont="1" applyNumberForma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en.wikipedia.org/Bloch" TargetMode="External"/><Relationship Id="rId42" Type="http://schemas.openxmlformats.org/officeDocument/2006/relationships/hyperlink" Target="https://en.wikipedia.org/Boeing" TargetMode="External"/><Relationship Id="rId41" Type="http://schemas.openxmlformats.org/officeDocument/2006/relationships/hyperlink" Target="https://en.wikipedia.org/Mid-1932" TargetMode="External"/><Relationship Id="rId44" Type="http://schemas.openxmlformats.org/officeDocument/2006/relationships/hyperlink" Target="https://en.wikipedia.org/Boeing" TargetMode="External"/><Relationship Id="rId43" Type="http://schemas.openxmlformats.org/officeDocument/2006/relationships/hyperlink" Target="https://en.wikipedia.org/France" TargetMode="External"/><Relationship Id="rId46" Type="http://schemas.openxmlformats.org/officeDocument/2006/relationships/hyperlink" Target="https://en.wikipedia.org/France" TargetMode="External"/><Relationship Id="rId45" Type="http://schemas.openxmlformats.org/officeDocument/2006/relationships/hyperlink" Target="https://en.wikipedia.org/Boeing" TargetMode="External"/><Relationship Id="rId107" Type="http://schemas.openxmlformats.org/officeDocument/2006/relationships/hyperlink" Target="https://en.wikipedia.org/THK" TargetMode="External"/><Relationship Id="rId106" Type="http://schemas.openxmlformats.org/officeDocument/2006/relationships/hyperlink" Target="https://en.wikipedia.org/Sweden" TargetMode="External"/><Relationship Id="rId105" Type="http://schemas.openxmlformats.org/officeDocument/2006/relationships/hyperlink" Target="https://en.wikipedia.org/Taiwan" TargetMode="External"/><Relationship Id="rId104" Type="http://schemas.openxmlformats.org/officeDocument/2006/relationships/hyperlink" Target="https://en.wikipedia.org/Gyroplane" TargetMode="External"/><Relationship Id="rId109" Type="http://schemas.openxmlformats.org/officeDocument/2006/relationships/hyperlink" Target="https://en.wikipedia.org/Trainer" TargetMode="External"/><Relationship Id="rId108" Type="http://schemas.openxmlformats.org/officeDocument/2006/relationships/hyperlink" Target="https://en.wikipedia.org/America" TargetMode="External"/><Relationship Id="rId48" Type="http://schemas.openxmlformats.org/officeDocument/2006/relationships/hyperlink" Target="https://en.wikipedia.org/Boeing" TargetMode="External"/><Relationship Id="rId47" Type="http://schemas.openxmlformats.org/officeDocument/2006/relationships/hyperlink" Target="https://en.wikipedia.org/1908" TargetMode="External"/><Relationship Id="rId49" Type="http://schemas.openxmlformats.org/officeDocument/2006/relationships/hyperlink" Target="https://en.wikipedia.org/Vickers" TargetMode="External"/><Relationship Id="rId103" Type="http://schemas.openxmlformats.org/officeDocument/2006/relationships/hyperlink" Target="https://en.wikipedia.org/Canada" TargetMode="External"/><Relationship Id="rId102" Type="http://schemas.openxmlformats.org/officeDocument/2006/relationships/hyperlink" Target="https://en.wikipedia.org/America" TargetMode="External"/><Relationship Id="rId101" Type="http://schemas.openxmlformats.org/officeDocument/2006/relationships/hyperlink" Target="https://en.wikipedia.org/Trainer" TargetMode="External"/><Relationship Id="rId100" Type="http://schemas.openxmlformats.org/officeDocument/2006/relationships/hyperlink" Target="https://en.wikipedia.org/Autogyro" TargetMode="External"/><Relationship Id="rId31" Type="http://schemas.openxmlformats.org/officeDocument/2006/relationships/hyperlink" Target="https://en.wikipedia.org/Japan" TargetMode="External"/><Relationship Id="rId30" Type="http://schemas.openxmlformats.org/officeDocument/2006/relationships/hyperlink" Target="https://en.wikipedia.org/France" TargetMode="External"/><Relationship Id="rId33" Type="http://schemas.openxmlformats.org/officeDocument/2006/relationships/hyperlink" Target="https://en.wikipedia.org/Poland" TargetMode="External"/><Relationship Id="rId32" Type="http://schemas.openxmlformats.org/officeDocument/2006/relationships/hyperlink" Target="https://en.wikipedia.org/France" TargetMode="External"/><Relationship Id="rId35" Type="http://schemas.openxmlformats.org/officeDocument/2006/relationships/hyperlink" Target="https://en.wikipedia.org/Fighter" TargetMode="External"/><Relationship Id="rId34" Type="http://schemas.openxmlformats.org/officeDocument/2006/relationships/hyperlink" Target="https://en.wikipedia.org/Italy" TargetMode="External"/><Relationship Id="rId37" Type="http://schemas.openxmlformats.org/officeDocument/2006/relationships/hyperlink" Target="https://en.wikipedia.org/VVS" TargetMode="External"/><Relationship Id="rId36" Type="http://schemas.openxmlformats.org/officeDocument/2006/relationships/hyperlink" Target="https://en.wikipedia.org/USSR" TargetMode="External"/><Relationship Id="rId39" Type="http://schemas.openxmlformats.org/officeDocument/2006/relationships/hyperlink" Target="https://en.wikipedia.org/1907" TargetMode="External"/><Relationship Id="rId38" Type="http://schemas.openxmlformats.org/officeDocument/2006/relationships/hyperlink" Target="https://en.wikipedia.org/France" TargetMode="External"/><Relationship Id="rId20" Type="http://schemas.openxmlformats.org/officeDocument/2006/relationships/hyperlink" Target="https://en.wikipedia.org/France" TargetMode="External"/><Relationship Id="rId22" Type="http://schemas.openxmlformats.org/officeDocument/2006/relationships/hyperlink" Target="https://en.wikipedia.org/Japan" TargetMode="External"/><Relationship Id="rId21" Type="http://schemas.openxmlformats.org/officeDocument/2006/relationships/hyperlink" Target="https://en.wikipedia.org/Bedecorp" TargetMode="External"/><Relationship Id="rId24" Type="http://schemas.openxmlformats.org/officeDocument/2006/relationships/hyperlink" Target="https://en.wikipedia.org/France" TargetMode="External"/><Relationship Id="rId23" Type="http://schemas.openxmlformats.org/officeDocument/2006/relationships/hyperlink" Target="https://en.wikipedia.org/Orenco" TargetMode="External"/><Relationship Id="rId128" Type="http://schemas.openxmlformats.org/officeDocument/2006/relationships/drawing" Target="../drawings/drawing1.xml"/><Relationship Id="rId127" Type="http://schemas.openxmlformats.org/officeDocument/2006/relationships/hyperlink" Target="https://en.wikipedia.org/Poland" TargetMode="External"/><Relationship Id="rId126" Type="http://schemas.openxmlformats.org/officeDocument/2006/relationships/hyperlink" Target="https://en.wikipedia.org/Glider" TargetMode="External"/><Relationship Id="rId26" Type="http://schemas.openxmlformats.org/officeDocument/2006/relationships/hyperlink" Target="https://en.wikipedia.org/Northrop" TargetMode="External"/><Relationship Id="rId121" Type="http://schemas.openxmlformats.org/officeDocument/2006/relationships/hyperlink" Target="https://en.wikipedia.org/Zenair" TargetMode="External"/><Relationship Id="rId25" Type="http://schemas.openxmlformats.org/officeDocument/2006/relationships/hyperlink" Target="https://en.wikipedia.org/Nieuport" TargetMode="External"/><Relationship Id="rId120" Type="http://schemas.openxmlformats.org/officeDocument/2006/relationships/hyperlink" Target="https://en.wikipedia.org/Canada" TargetMode="External"/><Relationship Id="rId28" Type="http://schemas.openxmlformats.org/officeDocument/2006/relationships/hyperlink" Target="https://en.wikipedia.org/Canada" TargetMode="External"/><Relationship Id="rId27" Type="http://schemas.openxmlformats.org/officeDocument/2006/relationships/hyperlink" Target="https://en.wikipedia.org/NASA" TargetMode="External"/><Relationship Id="rId125" Type="http://schemas.openxmlformats.org/officeDocument/2006/relationships/hyperlink" Target="https://en.wikipedia.org/Wingco" TargetMode="External"/><Relationship Id="rId29" Type="http://schemas.openxmlformats.org/officeDocument/2006/relationships/hyperlink" Target="https://en.wikipedia.org/AeroVironment" TargetMode="External"/><Relationship Id="rId124" Type="http://schemas.openxmlformats.org/officeDocument/2006/relationships/hyperlink" Target="https://en.wikipedia.org/Fighter" TargetMode="External"/><Relationship Id="rId123" Type="http://schemas.openxmlformats.org/officeDocument/2006/relationships/hyperlink" Target="https://en.wikipedia.org/Metal-Master" TargetMode="External"/><Relationship Id="rId122" Type="http://schemas.openxmlformats.org/officeDocument/2006/relationships/hyperlink" Target="https://en.wikipedia.org/Poland" TargetMode="External"/><Relationship Id="rId95" Type="http://schemas.openxmlformats.org/officeDocument/2006/relationships/hyperlink" Target="https://en.wikipedia.org/Boeing" TargetMode="External"/><Relationship Id="rId94" Type="http://schemas.openxmlformats.org/officeDocument/2006/relationships/hyperlink" Target="https://en.wikipedia.org/Supermarine" TargetMode="External"/><Relationship Id="rId97" Type="http://schemas.openxmlformats.org/officeDocument/2006/relationships/hyperlink" Target="https://en.wikipedia.org/Interceptor" TargetMode="External"/><Relationship Id="rId96" Type="http://schemas.openxmlformats.org/officeDocument/2006/relationships/hyperlink" Target="https://en.wikipedia.org/Paramotor" TargetMode="External"/><Relationship Id="rId11" Type="http://schemas.openxmlformats.org/officeDocument/2006/relationships/hyperlink" Target="https://en.wikipedia.org/British" TargetMode="External"/><Relationship Id="rId99" Type="http://schemas.openxmlformats.org/officeDocument/2006/relationships/hyperlink" Target="https://en.wikipedia.org/1945" TargetMode="External"/><Relationship Id="rId10" Type="http://schemas.openxmlformats.org/officeDocument/2006/relationships/hyperlink" Target="https://en.wikipedia.org/Bomber" TargetMode="External"/><Relationship Id="rId98" Type="http://schemas.openxmlformats.org/officeDocument/2006/relationships/hyperlink" Target="https://en.wikipedia.org/Prototype" TargetMode="External"/><Relationship Id="rId13" Type="http://schemas.openxmlformats.org/officeDocument/2006/relationships/hyperlink" Target="https://en.wikipedia.org/1974" TargetMode="External"/><Relationship Id="rId12" Type="http://schemas.openxmlformats.org/officeDocument/2006/relationships/hyperlink" Target="https://en.wikipedia.org/Beardmore" TargetMode="External"/><Relationship Id="rId91" Type="http://schemas.openxmlformats.org/officeDocument/2006/relationships/hyperlink" Target="https://en.wikipedia.org/D.338" TargetMode="External"/><Relationship Id="rId90" Type="http://schemas.openxmlformats.org/officeDocument/2006/relationships/hyperlink" Target="https://en.wikipedia.org/Dewoitine" TargetMode="External"/><Relationship Id="rId93" Type="http://schemas.openxmlformats.org/officeDocument/2006/relationships/hyperlink" Target="https://en.wikipedia.org/Supermarine" TargetMode="External"/><Relationship Id="rId92" Type="http://schemas.openxmlformats.org/officeDocument/2006/relationships/hyperlink" Target="https://en.wikipedia.org/Supermarine" TargetMode="External"/><Relationship Id="rId118" Type="http://schemas.openxmlformats.org/officeDocument/2006/relationships/hyperlink" Target="https://en.wikipedia.org/Homebuilt" TargetMode="External"/><Relationship Id="rId117" Type="http://schemas.openxmlformats.org/officeDocument/2006/relationships/hyperlink" Target="https://en.wikipedia.org/Poland" TargetMode="External"/><Relationship Id="rId116" Type="http://schemas.openxmlformats.org/officeDocument/2006/relationships/hyperlink" Target="https://en.wikipedia.org/Zenair" TargetMode="External"/><Relationship Id="rId115" Type="http://schemas.openxmlformats.org/officeDocument/2006/relationships/hyperlink" Target="https://en.wikipedia.org/Canada" TargetMode="External"/><Relationship Id="rId119" Type="http://schemas.openxmlformats.org/officeDocument/2006/relationships/hyperlink" Target="https://en.wikipedia.org/China" TargetMode="External"/><Relationship Id="rId15" Type="http://schemas.openxmlformats.org/officeDocument/2006/relationships/hyperlink" Target="https://en.wikipedia.org/Samolot" TargetMode="External"/><Relationship Id="rId110" Type="http://schemas.openxmlformats.org/officeDocument/2006/relationships/hyperlink" Target="https://en.wikipedia.org/Supermarine" TargetMode="External"/><Relationship Id="rId14" Type="http://schemas.openxmlformats.org/officeDocument/2006/relationships/hyperlink" Target="https://en.wikipedia.org/Samolot" TargetMode="External"/><Relationship Id="rId17" Type="http://schemas.openxmlformats.org/officeDocument/2006/relationships/hyperlink" Target="https://en.wikipedia.org/Antoinette" TargetMode="External"/><Relationship Id="rId16" Type="http://schemas.openxmlformats.org/officeDocument/2006/relationships/hyperlink" Target="https://en.wikipedia.org/Beechcraft" TargetMode="External"/><Relationship Id="rId19" Type="http://schemas.openxmlformats.org/officeDocument/2006/relationships/hyperlink" Target="https://en.wikipedia.org/Beechcraft" TargetMode="External"/><Relationship Id="rId114" Type="http://schemas.openxmlformats.org/officeDocument/2006/relationships/hyperlink" Target="https://en.wikipedia.org/Japan" TargetMode="External"/><Relationship Id="rId18" Type="http://schemas.openxmlformats.org/officeDocument/2006/relationships/hyperlink" Target="https://en.wikipedia.org/Fighter" TargetMode="External"/><Relationship Id="rId113" Type="http://schemas.openxmlformats.org/officeDocument/2006/relationships/hyperlink" Target="https://en.wikipedia.org/Autogyro" TargetMode="External"/><Relationship Id="rId112" Type="http://schemas.openxmlformats.org/officeDocument/2006/relationships/hyperlink" Target="https://en.wikipedia.org/1927" TargetMode="External"/><Relationship Id="rId111" Type="http://schemas.openxmlformats.org/officeDocument/2006/relationships/hyperlink" Target="https://en.wikipedia.org/1926" TargetMode="External"/><Relationship Id="rId84" Type="http://schemas.openxmlformats.org/officeDocument/2006/relationships/hyperlink" Target="https://en.wikipedia.org/1921" TargetMode="External"/><Relationship Id="rId83" Type="http://schemas.openxmlformats.org/officeDocument/2006/relationships/hyperlink" Target="https://en.wikipedia.org/Breguet" TargetMode="External"/><Relationship Id="rId86" Type="http://schemas.openxmlformats.org/officeDocument/2006/relationships/hyperlink" Target="https://en.wikipedia.org/Brochet" TargetMode="External"/><Relationship Id="rId85" Type="http://schemas.openxmlformats.org/officeDocument/2006/relationships/hyperlink" Target="https://en.wikipedia.org/1926" TargetMode="External"/><Relationship Id="rId88" Type="http://schemas.openxmlformats.org/officeDocument/2006/relationships/hyperlink" Target="https://en.wikipedia.org/1927" TargetMode="External"/><Relationship Id="rId87" Type="http://schemas.openxmlformats.org/officeDocument/2006/relationships/hyperlink" Target="https://en.wikipedia.org/Potez" TargetMode="External"/><Relationship Id="rId89" Type="http://schemas.openxmlformats.org/officeDocument/2006/relationships/hyperlink" Target="https://en.wikipedia.org/Airliner" TargetMode="External"/><Relationship Id="rId80" Type="http://schemas.openxmlformats.org/officeDocument/2006/relationships/hyperlink" Target="https://en.wikipedia.org/1931" TargetMode="External"/><Relationship Id="rId82" Type="http://schemas.openxmlformats.org/officeDocument/2006/relationships/hyperlink" Target="https://en.wikipedia.org/Germany" TargetMode="External"/><Relationship Id="rId81" Type="http://schemas.openxmlformats.org/officeDocument/2006/relationships/hyperlink" Target="https://en.wikipedia.org/Sukhoi" TargetMode="External"/><Relationship Id="rId1" Type="http://schemas.openxmlformats.org/officeDocument/2006/relationships/hyperlink" Target="https://en.wikipedia.org/China" TargetMode="External"/><Relationship Id="rId2" Type="http://schemas.openxmlformats.org/officeDocument/2006/relationships/hyperlink" Target="https://en.wikipedia.org/America" TargetMode="External"/><Relationship Id="rId3" Type="http://schemas.openxmlformats.org/officeDocument/2006/relationships/hyperlink" Target="https://en.wikipedia.org/Australia" TargetMode="External"/><Relationship Id="rId4" Type="http://schemas.openxmlformats.org/officeDocument/2006/relationships/hyperlink" Target="https://en.wikipedia.org/America" TargetMode="External"/><Relationship Id="rId9" Type="http://schemas.openxmlformats.org/officeDocument/2006/relationships/hyperlink" Target="https://en.wikipedia.org/BD-1" TargetMode="External"/><Relationship Id="rId5" Type="http://schemas.openxmlformats.org/officeDocument/2006/relationships/hyperlink" Target="https://en.wikipedia.org/Glider" TargetMode="External"/><Relationship Id="rId6" Type="http://schemas.openxmlformats.org/officeDocument/2006/relationships/hyperlink" Target="https://en.wikipedia.org/Glider" TargetMode="External"/><Relationship Id="rId7" Type="http://schemas.openxmlformats.org/officeDocument/2006/relationships/hyperlink" Target="https://en.wikipedia.org/Sud-Est" TargetMode="External"/><Relationship Id="rId8" Type="http://schemas.openxmlformats.org/officeDocument/2006/relationships/hyperlink" Target="https://en.wikipedia.org/Supermarine" TargetMode="External"/><Relationship Id="rId73" Type="http://schemas.openxmlformats.org/officeDocument/2006/relationships/hyperlink" Target="https://en.wikipedia.org/Ling-Temco-Vought" TargetMode="External"/><Relationship Id="rId72" Type="http://schemas.openxmlformats.org/officeDocument/2006/relationships/hyperlink" Target="https://en.wikipedia.org/America" TargetMode="External"/><Relationship Id="rId75" Type="http://schemas.openxmlformats.org/officeDocument/2006/relationships/hyperlink" Target="https://en.wikipedia.org/1963" TargetMode="External"/><Relationship Id="rId74" Type="http://schemas.openxmlformats.org/officeDocument/2006/relationships/hyperlink" Target="https://en.wikipedia.org/1949" TargetMode="External"/><Relationship Id="rId77" Type="http://schemas.openxmlformats.org/officeDocument/2006/relationships/hyperlink" Target="https://en.wikipedia.org/Switzerland" TargetMode="External"/><Relationship Id="rId76" Type="http://schemas.openxmlformats.org/officeDocument/2006/relationships/hyperlink" Target="https://en.wikipedia.org/Breguet" TargetMode="External"/><Relationship Id="rId79" Type="http://schemas.openxmlformats.org/officeDocument/2006/relationships/hyperlink" Target="https://en.wikipedia.org/1928" TargetMode="External"/><Relationship Id="rId78" Type="http://schemas.openxmlformats.org/officeDocument/2006/relationships/hyperlink" Target="https://en.wikipedia.org/Breda" TargetMode="External"/><Relationship Id="rId71" Type="http://schemas.openxmlformats.org/officeDocument/2006/relationships/hyperlink" Target="https://en.wikipedia.org/Yugoslavia" TargetMode="External"/><Relationship Id="rId70" Type="http://schemas.openxmlformats.org/officeDocument/2006/relationships/hyperlink" Target="https://en.wikipedia.org/Netherlands" TargetMode="External"/><Relationship Id="rId62" Type="http://schemas.openxmlformats.org/officeDocument/2006/relationships/hyperlink" Target="https://en.wikipedia.org/MLD" TargetMode="External"/><Relationship Id="rId61" Type="http://schemas.openxmlformats.org/officeDocument/2006/relationships/hyperlink" Target="https://en.wikipedia.org/Netherlands" TargetMode="External"/><Relationship Id="rId64" Type="http://schemas.openxmlformats.org/officeDocument/2006/relationships/hyperlink" Target="https://en.wikipedia.org/America" TargetMode="External"/><Relationship Id="rId63" Type="http://schemas.openxmlformats.org/officeDocument/2006/relationships/hyperlink" Target="https://en.wikipedia.org/Aeronca" TargetMode="External"/><Relationship Id="rId66" Type="http://schemas.openxmlformats.org/officeDocument/2006/relationships/hyperlink" Target="https://en.wikipedia.org/France" TargetMode="External"/><Relationship Id="rId65" Type="http://schemas.openxmlformats.org/officeDocument/2006/relationships/hyperlink" Target="https://en.wikipedia.org/Switzerland" TargetMode="External"/><Relationship Id="rId68" Type="http://schemas.openxmlformats.org/officeDocument/2006/relationships/hyperlink" Target="https://en.wikipedia.org/Lockheed" TargetMode="External"/><Relationship Id="rId67" Type="http://schemas.openxmlformats.org/officeDocument/2006/relationships/hyperlink" Target="https://en.wikipedia.org/Lockheed" TargetMode="External"/><Relationship Id="rId60" Type="http://schemas.openxmlformats.org/officeDocument/2006/relationships/hyperlink" Target="https://en.wikipedia.org/France" TargetMode="External"/><Relationship Id="rId69" Type="http://schemas.openxmlformats.org/officeDocument/2006/relationships/hyperlink" Target="https://en.wikipedia.org/1945" TargetMode="External"/><Relationship Id="rId51" Type="http://schemas.openxmlformats.org/officeDocument/2006/relationships/hyperlink" Target="https://en.wikipedia.org/France" TargetMode="External"/><Relationship Id="rId50" Type="http://schemas.openxmlformats.org/officeDocument/2006/relationships/hyperlink" Target="https://en.wikipedia.org/Boeing" TargetMode="External"/><Relationship Id="rId53" Type="http://schemas.openxmlformats.org/officeDocument/2006/relationships/hyperlink" Target="https://en.wikipedia.org/USSR" TargetMode="External"/><Relationship Id="rId52" Type="http://schemas.openxmlformats.org/officeDocument/2006/relationships/hyperlink" Target="https://en.wikipedia.org/Breguet" TargetMode="External"/><Relationship Id="rId55" Type="http://schemas.openxmlformats.org/officeDocument/2006/relationships/hyperlink" Target="https://en.wikipedia.org/1942" TargetMode="External"/><Relationship Id="rId54" Type="http://schemas.openxmlformats.org/officeDocument/2006/relationships/hyperlink" Target="https://en.wikipedia.org/1941" TargetMode="External"/><Relationship Id="rId57" Type="http://schemas.openxmlformats.org/officeDocument/2006/relationships/hyperlink" Target="https://en.wikipedia.org/America" TargetMode="External"/><Relationship Id="rId56" Type="http://schemas.openxmlformats.org/officeDocument/2006/relationships/hyperlink" Target="https://en.wikipedia.org/1942-1943" TargetMode="External"/><Relationship Id="rId59" Type="http://schemas.openxmlformats.org/officeDocument/2006/relationships/hyperlink" Target="https://en.wikipedia.org/Germany" TargetMode="External"/><Relationship Id="rId58" Type="http://schemas.openxmlformats.org/officeDocument/2006/relationships/hyperlink" Target="https://en.wikipedia.org/Lancair"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tr">
        <f>IFERROR(__xludf.DUMMYFUNCTION("GOOGLETRANSLATE(A:A,""en"", ""te"")"),"పేరు")</f>
        <v>పేరు</v>
      </c>
      <c r="C1" s="1" t="s">
        <v>1</v>
      </c>
      <c r="D1" s="1" t="str">
        <f>IFERROR(__xludf.DUMMYFUNCTION("GOOGLETRANSLATE(C:C,""en"", ""te"")"),"వివరణ")</f>
        <v>వివరణ</v>
      </c>
      <c r="E1" s="1" t="s">
        <v>2</v>
      </c>
      <c r="F1" s="1" t="s">
        <v>3</v>
      </c>
      <c r="G1" s="1" t="str">
        <f>IFERROR(__xludf.DUMMYFUNCTION("GOOGLETRANSLATE(F:F,""en"", ""te"")"),"పాత్ర")</f>
        <v>పాత్ర</v>
      </c>
      <c r="H1" s="1" t="s">
        <v>4</v>
      </c>
      <c r="I1" s="1" t="s">
        <v>5</v>
      </c>
      <c r="J1" s="1" t="str">
        <f>IFERROR(__xludf.DUMMYFUNCTION("GOOGLETRANSLATE(I:I,""en"", ""te"")"),"జాతీయ మూలం")</f>
        <v>జాతీయ మూలం</v>
      </c>
      <c r="K1" s="1" t="s">
        <v>6</v>
      </c>
      <c r="L1" s="1" t="s">
        <v>7</v>
      </c>
      <c r="M1" s="1" t="str">
        <f>IFERROR(__xludf.DUMMYFUNCTION("GOOGLETRANSLATE(L:L,""en"", ""te"")"),"తయారీదారు")</f>
        <v>తయారీదారు</v>
      </c>
      <c r="N1" s="1" t="s">
        <v>8</v>
      </c>
      <c r="O1" s="1" t="s">
        <v>9</v>
      </c>
      <c r="P1" s="1" t="s">
        <v>10</v>
      </c>
      <c r="Q1" s="1" t="str">
        <f>IFERROR(__xludf.DUMMYFUNCTION("GOOGLETRANSLATE(P:P,""en"", ""te"")"),"స్థితి")</f>
        <v>స్థితి</v>
      </c>
      <c r="R1" s="1" t="s">
        <v>11</v>
      </c>
      <c r="S1" s="1" t="s">
        <v>12</v>
      </c>
      <c r="T1" s="1" t="s">
        <v>13</v>
      </c>
      <c r="U1" s="1" t="s">
        <v>14</v>
      </c>
      <c r="V1" s="1" t="s">
        <v>15</v>
      </c>
      <c r="W1" s="1" t="s">
        <v>16</v>
      </c>
      <c r="X1" s="1" t="s">
        <v>17</v>
      </c>
      <c r="Y1" s="1" t="s">
        <v>18</v>
      </c>
      <c r="Z1" s="1" t="s">
        <v>19</v>
      </c>
      <c r="AA1" s="1" t="s">
        <v>20</v>
      </c>
      <c r="AB1" s="1" t="s">
        <v>21</v>
      </c>
      <c r="AC1" s="1" t="s">
        <v>22</v>
      </c>
      <c r="AD1" s="1" t="s">
        <v>23</v>
      </c>
      <c r="AE1" s="1" t="s">
        <v>24</v>
      </c>
      <c r="AF1" s="1" t="s">
        <v>25</v>
      </c>
      <c r="AG1" s="1" t="s">
        <v>26</v>
      </c>
      <c r="AH1" s="1" t="s">
        <v>27</v>
      </c>
      <c r="AI1" s="1" t="s">
        <v>28</v>
      </c>
      <c r="AJ1" s="1" t="s">
        <v>29</v>
      </c>
      <c r="AK1" s="1" t="s">
        <v>30</v>
      </c>
      <c r="AL1" s="1" t="s">
        <v>31</v>
      </c>
      <c r="AM1" s="1" t="s">
        <v>32</v>
      </c>
      <c r="AN1" s="1" t="s">
        <v>33</v>
      </c>
      <c r="AO1" s="1" t="s">
        <v>34</v>
      </c>
      <c r="AP1" s="1" t="s">
        <v>35</v>
      </c>
      <c r="AQ1" s="1" t="s">
        <v>36</v>
      </c>
      <c r="AR1" s="1" t="s">
        <v>37</v>
      </c>
      <c r="AS1" s="1" t="s">
        <v>38</v>
      </c>
      <c r="AT1" s="1" t="s">
        <v>39</v>
      </c>
      <c r="AU1" s="1" t="s">
        <v>40</v>
      </c>
      <c r="AV1" s="1" t="s">
        <v>41</v>
      </c>
      <c r="AW1" s="1" t="s">
        <v>42</v>
      </c>
      <c r="AX1" s="1" t="s">
        <v>43</v>
      </c>
      <c r="AY1" s="1" t="s">
        <v>44</v>
      </c>
      <c r="AZ1" s="1" t="s">
        <v>45</v>
      </c>
      <c r="BA1" s="1" t="s">
        <v>46</v>
      </c>
      <c r="BB1" s="1" t="s">
        <v>47</v>
      </c>
      <c r="BC1" s="1" t="s">
        <v>48</v>
      </c>
      <c r="BD1" s="1" t="s">
        <v>49</v>
      </c>
      <c r="BE1" s="1" t="s">
        <v>50</v>
      </c>
      <c r="BF1" s="1" t="s">
        <v>51</v>
      </c>
      <c r="BG1" s="1" t="s">
        <v>52</v>
      </c>
      <c r="BH1" s="1" t="s">
        <v>53</v>
      </c>
      <c r="BI1" s="1" t="s">
        <v>54</v>
      </c>
      <c r="BJ1" s="1" t="s">
        <v>55</v>
      </c>
      <c r="BK1" s="1" t="s">
        <v>56</v>
      </c>
      <c r="BL1" s="1" t="s">
        <v>57</v>
      </c>
      <c r="BM1" s="1" t="s">
        <v>58</v>
      </c>
      <c r="BN1" s="1" t="s">
        <v>59</v>
      </c>
      <c r="BO1" s="1" t="s">
        <v>60</v>
      </c>
      <c r="BP1" s="1" t="s">
        <v>61</v>
      </c>
      <c r="BQ1" s="1" t="s">
        <v>62</v>
      </c>
      <c r="BR1" s="1" t="s">
        <v>63</v>
      </c>
      <c r="BS1" s="1" t="s">
        <v>64</v>
      </c>
      <c r="BT1" s="1" t="s">
        <v>65</v>
      </c>
      <c r="BU1" s="1" t="s">
        <v>66</v>
      </c>
      <c r="BV1" s="1" t="s">
        <v>67</v>
      </c>
      <c r="BW1" s="1" t="s">
        <v>68</v>
      </c>
      <c r="BX1" s="1" t="s">
        <v>69</v>
      </c>
      <c r="BY1" s="1" t="s">
        <v>70</v>
      </c>
      <c r="BZ1" s="1" t="s">
        <v>71</v>
      </c>
      <c r="CA1" s="1" t="s">
        <v>72</v>
      </c>
      <c r="CB1" s="1" t="s">
        <v>73</v>
      </c>
      <c r="CC1" s="1" t="s">
        <v>74</v>
      </c>
      <c r="CD1" s="1" t="s">
        <v>75</v>
      </c>
      <c r="CE1" s="1" t="s">
        <v>76</v>
      </c>
      <c r="CF1" s="1" t="s">
        <v>77</v>
      </c>
      <c r="CG1" s="1" t="s">
        <v>78</v>
      </c>
      <c r="CH1" s="1" t="s">
        <v>79</v>
      </c>
      <c r="CI1" s="1" t="s">
        <v>80</v>
      </c>
      <c r="CJ1" s="1" t="s">
        <v>81</v>
      </c>
      <c r="CK1" s="1" t="s">
        <v>82</v>
      </c>
      <c r="CL1" s="1" t="s">
        <v>83</v>
      </c>
      <c r="CM1" s="1" t="s">
        <v>84</v>
      </c>
      <c r="CN1" s="1" t="s">
        <v>85</v>
      </c>
      <c r="CO1" s="1" t="s">
        <v>86</v>
      </c>
      <c r="CP1" s="1" t="s">
        <v>87</v>
      </c>
      <c r="CQ1" s="1" t="s">
        <v>88</v>
      </c>
      <c r="CR1" s="1" t="s">
        <v>89</v>
      </c>
      <c r="CS1" s="1" t="s">
        <v>90</v>
      </c>
      <c r="CT1" s="1" t="s">
        <v>91</v>
      </c>
      <c r="CU1" s="1" t="s">
        <v>92</v>
      </c>
      <c r="CV1" s="1" t="s">
        <v>93</v>
      </c>
      <c r="CW1" s="1" t="s">
        <v>94</v>
      </c>
      <c r="CX1" s="1" t="s">
        <v>95</v>
      </c>
      <c r="CY1" s="1" t="s">
        <v>96</v>
      </c>
      <c r="CZ1" s="1" t="s">
        <v>97</v>
      </c>
      <c r="DA1" s="1" t="s">
        <v>98</v>
      </c>
      <c r="DB1" s="1" t="s">
        <v>99</v>
      </c>
      <c r="DC1" s="1" t="s">
        <v>100</v>
      </c>
      <c r="DD1" s="1" t="s">
        <v>101</v>
      </c>
      <c r="DE1" s="1" t="s">
        <v>102</v>
      </c>
      <c r="DF1" s="1" t="s">
        <v>103</v>
      </c>
      <c r="DG1" s="1" t="s">
        <v>104</v>
      </c>
      <c r="DH1" s="1" t="s">
        <v>105</v>
      </c>
      <c r="DI1" s="1" t="s">
        <v>106</v>
      </c>
      <c r="DJ1" s="1" t="s">
        <v>107</v>
      </c>
      <c r="DK1" s="1" t="s">
        <v>108</v>
      </c>
      <c r="DL1" s="1" t="s">
        <v>109</v>
      </c>
      <c r="DM1" s="1" t="s">
        <v>110</v>
      </c>
      <c r="DN1" s="1" t="s">
        <v>111</v>
      </c>
      <c r="DO1" s="1" t="s">
        <v>112</v>
      </c>
      <c r="DP1" s="1" t="s">
        <v>113</v>
      </c>
      <c r="DQ1" s="1" t="s">
        <v>114</v>
      </c>
      <c r="DR1" s="1" t="s">
        <v>115</v>
      </c>
      <c r="DS1" s="1" t="s">
        <v>116</v>
      </c>
      <c r="DT1" s="1" t="s">
        <v>117</v>
      </c>
      <c r="DU1" s="1" t="s">
        <v>118</v>
      </c>
      <c r="DV1" s="1" t="s">
        <v>119</v>
      </c>
      <c r="DW1" s="1" t="s">
        <v>120</v>
      </c>
      <c r="DX1" s="1" t="s">
        <v>121</v>
      </c>
      <c r="DY1" s="1" t="s">
        <v>122</v>
      </c>
      <c r="DZ1" s="1" t="s">
        <v>123</v>
      </c>
      <c r="EA1" s="1" t="s">
        <v>124</v>
      </c>
      <c r="EB1" s="1" t="s">
        <v>125</v>
      </c>
      <c r="EC1" s="1" t="s">
        <v>126</v>
      </c>
      <c r="ED1" s="1" t="s">
        <v>127</v>
      </c>
      <c r="EE1" s="1" t="s">
        <v>128</v>
      </c>
      <c r="EF1" s="1" t="s">
        <v>129</v>
      </c>
      <c r="EG1" s="1" t="s">
        <v>130</v>
      </c>
      <c r="EH1" s="1" t="s">
        <v>131</v>
      </c>
      <c r="EI1" s="1" t="s">
        <v>132</v>
      </c>
      <c r="EJ1" s="1" t="s">
        <v>133</v>
      </c>
      <c r="EK1" s="1" t="s">
        <v>134</v>
      </c>
      <c r="EL1" s="1" t="s">
        <v>135</v>
      </c>
      <c r="EM1" s="1" t="s">
        <v>136</v>
      </c>
      <c r="EN1" s="1" t="s">
        <v>137</v>
      </c>
      <c r="EO1" s="1" t="s">
        <v>138</v>
      </c>
      <c r="EP1" s="1" t="s">
        <v>139</v>
      </c>
      <c r="EQ1" s="1" t="s">
        <v>140</v>
      </c>
      <c r="ER1" s="1" t="s">
        <v>141</v>
      </c>
      <c r="ES1" s="1" t="s">
        <v>142</v>
      </c>
      <c r="ET1" s="1" t="s">
        <v>143</v>
      </c>
      <c r="EU1" s="1" t="s">
        <v>144</v>
      </c>
      <c r="EV1" s="1" t="s">
        <v>145</v>
      </c>
      <c r="EW1" s="1" t="s">
        <v>146</v>
      </c>
      <c r="EX1" s="1" t="s">
        <v>147</v>
      </c>
      <c r="EY1" s="1" t="s">
        <v>148</v>
      </c>
      <c r="EZ1" s="1" t="s">
        <v>149</v>
      </c>
      <c r="FA1" s="1" t="s">
        <v>150</v>
      </c>
      <c r="FB1" s="1" t="s">
        <v>151</v>
      </c>
      <c r="FC1" s="1" t="s">
        <v>152</v>
      </c>
    </row>
    <row r="2">
      <c r="A2" s="1" t="s">
        <v>153</v>
      </c>
      <c r="B2" s="1" t="str">
        <f>IFERROR(__xludf.DUMMYFUNCTION("GOOGLETRANSLATE(A:A,""en"", ""te"")"),"శిఖరం 2")</f>
        <v>శిఖరం 2</v>
      </c>
      <c r="C2" s="1" t="s">
        <v>154</v>
      </c>
      <c r="D2" s="1" t="str">
        <f>IFERROR(__xludf.DUMMYFUNCTION("GOOGLETRANSLATE(C:C,""en"", ""te"")"),"సమ్మిట్ II అని కూడా పిలువబడే సమ్మిట్ 2, ఇది ఒక అమెరికన్ శక్తితో కూడిన పారాచూట్, దీనిని మొదట 1999 లో విమాన అమ్మకాలు మరియు బ్రిటిష్ కొలంబియాలోని వెర్నాన్ యొక్క భాగాలు రూపొందించారు మరియు తయారు చేశారు మరియు ఇప్పుడు మిచిగాన్ లోని యేల్ యొక్క సమ్మిట్ ఏరోస్పోర్ట్"&amp;"స్ చేత ఉత్పత్తి చేయబడింది. [1] [2] [ ఈ విమానం యుఎస్ ఫార్ 103 అల్ట్రాలైట్ వాహనాల నియమాలను రెండు-సీట్ల శిక్షకుడిగా లేదా te త్సాహిక-నిర్మించిన విమానం వలె రూపొందించబడింది. ఇది పారాచూట్-శైలి హై-వింగ్, రెండు-సీట్ల-టెన్డం, ట్రైసైకిల్ ల్యాండింగ్ గేర్ మరియు పషర్ క"&amp;"ాన్ఫిగరేషన్‌లో ఒకే 64 హెచ్‌పి (48 కిలోవాట్) రోటాక్స్ 582 ఇంజిన్‌ను కలిగి ఉంది. 65 హెచ్‌పి (48 కిలోవాట్) హిర్త్ 2706, 50 హెచ్‌పి (37 కిలోవాట్ సాహస ఈ విమానం 6061-టి 6 అల్యూమినియం, 4130 స్టీల్ మరియు స్టెయిన్లెస్ స్టీల్ గొట్టాల కలయిక నుండి నిర్మించబడింది. స్థ"&amp;"ిరత్వాన్ని మెరుగుపరచడానికి పందిరి క్యారేజీకి మరింత సాంప్రదాయిక రెండు పాయింట్లకు బదులుగా నాలుగు పాయింట్ల వద్ద జతచేయబడుతుంది. ఫ్లైట్ స్టీరింగ్ రైలు-మౌంటెడ్ స్లైడింగ్ ఫుట్ పెడల్స్ ద్వారా సాధించబడుతుంది, ఇవి పందిరి బ్రేక్‌లను అమలు చేస్తాయి, రోల్ మరియు యావ్ సృ"&amp;"ష్టించబడతాయి. స్టీరింగ్ అనేది పుల్లీల యొక్క 2: 1 నిష్పత్తి వ్యవస్థ ద్వారా, అవసరమైన శక్తిని తగ్గిస్తుంది మరియు నియంత్రణ అధికారాన్ని పెంచుతుంది. పివోటింగ్ కంట్రోల్ బార్స్ లేకపోవడం కాక్‌పిట్ ఫెయిరింగ్‌లను అమర్చడానికి అనుమతిస్తుంది. మైదానంలో విమానంలో లివర్-ని"&amp;"యంత్రిత నోస్‌వీల్ స్టీరింగ్ ఉంది. ఈ విమానం ఫ్యాక్టరీ, ఇది అసెంబ్లీ కిట్ రూపంలో సరఫరా చేయబడింది, ఇది పూర్తి చేయడానికి 20-30 గంటలు అవసరం. [1] [2] [4] [6] క్లిచ్ మరియు సమ్మిట్ నుండి డేటా [2] [5] సాధారణ లక్షణాల పనితీరు")</f>
        <v>సమ్మిట్ II అని కూడా పిలువబడే సమ్మిట్ 2, ఇది ఒక అమెరికన్ శక్తితో కూడిన పారాచూట్, దీనిని మొదట 1999 లో విమాన అమ్మకాలు మరియు బ్రిటిష్ కొలంబియాలోని వెర్నాన్ యొక్క భాగాలు రూపొందించారు మరియు తయారు చేశారు మరియు ఇప్పుడు మిచిగాన్ లోని యేల్ యొక్క సమ్మిట్ ఏరోస్పోర్ట్స్ చేత ఉత్పత్తి చేయబడింది. [1] [2] [ ఈ విమానం యుఎస్ ఫార్ 103 అల్ట్రాలైట్ వాహనాల నియమాలను రెండు-సీట్ల శిక్షకుడిగా లేదా te త్సాహిక-నిర్మించిన విమానం వలె రూపొందించబడింది. ఇది పారాచూట్-శైలి హై-వింగ్, రెండు-సీట్ల-టెన్డం, ట్రైసైకిల్ ల్యాండింగ్ గేర్ మరియు పషర్ కాన్ఫిగరేషన్‌లో ఒకే 64 హెచ్‌పి (48 కిలోవాట్) రోటాక్స్ 582 ఇంజిన్‌ను కలిగి ఉంది. 65 హెచ్‌పి (48 కిలోవాట్) హిర్త్ 2706, 50 హెచ్‌పి (37 కిలోవాట్ సాహస ఈ విమానం 6061-టి 6 అల్యూమినియం, 4130 స్టీల్ మరియు స్టెయిన్లెస్ స్టీల్ గొట్టాల కలయిక నుండి నిర్మించబడింది. స్థిరత్వాన్ని మెరుగుపరచడానికి పందిరి క్యారేజీకి మరింత సాంప్రదాయిక రెండు పాయింట్లకు బదులుగా నాలుగు పాయింట్ల వద్ద జతచేయబడుతుంది. ఫ్లైట్ స్టీరింగ్ రైలు-మౌంటెడ్ స్లైడింగ్ ఫుట్ పెడల్స్ ద్వారా సాధించబడుతుంది, ఇవి పందిరి బ్రేక్‌లను అమలు చేస్తాయి, రోల్ మరియు యావ్ సృష్టించబడతాయి. స్టీరింగ్ అనేది పుల్లీల యొక్క 2: 1 నిష్పత్తి వ్యవస్థ ద్వారా, అవసరమైన శక్తిని తగ్గిస్తుంది మరియు నియంత్రణ అధికారాన్ని పెంచుతుంది. పివోటింగ్ కంట్రోల్ బార్స్ లేకపోవడం కాక్‌పిట్ ఫెయిరింగ్‌లను అమర్చడానికి అనుమతిస్తుంది. మైదానంలో విమానంలో లివర్-నియంత్రిత నోస్‌వీల్ స్టీరింగ్ ఉంది. ఈ విమానం ఫ్యాక్టరీ, ఇది అసెంబ్లీ కిట్ రూపంలో సరఫరా చేయబడింది, ఇది పూర్తి చేయడానికి 20-30 గంటలు అవసరం. [1] [2] [4] [6] క్లిచ్ మరియు సమ్మిట్ నుండి డేటా [2] [5] సాధారణ లక్షణాల పనితీరు</v>
      </c>
      <c r="E2" s="1" t="s">
        <v>155</v>
      </c>
      <c r="F2" s="1" t="s">
        <v>156</v>
      </c>
      <c r="G2" s="1" t="str">
        <f>IFERROR(__xludf.DUMMYFUNCTION("GOOGLETRANSLATE(F:F,""en"", ""te"")"),"శక్తితో కూడిన పారాచూట్")</f>
        <v>శక్తితో కూడిన పారాచూట్</v>
      </c>
      <c r="H2" s="1" t="s">
        <v>157</v>
      </c>
      <c r="I2" s="1" t="s">
        <v>158</v>
      </c>
      <c r="J2" s="1" t="str">
        <f>IFERROR(__xludf.DUMMYFUNCTION("GOOGLETRANSLATE(I:I,""en"", ""te"")"),"అమెరికా")</f>
        <v>అమెరికా</v>
      </c>
      <c r="K2" s="1" t="s">
        <v>159</v>
      </c>
      <c r="L2" s="1" t="s">
        <v>160</v>
      </c>
      <c r="M2" s="1" t="str">
        <f>IFERROR(__xludf.DUMMYFUNCTION("GOOGLETRANSLATE(L:L,""en"", ""te"")"),"విమాన అమ్మకాలు మరియు భాగాలు ఏరోస్పోర్ట్స్")</f>
        <v>విమాన అమ్మకాలు మరియు భాగాలు ఏరోస్పోర్ట్స్</v>
      </c>
      <c r="N2" s="1" t="s">
        <v>161</v>
      </c>
      <c r="O2" s="1">
        <v>1999.0</v>
      </c>
      <c r="P2" s="1" t="s">
        <v>162</v>
      </c>
      <c r="Q2" s="1"/>
      <c r="R2" s="1" t="s">
        <v>163</v>
      </c>
      <c r="S2" s="1" t="s">
        <v>164</v>
      </c>
      <c r="T2" s="1" t="s">
        <v>165</v>
      </c>
      <c r="U2" s="1" t="s">
        <v>166</v>
      </c>
      <c r="V2" s="1" t="s">
        <v>167</v>
      </c>
      <c r="W2" s="1" t="s">
        <v>168</v>
      </c>
      <c r="X2" s="1" t="s">
        <v>169</v>
      </c>
      <c r="Y2" s="1" t="s">
        <v>170</v>
      </c>
      <c r="Z2" s="1" t="s">
        <v>171</v>
      </c>
      <c r="AA2" s="1" t="s">
        <v>172</v>
      </c>
      <c r="AB2" s="1" t="s">
        <v>173</v>
      </c>
      <c r="AC2" s="1">
        <v>4.0</v>
      </c>
      <c r="AD2" s="1" t="s">
        <v>174</v>
      </c>
    </row>
    <row r="3">
      <c r="A3" s="1" t="s">
        <v>175</v>
      </c>
      <c r="B3" s="1" t="str">
        <f>IFERROR(__xludf.DUMMYFUNCTION("GOOGLETRANSLATE(A:A,""en"", ""te"")"),"సమ్మిట్ స్టీల్ బ్రీజ్")</f>
        <v>సమ్మిట్ స్టీల్ బ్రీజ్</v>
      </c>
      <c r="C3" s="1" t="s">
        <v>176</v>
      </c>
      <c r="D3" s="1" t="str">
        <f>IFERROR(__xludf.DUMMYFUNCTION("GOOGLETRANSLATE(C:C,""en"", ""te"")"),"సమ్మిట్ స్టీల్ బ్రీజ్ అనేది ఒక అమెరికన్ శక్తితో కూడిన పారాచూట్, ఇది మిచిగాన్ లోని యేల్ యొక్క సమ్మిట్ ఏరోస్పోర్ట్స్ చేత రూపొందించబడింది మరియు నిర్మించింది. ఈ విమానం te త్సాహిక నిర్మాణానికి కిట్‌గా లేదా పూర్తి రెడీ-టు-ఫ్లై విమానం వలె సరఫరా చేయబడుతుంది. [1] "&amp;"స్టీల్ బ్రీజ్ లైట్-స్పోర్ట్ ఎయిర్క్రాఫ్ట్ కంప్లైంట్ డిజైన్‌గా ఉద్దేశించబడింది. ఇది పారాచూట్-శైలి హై-వింగ్, టెన్డం వసతి గృహాలలో రెండు సీట్లు, ట్రైసైకిల్ ల్యాండింగ్ గేర్ మరియు పషర్ కాన్ఫిగరేషన్‌లో ఒకే ఇంజిన్ కలిగి ఉంది. అందుబాటులో ఉన్న ఇంజిన్లలో 50 హెచ్‌పి "&amp;"(37 కిలోవాట్ల) రోటాక్స్ 503, 64 హెచ్‌పి (48 కిలోవాట్) లిక్విడ్-కూల్డ్ రోటాక్స్ 582, 70 హెచ్‌పి (52 కిలోవాట్ 700 ఇ. [1] [2] స్టీల్ బ్రీజ్ యొక్క ఎయిర్ఫ్రేమ్ 1.5 నుండి (38 మిమీ) టిగ్-వెల్డెడ్, పౌడర్ కోటెడ్ 4130 స్టీల్ ట్యూబింగ్ నుండి నిర్మించబడింది. ప్రామాణి"&amp;"క దీర్ఘచతురస్రాకార ముస్తాంగ్ ఎస్ -500 పందిరి 500 చదరపు అడుగుల (46 మీ 2) విస్తీర్ణంలో ఉంది మరియు స్థిరత్వాన్ని పెంచడానికి నాలుగు పాయింట్ల వద్ద జతచేయబడుతుంది. ముస్తాంగ్ ఎస్ -500 850 ఎల్బి (386 కిలోల) స్థూల బరువును అనుమతిస్తుంది. ఐచ్ఛిక కానోపీలలో దీర్ఘచతురస్"&amp;"రాకార ముస్తాంగ్ ఎస్ -550 ఉన్నాయి, ఇది 950 ఎల్బి (431 కిలోలు) స్థూల బరువును మరియు ఎలిప్టికల్ థండర్ బోల్ట్ ఇ -340 ను అనుమతిస్తుంది, ఇది స్థూల బరువును 900 ఎల్బి (408 కిలోలు) అనుమతిస్తుంది. విమానంలో స్టీరింగ్ ఫుట్ పెడల్స్ ద్వారా సాధించబడుతుంది, ఇవి పందిరి బ్ర"&amp;"ేక్‌లను అమలు చేస్తాయి, రోల్ మరియు యావ్ సృష్టించబడతాయి. మైదానంలో విమానంలో నోస్‌వీల్ స్టీరింగ్ సీతాకోకచిలుక స్టీరింగ్ వీల్ చేత నియంత్రించబడుతుంది మరియు ప్రధాన ల్యాండింగ్ గేర్ బంగీ సస్పెన్షన్‌ను కలిగి ఉంటుంది. [1] [2] ఆగష్టు 2012 నాటికి, ఫెడరల్ ఏవియేషన్ అడ్మ"&amp;"ినిస్ట్రేషన్ యొక్క ఆమోదించబడిన ప్రత్యేక లైట్-స్పోర్ట్ విమానాల జాబితాలో డిజైన్ కనిపించదు. [3] కిట్‌ప్లాన్లు మరియు సమ్మిట్ ఏరోస్పోర్ట్స్ నుండి డేటా [1] [2] సాధారణ లక్షణాల పనితీరు")</f>
        <v>సమ్మిట్ స్టీల్ బ్రీజ్ అనేది ఒక అమెరికన్ శక్తితో కూడిన పారాచూట్, ఇది మిచిగాన్ లోని యేల్ యొక్క సమ్మిట్ ఏరోస్పోర్ట్స్ చేత రూపొందించబడింది మరియు నిర్మించింది. ఈ విమానం te త్సాహిక నిర్మాణానికి కిట్‌గా లేదా పూర్తి రెడీ-టు-ఫ్లై విమానం వలె సరఫరా చేయబడుతుంది. [1] స్టీల్ బ్రీజ్ లైట్-స్పోర్ట్ ఎయిర్క్రాఫ్ట్ కంప్లైంట్ డిజైన్‌గా ఉద్దేశించబడింది. ఇది పారాచూట్-శైలి హై-వింగ్, టెన్డం వసతి గృహాలలో రెండు సీట్లు, ట్రైసైకిల్ ల్యాండింగ్ గేర్ మరియు పషర్ కాన్ఫిగరేషన్‌లో ఒకే ఇంజిన్ కలిగి ఉంది. అందుబాటులో ఉన్న ఇంజిన్లలో 50 హెచ్‌పి (37 కిలోవాట్ల) రోటాక్స్ 503, 64 హెచ్‌పి (48 కిలోవాట్) లిక్విడ్-కూల్డ్ రోటాక్స్ 582, 70 హెచ్‌పి (52 కిలోవాట్ 700 ఇ. [1] [2] స్టీల్ బ్రీజ్ యొక్క ఎయిర్ఫ్రేమ్ 1.5 నుండి (38 మిమీ) టిగ్-వెల్డెడ్, పౌడర్ కోటెడ్ 4130 స్టీల్ ట్యూబింగ్ నుండి నిర్మించబడింది. ప్రామాణిక దీర్ఘచతురస్రాకార ముస్తాంగ్ ఎస్ -500 పందిరి 500 చదరపు అడుగుల (46 మీ 2) విస్తీర్ణంలో ఉంది మరియు స్థిరత్వాన్ని పెంచడానికి నాలుగు పాయింట్ల వద్ద జతచేయబడుతుంది. ముస్తాంగ్ ఎస్ -500 850 ఎల్బి (386 కిలోల) స్థూల బరువును అనుమతిస్తుంది. ఐచ్ఛిక కానోపీలలో దీర్ఘచతురస్రాకార ముస్తాంగ్ ఎస్ -550 ఉన్నాయి, ఇది 950 ఎల్బి (431 కిలోలు) స్థూల బరువును మరియు ఎలిప్టికల్ థండర్ బోల్ట్ ఇ -340 ను అనుమతిస్తుంది, ఇది స్థూల బరువును 900 ఎల్బి (408 కిలోలు) అనుమతిస్తుంది. విమానంలో స్టీరింగ్ ఫుట్ పెడల్స్ ద్వారా సాధించబడుతుంది, ఇవి పందిరి బ్రేక్‌లను అమలు చేస్తాయి, రోల్ మరియు యావ్ సృష్టించబడతాయి. మైదానంలో విమానంలో నోస్‌వీల్ స్టీరింగ్ సీతాకోకచిలుక స్టీరింగ్ వీల్ చేత నియంత్రించబడుతుంది మరియు ప్రధాన ల్యాండింగ్ గేర్ బంగీ సస్పెన్షన్‌ను కలిగి ఉంటుంది. [1] [2] ఆగష్టు 2012 నాటికి, ఫెడరల్ ఏవియేషన్ అడ్మినిస్ట్రేషన్ యొక్క ఆమోదించబడిన ప్రత్యేక లైట్-స్పోర్ట్ విమానాల జాబితాలో డిజైన్ కనిపించదు. [3] కిట్‌ప్లాన్లు మరియు సమ్మిట్ ఏరోస్పోర్ట్స్ నుండి డేటా [1] [2] సాధారణ లక్షణాల పనితీరు</v>
      </c>
      <c r="F3" s="1" t="s">
        <v>156</v>
      </c>
      <c r="G3" s="1" t="str">
        <f>IFERROR(__xludf.DUMMYFUNCTION("GOOGLETRANSLATE(F:F,""en"", ""te"")"),"శక్తితో కూడిన పారాచూట్")</f>
        <v>శక్తితో కూడిన పారాచూట్</v>
      </c>
      <c r="H3" s="1" t="s">
        <v>157</v>
      </c>
      <c r="I3" s="1" t="s">
        <v>158</v>
      </c>
      <c r="J3" s="1" t="str">
        <f>IFERROR(__xludf.DUMMYFUNCTION("GOOGLETRANSLATE(I:I,""en"", ""te"")"),"అమెరికా")</f>
        <v>అమెరికా</v>
      </c>
      <c r="K3" s="1" t="s">
        <v>159</v>
      </c>
      <c r="L3" s="1" t="s">
        <v>177</v>
      </c>
      <c r="M3" s="1" t="str">
        <f>IFERROR(__xludf.DUMMYFUNCTION("GOOGLETRANSLATE(L:L,""en"", ""te"")"),"సమ్మిట్ ఏరోస్పోర్ట్స్")</f>
        <v>సమ్మిట్ ఏరోస్పోర్ట్స్</v>
      </c>
      <c r="N3" s="1" t="s">
        <v>178</v>
      </c>
      <c r="P3" s="1" t="s">
        <v>162</v>
      </c>
      <c r="Q3" s="1"/>
      <c r="S3" s="1" t="s">
        <v>164</v>
      </c>
      <c r="T3" s="1" t="s">
        <v>165</v>
      </c>
      <c r="U3" s="1" t="s">
        <v>179</v>
      </c>
      <c r="W3" s="1" t="s">
        <v>180</v>
      </c>
      <c r="X3" s="1" t="s">
        <v>181</v>
      </c>
      <c r="Y3" s="1" t="s">
        <v>182</v>
      </c>
      <c r="Z3" s="1" t="s">
        <v>183</v>
      </c>
      <c r="AA3" s="1" t="s">
        <v>184</v>
      </c>
      <c r="AB3" s="1" t="s">
        <v>185</v>
      </c>
      <c r="AC3" s="1">
        <v>4.0</v>
      </c>
      <c r="AD3" s="1" t="s">
        <v>174</v>
      </c>
      <c r="AE3" s="1" t="s">
        <v>186</v>
      </c>
      <c r="AF3" s="1" t="s">
        <v>187</v>
      </c>
    </row>
    <row r="4">
      <c r="A4" s="1" t="s">
        <v>188</v>
      </c>
      <c r="B4" s="1" t="str">
        <f>IFERROR(__xludf.DUMMYFUNCTION("GOOGLETRANSLATE(A:A,""en"", ""te"")"),"సూర్యుని")</f>
        <v>సూర్యుని</v>
      </c>
      <c r="C4" s="1" t="s">
        <v>189</v>
      </c>
      <c r="D4" s="1" t="str">
        <f>IFERROR(__xludf.DUMMYFUNCTION("GOOGLETRANSLATE(C:C,""en"", ""te"")"),"సన్‌వార్డ్ ఎస్‌ఐ 60 ఎల్ అరోరా ఒక చైనీస్ లైట్-స్పోర్ట్ విమానం, ఇది లూ హై టెక్నాలజీ డెవలప్‌మెంట్ జోన్‌లో ఉన్న హునాన్ సైన్స్ అండ్ టెక్నాలజీస్ కో లిమిటెడ్ యొక్క విభాగం, హునాన్ సైన్స్ అండ్ టెక్నాలజీస్ కో లిమిటెడ్ యొక్క విభాగం. ఈ విమానం పూర్తి రెడీ-టు-ఫ్లై-ఎయిర"&amp;"్‌క్రాఫ్ట్‌గా సరఫరా చేయడానికి ఉద్దేశించబడింది. [1] [2] అరోరా యుఎస్ లైట్-స్పోర్ట్ ఎయిర్క్రాఫ్ట్ నిబంధనలను పాటించేలా రూపొందించబడింది. ఇది కాంటిలివర్ లో-వింగ్, బబుల్ పందిరి కింద రెండు-సైడ్-సైడ్-సైడ్ కాన్ఫిగరేషన్ పరివేష్టిత కాక్‌పిట్, స్థిర ట్రైసైకిల్ ల్యాండి"&amp;"ంగ్ గేర్ మరియు ట్రాక్టర్ కాన్ఫిగరేషన్‌లో ఒకే ఇంజిన్ కలిగి ఉంది. విమానం యొక్క 8.6 మీ (28.2 అడుగులు) స్పాన్ వింగ్‌లో దీర్ఘచతురస్రాకార ప్లాన్‌ఫార్మ్ ఉంది మరియు ఫ్లాప్‌లను ఉపయోగిస్తుంది. అందుబాటులో ఉన్న ప్రామాణిక ఇంజిన్ ఆస్ట్రియన్-మేడ్ 100 హెచ్‌పి (75 kW) రోట"&amp;"ాక్స్ 912లు నాలుగు-స్ట్రోక్ పవర్‌ప్లాంట్. [1] [2] చైనా యొక్క సివిల్ ఏవియేషన్ అడ్మినిస్ట్రేషన్ 2013 మధ్యలో డిజైన్‌కు రకం డిజైన్ ఆమోదం ఇచ్చింది. [2] బేయర్ల్ మరియు ఇతరులు. అరోరా ఫ్లై సింథసిస్ టెక్సాన్‌ను దగ్గరగా పోలి ఉంటుందని గమనించండి, కాని తయారీదారు అరోరా "&amp;"అసలు డిజైన్ అని పేర్కొన్నాడు. [1] ఈ విమానం బ్యానర్-టోవింగ్, ఏరియల్ ఫోటోగ్రఫీకి అమర్చవచ్చు మరియు ఎయిర్‌షో పొగ ఉత్పత్తి వ్యవస్థ అందుబాటులో ఉంది. [2] జూలై 2014 లో, చైనీస్ భాగాలు మరియు IFR సామర్థ్యం గల ఇన్స్ట్రుమెంట్ ప్యానెల్ కాకుండా ఆస్ట్రియన్‌ను ఉపయోగించి అ"&amp;"ప్‌గ్రేడ్ చేసిన ఇంజిన్ల ఇన్‌స్టాలేషన్‌తో కంపెనీ మెరుగైన సంస్కరణ, SA 60V ను ప్రకటించింది. [3] ఏప్రిల్ 2017 నాటికి, ఫెడరల్ ఏవియేషన్ అడ్మినిస్ట్రేషన్ యొక్క ఆమోదించబడిన ప్రత్యేక లైట్-స్పోర్ట్ విమానాల జాబితాలో డిజైన్ కనిపించదు. [4] సమీక్షకుడు మారినో బోరిక్ 201"&amp;"5 సమీక్షలో డిజైన్‌ను ""స్టైలిష్"" మరియు ""సొగసైనది"" గా అభివర్ణించారు. [2] బేయర్ల్, టాక్ మరియు తయారీదారు నుండి డేటా [1] [2] [5] సాధారణ లక్షణాలు పనితీరు ఏవియానిక్స్")</f>
        <v>సన్‌వార్డ్ ఎస్‌ఐ 60 ఎల్ అరోరా ఒక చైనీస్ లైట్-స్పోర్ట్ విమానం, ఇది లూ హై టెక్నాలజీ డెవలప్‌మెంట్ జోన్‌లో ఉన్న హునాన్ సైన్స్ అండ్ టెక్నాలజీస్ కో లిమిటెడ్ యొక్క విభాగం, హునాన్ సైన్స్ అండ్ టెక్నాలజీస్ కో లిమిటెడ్ యొక్క విభాగం. ఈ విమానం పూర్తి రెడీ-టు-ఫ్లై-ఎయిర్‌క్రాఫ్ట్‌గా సరఫరా చేయడానికి ఉద్దేశించబడింది. [1] [2] అరోరా యుఎస్ లైట్-స్పోర్ట్ ఎయిర్క్రాఫ్ట్ నిబంధనలను పాటించేలా రూపొందించబడింది. ఇది కాంటిలివర్ లో-వింగ్, బబుల్ పందిరి కింద రెండు-సైడ్-సైడ్-సైడ్ కాన్ఫిగరేషన్ పరివేష్టిత కాక్‌పిట్, స్థిర ట్రైసైకిల్ ల్యాండింగ్ గేర్ మరియు ట్రాక్టర్ కాన్ఫిగరేషన్‌లో ఒకే ఇంజిన్ కలిగి ఉంది. విమానం యొక్క 8.6 మీ (28.2 అడుగులు) స్పాన్ వింగ్‌లో దీర్ఘచతురస్రాకార ప్లాన్‌ఫార్మ్ ఉంది మరియు ఫ్లాప్‌లను ఉపయోగిస్తుంది. అందుబాటులో ఉన్న ప్రామాణిక ఇంజిన్ ఆస్ట్రియన్-మేడ్ 100 హెచ్‌పి (75 kW) రోటాక్స్ 912లు నాలుగు-స్ట్రోక్ పవర్‌ప్లాంట్. [1] [2] చైనా యొక్క సివిల్ ఏవియేషన్ అడ్మినిస్ట్రేషన్ 2013 మధ్యలో డిజైన్‌కు రకం డిజైన్ ఆమోదం ఇచ్చింది. [2] బేయర్ల్ మరియు ఇతరులు. అరోరా ఫ్లై సింథసిస్ టెక్సాన్‌ను దగ్గరగా పోలి ఉంటుందని గమనించండి, కాని తయారీదారు అరోరా అసలు డిజైన్ అని పేర్కొన్నాడు. [1] ఈ విమానం బ్యానర్-టోవింగ్, ఏరియల్ ఫోటోగ్రఫీకి అమర్చవచ్చు మరియు ఎయిర్‌షో పొగ ఉత్పత్తి వ్యవస్థ అందుబాటులో ఉంది. [2] జూలై 2014 లో, చైనీస్ భాగాలు మరియు IFR సామర్థ్యం గల ఇన్స్ట్రుమెంట్ ప్యానెల్ కాకుండా ఆస్ట్రియన్‌ను ఉపయోగించి అప్‌గ్రేడ్ చేసిన ఇంజిన్ల ఇన్‌స్టాలేషన్‌తో కంపెనీ మెరుగైన సంస్కరణ, SA 60V ను ప్రకటించింది. [3] ఏప్రిల్ 2017 నాటికి, ఫెడరల్ ఏవియేషన్ అడ్మినిస్ట్రేషన్ యొక్క ఆమోదించబడిన ప్రత్యేక లైట్-స్పోర్ట్ విమానాల జాబితాలో డిజైన్ కనిపించదు. [4] సమీక్షకుడు మారినో బోరిక్ 2015 సమీక్షలో డిజైన్‌ను "స్టైలిష్" మరియు "సొగసైనది" గా అభివర్ణించారు. [2] బేయర్ల్, టాక్ మరియు తయారీదారు నుండి డేటా [1] [2] [5] సాధారణ లక్షణాలు పనితీరు ఏవియానిక్స్</v>
      </c>
      <c r="E4" s="1" t="s">
        <v>190</v>
      </c>
      <c r="F4" s="1" t="s">
        <v>191</v>
      </c>
      <c r="G4" s="1" t="str">
        <f>IFERROR(__xludf.DUMMYFUNCTION("GOOGLETRANSLATE(F:F,""en"", ""te"")"),"లైట్-స్పోర్ట్ విమానం")</f>
        <v>లైట్-స్పోర్ట్ విమానం</v>
      </c>
      <c r="H4" s="1" t="s">
        <v>192</v>
      </c>
      <c r="I4" s="1" t="s">
        <v>193</v>
      </c>
      <c r="J4" s="1" t="str">
        <f>IFERROR(__xludf.DUMMYFUNCTION("GOOGLETRANSLATE(I:I,""en"", ""te"")"),"చైనా")</f>
        <v>చైనా</v>
      </c>
      <c r="K4" s="2" t="s">
        <v>194</v>
      </c>
      <c r="L4" s="1" t="s">
        <v>195</v>
      </c>
      <c r="M4" s="1" t="str">
        <f>IFERROR(__xludf.DUMMYFUNCTION("GOOGLETRANSLATE(L:L,""en"", ""te"")"),"సూర్యరశ్మి విమానం")</f>
        <v>సూర్యరశ్మి విమానం</v>
      </c>
      <c r="N4" s="1" t="s">
        <v>196</v>
      </c>
      <c r="P4" s="1" t="s">
        <v>197</v>
      </c>
      <c r="Q4" s="1"/>
      <c r="S4" s="1" t="s">
        <v>164</v>
      </c>
      <c r="T4" s="1" t="s">
        <v>165</v>
      </c>
      <c r="U4" s="1" t="s">
        <v>198</v>
      </c>
      <c r="V4" s="1" t="s">
        <v>199</v>
      </c>
      <c r="W4" s="1" t="s">
        <v>200</v>
      </c>
      <c r="X4" s="1" t="s">
        <v>201</v>
      </c>
      <c r="Y4" s="1" t="s">
        <v>202</v>
      </c>
      <c r="Z4" s="1" t="s">
        <v>203</v>
      </c>
      <c r="AA4" s="1" t="s">
        <v>204</v>
      </c>
      <c r="AB4" s="1" t="s">
        <v>205</v>
      </c>
      <c r="AD4" s="1" t="s">
        <v>206</v>
      </c>
      <c r="AF4" s="1" t="s">
        <v>207</v>
      </c>
      <c r="AG4" s="1" t="s">
        <v>208</v>
      </c>
      <c r="AH4" s="1" t="s">
        <v>209</v>
      </c>
      <c r="AI4" s="1" t="s">
        <v>210</v>
      </c>
      <c r="AJ4" s="1" t="s">
        <v>211</v>
      </c>
      <c r="AK4" s="1" t="s">
        <v>212</v>
      </c>
      <c r="AL4" s="1" t="s">
        <v>213</v>
      </c>
    </row>
    <row r="5">
      <c r="A5" s="1" t="s">
        <v>214</v>
      </c>
      <c r="B5" s="1" t="str">
        <f>IFERROR(__xludf.DUMMYFUNCTION("GOOGLETRANSLATE(A:A,""en"", ""te"")"),"సూపర్ రోటర్ అండోరిన్హా")</f>
        <v>సూపర్ రోటర్ అండోరిన్హా</v>
      </c>
      <c r="C5" s="1" t="s">
        <v>215</v>
      </c>
      <c r="D5" s="1" t="str">
        <f>IFERROR(__xludf.DUMMYFUNCTION("GOOGLETRANSLATE(C:C,""en"", ""te"")"),"సూపర్ రోటర్ AC.4 అండోరిన్హా (""స్వాలో"") 1960 లలో బ్రెజిల్‌లో మొదట నిర్మించిన స్పోర్ట్ ఆటోజొరో. [1] ఈ నమూనాను ఆల్టెయిర్ కోయెల్హో నిర్మించారు మరియు 1960 లో AC.1, [2] పైలట్ సీటు, రోటర్ మాస్ట్, ఇంజిన్ మౌంటు మరియు టెయిల్ ఫిన్ లకు మద్దతు ఇచ్చే ఓపెన్ ఫ్రేమ్‌వర్"&amp;"క్‌తో కూడిన సాధారణంగా మినిమలిస్ట్ ఆటోజీరో డిజైన్. [3] మార్చబడిన వోక్స్వ్యాగన్ ఇంజిన్ ద్వారా పషర్ ప్రొపెల్లర్‌ను నడుపుతుంది. [3] ఫ్రాన్సిస్కో మాటిస్ ప్రోటోటైప్ అండ్ మాన్యుఫ్యాక్చరింగ్ హక్కులను కొనుగోలు చేశాడు మరియు ఈ విమానం ఉత్పత్తి చేయడానికి సావో పాలో యొక"&amp;"్క సూపర్ రోటర్ (ఇప్పుడు మోంటాల్వా) ను స్థాపించాడు. [3] AC.4 గా సీరియల్ ఉత్పత్తి కోసం శుద్ధీకరణలు రోటర్ మాస్ట్ కోసం అదనపు రీన్ఫోర్సింగ్ స్ట్రట్ మరియు పెద్ద తోక ఫిన్ కలిగి ఉన్నాయి. [2] సూపర్ రోటర్ రెండు-సీట్ల సంస్కరణను ద్వంద్వ నియంత్రణలతో M.1 మోంటాల్వాగా ఉత"&amp;"్పత్తి చేసింది, [1] [4] టర్బో-ఛార్జ్డ్ రెండు సీట్ల M.2 ట్రోవో అజుల్ (""బ్లూ థండర్""), [4 ] మరియు స్ప్రే బార్‌లతో వ్యవసాయ వెర్షన్ అగ్రిక్‌పెర్టెరో. [4] జేన్ యొక్క అన్ని ప్రపంచ విమానాల నుండి డేటా 1987–88, పే .20 (గుర్తించినట్లు తప్ప) సాధారణ లక్షణాల పనితీరు")</f>
        <v>సూపర్ రోటర్ AC.4 అండోరిన్హా ("స్వాలో") 1960 లలో బ్రెజిల్‌లో మొదట నిర్మించిన స్పోర్ట్ ఆటోజొరో. [1] ఈ నమూనాను ఆల్టెయిర్ కోయెల్హో నిర్మించారు మరియు 1960 లో AC.1, [2] పైలట్ సీటు, రోటర్ మాస్ట్, ఇంజిన్ మౌంటు మరియు టెయిల్ ఫిన్ లకు మద్దతు ఇచ్చే ఓపెన్ ఫ్రేమ్‌వర్క్‌తో కూడిన సాధారణంగా మినిమలిస్ట్ ఆటోజీరో డిజైన్. [3] మార్చబడిన వోక్స్వ్యాగన్ ఇంజిన్ ద్వారా పషర్ ప్రొపెల్లర్‌ను నడుపుతుంది. [3] ఫ్రాన్సిస్కో మాటిస్ ప్రోటోటైప్ అండ్ మాన్యుఫ్యాక్చరింగ్ హక్కులను కొనుగోలు చేశాడు మరియు ఈ విమానం ఉత్పత్తి చేయడానికి సావో పాలో యొక్క సూపర్ రోటర్ (ఇప్పుడు మోంటాల్వా) ను స్థాపించాడు. [3] AC.4 గా సీరియల్ ఉత్పత్తి కోసం శుద్ధీకరణలు రోటర్ మాస్ట్ కోసం అదనపు రీన్ఫోర్సింగ్ స్ట్రట్ మరియు పెద్ద తోక ఫిన్ కలిగి ఉన్నాయి. [2] సూపర్ రోటర్ రెండు-సీట్ల సంస్కరణను ద్వంద్వ నియంత్రణలతో M.1 మోంటాల్వాగా ఉత్పత్తి చేసింది, [1] [4] టర్బో-ఛార్జ్డ్ రెండు సీట్ల M.2 ట్రోవో అజుల్ ("బ్లూ థండర్"), [4 ] మరియు స్ప్రే బార్‌లతో వ్యవసాయ వెర్షన్ అగ్రిక్‌పెర్టెరో. [4] జేన్ యొక్క అన్ని ప్రపంచ విమానాల నుండి డేటా 1987–88, పే .20 (గుర్తించినట్లు తప్ప) సాధారణ లక్షణాల పనితీరు</v>
      </c>
      <c r="F5" s="1" t="s">
        <v>216</v>
      </c>
      <c r="G5" s="1" t="str">
        <f>IFERROR(__xludf.DUMMYFUNCTION("GOOGLETRANSLATE(F:F,""en"", ""te"")"),"స్పోర్ట్ ఆటోజీరో")</f>
        <v>స్పోర్ట్ ఆటోజీరో</v>
      </c>
      <c r="I5" s="1" t="s">
        <v>217</v>
      </c>
      <c r="J5" s="1" t="str">
        <f>IFERROR(__xludf.DUMMYFUNCTION("GOOGLETRANSLATE(I:I,""en"", ""te"")"),"బ్రెజిల్")</f>
        <v>బ్రెజిల్</v>
      </c>
      <c r="L5" s="1" t="s">
        <v>218</v>
      </c>
      <c r="M5" s="1" t="str">
        <f>IFERROR(__xludf.DUMMYFUNCTION("GOOGLETRANSLATE(L:L,""en"", ""te"")"),"ఒక రోగము")</f>
        <v>ఒక రోగము</v>
      </c>
      <c r="N5" s="1" t="s">
        <v>219</v>
      </c>
      <c r="R5" s="1" t="s">
        <v>220</v>
      </c>
      <c r="S5" s="1" t="s">
        <v>221</v>
      </c>
      <c r="X5" s="1" t="s">
        <v>222</v>
      </c>
      <c r="Y5" s="1" t="s">
        <v>223</v>
      </c>
      <c r="AA5" s="1" t="s">
        <v>224</v>
      </c>
      <c r="AC5" s="1">
        <v>6.0</v>
      </c>
      <c r="AD5" s="1" t="s">
        <v>225</v>
      </c>
      <c r="AG5" s="1" t="s">
        <v>226</v>
      </c>
      <c r="AK5" s="1" t="s">
        <v>227</v>
      </c>
      <c r="AL5" s="1" t="s">
        <v>228</v>
      </c>
      <c r="AM5" s="1" t="s">
        <v>229</v>
      </c>
      <c r="AN5" s="1" t="s">
        <v>230</v>
      </c>
      <c r="AO5" s="1" t="s">
        <v>231</v>
      </c>
      <c r="AP5" s="1" t="s">
        <v>232</v>
      </c>
      <c r="AQ5" s="1" t="s">
        <v>233</v>
      </c>
    </row>
    <row r="6">
      <c r="A6" s="1" t="s">
        <v>234</v>
      </c>
      <c r="B6" s="1" t="str">
        <f>IFERROR(__xludf.DUMMYFUNCTION("GOOGLETRANSLATE(A:A,""en"", ""te"")"),"స్టీన్ స్కైబోల్ట్")</f>
        <v>స్టీన్ స్కైబోల్ట్</v>
      </c>
      <c r="C6" s="1" t="s">
        <v>235</v>
      </c>
      <c r="D6" s="1" t="str">
        <f>IFERROR(__xludf.DUMMYFUNCTION("GOOGLETRANSLATE(C:C,""en"", ""te"")"),"స్టీన్ స్కైబోల్ట్ ఒక అమెరికన్ హోమ్‌బిల్ట్ ఏరోబాటిక్ బిప్‌లేన్. ఉపాధ్యాయుడు లామర్ స్టీన్ హైస్కూల్ ఇంజనీరింగ్ ప్రాజెక్టుగా రూపొందించబడింది, ప్రోటోటైప్ మొదట అక్టోబర్ 1970 లో ఎగిరింది. [1] [2] ఈ విమానం వెల్డెడ్ ట్యూబ్ ఫ్యూజ్‌లేజ్ మరియు చెక్క రెక్కలతో కూడిన క్"&amp;"లాసిక్ నిర్మాణాన్ని కలిగి ఉంది, అన్ని ఫాబ్రిక్ కప్పబడి ఉంటుంది. ఇది టెన్డం ఓపెన్-కాక్‌పిట్ రెండు-సీట్ల బిప్‌లేన్ మరియు సాధారణ ఏరోబాటిక్స్ కోసం నొక్కి చెప్పబడుతుంది. కాక్‌పిట్‌లను తరచూ ఒకే టెన్డం క్యాబిన్‌గా నిర్మిస్తారు, ఇది బబుల్ పందిరితో ఉంటుంది. కొన్ని"&amp;" ఏరోబాటిక్ పోటీ విమానాలు సింగిల్ సీటర్లుగా నిర్మించబడ్డాయి, ఫ్రంట్ కాక్‌పిట్ మూసివేయబడింది. అసలు స్కైబోల్ట్‌లో 180 హెచ్‌పి (134 కిలోవాట్) లైమింగ్ హో -360-బి 1 బి ఇంజన్ ఉంది, అయితే 150 నుండి 260 హెచ్‌పి (112 నుండి 194 కిలోవాట్) యొక్క పవర్‌ప్లాంట్లు వ్యవస్థ"&amp;"ాపించబడతాయి. [3] స్కైబోల్ట్ te త్సాహిక-నిర్మిత క్రీడా బైప్‌లాన్‌గా ప్రాచుర్యం పొందింది, 29 దేశాలలో విక్రయించే నిర్మాణ ప్రణాళికల నుండి 400 కి పైగా విమానాలు పూర్తయ్యాయి. [3] ఓష్కోష్ విస్కాన్సిన్‌లోని ప్రయోగాత్మక ఎయిర్‌క్రాఫ్ట్ అసోసియేషన్ ఎయిర్‌షోలో 1979 లో "&amp;"నిర్మించిన రిజర్వ్ గ్రాండ్ ఛాంపియన్ కస్టమ్‌ను స్కైబోల్ట్ గెలుచుకుంది. [4] జనవరి 2009 లో యునైటెడ్ కింగ్‌డమ్‌లో పదహారు ఉదాహరణలు నమోదు చేయబడ్డాయి. [5] పోల్చదగిన పాత్ర, కాన్ఫిగరేషన్ మరియు ERA యొక్క సింప్సన్ 2001 జనరల్ క్యారెక్టరిస్టిక్స్ పనితీరు విమానం నుండి "&amp;"డేటా")</f>
        <v>స్టీన్ స్కైబోల్ట్ ఒక అమెరికన్ హోమ్‌బిల్ట్ ఏరోబాటిక్ బిప్‌లేన్. ఉపాధ్యాయుడు లామర్ స్టీన్ హైస్కూల్ ఇంజనీరింగ్ ప్రాజెక్టుగా రూపొందించబడింది, ప్రోటోటైప్ మొదట అక్టోబర్ 1970 లో ఎగిరింది. [1] [2] ఈ విమానం వెల్డెడ్ ట్యూబ్ ఫ్యూజ్‌లేజ్ మరియు చెక్క రెక్కలతో కూడిన క్లాసిక్ నిర్మాణాన్ని కలిగి ఉంది, అన్ని ఫాబ్రిక్ కప్పబడి ఉంటుంది. ఇది టెన్డం ఓపెన్-కాక్‌పిట్ రెండు-సీట్ల బిప్‌లేన్ మరియు సాధారణ ఏరోబాటిక్స్ కోసం నొక్కి చెప్పబడుతుంది. కాక్‌పిట్‌లను తరచూ ఒకే టెన్డం క్యాబిన్‌గా నిర్మిస్తారు, ఇది బబుల్ పందిరితో ఉంటుంది. కొన్ని ఏరోబాటిక్ పోటీ విమానాలు సింగిల్ సీటర్లుగా నిర్మించబడ్డాయి, ఫ్రంట్ కాక్‌పిట్ మూసివేయబడింది. అసలు స్కైబోల్ట్‌లో 180 హెచ్‌పి (134 కిలోవాట్) లైమింగ్ హో -360-బి 1 బి ఇంజన్ ఉంది, అయితే 150 నుండి 260 హెచ్‌పి (112 నుండి 194 కిలోవాట్) యొక్క పవర్‌ప్లాంట్లు వ్యవస్థాపించబడతాయి. [3] స్కైబోల్ట్ te త్సాహిక-నిర్మిత క్రీడా బైప్‌లాన్‌గా ప్రాచుర్యం పొందింది, 29 దేశాలలో విక్రయించే నిర్మాణ ప్రణాళికల నుండి 400 కి పైగా విమానాలు పూర్తయ్యాయి. [3] ఓష్కోష్ విస్కాన్సిన్‌లోని ప్రయోగాత్మక ఎయిర్‌క్రాఫ్ట్ అసోసియేషన్ ఎయిర్‌షోలో 1979 లో నిర్మించిన రిజర్వ్ గ్రాండ్ ఛాంపియన్ కస్టమ్‌ను స్కైబోల్ట్ గెలుచుకుంది. [4] జనవరి 2009 లో యునైటెడ్ కింగ్‌డమ్‌లో పదహారు ఉదాహరణలు నమోదు చేయబడ్డాయి. [5] పోల్చదగిన పాత్ర, కాన్ఫిగరేషన్ మరియు ERA యొక్క సింప్సన్ 2001 జనరల్ క్యారెక్టరిస్టిక్స్ పనితీరు విమానం నుండి డేటా</v>
      </c>
      <c r="E6" s="1" t="s">
        <v>236</v>
      </c>
      <c r="F6" s="1" t="s">
        <v>237</v>
      </c>
      <c r="G6" s="1" t="str">
        <f>IFERROR(__xludf.DUMMYFUNCTION("GOOGLETRANSLATE(F:F,""en"", ""te"")"),"ఏరోబాటిక్ బిప్‌లేన్")</f>
        <v>ఏరోబాటిక్ బిప్‌లేన్</v>
      </c>
      <c r="H6" s="1" t="s">
        <v>238</v>
      </c>
      <c r="I6" s="1" t="s">
        <v>158</v>
      </c>
      <c r="J6" s="1" t="str">
        <f>IFERROR(__xludf.DUMMYFUNCTION("GOOGLETRANSLATE(I:I,""en"", ""te"")"),"అమెరికా")</f>
        <v>అమెరికా</v>
      </c>
      <c r="L6" s="1" t="s">
        <v>239</v>
      </c>
      <c r="M6" s="1" t="str">
        <f>IFERROR(__xludf.DUMMYFUNCTION("GOOGLETRANSLATE(L:L,""en"", ""te"")"),"స్టీన్ ఏరో ల్యాబ్ ఇంక్")</f>
        <v>స్టీన్ ఏరో ల్యాబ్ ఇంక్</v>
      </c>
      <c r="P6" s="1" t="s">
        <v>240</v>
      </c>
      <c r="Q6" s="1"/>
      <c r="R6" s="1" t="s">
        <v>241</v>
      </c>
      <c r="S6" s="1" t="s">
        <v>164</v>
      </c>
      <c r="T6" s="1" t="s">
        <v>165</v>
      </c>
      <c r="U6" s="1" t="s">
        <v>242</v>
      </c>
      <c r="V6" s="1" t="s">
        <v>243</v>
      </c>
      <c r="X6" s="1" t="s">
        <v>244</v>
      </c>
      <c r="AA6" s="1" t="s">
        <v>245</v>
      </c>
      <c r="AB6" s="1" t="s">
        <v>246</v>
      </c>
      <c r="AD6" s="1" t="s">
        <v>247</v>
      </c>
      <c r="AG6" s="1" t="s">
        <v>248</v>
      </c>
      <c r="AH6" s="1" t="s">
        <v>249</v>
      </c>
      <c r="AK6" s="1" t="s">
        <v>250</v>
      </c>
      <c r="AM6" s="1" t="s">
        <v>251</v>
      </c>
      <c r="AO6" s="3">
        <v>25842.0</v>
      </c>
      <c r="AQ6" s="1" t="s">
        <v>252</v>
      </c>
      <c r="AR6" s="1" t="s">
        <v>253</v>
      </c>
      <c r="AS6" s="1" t="s">
        <v>254</v>
      </c>
      <c r="AT6" s="1" t="s">
        <v>255</v>
      </c>
    </row>
    <row r="7">
      <c r="A7" s="1" t="s">
        <v>256</v>
      </c>
      <c r="B7" s="1" t="str">
        <f>IFERROR(__xludf.DUMMYFUNCTION("GOOGLETRANSLATE(A:A,""en"", ""te"")"),"స్టీవర్ట్ ఫూ ఫైటర్")</f>
        <v>స్టీవర్ట్ ఫూ ఫైటర్</v>
      </c>
      <c r="C7" s="1" t="s">
        <v>257</v>
      </c>
      <c r="D7" s="1" t="str">
        <f>IFERROR(__xludf.DUMMYFUNCTION("GOOGLETRANSLATE(C:C,""en"", ""te"")"),"స్టీవర్ట్ ఫూ ఫైటర్ JD2FF అనేది సింగిల్-సీట్ల బిప్‌లేన్ హోమ్‌బిల్ట్ ఎయిర్‌క్రాఫ్ట్ డిజైన్, ఇది మొదటి ప్రపంచ యుద్ధం యొక్క ఫైటర్ విమానాలను అనుకరిస్తుంది. [1] స్టీవర్ట్ హెడ్‌విండ్ వంటి నిర్మాణ లక్షణాలను ఉపయోగించి ఫూ ఫైటర్ అభివృద్ధి చేయబడింది. ఫ్యూజ్‌లేజ్ ఫాబ్"&amp;"రిక్ కవరింగ్‌తో స్టీల్ గొట్టాలను వెల్డింగ్ చేస్తుంది. దిగువ వింగ్ డిజైన్ అసాధారణమైనది, ఇరువైపులా దానికి అటాచ్ చేయకుండా ఫ్యూజ్‌లేజ్ క్రింద వెళుతుంది. నిర్మించిన మొట్టమొదటి విమానం ఫోర్డ్ ఫాల్కన్ 200 సిఐడి ఇంజిన్‌ను ఉపయోగించింది, ఇది చాలా భారీగా ఉందని నిరూపి"&amp;"ంచబడింది. ఫ్రాంక్లిన్ 130 హెచ్‌పి ఇంజిన్ తరువాత ఉపయోగించబడింది, కాని ఇంజిన్ ఉత్పత్తి నుండి బయటపడింది. లైమింగ్ O-235 లేదా O-320 ఇంజిన్‌కు అనుగుణంగా తుది రూపకల్పన మార్చబడింది. [2] 1972 లో విస్కాన్సిన్‌లోని ఓష్కోష్‌లో జరిగిన ఒక వారం ప్రయోగాత్మక విమాన సంఘం సమ"&amp;"ావేశంలో ఫూ ఫైటర్ 30 గంటలకు పైగా ప్రదర్శించబడింది. [3] Http://www.stewartaircraft.com/main.htmlgeneral లక్షణాల నుండి డేటా పోల్చదగిన పాత్ర, కాన్ఫిగరేషన్ మరియు ERA యొక్క పనితీరు విమానం")</f>
        <v>స్టీవర్ట్ ఫూ ఫైటర్ JD2FF అనేది సింగిల్-సీట్ల బిప్‌లేన్ హోమ్‌బిల్ట్ ఎయిర్‌క్రాఫ్ట్ డిజైన్, ఇది మొదటి ప్రపంచ యుద్ధం యొక్క ఫైటర్ విమానాలను అనుకరిస్తుంది. [1] స్టీవర్ట్ హెడ్‌విండ్ వంటి నిర్మాణ లక్షణాలను ఉపయోగించి ఫూ ఫైటర్ అభివృద్ధి చేయబడింది. ఫ్యూజ్‌లేజ్ ఫాబ్రిక్ కవరింగ్‌తో స్టీల్ గొట్టాలను వెల్డింగ్ చేస్తుంది. దిగువ వింగ్ డిజైన్ అసాధారణమైనది, ఇరువైపులా దానికి అటాచ్ చేయకుండా ఫ్యూజ్‌లేజ్ క్రింద వెళుతుంది. నిర్మించిన మొట్టమొదటి విమానం ఫోర్డ్ ఫాల్కన్ 200 సిఐడి ఇంజిన్‌ను ఉపయోగించింది, ఇది చాలా భారీగా ఉందని నిరూపించబడింది. ఫ్రాంక్లిన్ 130 హెచ్‌పి ఇంజిన్ తరువాత ఉపయోగించబడింది, కాని ఇంజిన్ ఉత్పత్తి నుండి బయటపడింది. లైమింగ్ O-235 లేదా O-320 ఇంజిన్‌కు అనుగుణంగా తుది రూపకల్పన మార్చబడింది. [2] 1972 లో విస్కాన్సిన్‌లోని ఓష్కోష్‌లో జరిగిన ఒక వారం ప్రయోగాత్మక విమాన సంఘం సమావేశంలో ఫూ ఫైటర్ 30 గంటలకు పైగా ప్రదర్శించబడింది. [3] Http://www.stewartaircraft.com/main.htmlgeneral లక్షణాల నుండి డేటా పోల్చదగిన పాత్ర, కాన్ఫిగరేషన్ మరియు ERA యొక్క పనితీరు విమానం</v>
      </c>
      <c r="F7" s="1" t="s">
        <v>258</v>
      </c>
      <c r="G7" s="1" t="str">
        <f>IFERROR(__xludf.DUMMYFUNCTION("GOOGLETRANSLATE(F:F,""en"", ""te"")"),"హోమ్‌బిల్ట్ విమానం")</f>
        <v>హోమ్‌బిల్ట్ విమానం</v>
      </c>
      <c r="H7" s="1" t="s">
        <v>259</v>
      </c>
      <c r="I7" s="1" t="s">
        <v>158</v>
      </c>
      <c r="J7" s="1" t="str">
        <f>IFERROR(__xludf.DUMMYFUNCTION("GOOGLETRANSLATE(I:I,""en"", ""te"")"),"అమెరికా")</f>
        <v>అమెరికా</v>
      </c>
      <c r="K7" s="1" t="s">
        <v>159</v>
      </c>
      <c r="L7" s="1" t="s">
        <v>260</v>
      </c>
      <c r="M7" s="1" t="str">
        <f>IFERROR(__xludf.DUMMYFUNCTION("GOOGLETRANSLATE(L:L,""en"", ""te"")"),"స్టీవర్ట్ ఎయిర్క్రాఫ్ట్ కార్పొరేషన్")</f>
        <v>స్టీవర్ట్ ఎయిర్క్రాఫ్ట్ కార్పొరేషన్</v>
      </c>
      <c r="N7" s="1" t="s">
        <v>261</v>
      </c>
      <c r="O7" s="1">
        <v>1970.0</v>
      </c>
      <c r="S7" s="1" t="s">
        <v>164</v>
      </c>
      <c r="U7" s="1" t="s">
        <v>262</v>
      </c>
      <c r="V7" s="1" t="s">
        <v>263</v>
      </c>
      <c r="X7" s="1" t="s">
        <v>264</v>
      </c>
      <c r="Y7" s="1" t="s">
        <v>265</v>
      </c>
      <c r="Z7" s="1" t="s">
        <v>266</v>
      </c>
      <c r="AA7" s="1" t="s">
        <v>267</v>
      </c>
      <c r="AB7" s="1" t="s">
        <v>268</v>
      </c>
      <c r="AD7" s="1" t="s">
        <v>269</v>
      </c>
      <c r="AH7" s="1" t="s">
        <v>270</v>
      </c>
      <c r="AI7" s="1" t="s">
        <v>271</v>
      </c>
      <c r="AK7" s="1" t="s">
        <v>272</v>
      </c>
      <c r="AM7" s="1" t="s">
        <v>273</v>
      </c>
      <c r="AO7" s="1">
        <v>1967.0</v>
      </c>
      <c r="AQ7" s="1" t="s">
        <v>274</v>
      </c>
    </row>
    <row r="8">
      <c r="A8" s="1" t="s">
        <v>275</v>
      </c>
      <c r="B8" s="1" t="str">
        <f>IFERROR(__xludf.DUMMYFUNCTION("GOOGLETRANSLATE(A:A,""en"", ""te"")"),"స్టోడార్డ్-హామిల్టన్ గ్లాసెయిర్ II")</f>
        <v>స్టోడార్డ్-హామిల్టన్ గ్లాసెయిర్ II</v>
      </c>
      <c r="C8" s="1" t="s">
        <v>276</v>
      </c>
      <c r="D8" s="1" t="str">
        <f>IFERROR(__xludf.DUMMYFUNCTION("GOOGLETRANSLATE(C:C,""en"", ""te"")"),"స్టోడార్డ్-హామిల్టన్ గ్లాసెయిర్ II అనేది ఒక అమెరికన్ te త్సాహిక-నిర్మిత విమానం, దీనిని టామ్ హామిల్టన్ రూపొందించారు మరియు స్టోడార్డ్-హామిల్టన్ విమానం మరియు తరువాత గ్లాసెయిర్ ఏవియేషన్ ద్వారా te త్సాహిక నిర్మాణానికి ఒక కిట్‌గా నిర్మించబడింది. ఇది మొట్టమొదట 1"&amp;"989 లో ఎగురవేయబడింది మరియు 2012 లో ఉత్పత్తిలో ఉంది. [1] [2] [3] ఇంతకు ట్రాక్టర్ కాన్ఫిగరేషన్‌లో గేర్ మరియు ఒకే ఇంజిన్. [1] [2] [3] గ్లాసెయిర్ II చాలా పార్ట్ 23 ప్రమాణాలకు రూపొందించబడింది మరియు విస్తృతంగా పరీక్షించబడింది. దీని రెక్క +10.5 గ్రాములకి పరీక్షి"&amp;"ంచబడింది. దాని పేరు సూచించినట్లుగా, విమానం ఫైబర్గ్లాస్ నుండి తయారవుతుంది. దాని 23.3 అడుగుల (7.1 మీ) స్పాన్ వింగ్ నాసా గా (డబ్ల్యూ) -2 ఎయిర్‌ఫాయిల్‌ను ఉపయోగిస్తుంది. రెక్కలు 81.3 చదరపు అడుగులు (7.55 మీ 2) మరియు మౌంట్ ఫ్లాప్‌లను కలిగి ఉంటాయి. సూపర్ II RG లే"&amp;"దా సూపర్ II FT వెర్షన్ల యొక్క ఆమోదయోగ్యమైన శక్తి పరిధి 160 నుండి 210 HP (119 నుండి 157 kW), 180 HP (134 kW) లైమింగ్ O-360 ఫోర్-స్ట్రోక్ పవర్‌ప్లాంట్ సాధారణంగా ఉపయోగించే ఇంజిన్. [1] [[2] [2] [3] [4] [5] [5] తయారీదారు సూపర్ II RG లేదా సూపర్ II FT వెర్షన్ల న"&amp;"ిర్మాణ సమయాన్ని 3000 గంటలుగా అంచనా వేస్తాడు. [1] గ్లాసెయిర్ II తరువాత గ్లాసెయిర్ III గా అభివృద్ధి చేయబడింది. [1] డిసెంబర్ 2011 నాటికి 1200 ఉదాహరణలు పూర్తయ్యాయి మరియు ఎగురుతున్నాయి, ఇది ఇప్పటివరకు రూపొందించిన అత్యంత విజయవంతమైన రెండు సీట్ల కిట్ విమానాలలో ఒక"&amp;"టిగా నిలిచింది. [1] [5] కిట్‌ప్లాన్‌ల నుండి డేటా [1] సాధారణ లక్షణాల పనితీరు")</f>
        <v>స్టోడార్డ్-హామిల్టన్ గ్లాసెయిర్ II అనేది ఒక అమెరికన్ te త్సాహిక-నిర్మిత విమానం, దీనిని టామ్ హామిల్టన్ రూపొందించారు మరియు స్టోడార్డ్-హామిల్టన్ విమానం మరియు తరువాత గ్లాసెయిర్ ఏవియేషన్ ద్వారా te త్సాహిక నిర్మాణానికి ఒక కిట్‌గా నిర్మించబడింది. ఇది మొట్టమొదట 1989 లో ఎగురవేయబడింది మరియు 2012 లో ఉత్పత్తిలో ఉంది. [1] [2] [3] ఇంతకు ట్రాక్టర్ కాన్ఫిగరేషన్‌లో గేర్ మరియు ఒకే ఇంజిన్. [1] [2] [3] గ్లాసెయిర్ II చాలా పార్ట్ 23 ప్రమాణాలకు రూపొందించబడింది మరియు విస్తృతంగా పరీక్షించబడింది. దీని రెక్క +10.5 గ్రాములకి పరీక్షించబడింది. దాని పేరు సూచించినట్లుగా, విమానం ఫైబర్గ్లాస్ నుండి తయారవుతుంది. దాని 23.3 అడుగుల (7.1 మీ) స్పాన్ వింగ్ నాసా గా (డబ్ల్యూ) -2 ఎయిర్‌ఫాయిల్‌ను ఉపయోగిస్తుంది. రెక్కలు 81.3 చదరపు అడుగులు (7.55 మీ 2) మరియు మౌంట్ ఫ్లాప్‌లను కలిగి ఉంటాయి. సూపర్ II RG లేదా సూపర్ II FT వెర్షన్ల యొక్క ఆమోదయోగ్యమైన శక్తి పరిధి 160 నుండి 210 HP (119 నుండి 157 kW), 180 HP (134 kW) లైమింగ్ O-360 ఫోర్-స్ట్రోక్ పవర్‌ప్లాంట్ సాధారణంగా ఉపయోగించే ఇంజిన్. [1] [[2] [2] [3] [4] [5] [5] తయారీదారు సూపర్ II RG లేదా సూపర్ II FT వెర్షన్ల నిర్మాణ సమయాన్ని 3000 గంటలుగా అంచనా వేస్తాడు. [1] గ్లాసెయిర్ II తరువాత గ్లాసెయిర్ III గా అభివృద్ధి చేయబడింది. [1] డిసెంబర్ 2011 నాటికి 1200 ఉదాహరణలు పూర్తయ్యాయి మరియు ఎగురుతున్నాయి, ఇది ఇప్పటివరకు రూపొందించిన అత్యంత విజయవంతమైన రెండు సీట్ల కిట్ విమానాలలో ఒకటిగా నిలిచింది. [1] [5] కిట్‌ప్లాన్‌ల నుండి డేటా [1] సాధారణ లక్షణాల పనితీరు</v>
      </c>
      <c r="E8" s="1" t="s">
        <v>277</v>
      </c>
      <c r="F8" s="1" t="s">
        <v>278</v>
      </c>
      <c r="G8" s="1" t="str">
        <f>IFERROR(__xludf.DUMMYFUNCTION("GOOGLETRANSLATE(F:F,""en"", ""te"")"),"Te త్సాహిక నిర్మించిన విమానం")</f>
        <v>Te త్సాహిక నిర్మించిన విమానం</v>
      </c>
      <c r="H8" s="1" t="s">
        <v>279</v>
      </c>
      <c r="I8" s="1" t="s">
        <v>158</v>
      </c>
      <c r="J8" s="1" t="str">
        <f>IFERROR(__xludf.DUMMYFUNCTION("GOOGLETRANSLATE(I:I,""en"", ""te"")"),"అమెరికా")</f>
        <v>అమెరికా</v>
      </c>
      <c r="K8" s="1" t="s">
        <v>159</v>
      </c>
      <c r="L8" s="1" t="s">
        <v>280</v>
      </c>
      <c r="M8" s="1" t="str">
        <f>IFERROR(__xludf.DUMMYFUNCTION("GOOGLETRANSLATE(L:L,""en"", ""te"")"),"స్టోడార్డ్-హామిల్టన్ ఎయిర్‌క్రాఫ్ట్‌గ్లాసైర్ ఏవియేషన్")</f>
        <v>స్టోడార్డ్-హామిల్టన్ ఎయిర్‌క్రాఫ్ట్‌గ్లాసైర్ ఏవియేషన్</v>
      </c>
      <c r="N8" s="1" t="s">
        <v>281</v>
      </c>
      <c r="P8" s="1" t="s">
        <v>282</v>
      </c>
      <c r="Q8" s="1"/>
      <c r="R8" s="1" t="s">
        <v>283</v>
      </c>
      <c r="S8" s="1" t="s">
        <v>164</v>
      </c>
      <c r="T8" s="1" t="s">
        <v>165</v>
      </c>
      <c r="U8" s="1" t="s">
        <v>284</v>
      </c>
      <c r="W8" s="1" t="s">
        <v>285</v>
      </c>
      <c r="X8" s="1" t="s">
        <v>286</v>
      </c>
      <c r="Y8" s="1" t="s">
        <v>287</v>
      </c>
      <c r="Z8" s="1" t="s">
        <v>288</v>
      </c>
      <c r="AA8" s="1" t="s">
        <v>289</v>
      </c>
      <c r="AB8" s="1" t="s">
        <v>290</v>
      </c>
      <c r="AD8" s="1" t="s">
        <v>291</v>
      </c>
      <c r="AE8" s="1" t="s">
        <v>292</v>
      </c>
      <c r="AF8" s="1" t="s">
        <v>293</v>
      </c>
      <c r="AG8" s="1" t="s">
        <v>294</v>
      </c>
      <c r="AH8" s="1" t="s">
        <v>295</v>
      </c>
      <c r="AI8" s="1" t="s">
        <v>296</v>
      </c>
      <c r="AK8" s="1" t="s">
        <v>297</v>
      </c>
      <c r="AM8" s="1" t="s">
        <v>298</v>
      </c>
      <c r="AO8" s="1">
        <v>1989.0</v>
      </c>
      <c r="AS8" s="1" t="s">
        <v>299</v>
      </c>
      <c r="AU8" s="1" t="s">
        <v>300</v>
      </c>
      <c r="AV8" s="1" t="s">
        <v>301</v>
      </c>
      <c r="AW8" s="1" t="s">
        <v>302</v>
      </c>
    </row>
    <row r="9">
      <c r="A9" s="1" t="s">
        <v>303</v>
      </c>
      <c r="B9" s="1" t="str">
        <f>IFERROR(__xludf.DUMMYFUNCTION("GOOGLETRANSLATE(A:A,""en"", ""te"")"),"STOLP SA-500 స్టార్లెట్")</f>
        <v>STOLP SA-500 స్టార్లెట్</v>
      </c>
      <c r="C9" s="1" t="s">
        <v>304</v>
      </c>
      <c r="D9" s="1" t="str">
        <f>IFERROR(__xludf.DUMMYFUNCTION("GOOGLETRANSLATE(C:C,""en"", ""te"")"),"STOLP SA-500 స్టార్లెట్ ఒక అమెరికన్ te త్సాహిక-నిర్మిత విమానం. కాలిఫోర్నియాలోని కరోనా యొక్క విమానం స్ప్రూస్ &amp; స్పెషాలిటీ ద్వారా ఈ విమానం te త్సాహిక నిర్మాణానికి ప్రణాళికల రూపంలో సరఫరా చేయబడుతుంది. [2] [3] స్టార్లెట్‌లో స్ట్రట్-బ్రేస్డ్ పారాసోల్ వింగ్, విం"&amp;"డ్‌షీల్డ్‌తో సింగిల్-సీట్ ఓపెన్ కాక్‌పిట్, స్థిర సాంప్రదాయ ల్యాండింగ్ గేర్ మరియు ట్రాక్టర్ కాన్ఫిగరేషన్‌లో ఒకే ఇంజిన్ ఉన్నాయి. [2] [3] విమానం ఫ్యూజ్‌లేజ్ వెల్డెడ్ 4130 స్టీల్ గొట్టాల నుండి తయారవుతుంది, అయితే రెక్కను కలపతో తయారు చేసి డోప్డ్ ఎయిర్‌క్రాఫ్ట్ "&amp;"ఫాబ్రిక్‌లో కప్పారు. దీని 25 అడుగుల (7.6 మీ) స్పాన్ వింగ్ క్లార్క్ YH ఎయిర్‌ఫాయిల్‌ను ఉపయోగిస్తుంది, ఇది 83 చదరపు అడుగుల (7.7 మీ 2) విస్తీర్ణంలో ఉంది. సిఫార్సు చేయబడిన వ్యవస్థాపిత శక్తి 65 నుండి 125 హెచ్‌పి (48 నుండి 93 కిలోవాట్), మరియు ఉపయోగించిన ఇంజిన్ల"&amp;"లో 65 హెచ్‌పి (48 కిలోవాట్) వోక్స్వ్యాగన్ ఎయిర్-కూల్డ్ ఇంజిన్, 80 హెచ్‌పి (60 కిలోవాట్ EA-81, సుజుకి మరియు స్మాల్ కాంటినెంటల్ మోటార్స్, ఇంక్. పవర్‌ప్లాంట్లు. [2] [3] [4] [5] నిర్మాణ సమయం 1400 గంటలు అని అంచనా. [5] 1998 నాటికి, 35 విమానాలు పూర్తయ్యాయని మరియ"&amp;"ు ఎగురుతున్నాయని కంపెనీ నివేదించింది. [1] బేయర్ల్ మరియు ఎయిర్క్రాఫ్ట్ స్ప్రూస్ &amp; స్పెషాలిటీ నుండి డేటా [2] [5] సాధారణ లక్షణాల పనితీరు")</f>
        <v>STOLP SA-500 స్టార్లెట్ ఒక అమెరికన్ te త్సాహిక-నిర్మిత విమానం. కాలిఫోర్నియాలోని కరోనా యొక్క విమానం స్ప్రూస్ &amp; స్పెషాలిటీ ద్వారా ఈ విమానం te త్సాహిక నిర్మాణానికి ప్రణాళికల రూపంలో సరఫరా చేయబడుతుంది. [2] [3] స్టార్లెట్‌లో స్ట్రట్-బ్రేస్డ్ పారాసోల్ వింగ్, విండ్‌షీల్డ్‌తో సింగిల్-సీట్ ఓపెన్ కాక్‌పిట్, స్థిర సాంప్రదాయ ల్యాండింగ్ గేర్ మరియు ట్రాక్టర్ కాన్ఫిగరేషన్‌లో ఒకే ఇంజిన్ ఉన్నాయి. [2] [3] విమానం ఫ్యూజ్‌లేజ్ వెల్డెడ్ 4130 స్టీల్ గొట్టాల నుండి తయారవుతుంది, అయితే రెక్కను కలపతో తయారు చేసి డోప్డ్ ఎయిర్‌క్రాఫ్ట్ ఫాబ్రిక్‌లో కప్పారు. దీని 25 అడుగుల (7.6 మీ) స్పాన్ వింగ్ క్లార్క్ YH ఎయిర్‌ఫాయిల్‌ను ఉపయోగిస్తుంది, ఇది 83 చదరపు అడుగుల (7.7 మీ 2) విస్తీర్ణంలో ఉంది. సిఫార్సు చేయబడిన వ్యవస్థాపిత శక్తి 65 నుండి 125 హెచ్‌పి (48 నుండి 93 కిలోవాట్), మరియు ఉపయోగించిన ఇంజిన్లలో 65 హెచ్‌పి (48 కిలోవాట్) వోక్స్వ్యాగన్ ఎయిర్-కూల్డ్ ఇంజిన్, 80 హెచ్‌పి (60 కిలోవాట్ EA-81, సుజుకి మరియు స్మాల్ కాంటినెంటల్ మోటార్స్, ఇంక్. పవర్‌ప్లాంట్లు. [2] [3] [4] [5] నిర్మాణ సమయం 1400 గంటలు అని అంచనా. [5] 1998 నాటికి, 35 విమానాలు పూర్తయ్యాయని మరియు ఎగురుతున్నాయని కంపెనీ నివేదించింది. [1] బేయర్ల్ మరియు ఎయిర్క్రాఫ్ట్ స్ప్రూస్ &amp; స్పెషాలిటీ నుండి డేటా [2] [5] సాధారణ లక్షణాల పనితీరు</v>
      </c>
      <c r="E9" s="1" t="s">
        <v>305</v>
      </c>
      <c r="F9" s="1" t="s">
        <v>278</v>
      </c>
      <c r="G9" s="1" t="str">
        <f>IFERROR(__xludf.DUMMYFUNCTION("GOOGLETRANSLATE(F:F,""en"", ""te"")"),"Te త్సాహిక నిర్మించిన విమానం")</f>
        <v>Te త్సాహిక నిర్మించిన విమానం</v>
      </c>
      <c r="H9" s="1" t="s">
        <v>279</v>
      </c>
      <c r="I9" s="1" t="s">
        <v>158</v>
      </c>
      <c r="J9" s="1" t="str">
        <f>IFERROR(__xludf.DUMMYFUNCTION("GOOGLETRANSLATE(I:I,""en"", ""te"")"),"అమెరికా")</f>
        <v>అమెరికా</v>
      </c>
      <c r="K9" s="1" t="s">
        <v>159</v>
      </c>
      <c r="L9" s="1" t="s">
        <v>306</v>
      </c>
      <c r="M9" s="1" t="str">
        <f>IFERROR(__xludf.DUMMYFUNCTION("GOOGLETRANSLATE(L:L,""en"", ""te"")"),"ఎయిర్క్రాఫ్ట్ స్ప్రూస్ &amp; స్పెషాలిటీ")</f>
        <v>ఎయిర్క్రాఫ్ట్ స్ప్రూస్ &amp; స్పెషాలిటీ</v>
      </c>
      <c r="N9" s="1" t="s">
        <v>307</v>
      </c>
      <c r="P9" s="1" t="s">
        <v>308</v>
      </c>
      <c r="Q9" s="1"/>
      <c r="R9" s="1" t="s">
        <v>309</v>
      </c>
      <c r="S9" s="1" t="s">
        <v>164</v>
      </c>
      <c r="W9" s="1" t="s">
        <v>310</v>
      </c>
      <c r="X9" s="1" t="s">
        <v>311</v>
      </c>
      <c r="Y9" s="1" t="s">
        <v>312</v>
      </c>
      <c r="Z9" s="1" t="s">
        <v>313</v>
      </c>
      <c r="AA9" s="1" t="s">
        <v>314</v>
      </c>
      <c r="AB9" s="1" t="s">
        <v>315</v>
      </c>
      <c r="AE9" s="1" t="s">
        <v>316</v>
      </c>
      <c r="AF9" s="1" t="s">
        <v>317</v>
      </c>
      <c r="AG9" s="1" t="s">
        <v>208</v>
      </c>
      <c r="AH9" s="1" t="s">
        <v>318</v>
      </c>
      <c r="AK9" s="1" t="s">
        <v>319</v>
      </c>
      <c r="AM9" s="1" t="s">
        <v>320</v>
      </c>
      <c r="AQ9" s="1" t="s">
        <v>246</v>
      </c>
      <c r="AS9" s="1" t="s">
        <v>321</v>
      </c>
    </row>
    <row r="10">
      <c r="A10" s="1" t="s">
        <v>322</v>
      </c>
      <c r="B10" s="1" t="str">
        <f>IFERROR(__xludf.DUMMYFUNCTION("GOOGLETRANSLATE(A:A,""en"", ""te"")"),"స్టీర్మాన్ M-2 స్పీడ్ మెయిల్")</f>
        <v>స్టీర్మాన్ M-2 స్పీడ్ మెయిల్</v>
      </c>
      <c r="C10" s="1" t="s">
        <v>323</v>
      </c>
      <c r="D10" s="1" t="str">
        <f>IFERROR(__xludf.DUMMYFUNCTION("GOOGLETRANSLATE(C:C,""en"", ""te"")"),"స్టీర్మాన్ ఎం -2 స్పీడ్ మెయిల్ (ది బుల్ స్టీర్మాన్ అనే మారుపేరు) కాన్సాస్లోని విచిత యొక్క స్టీర్మాన్ ఎయిర్క్రాఫ్ట్ కంపెనీ నిర్మించిన మెయిల్-క్యారియర్ విమానం. ఇది మొదట జనవరి 1929 లో ప్రయాణించింది. స్పీడ్‌మెయిల్ సింగిల్-సీట్ల బిప్‌లేన్, ఫ్రంట్ కాక్‌పిట్ స్థ"&amp;"ానంలో రెండు పెద్ద కార్గో కంపార్ట్‌మెంట్లు ఉన్నాయి. ఫ్యూజ్‌లేజ్ మరియు టెయిల్ యూనిట్ వెల్డెడ్ క్రోమ్-మోలీ స్టీల్ ట్యూబ్ నుండి చెక్క ఫార్మర్‌లతో మరియు పైలట్ యొక్క కాక్‌పిట్ యొక్క ఫాబ్రిక్ కప్పబడిన ఫాబ్రిక్ నుండి నిర్మించబడింది మరియు వేరు చేయగలిగిన అల్యూమినియ"&amp;"ం మిశ్రమం ప్యానెల్లు కాక్‌పిట్ యొక్క ఫ్యూజ్‌లేజ్‌ను ముందుకు కప్పాయి. రెక్కలు స్ప్రూస్ స్పార్స్ మరియు ప్లైవుడ్ నిర్మించిన పక్కటెముకల నుండి నిర్మించబడ్డాయి, అన్ని ఫాబ్రిక్ కప్పబడి ఉంది. ఇది మునుపటి స్టీర్మాన్ విమానం నుండి టెయిల్‌వీల్ కలిగి ఉండటం ద్వారా దాని"&amp;" పరిమాణం మరియు బరువు కారణంగా టెయిల్‌వీల్ కలిగి ఉండటం ద్వారా విభిన్నంగా ఉంది. లాయిడ్ స్టీర్మాన్ మరియు మాక్ షార్ట్, (స్టీర్మాన్ యొక్క వి.పి. చిన్న, ఆకట్టుకోని ఎయిర్‌స్ట్రిప్స్‌పై భూమి. క్రూజింగ్ వేగాన్ని ప్రభావితం చేయకుండా తక్కువ వేగంతో అధిక లిఫ్ట్‌ను అనుమత"&amp;"ించే కొత్త రకం ఎయిర్‌ఫాయిల్ విభాగాన్ని ఉపయోగించడం ద్వారా ఇది సాధించబడింది. ఫలితం పెద్ద కార్గో సామర్థ్యంతో ధృ dy నిర్మాణంగల విమానం. అట్లాంటా నుండి దాని ఎయిర్ మెయిల్ మార్గాల్లో ప్రయాణీకులను ఎగరడానికి అంతర్రాష్ట్ర ఎయిర్ లైన్లు ప్రారంభించడానికి, స్టీర్మాన్ M-"&amp;"2 ను LT-1 (లైట్ ట్రాన్స్‌పోర్ట్) లోకి విస్తరించి, ఫార్వర్డ్ కార్గో కంపార్ట్‌మెంట్ల స్థానంలో నాలుగు సీట్ల పరివేష్టిత క్యాబిన్‌ను జోడించి, పేలోడ్ నాలుగు ప్యాసింజర్ ప్లస్ సామాను మరియు 500 పౌండ్ల కార్గో లేదా మెయిల్ కోసం సామర్థ్యం అనుమతించబడుతుంది. మరో అభివృద్"&amp;"ధి క్యాబ్ -1 ""కోచ్"", ఇది వ్యాపార విమానంగా ఉపయోగించడానికి పరివేష్టిత క్యాబిన్‌తో రూపొందించబడింది. LT-1 మాదిరిగా కాకుండా, పైలట్ పరివేష్టిత క్యాబిన్ లోపల మరియు ప్రయాణీకుల ముందు ఉన్నాడు. ఏదేమైనా, ఒకటి మాత్రమే నిర్మించబడింది, ఇది అమ్మకాలు కార్యరూపం దాల్చడంలో"&amp;" విఫలమైనప్పుడు తరువాత కూల్చివేయబడింది. స్టీర్మాన్ అప్పుడు M-2, స్టీర్మాన్ 4 యొక్క స్కేల్డ్ డౌన్ వెర్షన్‌ను అభివృద్ధి చేశాడు, ఇది విజయవంతమైంది. వార్నీ ఎయిర్ లైన్స్ పైలట్లు M-2 ను నిర్వహించడం కష్టమని కనుగొన్నారు మరియు రైట్ సైక్లోన్ ఇంజిన్ తరచుగా నిర్వహణ సమస"&amp;"్యలతో బాధపడుతోంది. ఒరెగాన్, U.S.A. [1] లోని హుడ్ నదిలోని వెస్ట్రన్ పురాతన విమానం &amp; ఆటోమొబైల్ మ్యూజియం సేకరణలో మిగిలి ఉన్న ఏకైక స్టీర్మాన్ M-2 స్పీడ్‌మెయిల్ ప్రదర్శనలో ఉంది. అమెరికన్ వాణిజ్య విమానాల స్పెసిఫికేషన్ల నుండి డేటా [2] సాధారణ లక్షణాలు పనితీరు సంబ"&amp;"ంధిత అభివృద్ధి అభివృద్ధి విమానం పోల్చదగిన పాత్ర, కాన్ఫిగరేషన్ మరియు ERA")</f>
        <v>స్టీర్మాన్ ఎం -2 స్పీడ్ మెయిల్ (ది బుల్ స్టీర్మాన్ అనే మారుపేరు) కాన్సాస్లోని విచిత యొక్క స్టీర్మాన్ ఎయిర్క్రాఫ్ట్ కంపెనీ నిర్మించిన మెయిల్-క్యారియర్ విమానం. ఇది మొదట జనవరి 1929 లో ప్రయాణించింది. స్పీడ్‌మెయిల్ సింగిల్-సీట్ల బిప్‌లేన్, ఫ్రంట్ కాక్‌పిట్ స్థానంలో రెండు పెద్ద కార్గో కంపార్ట్‌మెంట్లు ఉన్నాయి. ఫ్యూజ్‌లేజ్ మరియు టెయిల్ యూనిట్ వెల్డెడ్ క్రోమ్-మోలీ స్టీల్ ట్యూబ్ నుండి చెక్క ఫార్మర్‌లతో మరియు పైలట్ యొక్క కాక్‌పిట్ యొక్క ఫాబ్రిక్ కప్పబడిన ఫాబ్రిక్ నుండి నిర్మించబడింది మరియు వేరు చేయగలిగిన అల్యూమినియం మిశ్రమం ప్యానెల్లు కాక్‌పిట్ యొక్క ఫ్యూజ్‌లేజ్‌ను ముందుకు కప్పాయి. రెక్కలు స్ప్రూస్ స్పార్స్ మరియు ప్లైవుడ్ నిర్మించిన పక్కటెముకల నుండి నిర్మించబడ్డాయి, అన్ని ఫాబ్రిక్ కప్పబడి ఉంది. ఇది మునుపటి స్టీర్మాన్ విమానం నుండి టెయిల్‌వీల్ కలిగి ఉండటం ద్వారా దాని పరిమాణం మరియు బరువు కారణంగా టెయిల్‌వీల్ కలిగి ఉండటం ద్వారా విభిన్నంగా ఉంది. లాయిడ్ స్టీర్మాన్ మరియు మాక్ షార్ట్, (స్టీర్మాన్ యొక్క వి.పి. చిన్న, ఆకట్టుకోని ఎయిర్‌స్ట్రిప్స్‌పై భూమి. క్రూజింగ్ వేగాన్ని ప్రభావితం చేయకుండా తక్కువ వేగంతో అధిక లిఫ్ట్‌ను అనుమతించే కొత్త రకం ఎయిర్‌ఫాయిల్ విభాగాన్ని ఉపయోగించడం ద్వారా ఇది సాధించబడింది. ఫలితం పెద్ద కార్గో సామర్థ్యంతో ధృ dy నిర్మాణంగల విమానం. అట్లాంటా నుండి దాని ఎయిర్ మెయిల్ మార్గాల్లో ప్రయాణీకులను ఎగరడానికి అంతర్రాష్ట్ర ఎయిర్ లైన్లు ప్రారంభించడానికి, స్టీర్మాన్ M-2 ను LT-1 (లైట్ ట్రాన్స్‌పోర్ట్) లోకి విస్తరించి, ఫార్వర్డ్ కార్గో కంపార్ట్‌మెంట్ల స్థానంలో నాలుగు సీట్ల పరివేష్టిత క్యాబిన్‌ను జోడించి, పేలోడ్ నాలుగు ప్యాసింజర్ ప్లస్ సామాను మరియు 500 పౌండ్ల కార్గో లేదా మెయిల్ కోసం సామర్థ్యం అనుమతించబడుతుంది. మరో అభివృద్ధి క్యాబ్ -1 "కోచ్", ఇది వ్యాపార విమానంగా ఉపయోగించడానికి పరివేష్టిత క్యాబిన్‌తో రూపొందించబడింది. LT-1 మాదిరిగా కాకుండా, పైలట్ పరివేష్టిత క్యాబిన్ లోపల మరియు ప్రయాణీకుల ముందు ఉన్నాడు. ఏదేమైనా, ఒకటి మాత్రమే నిర్మించబడింది, ఇది అమ్మకాలు కార్యరూపం దాల్చడంలో విఫలమైనప్పుడు తరువాత కూల్చివేయబడింది. స్టీర్మాన్ అప్పుడు M-2, స్టీర్మాన్ 4 యొక్క స్కేల్డ్ డౌన్ వెర్షన్‌ను అభివృద్ధి చేశాడు, ఇది విజయవంతమైంది. వార్నీ ఎయిర్ లైన్స్ పైలట్లు M-2 ను నిర్వహించడం కష్టమని కనుగొన్నారు మరియు రైట్ సైక్లోన్ ఇంజిన్ తరచుగా నిర్వహణ సమస్యలతో బాధపడుతోంది. ఒరెగాన్, U.S.A. [1] లోని హుడ్ నదిలోని వెస్ట్రన్ పురాతన విమానం &amp; ఆటోమొబైల్ మ్యూజియం సేకరణలో మిగిలి ఉన్న ఏకైక స్టీర్మాన్ M-2 స్పీడ్‌మెయిల్ ప్రదర్శనలో ఉంది. అమెరికన్ వాణిజ్య విమానాల స్పెసిఫికేషన్ల నుండి డేటా [2] సాధారణ లక్షణాలు పనితీరు సంబంధిత అభివృద్ధి అభివృద్ధి విమానం పోల్చదగిన పాత్ర, కాన్ఫిగరేషన్ మరియు ERA</v>
      </c>
      <c r="E10" s="1" t="s">
        <v>324</v>
      </c>
      <c r="F10" s="1" t="s">
        <v>325</v>
      </c>
      <c r="G10" s="1" t="str">
        <f>IFERROR(__xludf.DUMMYFUNCTION("GOOGLETRANSLATE(F:F,""en"", ""te"")"),"మెయిల్ క్యారియర్")</f>
        <v>మెయిల్ క్యారియర్</v>
      </c>
      <c r="I10" s="1" t="s">
        <v>158</v>
      </c>
      <c r="J10" s="1" t="str">
        <f>IFERROR(__xludf.DUMMYFUNCTION("GOOGLETRANSLATE(I:I,""en"", ""te"")"),"అమెరికా")</f>
        <v>అమెరికా</v>
      </c>
      <c r="L10" s="1" t="s">
        <v>326</v>
      </c>
      <c r="M10" s="1" t="str">
        <f>IFERROR(__xludf.DUMMYFUNCTION("GOOGLETRANSLATE(L:L,""en"", ""te"")"),"స్టీర్మాన్ ఎయిర్క్రాఫ్ట్ కంపెనీ")</f>
        <v>స్టీర్మాన్ ఎయిర్క్రాఫ్ట్ కంపెనీ</v>
      </c>
      <c r="N10" s="1" t="s">
        <v>327</v>
      </c>
      <c r="R10" s="1">
        <v>7.0</v>
      </c>
      <c r="S10" s="1">
        <v>1.0</v>
      </c>
      <c r="T10" s="1" t="s">
        <v>328</v>
      </c>
      <c r="U10" s="1" t="s">
        <v>329</v>
      </c>
      <c r="V10" s="1" t="s">
        <v>330</v>
      </c>
      <c r="W10" s="1" t="s">
        <v>331</v>
      </c>
      <c r="X10" s="1" t="s">
        <v>332</v>
      </c>
      <c r="Y10" s="1" t="s">
        <v>333</v>
      </c>
      <c r="Z10" s="1" t="s">
        <v>334</v>
      </c>
      <c r="AA10" s="1" t="s">
        <v>335</v>
      </c>
      <c r="AB10" s="1" t="s">
        <v>336</v>
      </c>
      <c r="AD10" s="1" t="s">
        <v>337</v>
      </c>
      <c r="AG10" s="1" t="s">
        <v>338</v>
      </c>
      <c r="AH10" s="1" t="s">
        <v>339</v>
      </c>
      <c r="AK10" s="1" t="s">
        <v>340</v>
      </c>
      <c r="AL10" s="1" t="s">
        <v>341</v>
      </c>
      <c r="AM10" s="1" t="s">
        <v>342</v>
      </c>
      <c r="AN10" s="1" t="s">
        <v>343</v>
      </c>
      <c r="AO10" s="4">
        <v>10608.0</v>
      </c>
      <c r="AQ10" s="1" t="s">
        <v>344</v>
      </c>
      <c r="AX10" s="1" t="s">
        <v>345</v>
      </c>
      <c r="AY10" s="1" t="s">
        <v>346</v>
      </c>
    </row>
    <row r="11">
      <c r="A11" s="1" t="s">
        <v>347</v>
      </c>
      <c r="B11" s="1" t="str">
        <f>IFERROR(__xludf.DUMMYFUNCTION("GOOGLETRANSLATE(A:A,""en"", ""te"")"),"స్టీవర్ట్ హెడ్‌విండ్")</f>
        <v>స్టీవర్ట్ హెడ్‌విండ్</v>
      </c>
      <c r="C11" s="1" t="s">
        <v>348</v>
      </c>
      <c r="D11" s="1" t="str">
        <f>IFERROR(__xludf.DUMMYFUNCTION("GOOGLETRANSLATE(C:C,""en"", ""te"")"),"స్టీవర్ట్ హెడ్‌విండ్ JD1HW1.7 మరియు SAC-1VW ఒకే-సీట్ల హై-వింగ్ ట్యూబ్-అండ్-ఫాబ్రిక్ నిర్మాణ హోమ్‌బ్యూల్ట్ విమానం. [1] మొట్టమొదటి హెడ్‌వైండ్ మార్చి 28, 1962 న ఎగురవేయబడింది. విడబ్ల్యు ఇంజిన్‌ను ఉపయోగించి యునైటెడ్ స్టేట్స్‌లో ప్రయాణించిన మొదటి విమానం ఇది. ప"&amp;"్రోటోటైప్ హగ్గిన్స్ VW మార్పిడితో ఎగిరింది. [2] ప్రామాణిక ప్రొపెల్లర్‌ను ఉపయోగించడానికి, ఇంజిన్ RPM మరియు ప్రొపెల్లర్ RPM ను దాని వాంఛనీయ వేగంతో ఉంచడానికి పేటెంట్ పొందిన PRSU (ప్రొపెల్లర్ స్పీడ్ తగ్గించే యూనిట్) అభివృద్ధి చేయబడింది. [3] ఈ డిజైన్ డెమోసెల్ల"&amp;"ె ద్వారా అల్బెర్టో శాంటాస్-డుమోంట్ చేత ప్రేరణ పొందింది. [4] ఫ్యూజ్‌లేజ్ అనేది ఫాబ్రిక్‌తో కప్పబడిన వెల్డెడ్ ట్యూబ్ స్టీల్ యొక్క త్రిభుజాకార విభాగాలు. వోక్స్వ్యాగన్ ఎయిర్-కూల్డ్ ఇంజిన్ ఈ మోడల్ కోసం పేర్కొన్న ఏకైక ఇంజిన్, అయితే ప్రత్యామ్నాయ ఇంజిన్ సంస్థాపనల"&amp;"తో అనేక ఉదాహరణలు ఉన్నాయి. పోల్చదగిన పాత్ర, కాన్ఫిగరేషన్ మరియు ERA యొక్క స్పోర్ట్ ఏవియేషన్ జనరల్ లక్షణాల నుండి డేటా పనితీరు విమానం")</f>
        <v>స్టీవర్ట్ హెడ్‌విండ్ JD1HW1.7 మరియు SAC-1VW ఒకే-సీట్ల హై-వింగ్ ట్యూబ్-అండ్-ఫాబ్రిక్ నిర్మాణ హోమ్‌బ్యూల్ట్ విమానం. [1] మొట్టమొదటి హెడ్‌వైండ్ మార్చి 28, 1962 న ఎగురవేయబడింది. విడబ్ల్యు ఇంజిన్‌ను ఉపయోగించి యునైటెడ్ స్టేట్స్‌లో ప్రయాణించిన మొదటి విమానం ఇది. ప్రోటోటైప్ హగ్గిన్స్ VW మార్పిడితో ఎగిరింది. [2] ప్రామాణిక ప్రొపెల్లర్‌ను ఉపయోగించడానికి, ఇంజిన్ RPM మరియు ప్రొపెల్లర్ RPM ను దాని వాంఛనీయ వేగంతో ఉంచడానికి పేటెంట్ పొందిన PRSU (ప్రొపెల్లర్ స్పీడ్ తగ్గించే యూనిట్) అభివృద్ధి చేయబడింది. [3] ఈ డిజైన్ డెమోసెల్లె ద్వారా అల్బెర్టో శాంటాస్-డుమోంట్ చేత ప్రేరణ పొందింది. [4] ఫ్యూజ్‌లేజ్ అనేది ఫాబ్రిక్‌తో కప్పబడిన వెల్డెడ్ ట్యూబ్ స్టీల్ యొక్క త్రిభుజాకార విభాగాలు. వోక్స్వ్యాగన్ ఎయిర్-కూల్డ్ ఇంజిన్ ఈ మోడల్ కోసం పేర్కొన్న ఏకైక ఇంజిన్, అయితే ప్రత్యామ్నాయ ఇంజిన్ సంస్థాపనలతో అనేక ఉదాహరణలు ఉన్నాయి. పోల్చదగిన పాత్ర, కాన్ఫిగరేషన్ మరియు ERA యొక్క స్పోర్ట్ ఏవియేషన్ జనరల్ లక్షణాల నుండి డేటా పనితీరు విమానం</v>
      </c>
      <c r="F11" s="1" t="s">
        <v>258</v>
      </c>
      <c r="G11" s="1" t="str">
        <f>IFERROR(__xludf.DUMMYFUNCTION("GOOGLETRANSLATE(F:F,""en"", ""te"")"),"హోమ్‌బిల్ట్ విమానం")</f>
        <v>హోమ్‌బిల్ట్ విమానం</v>
      </c>
      <c r="H11" s="1" t="s">
        <v>259</v>
      </c>
      <c r="I11" s="1" t="s">
        <v>158</v>
      </c>
      <c r="J11" s="1" t="str">
        <f>IFERROR(__xludf.DUMMYFUNCTION("GOOGLETRANSLATE(I:I,""en"", ""te"")"),"అమెరికా")</f>
        <v>అమెరికా</v>
      </c>
      <c r="K11" s="1" t="s">
        <v>159</v>
      </c>
      <c r="L11" s="1" t="s">
        <v>260</v>
      </c>
      <c r="M11" s="1" t="str">
        <f>IFERROR(__xludf.DUMMYFUNCTION("GOOGLETRANSLATE(L:L,""en"", ""te"")"),"స్టీవర్ట్ ఎయిర్క్రాఫ్ట్ కార్పొరేషన్")</f>
        <v>స్టీవర్ట్ ఎయిర్క్రాఫ్ట్ కార్పొరేషన్</v>
      </c>
      <c r="N11" s="1" t="s">
        <v>261</v>
      </c>
      <c r="O11" s="1">
        <v>1962.0</v>
      </c>
      <c r="S11" s="1">
        <v>1.0</v>
      </c>
      <c r="U11" s="1" t="s">
        <v>349</v>
      </c>
      <c r="V11" s="1" t="s">
        <v>350</v>
      </c>
      <c r="W11" s="1" t="s">
        <v>351</v>
      </c>
      <c r="X11" s="1" t="s">
        <v>352</v>
      </c>
      <c r="Y11" s="1" t="s">
        <v>353</v>
      </c>
      <c r="Z11" s="1" t="s">
        <v>354</v>
      </c>
      <c r="AA11" s="1" t="s">
        <v>355</v>
      </c>
      <c r="AB11" s="1" t="s">
        <v>356</v>
      </c>
      <c r="AD11" s="1" t="s">
        <v>357</v>
      </c>
      <c r="AE11" s="1" t="s">
        <v>316</v>
      </c>
      <c r="AG11" s="1" t="s">
        <v>208</v>
      </c>
      <c r="AH11" s="1" t="s">
        <v>358</v>
      </c>
      <c r="AI11" s="1" t="s">
        <v>359</v>
      </c>
      <c r="AJ11" s="1" t="s">
        <v>360</v>
      </c>
      <c r="AK11" s="1" t="s">
        <v>361</v>
      </c>
      <c r="AL11" s="1" t="s">
        <v>362</v>
      </c>
      <c r="AM11" s="1" t="s">
        <v>273</v>
      </c>
      <c r="AO11" s="1">
        <v>1962.0</v>
      </c>
      <c r="AQ11" s="1" t="s">
        <v>363</v>
      </c>
      <c r="AZ11" s="1" t="s">
        <v>364</v>
      </c>
    </row>
    <row r="12">
      <c r="A12" s="1" t="s">
        <v>365</v>
      </c>
      <c r="B12" s="1" t="str">
        <f>IFERROR(__xludf.DUMMYFUNCTION("GOOGLETRANSLATE(A:A,""en"", ""te"")"),"స్టీవర్ట్ M-1")</f>
        <v>స్టీవర్ట్ M-1</v>
      </c>
      <c r="C12" s="1" t="s">
        <v>366</v>
      </c>
      <c r="D12" s="1" t="str">
        <f>IFERROR(__xludf.DUMMYFUNCTION("GOOGLETRANSLATE(C:C,""en"", ""te"")"),"స్టీవర్ట్ M-1 మోనోప్లేన్ W.F. చేత రూపొందించబడిన మరియు నిర్మించిన రెండు విమానాలలో మొదటిది. స్టీవర్ట్ కంపెనీ, కస్టమ్ చెక్క ఆటో బాడీలను నిర్మించే వారి సాధారణ పని ఆ సమయంలో అనుకూలంగా లేదు. [1] M-1 అనేది సాంప్రదాయిక ల్యాండింగ్ గేర్, ఆల్-వుడెన్ కన్స్ట్రక్షన్, మి"&amp;"డ్-వింగ్డ్ మోనోప్లేన్, రెండు టెన్డం ఓపెన్ కాక్‌పిట్‌లతో, వీటిలో ప్రతి ఒక్కటి మొత్తం నలుగురు వ్యక్తులకు పక్కపక్కనే సీటింగ్ కలిగి ఉన్నాయి. ఇది 90 హెచ్‌పి (67 కిలోవాట్) కర్టిస్ ఎద్దు -5 ఇంజిన్‌తో శక్తినిచ్చింది. వింగ్ స్పార్ మహోగని వెనిర్‌తో స్ప్రూస్‌తో తయార"&amp;"ు చేయబడింది. [2] ఈ నమూనా 1928 నుండి 1929 వరకు పరీక్ష చేయబడింది. మహా మాంద్యం ప్రారంభంతో ఉత్పత్తి రద్దు చేయబడింది. ఒక యజమాని 1934 వరకు మిచిగాన్ లోని ఫ్లింట్ నుండి విమానాన్ని నడుపుతున్నాడు. [3] ఈ నమూనా 1937 లో కూల్చివేయబడింది. [4] స్కైవేస్ జనరల్ లక్షణాల పనిత"&amp;"ీరు నుండి డేటా")</f>
        <v>స్టీవర్ట్ M-1 మోనోప్లేన్ W.F. చేత రూపొందించబడిన మరియు నిర్మించిన రెండు విమానాలలో మొదటిది. స్టీవర్ట్ కంపెనీ, కస్టమ్ చెక్క ఆటో బాడీలను నిర్మించే వారి సాధారణ పని ఆ సమయంలో అనుకూలంగా లేదు. [1] M-1 అనేది సాంప్రదాయిక ల్యాండింగ్ గేర్, ఆల్-వుడెన్ కన్స్ట్రక్షన్, మిడ్-వింగ్డ్ మోనోప్లేన్, రెండు టెన్డం ఓపెన్ కాక్‌పిట్‌లతో, వీటిలో ప్రతి ఒక్కటి మొత్తం నలుగురు వ్యక్తులకు పక్కపక్కనే సీటింగ్ కలిగి ఉన్నాయి. ఇది 90 హెచ్‌పి (67 కిలోవాట్) కర్టిస్ ఎద్దు -5 ఇంజిన్‌తో శక్తినిచ్చింది. వింగ్ స్పార్ మహోగని వెనిర్‌తో స్ప్రూస్‌తో తయారు చేయబడింది. [2] ఈ నమూనా 1928 నుండి 1929 వరకు పరీక్ష చేయబడింది. మహా మాంద్యం ప్రారంభంతో ఉత్పత్తి రద్దు చేయబడింది. ఒక యజమాని 1934 వరకు మిచిగాన్ లోని ఫ్లింట్ నుండి విమానాన్ని నడుపుతున్నాడు. [3] ఈ నమూనా 1937 లో కూల్చివేయబడింది. [4] స్కైవేస్ జనరల్ లక్షణాల పనితీరు నుండి డేటా</v>
      </c>
      <c r="F12" s="1" t="s">
        <v>367</v>
      </c>
      <c r="G12" s="1" t="str">
        <f>IFERROR(__xludf.DUMMYFUNCTION("GOOGLETRANSLATE(F:F,""en"", ""te"")"),"స్పోర్ట్ మోనోప్లేన్")</f>
        <v>స్పోర్ట్ మోనోప్లేన్</v>
      </c>
      <c r="I12" s="1" t="s">
        <v>158</v>
      </c>
      <c r="J12" s="1" t="str">
        <f>IFERROR(__xludf.DUMMYFUNCTION("GOOGLETRANSLATE(I:I,""en"", ""te"")"),"అమెరికా")</f>
        <v>అమెరికా</v>
      </c>
      <c r="K12" s="1" t="s">
        <v>159</v>
      </c>
      <c r="L12" s="1" t="s">
        <v>368</v>
      </c>
      <c r="M12" s="1" t="str">
        <f>IFERROR(__xludf.DUMMYFUNCTION("GOOGLETRANSLATE(L:L,""en"", ""te"")"),"W.F. స్టీవర్ట్ కంపెనీ")</f>
        <v>W.F. స్టీవర్ట్ కంపెనీ</v>
      </c>
      <c r="N12" s="1" t="s">
        <v>369</v>
      </c>
      <c r="T12" s="1">
        <v>4.0</v>
      </c>
      <c r="U12" s="1" t="s">
        <v>318</v>
      </c>
      <c r="W12" s="1" t="s">
        <v>370</v>
      </c>
      <c r="X12" s="1" t="s">
        <v>371</v>
      </c>
      <c r="Y12" s="1" t="s">
        <v>372</v>
      </c>
      <c r="Z12" s="1" t="s">
        <v>373</v>
      </c>
      <c r="AA12" s="1" t="s">
        <v>374</v>
      </c>
      <c r="AB12" s="1" t="s">
        <v>363</v>
      </c>
      <c r="AE12" s="1" t="s">
        <v>375</v>
      </c>
      <c r="AH12" s="1" t="s">
        <v>376</v>
      </c>
      <c r="AK12" s="1" t="s">
        <v>377</v>
      </c>
      <c r="AL12" s="1" t="s">
        <v>341</v>
      </c>
      <c r="AM12" s="1" t="s">
        <v>378</v>
      </c>
      <c r="AN12" s="1" t="s">
        <v>379</v>
      </c>
      <c r="AO12" s="1">
        <v>1927.0</v>
      </c>
      <c r="AQ12" s="1" t="s">
        <v>380</v>
      </c>
    </row>
    <row r="13">
      <c r="A13" s="1" t="s">
        <v>381</v>
      </c>
      <c r="B13" s="1" t="str">
        <f>IFERROR(__xludf.DUMMYFUNCTION("GOOGLETRANSLATE(A:A,""en"", ""te"")"),"స్టిన్సన్ మోడల్ a")</f>
        <v>స్టిన్సన్ మోడల్ a</v>
      </c>
      <c r="C13" s="1" t="s">
        <v>382</v>
      </c>
      <c r="D13" s="1" t="str">
        <f>IFERROR(__xludf.DUMMYFUNCTION("GOOGLETRANSLATE(C:C,""en"", ""te"")"),"స్టిన్సన్ మోడల్ A 1930 ల మధ్యలో మధ్యస్తంగా విజయవంతమైన విమానాలు. ఒత్తిడితో కూడిన చర్మం అల్యూమినియం నిర్మాణాన్ని ప్రవేశపెట్టడానికి ముందు యునైటెడ్ స్టేట్స్లో ఫాబ్రిక్-కప్పబడిన స్టీల్ ట్యూబ్ ఫ్యూజ్‌లేజ్‌తో రూపొందించిన చివరి వాణిజ్య విమానాలలో ఇది ఒకటి. [సైటేషన"&amp;"్ అవసరం] మొత్తం 30 స్టిన్సన్ మోడల్ 1936 లో ఉత్పత్తి ఆగిపోయే వరకు నిర్మించబడింది. ఇది. ఇది ఒత్తిడితో కూడిన-చర్మ బోయింగ్ 247 మరియు డగ్లస్ DC-2 ను ప్రవేశపెట్టడం ద్వారా వాణిజ్య విజయం తగ్గించబడిన అనేక మంచి డిజైన్లలో ఒకటి. [1] ఎందుకంటే కొత్త బోయింగ్ లేదా డగ్లస్"&amp;" విమానాల కోసం వెయిటింగ్ లిస్టులు అప్పటికే ఆస్ట్రేలియా యొక్క విమానయాన సంస్థలు (AOA) జనవరి 1936 నాటికి మూడు స్టిన్సన్ మోడల్‌ను ఆదేశించాయి. ఈ విమానాలు VH-PUGG లిస్మోర్ (మార్చి 27 న S.S. నగరానికి వచ్చాయి), VH-UHH బ్రిస్బేన్ (జూన్ 22 న S.S. విచితకు వచ్చారు) మర"&amp;"ియు VH-UKK టౌన్స్విల్లే (జూలై 22 న S.S. నగరం మనీల్లాలో వచ్చారు). ఈ ముగ్గురూ త్వరగా తిరిగి కలపబడి సిడ్నీ - బ్రిస్బేన్ సేవలోకి ప్రవేశించారు, ఆగస్టులో AOA నాల్గవ ఉదాహరణ VH -UYY గ్రాఫ్టన్ - నిర్మించాల్సిన చివరి స్టిన్సన్ మోడల్ A ను ఆదేశించింది - ఇది సిడ్నీకి "&amp;"S.S. పోర్ట్ అల్మా డిసెంబర్ 14 న. [సైటేషన్ అవసరం] 1936 చివరి నాటికి ఒకదానికొకటి మట్టిగడ్డను కత్తిరించడానికి AOA మరియు ఆస్ట్రేలియన్ నేషనల్ ఎయిర్‌వేస్ (ANA) రెండింటి నుండి భంగిమలో, AOA పై నియంత్రణ ఆసక్తిని పొందటానికి ANA చేసిన ప్రారంభ ప్రయత్నాలు విఫలమయ్యాయి,"&amp;" విషాదకరమైన నష్టాలు వరకు విఫలమయ్యాయి 19 ఫిబ్రవరి 1937 న మెక్‌ఫెర్సన్ శ్రేణులలో VH-UHH బ్రిస్బేన్ మరియు మార్చి 28 న VH-PUGG లిస్మోర్ AOA యొక్క ప్రధాన-లైన్ విమానాలను సగానికి తగ్గించింది. మార్చి 1937 లో ఒక విలీనం అమలులోకి వచ్చింది, అయినప్పటికీ, జూలై 1, 1942 "&amp;"న AOA అధికారికంగా ANA లోకి కలిసిపోయే వరకు రెండు కంపెనీలు వేర్వేరు గుర్తింపులను నిలుపుకున్నాయి. అప్పుడు మిగిలి ఉన్న ఇద్దరు స్టిన్‌సన్‌లను ANA నామకరణానికి అనుగుణంగా VH-UKK బినానా మరియు VH-UYY టోకానాగా మార్చారు. [[(చేర్చుట స్టిన్సన్స్ వృద్ధాప్య లైమింగ్ R-680"&amp;" ఇంజిన్ల కోసం రెండవ ప్రపంచ యుద్ధ భాగాలలో ఆస్ట్రేలియాలో పొందడం అసాధ్యం మరియు ప్రతి రెక్కపై ప్రాట్ &amp; విట్నీ R-1340 కందిరీగ ఇంజిన్‌తో రెండు విమానాలను తిరిగి ఇంజిన్ చేయాలని నిర్ణయించారు మరియు ఇంజిన్ను తొలగించండి ముక్కు మీద. అదనపు శక్తి రెండు విమానాలను వేగంగా "&amp;"ఎగరడానికి మరియు భారీ లోడ్లను కలిగి ఉండటానికి అనుమతించింది, అయినప్పటికీ ఇంధన డంప్‌లు వాటి గరిష్ట ల్యాండింగ్ బరువు 10,750 పౌండ్లు (4,876 కిలోలు) కింద ఉండటానికి అనుమతించవలసి వచ్చింది, అత్యవసర పరిస్థితుల్లో ల్యాండింగ్ చేయాల్సిన అవసరం ఉంది ఆఫ్. [2] మే 1943 లో "&amp;"విక్టోరియాలోని ఎస్సెండన్ వద్ద పూర్తయిన తరువాత, బినానా క్వీన్స్లాండ్ రన్, బ్రిస్బేన్-కైర్న్స్కు తిరిగి వచ్చింది, టోకానా అదేవిధంగా మెల్బోర్న్ (ఎస్సెండన్), కెరాంగ్, విక్టోరియా, మిల్దురా, విక్టోరియా మరియు బ్రోకెన్ హిల్, న్యూ సౌత్ వేల్స్. తరువాత బినానాను మెల్బ"&amp;"ోర్న్-టాస్మానియా సేవకు బదిలీ చేశారు. [2] 31 జనవరి 1945 ఉదయం టోకానా మెల్బోర్న్కు ఉత్తరాన యాభై మైళ్ళ దూరంలో ఉన్న రెడెస్‌డేల్ మరియు హీత్‌కోట్ మధ్య విమానంలో పోర్ట్ వింగ్ విడిపోయినప్పుడు టోకానా తన రెగ్యులర్ సర్వీస్ యొక్క కెరాంగ్ లెగ్‌లో ఉంది. అప్పుడు ఈ విమానం "&amp;"నేలమీదకు పడిపోయింది, సిబ్బందిని మరియు ఎనిమిది మంది ప్రయాణికుల పూర్తి లోడ్ ఇద్దరినీ చంపింది. వింగ్ యొక్క దిగువ ప్రధాన స్పార్ బూమ్ అటాచ్మెంట్ సాకెట్‌లో లోహపు అలసట అభివృద్ధి చెందిందని ఒక దర్యాప్తులో తేలింది, విమానంలో విమానంలో విమానంలో విమానంలో విఫలమవుతుంది. "&amp;"ఇది ప్రపంచంలో ఎక్కడైనా ఒక విమానంలో ఈ రకమైన ప్రమాదం యొక్క మొట్టమొదటి సంఘటన, కానీ తరువాతి సంవత్సరాల్లో ఇది చాలా సాధారణమైన సమస్యగా మారింది, ఇక్కడ క్రమంగా పెద్ద విమానాలు తేలికపాటి-బరువు మిశ్రమాల నుండి నిర్మించబడతాయి, అవి ఎక్కువ అవకాశం కలిగి ఉంటాయి అంతర్లీన మె"&amp;"టలర్జికల్ దృగ్విషయం. బినానాలో ఇదే సమస్యలు సంభవించవచ్చని భావించబడుతోంది, దాని వాయు యోగ్యత యొక్క ధృవీకరణ పత్రం రద్దు చేయబడింది మరియు పాత విమానం తరువాత విచ్ఛిన్నమైంది. [2] 1937 మెక్‌ఫెర్సన్ రేంజెస్ విపత్తు, రిడిల్ ఆఫ్ ది స్టిన్సన్ యొక్క 1987 టెలివిజన్ చలన చి"&amp;"త్ర ఖాతా కోసం ఎగిరే స్కేల్ ప్రతిరూపం నిర్మించబడింది, దీనిలో క్రాష్ నుండి ప్రాణాలతో బయటపడిన ఇద్దరు బెర్నార్డ్ ఓరిల్లీ చేత రక్షించబడింది. [3] [4] ఆస్ట్రేలియా వెలుపల, స్టిన్సన్ మోడల్ ఎ యొక్క ఉదాహరణలు కొరియా మరియు అలాస్కా వంటి ప్రపంచంలోని సుదూర మూలల్లో కొన్ని"&amp;" సంవత్సరాలుగా సేవలో ఉన్నాయి. ఒక ఉదాహరణ ఇప్పటికీ మనుగడలో ఉంది, 1947 లో అలాస్కాలో క్రాష్ అయ్యింది, 1979 లో కోలుకొని పునర్నిర్మించబడింది, ఇది 1988 లో అలాస్కా ఏవియేషన్ హెరిటేజ్ మ్యూజియంకు మరియు తరువాత మిన్నెసోటాలోని మిన్నియాపాలిస్‌లోని గ్రెగ్ హెరిక్ యొక్క గోల"&amp;"్డెన్ వింగ్స్ ఫ్లయింగ్ మ్యూజియానికి వెళ్ళింది. [5] ఈ విమానం ఇప్పుడు ఒహియోలోని ఉర్బానాలోని మిడ్ అమెరికా ఫ్లైట్ మ్యూజియం-ఒహియో వింగ్ వద్ద ఉంది. [6] సాధారణ డైనమిక్స్ విమానం మరియు వారి పూర్వీకుల నుండి డేటా [8] సాధారణ లక్షణాల పనితీరు")</f>
        <v>స్టిన్సన్ మోడల్ A 1930 ల మధ్యలో మధ్యస్తంగా విజయవంతమైన విమానాలు. ఒత్తిడితో కూడిన చర్మం అల్యూమినియం నిర్మాణాన్ని ప్రవేశపెట్టడానికి ముందు యునైటెడ్ స్టేట్స్లో ఫాబ్రిక్-కప్పబడిన స్టీల్ ట్యూబ్ ఫ్యూజ్‌లేజ్‌తో రూపొందించిన చివరి వాణిజ్య విమానాలలో ఇది ఒకటి. [సైటేషన్ అవసరం] మొత్తం 30 స్టిన్సన్ మోడల్ 1936 లో ఉత్పత్తి ఆగిపోయే వరకు నిర్మించబడింది. ఇది. ఇది ఒత్తిడితో కూడిన-చర్మ బోయింగ్ 247 మరియు డగ్లస్ DC-2 ను ప్రవేశపెట్టడం ద్వారా వాణిజ్య విజయం తగ్గించబడిన అనేక మంచి డిజైన్లలో ఒకటి. [1] ఎందుకంటే కొత్త బోయింగ్ లేదా డగ్లస్ విమానాల కోసం వెయిటింగ్ లిస్టులు అప్పటికే ఆస్ట్రేలియా యొక్క విమానయాన సంస్థలు (AOA) జనవరి 1936 నాటికి మూడు స్టిన్సన్ మోడల్‌ను ఆదేశించాయి. ఈ విమానాలు VH-PUGG లిస్మోర్ (మార్చి 27 న S.S. నగరానికి వచ్చాయి), VH-UHH బ్రిస్బేన్ (జూన్ 22 న S.S. విచితకు వచ్చారు) మరియు VH-UKK టౌన్స్విల్లే (జూలై 22 న S.S. నగరం మనీల్లాలో వచ్చారు). ఈ ముగ్గురూ త్వరగా తిరిగి కలపబడి సిడ్నీ - బ్రిస్బేన్ సేవలోకి ప్రవేశించారు, ఆగస్టులో AOA నాల్గవ ఉదాహరణ VH -UYY గ్రాఫ్టన్ - నిర్మించాల్సిన చివరి స్టిన్సన్ మోడల్ A ను ఆదేశించింది - ఇది సిడ్నీకి S.S. పోర్ట్ అల్మా డిసెంబర్ 14 న. [సైటేషన్ అవసరం] 1936 చివరి నాటికి ఒకదానికొకటి మట్టిగడ్డను కత్తిరించడానికి AOA మరియు ఆస్ట్రేలియన్ నేషనల్ ఎయిర్‌వేస్ (ANA) రెండింటి నుండి భంగిమలో, AOA పై నియంత్రణ ఆసక్తిని పొందటానికి ANA చేసిన ప్రారంభ ప్రయత్నాలు విఫలమయ్యాయి, విషాదకరమైన నష్టాలు వరకు విఫలమయ్యాయి 19 ఫిబ్రవరి 1937 న మెక్‌ఫెర్సన్ శ్రేణులలో VH-UHH బ్రిస్బేన్ మరియు మార్చి 28 న VH-PUGG లిస్మోర్ AOA యొక్క ప్రధాన-లైన్ విమానాలను సగానికి తగ్గించింది. మార్చి 1937 లో ఒక విలీనం అమలులోకి వచ్చింది, అయినప్పటికీ, జూలై 1, 1942 న AOA అధికారికంగా ANA లోకి కలిసిపోయే వరకు రెండు కంపెనీలు వేర్వేరు గుర్తింపులను నిలుపుకున్నాయి. అప్పుడు మిగిలి ఉన్న ఇద్దరు స్టిన్‌సన్‌లను ANA నామకరణానికి అనుగుణంగా VH-UKK బినానా మరియు VH-UYY టోకానాగా మార్చారు. [[(చేర్చుట స్టిన్సన్స్ వృద్ధాప్య లైమింగ్ R-680 ఇంజిన్ల కోసం రెండవ ప్రపంచ యుద్ధ భాగాలలో ఆస్ట్రేలియాలో పొందడం అసాధ్యం మరియు ప్రతి రెక్కపై ప్రాట్ &amp; విట్నీ R-1340 కందిరీగ ఇంజిన్‌తో రెండు విమానాలను తిరిగి ఇంజిన్ చేయాలని నిర్ణయించారు మరియు ఇంజిన్ను తొలగించండి ముక్కు మీద. అదనపు శక్తి రెండు విమానాలను వేగంగా ఎగరడానికి మరియు భారీ లోడ్లను కలిగి ఉండటానికి అనుమతించింది, అయినప్పటికీ ఇంధన డంప్‌లు వాటి గరిష్ట ల్యాండింగ్ బరువు 10,750 పౌండ్లు (4,876 కిలోలు) కింద ఉండటానికి అనుమతించవలసి వచ్చింది, అత్యవసర పరిస్థితుల్లో ల్యాండింగ్ చేయాల్సిన అవసరం ఉంది ఆఫ్. [2] మే 1943 లో విక్టోరియాలోని ఎస్సెండన్ వద్ద పూర్తయిన తరువాత, బినానా క్వీన్స్లాండ్ రన్, బ్రిస్బేన్-కైర్న్స్కు తిరిగి వచ్చింది, టోకానా అదేవిధంగా మెల్బోర్న్ (ఎస్సెండన్), కెరాంగ్, విక్టోరియా, మిల్దురా, విక్టోరియా మరియు బ్రోకెన్ హిల్, న్యూ సౌత్ వేల్స్. తరువాత బినానాను మెల్బోర్న్-టాస్మానియా సేవకు బదిలీ చేశారు. [2] 31 జనవరి 1945 ఉదయం టోకానా మెల్బోర్న్కు ఉత్తరాన యాభై మైళ్ళ దూరంలో ఉన్న రెడెస్‌డేల్ మరియు హీత్‌కోట్ మధ్య విమానంలో పోర్ట్ వింగ్ విడిపోయినప్పుడు టోకానా తన రెగ్యులర్ సర్వీస్ యొక్క కెరాంగ్ లెగ్‌లో ఉంది. అప్పుడు ఈ విమానం నేలమీదకు పడిపోయింది, సిబ్బందిని మరియు ఎనిమిది మంది ప్రయాణికుల పూర్తి లోడ్ ఇద్దరినీ చంపింది. వింగ్ యొక్క దిగువ ప్రధాన స్పార్ బూమ్ అటాచ్మెంట్ సాకెట్‌లో లోహపు అలసట అభివృద్ధి చెందిందని ఒక దర్యాప్తులో తేలింది, విమానంలో విమానంలో విమానంలో విమానంలో విఫలమవుతుంది. ఇది ప్రపంచంలో ఎక్కడైనా ఒక విమానంలో ఈ రకమైన ప్రమాదం యొక్క మొట్టమొదటి సంఘటన, కానీ తరువాతి సంవత్సరాల్లో ఇది చాలా సాధారణమైన సమస్యగా మారింది, ఇక్కడ క్రమంగా పెద్ద విమానాలు తేలికపాటి-బరువు మిశ్రమాల నుండి నిర్మించబడతాయి, అవి ఎక్కువ అవకాశం కలిగి ఉంటాయి అంతర్లీన మెటలర్జికల్ దృగ్విషయం. బినానాలో ఇదే సమస్యలు సంభవించవచ్చని భావించబడుతోంది, దాని వాయు యోగ్యత యొక్క ధృవీకరణ పత్రం రద్దు చేయబడింది మరియు పాత విమానం తరువాత విచ్ఛిన్నమైంది. [2] 1937 మెక్‌ఫెర్సన్ రేంజెస్ విపత్తు, రిడిల్ ఆఫ్ ది స్టిన్సన్ యొక్క 1987 టెలివిజన్ చలన చిత్ర ఖాతా కోసం ఎగిరే స్కేల్ ప్రతిరూపం నిర్మించబడింది, దీనిలో క్రాష్ నుండి ప్రాణాలతో బయటపడిన ఇద్దరు బెర్నార్డ్ ఓరిల్లీ చేత రక్షించబడింది. [3] [4] ఆస్ట్రేలియా వెలుపల, స్టిన్సన్ మోడల్ ఎ యొక్క ఉదాహరణలు కొరియా మరియు అలాస్కా వంటి ప్రపంచంలోని సుదూర మూలల్లో కొన్ని సంవత్సరాలుగా సేవలో ఉన్నాయి. ఒక ఉదాహరణ ఇప్పటికీ మనుగడలో ఉంది, 1947 లో అలాస్కాలో క్రాష్ అయ్యింది, 1979 లో కోలుకొని పునర్నిర్మించబడింది, ఇది 1988 లో అలాస్కా ఏవియేషన్ హెరిటేజ్ మ్యూజియంకు మరియు తరువాత మిన్నెసోటాలోని మిన్నియాపాలిస్‌లోని గ్రెగ్ హెరిక్ యొక్క గోల్డెన్ వింగ్స్ ఫ్లయింగ్ మ్యూజియానికి వెళ్ళింది. [5] ఈ విమానం ఇప్పుడు ఒహియోలోని ఉర్బానాలోని మిడ్ అమెరికా ఫ్లైట్ మ్యూజియం-ఒహియో వింగ్ వద్ద ఉంది. [6] సాధారణ డైనమిక్స్ విమానం మరియు వారి పూర్వీకుల నుండి డేటా [8] సాధారణ లక్షణాల పనితీరు</v>
      </c>
      <c r="E13" s="1" t="s">
        <v>383</v>
      </c>
      <c r="F13" s="1" t="s">
        <v>384</v>
      </c>
      <c r="G13" s="1" t="str">
        <f>IFERROR(__xludf.DUMMYFUNCTION("GOOGLETRANSLATE(F:F,""en"", ""te"")"),"విమానాల")</f>
        <v>విమానాల</v>
      </c>
      <c r="I13" s="1" t="s">
        <v>158</v>
      </c>
      <c r="J13" s="1" t="str">
        <f>IFERROR(__xludf.DUMMYFUNCTION("GOOGLETRANSLATE(I:I,""en"", ""te"")"),"అమెరికా")</f>
        <v>అమెరికా</v>
      </c>
      <c r="K13" s="1" t="s">
        <v>159</v>
      </c>
      <c r="L13" s="1" t="s">
        <v>385</v>
      </c>
      <c r="M13" s="1" t="str">
        <f>IFERROR(__xludf.DUMMYFUNCTION("GOOGLETRANSLATE(L:L,""en"", ""te"")"),"స్టిన్సన్ ఎయిర్క్రాఫ్ట్ కంపెనీ")</f>
        <v>స్టిన్సన్ ఎయిర్క్రాఫ్ట్ కంపెనీ</v>
      </c>
      <c r="N13" s="1" t="s">
        <v>386</v>
      </c>
      <c r="R13" s="1">
        <v>31.0</v>
      </c>
      <c r="S13" s="1" t="s">
        <v>387</v>
      </c>
      <c r="T13" s="1" t="s">
        <v>388</v>
      </c>
      <c r="U13" s="1" t="s">
        <v>389</v>
      </c>
      <c r="V13" s="1" t="s">
        <v>390</v>
      </c>
      <c r="W13" s="1" t="s">
        <v>180</v>
      </c>
      <c r="X13" s="1" t="s">
        <v>391</v>
      </c>
      <c r="Y13" s="1" t="s">
        <v>392</v>
      </c>
      <c r="Z13" s="1" t="s">
        <v>393</v>
      </c>
      <c r="AA13" s="1" t="s">
        <v>394</v>
      </c>
      <c r="AB13" s="1" t="s">
        <v>395</v>
      </c>
      <c r="AD13" s="1" t="s">
        <v>396</v>
      </c>
      <c r="AE13" s="1" t="s">
        <v>397</v>
      </c>
      <c r="AH13" s="1" t="s">
        <v>398</v>
      </c>
      <c r="AK13" s="1" t="s">
        <v>399</v>
      </c>
      <c r="AL13" s="1" t="s">
        <v>400</v>
      </c>
      <c r="AO13" s="5">
        <v>12536.0</v>
      </c>
      <c r="AQ13" s="1" t="s">
        <v>401</v>
      </c>
      <c r="AR13" s="1" t="s">
        <v>402</v>
      </c>
      <c r="BA13" s="1" t="s">
        <v>403</v>
      </c>
    </row>
    <row r="14">
      <c r="A14" s="1" t="s">
        <v>300</v>
      </c>
      <c r="B14" s="1" t="str">
        <f>IFERROR(__xludf.DUMMYFUNCTION("GOOGLETRANSLATE(A:A,""en"", ""te"")"),"స్టోడార్డ్-హామిల్టన్ గ్లాసెయిర్ i")</f>
        <v>స్టోడార్డ్-హామిల్టన్ గ్లాసెయిర్ i</v>
      </c>
      <c r="C14" s="1" t="s">
        <v>404</v>
      </c>
      <c r="D14" s="1" t="str">
        <f>IFERROR(__xludf.DUMMYFUNCTION("GOOGLETRANSLATE(C:C,""en"", ""te"")"),"గ్లాసెయిర్ I, మొదట ప్రోటోటైప్ గ్లాసెయిర్ టిడి టెయిల్‌డ్రాగర్ గా నిర్మించబడింది, ఇది ఫైబర్గ్లాస్‌తో నిర్మించిన అధిక-పనితీరు గల హోమ్‌బిల్ట్ విమానం. టామ్ హామిల్టన్ చేత వేగవంతమైన, రెండు-సీట్ల కిట్‌ప్లేన్‌గా సృష్టించబడిన గ్లాసెయిర్ టిడి మునుపటి టామ్ హామిల్టన్ "&amp;"గ్లాసెయిర్ నుండి ఉద్భవించింది మరియు మొదట 1979 లో ప్రయాణించింది. హామిల్టన్ ఆ సంవత్సరం స్టోడార్డ్-హామిల్టన్ విమానం ఏర్పాటు చేశాడు, ఇది కిట్‌ను ఉత్పత్తి చేయడానికి మరియు మార్కెట్ చేయడానికి, ఇది మొదటి ప్రీ-ప్రీ-ప్రీ. -బిల్డర్లకు అందుబాటులో ఉన్న మిశ్రమ విమానాలు"&amp;". పైలట్ ఫ్రెండ్ నుండి డేటా [2] వికీమీడియా కామన్స్ వద్ద స్టోడార్డ్-హామిల్టన్ గ్లాసెయిర్‌కు సంబంధించిన సాధారణ లక్షణాలు పనితీరు మీడియా")</f>
        <v>గ్లాసెయిర్ I, మొదట ప్రోటోటైప్ గ్లాసెయిర్ టిడి టెయిల్‌డ్రాగర్ గా నిర్మించబడింది, ఇది ఫైబర్గ్లాస్‌తో నిర్మించిన అధిక-పనితీరు గల హోమ్‌బిల్ట్ విమానం. టామ్ హామిల్టన్ చేత వేగవంతమైన, రెండు-సీట్ల కిట్‌ప్లేన్‌గా సృష్టించబడిన గ్లాసెయిర్ టిడి మునుపటి టామ్ హామిల్టన్ గ్లాసెయిర్ నుండి ఉద్భవించింది మరియు మొదట 1979 లో ప్రయాణించింది. హామిల్టన్ ఆ సంవత్సరం స్టోడార్డ్-హామిల్టన్ విమానం ఏర్పాటు చేశాడు, ఇది కిట్‌ను ఉత్పత్తి చేయడానికి మరియు మార్కెట్ చేయడానికి, ఇది మొదటి ప్రీ-ప్రీ-ప్రీ. -బిల్డర్లకు అందుబాటులో ఉన్న మిశ్రమ విమానాలు. పైలట్ ఫ్రెండ్ నుండి డేటా [2] వికీమీడియా కామన్స్ వద్ద స్టోడార్డ్-హామిల్టన్ గ్లాసెయిర్‌కు సంబంధించిన సాధారణ లక్షణాలు పనితీరు మీడియా</v>
      </c>
      <c r="E14" s="1" t="s">
        <v>405</v>
      </c>
      <c r="F14" s="1" t="s">
        <v>406</v>
      </c>
      <c r="G14" s="1" t="str">
        <f>IFERROR(__xludf.DUMMYFUNCTION("GOOGLETRANSLATE(F:F,""en"", ""te"")"),"te త్సాహిక నిర్మించిన కిట్ విమానం")</f>
        <v>te త్సాహిక నిర్మించిన కిట్ విమానం</v>
      </c>
      <c r="H14" s="1" t="s">
        <v>407</v>
      </c>
      <c r="L14" s="1" t="s">
        <v>280</v>
      </c>
      <c r="M14" s="1" t="str">
        <f>IFERROR(__xludf.DUMMYFUNCTION("GOOGLETRANSLATE(L:L,""en"", ""te"")"),"స్టోడార్డ్-హామిల్టన్ ఎయిర్‌క్రాఫ్ట్‌గ్లాసైర్ ఏవియేషన్")</f>
        <v>స్టోడార్డ్-హామిల్టన్ ఎయిర్‌క్రాఫ్ట్‌గ్లాసైర్ ఏవియేషన్</v>
      </c>
      <c r="N14" s="1" t="s">
        <v>281</v>
      </c>
      <c r="O14" s="1">
        <v>1980.0</v>
      </c>
      <c r="R14" s="1" t="s">
        <v>408</v>
      </c>
      <c r="S14" s="1" t="s">
        <v>164</v>
      </c>
      <c r="T14" s="1" t="s">
        <v>165</v>
      </c>
      <c r="U14" s="1" t="s">
        <v>409</v>
      </c>
      <c r="V14" s="1" t="s">
        <v>410</v>
      </c>
      <c r="W14" s="1" t="s">
        <v>285</v>
      </c>
      <c r="X14" s="1" t="s">
        <v>411</v>
      </c>
      <c r="Y14" s="1" t="s">
        <v>412</v>
      </c>
      <c r="Z14" s="1" t="s">
        <v>413</v>
      </c>
      <c r="AA14" s="1" t="s">
        <v>414</v>
      </c>
      <c r="AB14" s="1" t="s">
        <v>415</v>
      </c>
      <c r="AD14" s="1" t="s">
        <v>416</v>
      </c>
      <c r="AE14" s="1" t="s">
        <v>417</v>
      </c>
      <c r="AF14" s="1" t="s">
        <v>418</v>
      </c>
      <c r="AH14" s="1" t="s">
        <v>419</v>
      </c>
      <c r="AI14" s="1" t="s">
        <v>420</v>
      </c>
      <c r="AJ14" s="1" t="s">
        <v>421</v>
      </c>
      <c r="AK14" s="1" t="s">
        <v>422</v>
      </c>
      <c r="AL14" s="1" t="s">
        <v>423</v>
      </c>
      <c r="AO14" s="1">
        <v>1979.0</v>
      </c>
      <c r="AQ14" s="1" t="s">
        <v>421</v>
      </c>
      <c r="AX14" s="1" t="s">
        <v>275</v>
      </c>
      <c r="AY14" s="1" t="s">
        <v>424</v>
      </c>
    </row>
    <row r="15">
      <c r="A15" s="1" t="s">
        <v>425</v>
      </c>
      <c r="B15" s="1" t="str">
        <f>IFERROR(__xludf.DUMMYFUNCTION("GOOGLETRANSLATE(A:A,""en"", ""te"")"),"STOLP అక్రోడస్టర్")</f>
        <v>STOLP అక్రోడస్టర్</v>
      </c>
      <c r="C15" s="1" t="s">
        <v>426</v>
      </c>
      <c r="D15" s="1" t="str">
        <f>IFERROR(__xludf.DUMMYFUNCTION("GOOGLETRANSLATE(C:C,""en"", ""te"")"),"అక్రోడస్టర్ I SA700 ఒక అమెరికన్ సింగిల్-సీట్ హోమ్‌బిల్ట్ ఏరోబాటిక్ బిప్‌లేన్. అక్రోడస్టర్ పిట్స్ స్పెషల్‌తో పోటీ పడవాలనే ఉద్దేశ్యంతో నిర్మించిన ఎలిప్టికల్-వింగ్డ్ బిప్‌లేన్. ఈ విమానం దాని రూపకల్పనలో కొన్నింటిని మిడ్‌గేట్ ముస్తాంగ్‌కు రుణపడి ఉంది. ఫ్యూజ్‌ల"&amp;"ేజ్ రకం కోసం ప్రసిద్ధ గొట్టం మరియు ఫాబ్రిక్ కంటే అల్యూమినియం నిర్మాణంతో ఉంటుంది. రెక్కలు STOLP స్టార్డస్టర్ మాదిరిగానే ఉంటాయి. రోల్ రేటు సెకనుకు 240 డిగ్రీలు. [1] అమ్మకం కోసం కొనుగోలు విమానాల నుండి డేటా [2] సాధారణ లక్షణాల పనితీరు")</f>
        <v>అక్రోడస్టర్ I SA700 ఒక అమెరికన్ సింగిల్-సీట్ హోమ్‌బిల్ట్ ఏరోబాటిక్ బిప్‌లేన్. అక్రోడస్టర్ పిట్స్ స్పెషల్‌తో పోటీ పడవాలనే ఉద్దేశ్యంతో నిర్మించిన ఎలిప్టికల్-వింగ్డ్ బిప్‌లేన్. ఈ విమానం దాని రూపకల్పనలో కొన్నింటిని మిడ్‌గేట్ ముస్తాంగ్‌కు రుణపడి ఉంది. ఫ్యూజ్‌లేజ్ రకం కోసం ప్రసిద్ధ గొట్టం మరియు ఫాబ్రిక్ కంటే అల్యూమినియం నిర్మాణంతో ఉంటుంది. రెక్కలు STOLP స్టార్డస్టర్ మాదిరిగానే ఉంటాయి. రోల్ రేటు సెకనుకు 240 డిగ్రీలు. [1] అమ్మకం కోసం కొనుగోలు విమానాల నుండి డేటా [2] సాధారణ లక్షణాల పనితీరు</v>
      </c>
      <c r="E15" s="1" t="s">
        <v>427</v>
      </c>
      <c r="F15" s="1" t="s">
        <v>428</v>
      </c>
      <c r="G15" s="1" t="str">
        <f>IFERROR(__xludf.DUMMYFUNCTION("GOOGLETRANSLATE(F:F,""en"", ""te"")"),"హోమ్‌బిల్ట్ ఏరోబాటిక్ బిప్‌లేన్")</f>
        <v>హోమ్‌బిల్ట్ ఏరోబాటిక్ బిప్‌లేన్</v>
      </c>
      <c r="H15" s="1" t="s">
        <v>429</v>
      </c>
      <c r="I15" s="1" t="s">
        <v>158</v>
      </c>
      <c r="J15" s="1" t="str">
        <f>IFERROR(__xludf.DUMMYFUNCTION("GOOGLETRANSLATE(I:I,""en"", ""te"")"),"అమెరికా")</f>
        <v>అమెరికా</v>
      </c>
      <c r="K15" s="1" t="s">
        <v>159</v>
      </c>
      <c r="L15" s="1" t="s">
        <v>430</v>
      </c>
      <c r="M15" s="1" t="str">
        <f>IFERROR(__xludf.DUMMYFUNCTION("GOOGLETRANSLATE(L:L,""en"", ""te"")"),"STOLP స్టార్డస్టర్ కార్పొరేషన్")</f>
        <v>STOLP స్టార్డస్టర్ కార్పొరేషన్</v>
      </c>
      <c r="N15" s="1" t="s">
        <v>431</v>
      </c>
      <c r="U15" s="1" t="s">
        <v>432</v>
      </c>
      <c r="W15" s="1" t="s">
        <v>433</v>
      </c>
      <c r="X15" s="1" t="s">
        <v>434</v>
      </c>
      <c r="Y15" s="1" t="s">
        <v>435</v>
      </c>
      <c r="AB15" s="1" t="s">
        <v>436</v>
      </c>
      <c r="AD15" s="1" t="s">
        <v>437</v>
      </c>
      <c r="AG15" s="1" t="s">
        <v>208</v>
      </c>
      <c r="AH15" s="1" t="s">
        <v>438</v>
      </c>
      <c r="AI15" s="1" t="s">
        <v>439</v>
      </c>
      <c r="AK15" s="1" t="s">
        <v>272</v>
      </c>
      <c r="AL15" s="1" t="s">
        <v>440</v>
      </c>
      <c r="AM15" s="1" t="s">
        <v>441</v>
      </c>
    </row>
    <row r="16">
      <c r="A16" s="1" t="s">
        <v>442</v>
      </c>
      <c r="B16" s="1" t="str">
        <f>IFERROR(__xludf.DUMMYFUNCTION("GOOGLETRANSLATE(A:A,""en"", ""te"")"),"స్టౌట్ బాట్వింగ్ లిమోసిన్")</f>
        <v>స్టౌట్ బాట్వింగ్ లిమోసిన్</v>
      </c>
      <c r="C16" s="1" t="s">
        <v>443</v>
      </c>
      <c r="D16" s="1" t="str">
        <f>IFERROR(__xludf.DUMMYFUNCTION("GOOGLETRANSLATE(C:C,""en"", ""te"")"),"స్టౌట్ బాట్వింగ్ లిమోసిన్ సింగిల్-ఇంజిన్, హై-వింగ్ కాంటిలివర్ విమానం. దీనిని కేవలం ""కమర్షియల్ సెడాన్"" అని కూడా పిలుస్తారు. విలియం బుష్నెల్ స్టౌట్ అంతర్గతంగా అమర్చిన ఇంజిన్‌తో కాంటిలివర్ బ్లెండెడ్-వింగ్ విమానం అయిన స్టౌట్ బాట్‌వింగ్‌ను అభివృద్ధి చేశాడు. "&amp;"కాంటిలివర్ రెక్కలలోని మార్గదర్శక విమానం దాని టాప్-మౌంటెడ్ ఓపెన్ కాక్‌పిట్‌తో పేలవమైన దృశ్యమానతతో బాధపడింది. ఫాలో-ఆన్ విమానం, స్టౌట్ బాట్వింగ్ లిమోసిన్, సాంప్రదాయిక ఫ్యూజ్‌లేజ్ మరియు ఇంజిన్ అమరికను కలిగి ఉంటుంది మరియు ఒక తోక మరింత వెనుకకు అమర్చబడి ఉంటుంది."&amp;" ఆల్-వుడ్ కాంటిలివర్ వింగ్‌కు స్ట్రట్స్ లేదా కలుపులు అవసరం లేదు, విమానంలో పరాన్నజీవి డ్రాగ్‌ను తగ్గిస్తుంది. పైలట్ సైడ్ విండోస్ మరియు ఫార్వర్డ్ విజన్ కోసం వింగ్ కటౌట్ కలిగి ఉంది. [1] ఛాంపియన్ స్పార్క్ ప్లగ్ కంపెనీకి చెందిన రాబర్ట్ స్ట్రానాహన్ నుండి స్టౌట్"&amp;" ఈ ప్రాజెక్టుకు ఫైనాన్సింగ్ పొందాడు. మిచిగాన్లోని డెట్రాయిట్లో ఉత్పత్తి ప్రారంభమైంది. [2] సాంప్రదాయిక గేర్డ్ విమానం ఆల్-వుడ్, వెనిర్ కలప తొక్కలతో ఉంటుంది. ప్రొపెల్లర్‌ను ఫార్వర్డ్ రేడియేటర్ ద్వారా అమర్చారు. ఎగ్జాస్ట్ హెడర్ స్టాక్ పైకి మారి, ఫ్యూజ్‌లేజ్ పై"&amp;"భాగంలో ప్రొజెక్ట్ చేసింది. ఇంధన ట్యాంకులు రెక్కలు అమర్చబడి ఉన్నాయి. రెక్కలో ఒక తీగ ఉంది, అది ఫ్యూజ్‌లేజ్ యొక్క పొడవులో ఎక్కువ భాగం ఉంటుంది. [3] మొదటి విమానం లిఫ్ట్ కాకుండా వేగం కోసం రూపొందించిన ఎయిర్‌ఫాయిల్‌తో ఎగురవేయబడింది. టెస్ట్ పైలట్ బెర్ట్ అకోస్టా మా"&amp;"ట్లాడుతూ, ఈ విమానానికి తగినంత లిఫ్ట్ మరియు దృశ్యమానత లేదు. విమానం ఒక సమయంలో చాలా నిమిషాలు నియంత్రణలను తన చేతులతో ఎగరడానికి తగినంత స్థిరంగా ఉందని బెర్ట్ పేర్కొన్నాడు. [4] మరింత కాంబర్ ఉన్న రెండవ వింగ్ అనుకూలమైన ఫలితాలను ఇచ్చింది. 30-40 పరీక్ష విమానాల తర్వా"&amp;"త పరిష్కరించబడిన గ్లైడింగ్ చేసేటప్పుడు విమానం భయంకరమైన ""వేట"" ధోరణిని కలిగి ఉంది. అతని తదుపరి ఉదాహరణ లోహంతో నిర్మించబడుతుందని 1922 లో స్టౌట్ పేర్కొన్నాడు. [5] ఈ విమానం స్టౌట్ చేత సిరీస్‌లో మొదటిది, తరువాత ఫోర్డ్ మోటార్ కంపెనీ యొక్క స్టౌట్ మెటల్ ఎయిర్‌ప్ల"&amp;"ేన్ డివిజన్‌ను ఏర్పరుస్తుంది, ఫోర్డ్ ట్రిమోటర్‌ను నిర్మిస్తుంది. సాధారణ లక్షణాల పనితీరు")</f>
        <v>స్టౌట్ బాట్వింగ్ లిమోసిన్ సింగిల్-ఇంజిన్, హై-వింగ్ కాంటిలివర్ విమానం. దీనిని కేవలం "కమర్షియల్ సెడాన్" అని కూడా పిలుస్తారు. విలియం బుష్నెల్ స్టౌట్ అంతర్గతంగా అమర్చిన ఇంజిన్‌తో కాంటిలివర్ బ్లెండెడ్-వింగ్ విమానం అయిన స్టౌట్ బాట్‌వింగ్‌ను అభివృద్ధి చేశాడు. కాంటిలివర్ రెక్కలలోని మార్గదర్శక విమానం దాని టాప్-మౌంటెడ్ ఓపెన్ కాక్‌పిట్‌తో పేలవమైన దృశ్యమానతతో బాధపడింది. ఫాలో-ఆన్ విమానం, స్టౌట్ బాట్వింగ్ లిమోసిన్, సాంప్రదాయిక ఫ్యూజ్‌లేజ్ మరియు ఇంజిన్ అమరికను కలిగి ఉంటుంది మరియు ఒక తోక మరింత వెనుకకు అమర్చబడి ఉంటుంది. ఆల్-వుడ్ కాంటిలివర్ వింగ్‌కు స్ట్రట్స్ లేదా కలుపులు అవసరం లేదు, విమానంలో పరాన్నజీవి డ్రాగ్‌ను తగ్గిస్తుంది. పైలట్ సైడ్ విండోస్ మరియు ఫార్వర్డ్ విజన్ కోసం వింగ్ కటౌట్ కలిగి ఉంది. [1] ఛాంపియన్ స్పార్క్ ప్లగ్ కంపెనీకి చెందిన రాబర్ట్ స్ట్రానాహన్ నుండి స్టౌట్ ఈ ప్రాజెక్టుకు ఫైనాన్సింగ్ పొందాడు. మిచిగాన్లోని డెట్రాయిట్లో ఉత్పత్తి ప్రారంభమైంది. [2] సాంప్రదాయిక గేర్డ్ విమానం ఆల్-వుడ్, వెనిర్ కలప తొక్కలతో ఉంటుంది. ప్రొపెల్లర్‌ను ఫార్వర్డ్ రేడియేటర్ ద్వారా అమర్చారు. ఎగ్జాస్ట్ హెడర్ స్టాక్ పైకి మారి, ఫ్యూజ్‌లేజ్ పైభాగంలో ప్రొజెక్ట్ చేసింది. ఇంధన ట్యాంకులు రెక్కలు అమర్చబడి ఉన్నాయి. రెక్కలో ఒక తీగ ఉంది, అది ఫ్యూజ్‌లేజ్ యొక్క పొడవులో ఎక్కువ భాగం ఉంటుంది. [3] మొదటి విమానం లిఫ్ట్ కాకుండా వేగం కోసం రూపొందించిన ఎయిర్‌ఫాయిల్‌తో ఎగురవేయబడింది. టెస్ట్ పైలట్ బెర్ట్ అకోస్టా మాట్లాడుతూ, ఈ విమానానికి తగినంత లిఫ్ట్ మరియు దృశ్యమానత లేదు. విమానం ఒక సమయంలో చాలా నిమిషాలు నియంత్రణలను తన చేతులతో ఎగరడానికి తగినంత స్థిరంగా ఉందని బెర్ట్ పేర్కొన్నాడు. [4] మరింత కాంబర్ ఉన్న రెండవ వింగ్ అనుకూలమైన ఫలితాలను ఇచ్చింది. 30-40 పరీక్ష విమానాల తర్వాత పరిష్కరించబడిన గ్లైడింగ్ చేసేటప్పుడు విమానం భయంకరమైన "వేట" ధోరణిని కలిగి ఉంది. అతని తదుపరి ఉదాహరణ లోహంతో నిర్మించబడుతుందని 1922 లో స్టౌట్ పేర్కొన్నాడు. [5] ఈ విమానం స్టౌట్ చేత సిరీస్‌లో మొదటిది, తరువాత ఫోర్డ్ మోటార్ కంపెనీ యొక్క స్టౌట్ మెటల్ ఎయిర్‌ప్లేన్ డివిజన్‌ను ఏర్పరుస్తుంది, ఫోర్డ్ ట్రిమోటర్‌ను నిర్మిస్తుంది. సాధారణ లక్షణాల పనితీరు</v>
      </c>
      <c r="E16" s="1" t="s">
        <v>444</v>
      </c>
      <c r="F16" s="1" t="s">
        <v>445</v>
      </c>
      <c r="G16" s="1" t="str">
        <f>IFERROR(__xludf.DUMMYFUNCTION("GOOGLETRANSLATE(F:F,""en"", ""te"")"),"సింగిల్-ఇంజిన్ మోనోప్లేన్")</f>
        <v>సింగిల్-ఇంజిన్ మోనోప్లేన్</v>
      </c>
      <c r="I16" s="1" t="s">
        <v>158</v>
      </c>
      <c r="J16" s="1" t="str">
        <f>IFERROR(__xludf.DUMMYFUNCTION("GOOGLETRANSLATE(I:I,""en"", ""te"")"),"అమెరికా")</f>
        <v>అమెరికా</v>
      </c>
      <c r="L16" s="1" t="s">
        <v>446</v>
      </c>
      <c r="M16" s="1" t="str">
        <f>IFERROR(__xludf.DUMMYFUNCTION("GOOGLETRANSLATE(L:L,""en"", ""te"")"),"స్టౌట్ ఇంజనీరింగ్ కంపెనీ")</f>
        <v>స్టౌట్ ఇంజనీరింగ్ కంపెనీ</v>
      </c>
      <c r="N16" s="1" t="s">
        <v>447</v>
      </c>
      <c r="T16" s="1">
        <v>3.0</v>
      </c>
      <c r="X16" s="1" t="s">
        <v>448</v>
      </c>
      <c r="AA16" s="1" t="s">
        <v>449</v>
      </c>
      <c r="AB16" s="1" t="s">
        <v>450</v>
      </c>
      <c r="AD16" s="1" t="s">
        <v>451</v>
      </c>
      <c r="AH16" s="1" t="s">
        <v>452</v>
      </c>
      <c r="AI16" s="1" t="s">
        <v>453</v>
      </c>
      <c r="AM16" s="1" t="s">
        <v>454</v>
      </c>
      <c r="AN16" s="1" t="s">
        <v>455</v>
      </c>
      <c r="AO16" s="1">
        <v>1920.0</v>
      </c>
      <c r="AQ16" s="1" t="s">
        <v>456</v>
      </c>
    </row>
    <row r="17">
      <c r="A17" s="1" t="s">
        <v>457</v>
      </c>
      <c r="B17" s="1" t="str">
        <f>IFERROR(__xludf.DUMMYFUNCTION("GOOGLETRANSLATE(A:A,""en"", ""te"")"),"స్ట్రిప్లిన్ F.L.A.C.")</f>
        <v>స్ట్రిప్లిన్ F.L.A.C.</v>
      </c>
      <c r="C17" s="1" t="s">
        <v>458</v>
      </c>
      <c r="D17" s="1" t="str">
        <f>IFERROR(__xludf.DUMMYFUNCTION("GOOGLETRANSLATE(C:C,""en"", ""te"")"),"స్ట్రిప్లిన్ F.L.A.C. . ఈ విమానం యుఎస్ ఫార్ 103 అల్ట్రాలైట్ వాహనాల నిబంధనలకు ముందు ఉంది, కానీ వర్గానికి సరిపోతుంది, వీటిలో ఫార్ 103 యొక్క గరిష్ట ఖాళీ బరువు 254 పౌండ్లు (115 కిలోలు) ఉన్నాయి. ఈ విమానం ప్రామాణిక ఖాళీ బరువు 200 పౌండ్లు (91 కిలోలు). ఇది కాంటిల"&amp;"ివర్ హై-వింగ్, సింగిల్-సీట్, పాక్షికంగా పరివేష్టిత కాక్‌పిట్, ట్రైసైకిల్ ల్యాండింగ్ గేర్ మరియు ట్విన్ 11.5 హెచ్‌పి (9 కిలోవాట్) సోర్మాస్టర్ ఇంజన్లను పషర్ కాన్ఫిగరేషన్‌లో ఒకే ప్రొపెల్లర్‌ను శక్తివంతం చేస్తుంది. జంట గో-కార్ట్ ఇంజన్లు కూడా ఉపయోగించబడ్డాయి. ["&amp;"1] [2] ఈ విమానం అల్యూమినియం గొట్టాలు, నురుగు, ఫైబర్గ్లాస్ నుండి తయారవుతుంది, డోప్డ్ ఎయిర్క్రాఫ్ట్ ఫాబ్రిక్ కవరింగ్‌లో రెక్కలు పూర్తవుతాయి. దీని 32 అడుగుల (9.8 మీ) స్పాన్ వింగ్‌లో లామినార్-ఫ్లో ఎయిర్‌ఫాయిల్, 50%-స్పాన్ ఎలివేన్లు మరియు వింగ్ చిట్కా రడ్డర్లు"&amp;" ఉన్నాయి, వీటిని ఎయిర్ బ్రేక్‌లుగా ఉపయోగించడానికి ఒకేసారి అమలు చేయవచ్చు. ఈ విమానం 22: 1 గ్లైడ్ నిష్పత్తిని కలిగి ఉంది. F.L.A.C. లామినేటెడ్ ఫైబర్గ్లాస్ మెయిన్ ల్యాండింగ్ గేర్ కాళ్ళు మరియు ముక్కు చక్రం ఉంది. ఆ కాలంలోని అల్ట్రాలైట్స్ కోసం అనధికారిక యుఎస్ అవస"&amp;"రాలకు అనుగుణంగా ఈ విమానం కనీసం నామమాత్రంగా అడుగు-లాంచబుల్ గా రూపొందించబడింది, వారు అలా చేయగలుగుతారు. ఫ్యూజ్‌లేజ్ అంతస్తులో అతుక్కొని తలుపు తెరవడం ద్వారా ఫుట్ లాంచింగ్ జరిగింది. [1] [2] విమానంలో విమానం అస్థిరంగా వర్ణించబడింది, ముఖ్యంగా పిచ్‌లో మరియు కనీసం "&amp;"ఒక ప్రమాదం దాని అస్థిరతకు కారణమని చెప్పబడింది. [1] క్లిచ్ నుండి డేటా [1] సాధారణ లక్షణాల పనితీరు")</f>
        <v>స్ట్రిప్లిన్ F.L.A.C. . ఈ విమానం యుఎస్ ఫార్ 103 అల్ట్రాలైట్ వాహనాల నిబంధనలకు ముందు ఉంది, కానీ వర్గానికి సరిపోతుంది, వీటిలో ఫార్ 103 యొక్క గరిష్ట ఖాళీ బరువు 254 పౌండ్లు (115 కిలోలు) ఉన్నాయి. ఈ విమానం ప్రామాణిక ఖాళీ బరువు 200 పౌండ్లు (91 కిలోలు). ఇది కాంటిలివర్ హై-వింగ్, సింగిల్-సీట్, పాక్షికంగా పరివేష్టిత కాక్‌పిట్, ట్రైసైకిల్ ల్యాండింగ్ గేర్ మరియు ట్విన్ 11.5 హెచ్‌పి (9 కిలోవాట్) సోర్మాస్టర్ ఇంజన్లను పషర్ కాన్ఫిగరేషన్‌లో ఒకే ప్రొపెల్లర్‌ను శక్తివంతం చేస్తుంది. జంట గో-కార్ట్ ఇంజన్లు కూడా ఉపయోగించబడ్డాయి. [1] [2] ఈ విమానం అల్యూమినియం గొట్టాలు, నురుగు, ఫైబర్గ్లాస్ నుండి తయారవుతుంది, డోప్డ్ ఎయిర్క్రాఫ్ట్ ఫాబ్రిక్ కవరింగ్‌లో రెక్కలు పూర్తవుతాయి. దీని 32 అడుగుల (9.8 మీ) స్పాన్ వింగ్‌లో లామినార్-ఫ్లో ఎయిర్‌ఫాయిల్, 50%-స్పాన్ ఎలివేన్లు మరియు వింగ్ చిట్కా రడ్డర్లు ఉన్నాయి, వీటిని ఎయిర్ బ్రేక్‌లుగా ఉపయోగించడానికి ఒకేసారి అమలు చేయవచ్చు. ఈ విమానం 22: 1 గ్లైడ్ నిష్పత్తిని కలిగి ఉంది. F.L.A.C. లామినేటెడ్ ఫైబర్గ్లాస్ మెయిన్ ల్యాండింగ్ గేర్ కాళ్ళు మరియు ముక్కు చక్రం ఉంది. ఆ కాలంలోని అల్ట్రాలైట్స్ కోసం అనధికారిక యుఎస్ అవసరాలకు అనుగుణంగా ఈ విమానం కనీసం నామమాత్రంగా అడుగు-లాంచబుల్ గా రూపొందించబడింది, వారు అలా చేయగలుగుతారు. ఫ్యూజ్‌లేజ్ అంతస్తులో అతుక్కొని తలుపు తెరవడం ద్వారా ఫుట్ లాంచింగ్ జరిగింది. [1] [2] విమానంలో విమానం అస్థిరంగా వర్ణించబడింది, ముఖ్యంగా పిచ్‌లో మరియు కనీసం ఒక ప్రమాదం దాని అస్థిరతకు కారణమని చెప్పబడింది. [1] క్లిచ్ నుండి డేటా [1] సాధారణ లక్షణాల పనితీరు</v>
      </c>
      <c r="F17" s="1" t="s">
        <v>459</v>
      </c>
      <c r="G17" s="1" t="str">
        <f>IFERROR(__xludf.DUMMYFUNCTION("GOOGLETRANSLATE(F:F,""en"", ""te"")"),"అల్ట్రాలైట్ విమానం")</f>
        <v>అల్ట్రాలైట్ విమానం</v>
      </c>
      <c r="H17" s="1" t="s">
        <v>460</v>
      </c>
      <c r="I17" s="1" t="s">
        <v>158</v>
      </c>
      <c r="J17" s="1" t="str">
        <f>IFERROR(__xludf.DUMMYFUNCTION("GOOGLETRANSLATE(I:I,""en"", ""te"")"),"అమెరికా")</f>
        <v>అమెరికా</v>
      </c>
      <c r="K17" s="1" t="s">
        <v>159</v>
      </c>
      <c r="P17" s="1" t="s">
        <v>461</v>
      </c>
      <c r="Q17" s="1"/>
      <c r="S17" s="1" t="s">
        <v>164</v>
      </c>
      <c r="W17" s="1" t="s">
        <v>462</v>
      </c>
      <c r="X17" s="1" t="s">
        <v>463</v>
      </c>
      <c r="Y17" s="1" t="s">
        <v>464</v>
      </c>
      <c r="Z17" s="1" t="s">
        <v>354</v>
      </c>
      <c r="AA17" s="1" t="s">
        <v>465</v>
      </c>
      <c r="AB17" s="1" t="s">
        <v>466</v>
      </c>
      <c r="AC17" s="1">
        <v>22.0</v>
      </c>
      <c r="AD17" s="1" t="s">
        <v>467</v>
      </c>
      <c r="AF17" s="1" t="s">
        <v>468</v>
      </c>
      <c r="AG17" s="1" t="s">
        <v>469</v>
      </c>
      <c r="AH17" s="1" t="s">
        <v>470</v>
      </c>
      <c r="AI17" s="1" t="s">
        <v>471</v>
      </c>
      <c r="AJ17" s="1" t="s">
        <v>472</v>
      </c>
      <c r="AM17" s="1" t="s">
        <v>473</v>
      </c>
      <c r="AO17" s="3">
        <v>28764.0</v>
      </c>
      <c r="AQ17" s="1" t="s">
        <v>420</v>
      </c>
      <c r="AS17" s="1" t="s">
        <v>474</v>
      </c>
      <c r="BB17" s="1" t="s">
        <v>475</v>
      </c>
    </row>
    <row r="18">
      <c r="A18" s="1" t="s">
        <v>476</v>
      </c>
      <c r="B18" s="1" t="str">
        <f>IFERROR(__xludf.DUMMYFUNCTION("GOOGLETRANSLATE(A:A,""en"", ""te"")"),"స్టెడ్మాన్ టిఎస్ -1 సిటీ ఆఫ్ లీడ్స్")</f>
        <v>స్టెడ్మాన్ టిఎస్ -1 సిటీ ఆఫ్ లీడ్స్</v>
      </c>
      <c r="C18" s="1" t="s">
        <v>477</v>
      </c>
      <c r="D18" s="1" t="str">
        <f>IFERROR(__xludf.DUMMYFUNCTION("GOOGLETRANSLATE(C:C,""en"", ""te"")"),"స్టెడ్మాన్ టిఎస్ -1 సిటీ ఆఫ్ లీడ్స్ ఒక పారాసోల్ వింగ్ వుడెన్ సెయిల్ ప్లేన్, ఓపెన్ కాక్‌పిట్స్‌లో రెండు కూర్చున్నాడు. 1934 లో దాని డిజైనర్ చేత ఒకటి మాత్రమే నిర్మించబడింది; రెండవ ప్రపంచ యుద్ధం ప్రారంభమయ్యే వరకు ఇది చురుకుగా ఉంది. లీడ్స్ నగరాన్ని 1932-4 కాలం"&amp;"లో అప్పటి బ్రాడ్‌ఫోర్డ్ మరియు కౌంటీ గ్లైడింగ్ క్లబ్‌లో సభ్యుడు ఆర్. ఎఫ్. స్టెడ్మాన్ రూపొందించారు మరియు నిర్మించారు. ఇది 21 జూలై 1934 న వెస్ట్ యార్క్‌షైర్‌లోని బెయిల్‌డన్ నుండి మొదటిసారి ప్రయాణించింది. ఇది ఒక సాధారణ చెక్క విమానం, ఓపెన్ కాక్‌పిట్‌లు మరియు న"&amp;"ిరాడంబరమైన కారక నిష్పత్తి యొక్క రెక్కలతో, అధిక పనితీరు కోసం ఉద్దేశించబడలేదు. దీని రెక్క రెండు స్పార్‌ల చుట్టూ నిర్మించబడింది మరియు చిట్కా దగ్గర కొంచెం ప్రముఖ అంచు టేపర్ కాకుండా స్థిరమైన తీగను కలిగి ఉంది. ఎయిర్ బ్రేక్స్ లేదా ఫ్లాప్స్ లేవు. రెక్కను సమాంతర, "&amp;"విస్తృత తీగ లిఫ్ట్ స్ట్రట్‌లపై పారాసోల్ ఫ్యాషన్‌ను అమర్చారు, ఇది మిడ్-స్పాన్ వద్ద స్పార్స్‌లో దిగువ ఫ్యూజ్‌లేజ్ లాంగన్స్‌కు చేరింది. [1] ఫ్యూజ్‌లేజ్ ఫ్లాట్ సైడెడ్ మరియు క్రాస్ సెక్షన్‌లో షట్కోణ. కాక్‌పిట్స్ సమిష్టిగా ఉన్నాయి, ఒకటి వింగ్ లీడింగ్ ఎడ్జ్ వద్ద"&amp;" మరియు మరొకటి మిడ్ టౌన్ వద్ద వింగ్ కింద ఉన్నాయి. ఒకే ల్యాండింగ్ స్కిడ్ ముక్కు నుండి రెక్కల వెనుకంజలో ఉన్న అంచు వరకు నడిచింది. ఫ్యూజ్‌లేజ్ కొద్దిగా వెనుకకు దెబ్బతింది, ఇక్కడ దాని పై ఉపరితలంపై సరళమైన అంచుగల టెయిల్‌ప్లేన్ అమర్చబడి ఉంటుంది. ఫిన్ చిన్నది, పొడవ"&amp;"ైన, సమతుల్య, విస్తృత తీగ మరియు వక్ర చుక్కాని మోసుకెళ్ళింది, ఇది ఫ్యూజ్‌లేజ్ దిగువకు చేరుకుంది, ఎలివేటర్ల మధ్య కటౌట్‌లో కదులుతుంది. [1] TS-1 యొక్క ప్రణాళికలు £ 8-8-0 (£ 8.40), [2] వద్ద ప్రచారం చేయబడ్డాయి, కాని ప్రోటోటైప్ మాత్రమే నిర్మించబడింది. ఇది ఏప్రిల్"&amp;" 1935 లో ఎయిర్‌వర్తినెస్ BGA 213 యొక్క సర్టిఫికెట్‌ను పొందింది [1] కొంత మార్పు మరియు బలోపేతం తర్వాత. [3] ఇది సుట్టన్ బ్యాంక్ [4] లో 1935 నేషనల్ గ్లైడింగ్ ఛాంపియన్‌షిప్‌లో ప్రయాణించింది మరియు రెండవ ప్రపంచ యుద్ధం ప్రారంభంలో ప్రైవేట్ సివిల్ ఏవియేషన్పై నిషేధం"&amp;" విధించే వరకు చురుకుగా ఉంది, [1]: p.19 దాని డిజైనర్ మరియు బిల్డర్ స్థానిక చీఫ్ అయినప్పుడు బ్లాక్బర్న్ ఎయిర్క్రాఫ్ట్ యొక్క షెర్బర్న్-ఇన్-ఎల్మెట్ ప్లాంట్ వద్ద టెస్ట్ పైలట్. [5] పారాచూట్ చేత తప్పించుకున్న బ్రిటిష్ గ్లైడర్ పైలట్, 1944 లో మిలిటరీ గ్లైడర్ నుండి"&amp;" బయటపడిన బ్రిటిష్ గ్లైడర్ పైలట్ స్టెడ్మాన్. [6] తన సొంత గ్లైడర్‌కు ఏమి జరిగిందో తెలియదు. [1] బ్రిటిష్ గ్లైడర్స్ మరియు సెయిల్‌ప్లేన్స్ నుండి డేటా 1922-1970 [1] సాధారణ లక్షణాల పనితీరు")</f>
        <v>స్టెడ్మాన్ టిఎస్ -1 సిటీ ఆఫ్ లీడ్స్ ఒక పారాసోల్ వింగ్ వుడెన్ సెయిల్ ప్లేన్, ఓపెన్ కాక్‌పిట్స్‌లో రెండు కూర్చున్నాడు. 1934 లో దాని డిజైనర్ చేత ఒకటి మాత్రమే నిర్మించబడింది; రెండవ ప్రపంచ యుద్ధం ప్రారంభమయ్యే వరకు ఇది చురుకుగా ఉంది. లీడ్స్ నగరాన్ని 1932-4 కాలంలో అప్పటి బ్రాడ్‌ఫోర్డ్ మరియు కౌంటీ గ్లైడింగ్ క్లబ్‌లో సభ్యుడు ఆర్. ఎఫ్. స్టెడ్మాన్ రూపొందించారు మరియు నిర్మించారు. ఇది 21 జూలై 1934 న వెస్ట్ యార్క్‌షైర్‌లోని బెయిల్‌డన్ నుండి మొదటిసారి ప్రయాణించింది. ఇది ఒక సాధారణ చెక్క విమానం, ఓపెన్ కాక్‌పిట్‌లు మరియు నిరాడంబరమైన కారక నిష్పత్తి యొక్క రెక్కలతో, అధిక పనితీరు కోసం ఉద్దేశించబడలేదు. దీని రెక్క రెండు స్పార్‌ల చుట్టూ నిర్మించబడింది మరియు చిట్కా దగ్గర కొంచెం ప్రముఖ అంచు టేపర్ కాకుండా స్థిరమైన తీగను కలిగి ఉంది. ఎయిర్ బ్రేక్స్ లేదా ఫ్లాప్స్ లేవు. రెక్కను సమాంతర, విస్తృత తీగ లిఫ్ట్ స్ట్రట్‌లపై పారాసోల్ ఫ్యాషన్‌ను అమర్చారు, ఇది మిడ్-స్పాన్ వద్ద స్పార్స్‌లో దిగువ ఫ్యూజ్‌లేజ్ లాంగన్స్‌కు చేరింది. [1] ఫ్యూజ్‌లేజ్ ఫ్లాట్ సైడెడ్ మరియు క్రాస్ సెక్షన్‌లో షట్కోణ. కాక్‌పిట్స్ సమిష్టిగా ఉన్నాయి, ఒకటి వింగ్ లీడింగ్ ఎడ్జ్ వద్ద మరియు మరొకటి మిడ్ టౌన్ వద్ద వింగ్ కింద ఉన్నాయి. ఒకే ల్యాండింగ్ స్కిడ్ ముక్కు నుండి రెక్కల వెనుకంజలో ఉన్న అంచు వరకు నడిచింది. ఫ్యూజ్‌లేజ్ కొద్దిగా వెనుకకు దెబ్బతింది, ఇక్కడ దాని పై ఉపరితలంపై సరళమైన అంచుగల టెయిల్‌ప్లేన్ అమర్చబడి ఉంటుంది. ఫిన్ చిన్నది, పొడవైన, సమతుల్య, విస్తృత తీగ మరియు వక్ర చుక్కాని మోసుకెళ్ళింది, ఇది ఫ్యూజ్‌లేజ్ దిగువకు చేరుకుంది, ఎలివేటర్ల మధ్య కటౌట్‌లో కదులుతుంది. [1] TS-1 యొక్క ప్రణాళికలు £ 8-8-0 (£ 8.40), [2] వద్ద ప్రచారం చేయబడ్డాయి, కాని ప్రోటోటైప్ మాత్రమే నిర్మించబడింది. ఇది ఏప్రిల్ 1935 లో ఎయిర్‌వర్తినెస్ BGA 213 యొక్క సర్టిఫికెట్‌ను పొందింది [1] కొంత మార్పు మరియు బలోపేతం తర్వాత. [3] ఇది సుట్టన్ బ్యాంక్ [4] లో 1935 నేషనల్ గ్లైడింగ్ ఛాంపియన్‌షిప్‌లో ప్రయాణించింది మరియు రెండవ ప్రపంచ యుద్ధం ప్రారంభంలో ప్రైవేట్ సివిల్ ఏవియేషన్పై నిషేధం విధించే వరకు చురుకుగా ఉంది, [1]: p.19 దాని డిజైనర్ మరియు బిల్డర్ స్థానిక చీఫ్ అయినప్పుడు బ్లాక్బర్న్ ఎయిర్క్రాఫ్ట్ యొక్క షెర్బర్న్-ఇన్-ఎల్మెట్ ప్లాంట్ వద్ద టెస్ట్ పైలట్. [5] పారాచూట్ చేత తప్పించుకున్న బ్రిటిష్ గ్లైడర్ పైలట్, 1944 లో మిలిటరీ గ్లైడర్ నుండి బయటపడిన బ్రిటిష్ గ్లైడర్ పైలట్ స్టెడ్మాన్. [6] తన సొంత గ్లైడర్‌కు ఏమి జరిగిందో తెలియదు. [1] బ్రిటిష్ గ్లైడర్స్ మరియు సెయిల్‌ప్లేన్స్ నుండి డేటా 1922-1970 [1] సాధారణ లక్షణాల పనితీరు</v>
      </c>
      <c r="F18" s="1" t="s">
        <v>478</v>
      </c>
      <c r="G18" s="1" t="str">
        <f>IFERROR(__xludf.DUMMYFUNCTION("GOOGLETRANSLATE(F:F,""en"", ""te"")"),"రెండు సీట్ల సెయిల్ ప్లేన్")</f>
        <v>రెండు సీట్ల సెయిల్ ప్లేన్</v>
      </c>
      <c r="H18" s="1" t="s">
        <v>479</v>
      </c>
      <c r="I18" s="1" t="s">
        <v>480</v>
      </c>
      <c r="J18" s="1" t="str">
        <f>IFERROR(__xludf.DUMMYFUNCTION("GOOGLETRANSLATE(I:I,""en"", ""te"")"),"యునైటెడ్ కింగ్‌డమ్")</f>
        <v>యునైటెడ్ కింగ్‌డమ్</v>
      </c>
      <c r="K18" s="1" t="s">
        <v>481</v>
      </c>
      <c r="R18" s="1">
        <v>1.0</v>
      </c>
      <c r="S18" s="1">
        <v>2.0</v>
      </c>
      <c r="U18" s="1" t="s">
        <v>482</v>
      </c>
      <c r="W18" s="1" t="s">
        <v>483</v>
      </c>
      <c r="X18" s="1" t="s">
        <v>484</v>
      </c>
      <c r="Y18" s="1" t="s">
        <v>485</v>
      </c>
      <c r="AB18" s="1" t="s">
        <v>486</v>
      </c>
      <c r="AF18" s="1" t="s">
        <v>487</v>
      </c>
      <c r="AH18" s="1" t="s">
        <v>488</v>
      </c>
      <c r="AI18" s="1" t="s">
        <v>489</v>
      </c>
      <c r="AM18" s="1" t="s">
        <v>490</v>
      </c>
      <c r="AO18" s="4">
        <v>12621.0</v>
      </c>
      <c r="AW18" s="1" t="s">
        <v>491</v>
      </c>
      <c r="BC18" s="1">
        <v>1939.0</v>
      </c>
      <c r="BD18" s="1">
        <v>8.3</v>
      </c>
    </row>
    <row r="19">
      <c r="A19" s="1" t="s">
        <v>492</v>
      </c>
      <c r="B19" s="1" t="str">
        <f>IFERROR(__xludf.DUMMYFUNCTION("GOOGLETRANSLATE(A:A,""en"", ""te"")"),"స్టోడార్డ్-హామిల్టన్ టి -9 స్టాకర్")</f>
        <v>స్టోడార్డ్-హామిల్టన్ టి -9 స్టాకర్</v>
      </c>
      <c r="C19" s="1" t="s">
        <v>493</v>
      </c>
      <c r="D19" s="1" t="str">
        <f>IFERROR(__xludf.DUMMYFUNCTION("GOOGLETRANSLATE(C:C,""en"", ""te"")"),"స్టోడార్డ్-హామిల్టన్ టి -9 స్టాకర్, అరోసెట్ ఎటి -9 లేదా అరోసెట్ ఎటి-టి టాక్టికల్ ట్రైనర్ అని కూడా పిలుస్తారు, ఇది ఒక అమెరికన్ సైనిక శిక్షణ మోనోప్లేన్, ఇది వాషింగ్టన్ లోని ఆర్లింగ్టన్ యొక్క స్టోడార్డ్-హామిల్టన్ విమానం మరియు స్టోడార్డ్-హామిల్టన్ ఆధారంగా రూప"&amp;"ొందించబడింది మరియు నిర్మించబడింది గ్లాసెయిర్ III. [1] మొట్టమొదట 24 జూలై 1988 న ఎగిరింది, స్టాకర్ గ్లాసెయిర్ III యొక్క సైనిక శిక్షణ వెర్షన్, ఆల్-కాంపోజిట్, కాంటిలివర్, లో-వింగ్ మోనోప్లేన్. స్టాకర్ 420 హెచ్‌పి (313 కిలోవాట్) అల్లిసన్ 250-బి 17 డి టర్బోప్రోప"&amp;"్ మూడు బ్లేడెడ్ మెటల్ ట్రాక్టర్ ప్రొపెల్లర్‌ను నడుపుతుంది. ఇది ముడుచుకునే ట్రైసైకిల్ ల్యాండింగ్ గేర్‌ను కలిగి ఉంది మరియు పరివేష్టిత కాక్‌పిట్‌లో ద్వంద్వ నియంత్రణలు మరియు సున్నా/సున్నా పైలట్ వెలికితీత వ్యవస్థతో రెండు సీట్లు పక్కపక్కనే ఉన్నాయి. సైనిక ఆర్డిన"&amp;"ెన్స్ కోసం ల్యాండింగ్ గేర్ యొక్క రెండు అండర్ వింగ్ హార్డ్ పాయింట్ల అవుట్‌బోర్డ్ స్టాకర్‌కు ఉంది. [1] 29 మే 1989 న జరిగిన ఘోరమైన ప్రమాదంలో ఈ నమూనా నాశనం చేయబడింది. జేన్ యొక్క అన్ని ప్రపంచ విమానాల నుండి డేటా 1989-90 [1] సాధారణ లక్షణాల పనితీరు")</f>
        <v>స్టోడార్డ్-హామిల్టన్ టి -9 స్టాకర్, అరోసెట్ ఎటి -9 లేదా అరోసెట్ ఎటి-టి టాక్టికల్ ట్రైనర్ అని కూడా పిలుస్తారు, ఇది ఒక అమెరికన్ సైనిక శిక్షణ మోనోప్లేన్, ఇది వాషింగ్టన్ లోని ఆర్లింగ్టన్ యొక్క స్టోడార్డ్-హామిల్టన్ విమానం మరియు స్టోడార్డ్-హామిల్టన్ ఆధారంగా రూపొందించబడింది మరియు నిర్మించబడింది గ్లాసెయిర్ III. [1] మొట్టమొదట 24 జూలై 1988 న ఎగిరింది, స్టాకర్ గ్లాసెయిర్ III యొక్క సైనిక శిక్షణ వెర్షన్, ఆల్-కాంపోజిట్, కాంటిలివర్, లో-వింగ్ మోనోప్లేన్. స్టాకర్ 420 హెచ్‌పి (313 కిలోవాట్) అల్లిసన్ 250-బి 17 డి టర్బోప్రోప్ మూడు బ్లేడెడ్ మెటల్ ట్రాక్టర్ ప్రొపెల్లర్‌ను నడుపుతుంది. ఇది ముడుచుకునే ట్రైసైకిల్ ల్యాండింగ్ గేర్‌ను కలిగి ఉంది మరియు పరివేష్టిత కాక్‌పిట్‌లో ద్వంద్వ నియంత్రణలు మరియు సున్నా/సున్నా పైలట్ వెలికితీత వ్యవస్థతో రెండు సీట్లు పక్కపక్కనే ఉన్నాయి. సైనిక ఆర్డినెన్స్ కోసం ల్యాండింగ్ గేర్ యొక్క రెండు అండర్ వింగ్ హార్డ్ పాయింట్ల అవుట్‌బోర్డ్ స్టాకర్‌కు ఉంది. [1] 29 మే 1989 న జరిగిన ఘోరమైన ప్రమాదంలో ఈ నమూనా నాశనం చేయబడింది. జేన్ యొక్క అన్ని ప్రపంచ విమానాల నుండి డేటా 1989-90 [1] సాధారణ లక్షణాల పనితీరు</v>
      </c>
      <c r="F19" s="1" t="s">
        <v>494</v>
      </c>
      <c r="G19" s="1" t="str">
        <f>IFERROR(__xludf.DUMMYFUNCTION("GOOGLETRANSLATE(F:F,""en"", ""te"")"),"టర్బోప్రాప్ సైనిక శిక్షణా విమానం")</f>
        <v>టర్బోప్రాప్ సైనిక శిక్షణా విమానం</v>
      </c>
      <c r="I19" s="1" t="s">
        <v>158</v>
      </c>
      <c r="J19" s="1" t="str">
        <f>IFERROR(__xludf.DUMMYFUNCTION("GOOGLETRANSLATE(I:I,""en"", ""te"")"),"అమెరికా")</f>
        <v>అమెరికా</v>
      </c>
      <c r="L19" s="1" t="s">
        <v>495</v>
      </c>
      <c r="M19" s="1" t="str">
        <f>IFERROR(__xludf.DUMMYFUNCTION("GOOGLETRANSLATE(L:L,""en"", ""te"")"),"స్టోడార్డ్-హామిల్టన్ విమానం")</f>
        <v>స్టోడార్డ్-హామిల్టన్ విమానం</v>
      </c>
      <c r="N19" s="1" t="s">
        <v>496</v>
      </c>
      <c r="R19" s="1">
        <v>1.0</v>
      </c>
      <c r="S19" s="1">
        <v>2.0</v>
      </c>
      <c r="U19" s="1" t="s">
        <v>497</v>
      </c>
      <c r="V19" s="1" t="s">
        <v>498</v>
      </c>
      <c r="W19" s="1" t="s">
        <v>499</v>
      </c>
      <c r="X19" s="1" t="s">
        <v>500</v>
      </c>
      <c r="Y19" s="1" t="s">
        <v>501</v>
      </c>
      <c r="AA19" s="1" t="s">
        <v>502</v>
      </c>
      <c r="AB19" s="1" t="s">
        <v>503</v>
      </c>
      <c r="AD19" s="1" t="s">
        <v>504</v>
      </c>
      <c r="AH19" s="1" t="s">
        <v>505</v>
      </c>
      <c r="AI19" s="1" t="s">
        <v>506</v>
      </c>
      <c r="AK19" s="1" t="s">
        <v>507</v>
      </c>
      <c r="AL19" s="1" t="s">
        <v>508</v>
      </c>
      <c r="AO19" s="4">
        <v>32348.0</v>
      </c>
      <c r="AQ19" s="1" t="s">
        <v>509</v>
      </c>
      <c r="AU19" s="1" t="s">
        <v>510</v>
      </c>
      <c r="AV19" s="1" t="s">
        <v>299</v>
      </c>
      <c r="BE19" s="1" t="s">
        <v>511</v>
      </c>
    </row>
    <row r="20">
      <c r="A20" s="1" t="s">
        <v>512</v>
      </c>
      <c r="B20" s="1" t="str">
        <f>IFERROR(__xludf.DUMMYFUNCTION("GOOGLETRANSLATE(A:A,""en"", ""te"")"),"STOLP అక్రోడస్టర్ కూడా")</f>
        <v>STOLP అక్రోడస్టర్ కూడా</v>
      </c>
      <c r="C20" s="1" t="s">
        <v>513</v>
      </c>
      <c r="D20" s="1" t="str">
        <f>IFERROR(__xludf.DUMMYFUNCTION("GOOGLETRANSLATE(C:C,""en"", ""te"")"),"STOLP SA 750 అక్రోడస్టర్ కూడా ఒక అమెరికన్ టూ ప్లేస్ హోమ్‌బిల్ట్ ఏరోబాటిక్ బిప్‌లేన్, ఇది ప్లస్ లేదా మైనస్ 9 గ్రా. ఈ విమానం 1971 లో ప్రవేశపెట్టబడింది మరియు ఇది ప్రణాళికల రూపంలో మరియు విమాన స్ప్రూస్ &amp; స్పెషాలిటీ ద్వారా te త్సాహిక నిర్మాణానికి కొన్ని భాగాలు "&amp;"సరఫరా చేయబడ్డాయి. [1] [2] అక్రోడస్టర్ కూడా STOLP స్టార్డస్టర్ యొక్క స్కేల్డ్ డౌన్ వెర్షన్. [3] దీనికి మొదట ష్రాక్-స్టోల్ప్ సూపర్ స్టార్డస్టర్ అని పేరు పెట్టారు. [4] SA-300 యొక్క పున es రూపకల్పనలో ఎక్కువ భాగం TWA పైలట్ మోర్గాన్ ష్రాక్ చేత చేయబడింది. [5] ఏర"&amp;"ోబాటిక్ విమానం పదునైన స్టాల్ మరియు చుక్కాని ఉపయోగించి రెక్కల స్థాయిని ఉంచే సామర్థ్యం ఉన్నట్లు వర్ణించబడింది. అక్రోడస్టర్ తక్కువ వ్యవధి మరియు పొడవును కలిగి ఉంటుంది, స్టార్డస్టర్ కంటే పెద్ద ఐలెరాన్‌లను కలిగి ఉంటుంది మరియు బలమైన తోకను కలిగి ఉంటుంది. [సైటేషన్"&amp;" అవసరం] విమానం 4130 స్టీల్ ట్యూబ్ స్ట్రక్చర్ మరియు స్ప్రూస్ వింగ్ స్పార్‌లతో కప్పబడిన ఫాబ్రిక్ కవర్లతో నిర్మించబడింది. పక్కటెముకలు క్యాప్ స్ట్రిప్స్‌తో ప్లైవుడ్. [1] విమానం స్ప్రూస్ నుండి డేటా. సాధారణ లక్షణాలు పోల్చదగిన పాత్ర, కాన్ఫిగరేషన్ మరియు ERA సంబంధ"&amp;"ిత జాబితాల పనితీరు విమానం")</f>
        <v>STOLP SA 750 అక్రోడస్టర్ కూడా ఒక అమెరికన్ టూ ప్లేస్ హోమ్‌బిల్ట్ ఏరోబాటిక్ బిప్‌లేన్, ఇది ప్లస్ లేదా మైనస్ 9 గ్రా. ఈ విమానం 1971 లో ప్రవేశపెట్టబడింది మరియు ఇది ప్రణాళికల రూపంలో మరియు విమాన స్ప్రూస్ &amp; స్పెషాలిటీ ద్వారా te త్సాహిక నిర్మాణానికి కొన్ని భాగాలు సరఫరా చేయబడ్డాయి. [1] [2] అక్రోడస్టర్ కూడా STOLP స్టార్డస్టర్ యొక్క స్కేల్డ్ డౌన్ వెర్షన్. [3] దీనికి మొదట ష్రాక్-స్టోల్ప్ సూపర్ స్టార్డస్టర్ అని పేరు పెట్టారు. [4] SA-300 యొక్క పున es రూపకల్పనలో ఎక్కువ భాగం TWA పైలట్ మోర్గాన్ ష్రాక్ చేత చేయబడింది. [5] ఏరోబాటిక్ విమానం పదునైన స్టాల్ మరియు చుక్కాని ఉపయోగించి రెక్కల స్థాయిని ఉంచే సామర్థ్యం ఉన్నట్లు వర్ణించబడింది. అక్రోడస్టర్ తక్కువ వ్యవధి మరియు పొడవును కలిగి ఉంటుంది, స్టార్డస్టర్ కంటే పెద్ద ఐలెరాన్‌లను కలిగి ఉంటుంది మరియు బలమైన తోకను కలిగి ఉంటుంది. [సైటేషన్ అవసరం] విమానం 4130 స్టీల్ ట్యూబ్ స్ట్రక్చర్ మరియు స్ప్రూస్ వింగ్ స్పార్‌లతో కప్పబడిన ఫాబ్రిక్ కవర్లతో నిర్మించబడింది. పక్కటెముకలు క్యాప్ స్ట్రిప్స్‌తో ప్లైవుడ్. [1] విమానం స్ప్రూస్ నుండి డేటా. సాధారణ లక్షణాలు పోల్చదగిన పాత్ర, కాన్ఫిగరేషన్ మరియు ERA సంబంధిత జాబితాల పనితీరు విమానం</v>
      </c>
      <c r="E20" s="1" t="s">
        <v>514</v>
      </c>
      <c r="F20" s="1" t="s">
        <v>428</v>
      </c>
      <c r="G20" s="1" t="str">
        <f>IFERROR(__xludf.DUMMYFUNCTION("GOOGLETRANSLATE(F:F,""en"", ""te"")"),"హోమ్‌బిల్ట్ ఏరోబాటిక్ బిప్‌లేన్")</f>
        <v>హోమ్‌బిల్ట్ ఏరోబాటిక్ బిప్‌లేన్</v>
      </c>
      <c r="H20" s="1" t="s">
        <v>429</v>
      </c>
      <c r="I20" s="1" t="s">
        <v>158</v>
      </c>
      <c r="J20" s="1" t="str">
        <f>IFERROR(__xludf.DUMMYFUNCTION("GOOGLETRANSLATE(I:I,""en"", ""te"")"),"అమెరికా")</f>
        <v>అమెరికా</v>
      </c>
      <c r="K20" s="2" t="s">
        <v>515</v>
      </c>
      <c r="L20" s="1" t="s">
        <v>516</v>
      </c>
      <c r="M20" s="1" t="str">
        <f>IFERROR(__xludf.DUMMYFUNCTION("GOOGLETRANSLATE(L:L,""en"", ""te"")"),"STOLP స్టార్డస్టర్ కార్పొరేషన్ ఎయిర్‌క్రాఫ్ట్ స్ప్రూస్ &amp; స్పెషాలిటీ")</f>
        <v>STOLP స్టార్డస్టర్ కార్పొరేషన్ ఎయిర్‌క్రాఫ్ట్ స్ప్రూస్ &amp; స్పెషాలిటీ</v>
      </c>
      <c r="N20" s="1" t="s">
        <v>517</v>
      </c>
      <c r="O20" s="1">
        <v>1971.0</v>
      </c>
      <c r="P20" s="1" t="s">
        <v>518</v>
      </c>
      <c r="Q20" s="1"/>
      <c r="S20" s="1" t="s">
        <v>164</v>
      </c>
      <c r="T20" s="1" t="s">
        <v>165</v>
      </c>
      <c r="U20" s="1" t="s">
        <v>438</v>
      </c>
      <c r="W20" s="1" t="s">
        <v>519</v>
      </c>
      <c r="AA20" s="1" t="s">
        <v>520</v>
      </c>
      <c r="AB20" s="1" t="s">
        <v>521</v>
      </c>
      <c r="AD20" s="1" t="s">
        <v>247</v>
      </c>
      <c r="AE20" s="1" t="s">
        <v>522</v>
      </c>
      <c r="AH20" s="1" t="s">
        <v>523</v>
      </c>
      <c r="AI20" s="1" t="s">
        <v>524</v>
      </c>
      <c r="AM20" s="1" t="s">
        <v>525</v>
      </c>
      <c r="AU20" s="1" t="s">
        <v>526</v>
      </c>
      <c r="AV20" s="1" t="s">
        <v>527</v>
      </c>
    </row>
    <row r="21">
      <c r="A21" s="1" t="s">
        <v>528</v>
      </c>
      <c r="B21" s="1" t="str">
        <f>IFERROR(__xludf.DUMMYFUNCTION("GOOGLETRANSLATE(A:A,""en"", ""te"")"),"స్టోల్ప్ స్టార్డస్టర్ కూడా")</f>
        <v>స్టోల్ప్ స్టార్డస్టర్ కూడా</v>
      </c>
      <c r="C21" s="1" t="s">
        <v>529</v>
      </c>
      <c r="D21" s="1" t="str">
        <f>IFERROR(__xludf.DUMMYFUNCTION("GOOGLETRANSLATE(C:C,""en"", ""te"")"),"STOLP స్టార్డస్టర్ టూ SA300 రెండు-సీట్ల, సాంప్రదాయ ల్యాండింగ్ గేర్ అమర్చిన హోమ్‌బిల్ట్ బైప్‌లేన్. ఎయిర్క్రాఫ్ట్ స్ప్రూస్ &amp; స్పెషాలిటీ కో ప్రస్తుతం విమానం కోసం ప్రణాళికలను విక్రయించే హక్కులను కలిగి ఉంది. స్టార్డస్టర్ కూడా ఆర్థిక రెండు-సీట్ల స్పోర్ట్ బిప్‌ల"&amp;"ేన్‌గా అభివృద్ధి చేయబడింది. విమానం ప్లస్ 6 లేదా మైనస్ 6 గ్రా లోడింగ్ చేయడానికి రూపొందించబడింది. ఇది ఏరోబాటిక్ పోటీలో ఉపయోగం కోసం ఉద్దేశించినది కాదు, కానీ ఇది ప్రాథమిక ఏరోబాటిక్స్ చేయగలదు. [1] ఫ్యూజ్‌లేజ్ ఫాబ్రిక్ కవరింగ్‌తో 4130 స్టీల్ గొట్టాలతో తయారు చేయ"&amp;"బడింది. స్పార్స్ ప్లైవుడ్ చెక్క వింగ్ పక్కటెముకలతో స్ప్రూస్ కలపతో తయారు చేస్తారు. బేస్ ఇంజిన్ ఒక లైమింగ్ O-360 180 HP (134 kW) ఇంజిన్, అయితే ప్రత్యామ్నాయ ఉదాహరణలు లైమింగ్ IO-540, రేంజర్, ఫోర్డ్ V-8 మరియు V-6, కాంటినెంటల్, జాకబ్స్ మరియు ప్రాట్ &amp; విట్నీలను "&amp;"ఉపయోగించి నిర్మించబడ్డాయి R-985 ఇంజన్లు. [2] స్టార్డస్టర్ కూడా ఒక ప్రసిద్ధ బిప్‌లేన్ హోమ్‌బిల్ట్ డిజైన్. 2500 గంటలకు పైగా విమాన సమయం, మరియు 5000 గంటలకు పైగా ఉన్నాయి. [1] STOLP అక్రోడస్టర్ మరియు STOLP అక్రోడస్టర్ కూడా స్టార్డస్టర్‌కు మోడళ్లను అనుసరించాయి. "&amp;"అవి 10 శాతం తగ్గించబడ్డాయి మరియు 9G కి నొక్కిచెప్పబడ్డాయి. మొదటి ఉదాహరణ ష్రాక్-స్టోల్ప్ సూపర్ స్టార్డస్టర్‌గా నమోదు చేయబడింది. [3] స్టార్డస్టర్ యొక్క ఒక ఉదాహరణ కూడా ముడుచుకునే గేర్ మరియు స్లైడింగ్ పందిరితో సవరించబడింది. ""శామ్సాంగ్"" అనే విమానం 150 mph వద"&amp;"్ద ప్రయాణించగలిగింది, మరియు 45-మైళ్ల పరిధిని 45 గ్యాలన్ల ఇంధనంతో సెస్నా 140 నుండి సవరించిన గేర్ కాళ్ళను ఉపయోగించి విమాన స్ప్రూస్ నుండి డేటాను కలిగి ఉంది [1] పోల్చదగిన సాధారణ లక్షణాల పనితీరు విమానం [1] పాత్ర, కాన్ఫిగరేషన్ మరియు యుగం")</f>
        <v>STOLP స్టార్డస్టర్ టూ SA300 రెండు-సీట్ల, సాంప్రదాయ ల్యాండింగ్ గేర్ అమర్చిన హోమ్‌బిల్ట్ బైప్‌లేన్. ఎయిర్క్రాఫ్ట్ స్ప్రూస్ &amp; స్పెషాలిటీ కో ప్రస్తుతం విమానం కోసం ప్రణాళికలను విక్రయించే హక్కులను కలిగి ఉంది. స్టార్డస్టర్ కూడా ఆర్థిక రెండు-సీట్ల స్పోర్ట్ బిప్‌లేన్‌గా అభివృద్ధి చేయబడింది. విమానం ప్లస్ 6 లేదా మైనస్ 6 గ్రా లోడింగ్ చేయడానికి రూపొందించబడింది. ఇది ఏరోబాటిక్ పోటీలో ఉపయోగం కోసం ఉద్దేశించినది కాదు, కానీ ఇది ప్రాథమిక ఏరోబాటిక్స్ చేయగలదు. [1] ఫ్యూజ్‌లేజ్ ఫాబ్రిక్ కవరింగ్‌తో 4130 స్టీల్ గొట్టాలతో తయారు చేయబడింది. స్పార్స్ ప్లైవుడ్ చెక్క వింగ్ పక్కటెముకలతో స్ప్రూస్ కలపతో తయారు చేస్తారు. బేస్ ఇంజిన్ ఒక లైమింగ్ O-360 180 HP (134 kW) ఇంజిన్, అయితే ప్రత్యామ్నాయ ఉదాహరణలు లైమింగ్ IO-540, రేంజర్, ఫోర్డ్ V-8 మరియు V-6, కాంటినెంటల్, జాకబ్స్ మరియు ప్రాట్ &amp; విట్నీలను ఉపయోగించి నిర్మించబడ్డాయి R-985 ఇంజన్లు. [2] స్టార్డస్టర్ కూడా ఒక ప్రసిద్ధ బిప్‌లేన్ హోమ్‌బిల్ట్ డిజైన్. 2500 గంటలకు పైగా విమాన సమయం, మరియు 5000 గంటలకు పైగా ఉన్నాయి. [1] STOLP అక్రోడస్టర్ మరియు STOLP అక్రోడస్టర్ కూడా స్టార్డస్టర్‌కు మోడళ్లను అనుసరించాయి. అవి 10 శాతం తగ్గించబడ్డాయి మరియు 9G కి నొక్కిచెప్పబడ్డాయి. మొదటి ఉదాహరణ ష్రాక్-స్టోల్ప్ సూపర్ స్టార్డస్టర్‌గా నమోదు చేయబడింది. [3] స్టార్డస్టర్ యొక్క ఒక ఉదాహరణ కూడా ముడుచుకునే గేర్ మరియు స్లైడింగ్ పందిరితో సవరించబడింది. "శామ్సాంగ్" అనే విమానం 150 mph వద్ద ప్రయాణించగలిగింది, మరియు 45-మైళ్ల పరిధిని 45 గ్యాలన్ల ఇంధనంతో సెస్నా 140 నుండి సవరించిన గేర్ కాళ్ళను ఉపయోగించి విమాన స్ప్రూస్ నుండి డేటాను కలిగి ఉంది [1] పోల్చదగిన సాధారణ లక్షణాల పనితీరు విమానం [1] పాత్ర, కాన్ఫిగరేషన్ మరియు యుగం</v>
      </c>
      <c r="E21" s="1" t="s">
        <v>530</v>
      </c>
      <c r="F21" s="1" t="s">
        <v>531</v>
      </c>
      <c r="G21" s="1" t="str">
        <f>IFERROR(__xludf.DUMMYFUNCTION("GOOGLETRANSLATE(F:F,""en"", ""te"")"),"స్పోర్ట్ బిప్‌లేన్")</f>
        <v>స్పోర్ట్ బిప్‌లేన్</v>
      </c>
      <c r="H21" s="1" t="s">
        <v>532</v>
      </c>
      <c r="I21" s="1" t="s">
        <v>158</v>
      </c>
      <c r="J21" s="1" t="str">
        <f>IFERROR(__xludf.DUMMYFUNCTION("GOOGLETRANSLATE(I:I,""en"", ""te"")"),"అమెరికా")</f>
        <v>అమెరికా</v>
      </c>
      <c r="K21" s="1" t="s">
        <v>159</v>
      </c>
      <c r="L21" s="1" t="s">
        <v>430</v>
      </c>
      <c r="M21" s="1" t="str">
        <f>IFERROR(__xludf.DUMMYFUNCTION("GOOGLETRANSLATE(L:L,""en"", ""te"")"),"STOLP స్టార్డస్టర్ కార్పొరేషన్")</f>
        <v>STOLP స్టార్డస్టర్ కార్పొరేషన్</v>
      </c>
      <c r="N21" s="1" t="s">
        <v>431</v>
      </c>
      <c r="T21" s="1">
        <v>2.0</v>
      </c>
      <c r="U21" s="1" t="s">
        <v>533</v>
      </c>
      <c r="V21" s="1" t="s">
        <v>498</v>
      </c>
      <c r="W21" s="1" t="s">
        <v>534</v>
      </c>
      <c r="X21" s="1" t="s">
        <v>312</v>
      </c>
      <c r="Y21" s="1" t="s">
        <v>535</v>
      </c>
      <c r="Z21" s="1" t="s">
        <v>536</v>
      </c>
      <c r="AA21" s="1" t="s">
        <v>537</v>
      </c>
      <c r="AB21" s="1" t="s">
        <v>538</v>
      </c>
      <c r="AD21" s="1" t="s">
        <v>416</v>
      </c>
      <c r="AG21" s="1" t="s">
        <v>208</v>
      </c>
      <c r="AH21" s="1" t="s">
        <v>539</v>
      </c>
      <c r="AI21" s="1" t="s">
        <v>540</v>
      </c>
      <c r="AL21" s="1" t="s">
        <v>541</v>
      </c>
      <c r="AM21" s="1" t="s">
        <v>320</v>
      </c>
      <c r="AQ21" s="1" t="s">
        <v>542</v>
      </c>
      <c r="AU21" s="1" t="s">
        <v>543</v>
      </c>
      <c r="AV21" s="1" t="s">
        <v>544</v>
      </c>
      <c r="AW21" s="1" t="s">
        <v>545</v>
      </c>
      <c r="BE21" s="1" t="s">
        <v>546</v>
      </c>
      <c r="BF21" s="1" t="s">
        <v>547</v>
      </c>
    </row>
    <row r="22">
      <c r="A22" s="1" t="s">
        <v>548</v>
      </c>
      <c r="B22" s="1" t="str">
        <f>IFERROR(__xludf.DUMMYFUNCTION("GOOGLETRANSLATE(A:A,""en"", ""te"")"),"స్టౌట్ బుష్‌మాస్టర్ 2000")</f>
        <v>స్టౌట్ బుష్‌మాస్టర్ 2000</v>
      </c>
      <c r="C22" s="1" t="s">
        <v>549</v>
      </c>
      <c r="D22" s="1" t="str">
        <f>IFERROR(__xludf.DUMMYFUNCTION("GOOGLETRANSLATE(C:C,""en"", ""te"")"),"ఫోర్డ్ ట్రిమోటర్ డిజైన్‌ను పునరుద్ధరించే ప్రయత్నంలో బుష్‌మాస్టర్ 2000 యునైటెడ్ స్టేట్స్‌లో నిర్మించిన ఒక చిన్న ప్రయాణికుల విమానాలు. పాతకాలపు ట్రిమోటర్‌ను పరీక్షించడం ద్వారా 1953 లో పనులు ప్రారంభమయ్యాయి మరియు 1954 లో బిల్ స్టౌట్ అసలు ట్రిమోటర్‌కు డిజైన్ హక"&amp;"్కులను కొనుగోలు చేశాడు. ""ఫోర్డ్ ట్రై-మోటార్"" లైసెన్సింగ్ సమస్యల కారణంగా, ఫోర్డ్ 15-AT-D కి బుష్‌మాస్టర్ 2000 పేరు ఇవ్వబడింది. [1] 15 జనవరి 1955 న, హేడెన్ ఎయిర్‌క్రాఫ్ట్ కార్పొరేషన్‌కు చెందిన స్టౌట్ మరియు భాగస్వామి రాబర్ట్ హేడెన్ వారు 1,000 కొత్త బుష్‌మా"&amp;"స్టర్‌లను నిర్మించాలని యోచిస్తున్నట్లు ప్రకటించారు, కాని కొత్త డిజైన్ యొక్క మొదటి నమూనా ఎగరడానికి పదకొండు సంవత్సరాలు. బుష్‌మాస్టర్ 2000 అసలు 1920 ల రూపకల్పన యొక్క గణనీయమైన ఆధునీకరణను కలిగి ఉంది, ముఖ్యంగా పదార్థాలు మరియు నిర్మాణ పద్ధతుల ఎంపికలో. ఇది మరింత "&amp;"శక్తివంతమైన ఇంజన్లు, విస్తరించిన కాక్‌పిట్ కిటికీలు, తేలికైన మరియు బలమైన అల్యూమినియం-అల్లాయ్ చర్మం, పాత ట్రిమోటర్ యొక్క చేతితో పనిచేసే ""జానీ బ్రేక్"" యొక్క అడుగు-ఆపరేటెడ్ హైడ్రాలిక్ పున ment స్థాపన, యావ్, ఆధునిక, పెద్ద స్టెబిలైజర్ మరియు డోర్సల్ ఫిన్ బాహ్"&amp;"య నియంత్రణ తంతులు కాకుండా ట్యాబ్‌లు మరియు లోపలి భాగాన్ని కత్తిరించండి. [2] అయినప్పటికీ, ఆధునిక ఇంజన్లు మరియు ప్రొపెల్లర్లతో కూడా, విమానం యొక్క పనితీరు సారూప్య సామర్థ్యం యొక్క సమకాలీన డిజైన్లతో అనుకూలంగా పోల్చలేదు మరియు అమ్మకాలు జరగలేదు. ఆర్థిక, నిర్వహణ మర"&amp;"ియు మార్కెటింగ్ సమస్యలతో కలిపి, రెండు ఉదాహరణలు మాత్రమే మూడవ ఫ్యూజ్‌లేజ్‌తో నిర్మించబడ్డాయి. [1] మొట్టమొదటి బుష్‌మాస్టర్, N7501V 1966 లో సమావేశమైంది, మరియు ఇది మిడ్ అమెరికా ఫ్లైట్ మ్యూజియంలోని ప్లెసెంట్ ఏవియేషన్ LLC యాజమాన్యంలో ఉంది మరియు టెక్సాస్‌లోని మౌం"&amp;"ట్ ప్లెసెంట్ సమీపంలో ఉన్న MT ప్లెసెంట్ రీజినల్ విమానాశ్రయంలో ఉంది. రెండవ విమానం N750RW ను 18 జనవరి 1985 న పూర్తి చేసింది, కాలిఫోర్నియాలోని లాంగ్ బీచ్‌లో హైడ్రో-ఫార్మింగ్ అధ్యక్షుడు రాల్ఫ్ విలియమ్స్. ఈ విమానం 25 సెప్టెంబర్ 2004 న కాలిఫోర్నియాలోని ఫుల్లెర్ట"&amp;"న్ మునిసిపల్ విమానాశ్రయంలో జరిగిన ప్రమాదంలో వ్రాయబడింది. [3] సాధారణ లక్షణాలు పనితీరు సంబంధిత అభివృద్ధి మీడియా వికీమీడియా కామన్స్ వద్ద స్టౌట్ బుష్‌మాస్టర్ 2000 కు సంబంధించినది")</f>
        <v>ఫోర్డ్ ట్రిమోటర్ డిజైన్‌ను పునరుద్ధరించే ప్రయత్నంలో బుష్‌మాస్టర్ 2000 యునైటెడ్ స్టేట్స్‌లో నిర్మించిన ఒక చిన్న ప్రయాణికుల విమానాలు. పాతకాలపు ట్రిమోటర్‌ను పరీక్షించడం ద్వారా 1953 లో పనులు ప్రారంభమయ్యాయి మరియు 1954 లో బిల్ స్టౌట్ అసలు ట్రిమోటర్‌కు డిజైన్ హక్కులను కొనుగోలు చేశాడు. "ఫోర్డ్ ట్రై-మోటార్" లైసెన్సింగ్ సమస్యల కారణంగా, ఫోర్డ్ 15-AT-D కి బుష్‌మాస్టర్ 2000 పేరు ఇవ్వబడింది. [1] 15 జనవరి 1955 న, హేడెన్ ఎయిర్‌క్రాఫ్ట్ కార్పొరేషన్‌కు చెందిన స్టౌట్ మరియు భాగస్వామి రాబర్ట్ హేడెన్ వారు 1,000 కొత్త బుష్‌మాస్టర్‌లను నిర్మించాలని యోచిస్తున్నట్లు ప్రకటించారు, కాని కొత్త డిజైన్ యొక్క మొదటి నమూనా ఎగరడానికి పదకొండు సంవత్సరాలు. బుష్‌మాస్టర్ 2000 అసలు 1920 ల రూపకల్పన యొక్క గణనీయమైన ఆధునీకరణను కలిగి ఉంది, ముఖ్యంగా పదార్థాలు మరియు నిర్మాణ పద్ధతుల ఎంపికలో. ఇది మరింత శక్తివంతమైన ఇంజన్లు, విస్తరించిన కాక్‌పిట్ కిటికీలు, తేలికైన మరియు బలమైన అల్యూమినియం-అల్లాయ్ చర్మం, పాత ట్రిమోటర్ యొక్క చేతితో పనిచేసే "జానీ బ్రేక్" యొక్క అడుగు-ఆపరేటెడ్ హైడ్రాలిక్ పున ment స్థాపన, యావ్, ఆధునిక, పెద్ద స్టెబిలైజర్ మరియు డోర్సల్ ఫిన్ బాహ్య నియంత్రణ తంతులు కాకుండా ట్యాబ్‌లు మరియు లోపలి భాగాన్ని కత్తిరించండి. [2] అయినప్పటికీ, ఆధునిక ఇంజన్లు మరియు ప్రొపెల్లర్లతో కూడా, విమానం యొక్క పనితీరు సారూప్య సామర్థ్యం యొక్క సమకాలీన డిజైన్లతో అనుకూలంగా పోల్చలేదు మరియు అమ్మకాలు జరగలేదు. ఆర్థిక, నిర్వహణ మరియు మార్కెటింగ్ సమస్యలతో కలిపి, రెండు ఉదాహరణలు మాత్రమే మూడవ ఫ్యూజ్‌లేజ్‌తో నిర్మించబడ్డాయి. [1] మొట్టమొదటి బుష్‌మాస్టర్, N7501V 1966 లో సమావేశమైంది, మరియు ఇది మిడ్ అమెరికా ఫ్లైట్ మ్యూజియంలోని ప్లెసెంట్ ఏవియేషన్ LLC యాజమాన్యంలో ఉంది మరియు టెక్సాస్‌లోని మౌంట్ ప్లెసెంట్ సమీపంలో ఉన్న MT ప్లెసెంట్ రీజినల్ విమానాశ్రయంలో ఉంది. రెండవ విమానం N750RW ను 18 జనవరి 1985 న పూర్తి చేసింది, కాలిఫోర్నియాలోని లాంగ్ బీచ్‌లో హైడ్రో-ఫార్మింగ్ అధ్యక్షుడు రాల్ఫ్ విలియమ్స్. ఈ విమానం 25 సెప్టెంబర్ 2004 న కాలిఫోర్నియాలోని ఫుల్లెర్టన్ మునిసిపల్ విమానాశ్రయంలో జరిగిన ప్రమాదంలో వ్రాయబడింది. [3] సాధారణ లక్షణాలు పనితీరు సంబంధిత అభివృద్ధి మీడియా వికీమీడియా కామన్స్ వద్ద స్టౌట్ బుష్‌మాస్టర్ 2000 కు సంబంధించినది</v>
      </c>
      <c r="E22" s="1" t="s">
        <v>550</v>
      </c>
      <c r="F22" s="1" t="s">
        <v>384</v>
      </c>
      <c r="G22" s="1" t="str">
        <f>IFERROR(__xludf.DUMMYFUNCTION("GOOGLETRANSLATE(F:F,""en"", ""te"")"),"విమానాల")</f>
        <v>విమానాల</v>
      </c>
      <c r="I22" s="1" t="s">
        <v>158</v>
      </c>
      <c r="J22" s="1" t="str">
        <f>IFERROR(__xludf.DUMMYFUNCTION("GOOGLETRANSLATE(I:I,""en"", ""te"")"),"అమెరికా")</f>
        <v>అమెరికా</v>
      </c>
      <c r="L22" s="1" t="s">
        <v>551</v>
      </c>
      <c r="M22" s="1" t="str">
        <f>IFERROR(__xludf.DUMMYFUNCTION("GOOGLETRANSLATE(L:L,""en"", ""te"")"),"బుష్‌మాస్టర్ విమానం")</f>
        <v>బుష్‌మాస్టర్ విమానం</v>
      </c>
      <c r="N22" s="1" t="s">
        <v>552</v>
      </c>
      <c r="R22" s="1">
        <v>2.0</v>
      </c>
      <c r="S22" s="1" t="s">
        <v>553</v>
      </c>
      <c r="T22" s="1" t="s">
        <v>554</v>
      </c>
      <c r="U22" s="1" t="s">
        <v>555</v>
      </c>
      <c r="V22" s="1" t="s">
        <v>556</v>
      </c>
      <c r="W22" s="1" t="s">
        <v>557</v>
      </c>
      <c r="X22" s="1" t="s">
        <v>558</v>
      </c>
      <c r="Y22" s="1" t="s">
        <v>559</v>
      </c>
      <c r="AA22" s="1" t="s">
        <v>560</v>
      </c>
      <c r="AH22" s="1" t="s">
        <v>561</v>
      </c>
      <c r="AK22" s="1" t="s">
        <v>562</v>
      </c>
      <c r="AO22" s="1">
        <v>1964.0</v>
      </c>
      <c r="AQ22" s="1" t="s">
        <v>563</v>
      </c>
      <c r="AU22" s="1" t="s">
        <v>564</v>
      </c>
      <c r="AV22" s="1" t="s">
        <v>565</v>
      </c>
    </row>
    <row r="23">
      <c r="A23" s="1" t="s">
        <v>566</v>
      </c>
      <c r="B23" s="1" t="str">
        <f>IFERROR(__xludf.DUMMYFUNCTION("GOOGLETRANSLATE(A:A,""en"", ""te"")"),"సుందర్‌ల్యాండ్ మోబా 2")</f>
        <v>సుందర్‌ల్యాండ్ మోబా 2</v>
      </c>
      <c r="C23" s="1" t="s">
        <v>567</v>
      </c>
      <c r="D23" s="1" t="str">
        <f>IFERROR(__xludf.DUMMYFUNCTION("GOOGLETRANSLATE(C:C,""en"", ""te"")"),"సుందర్‌ల్యాండ్ మోబా 2 1970 లలో ఆస్ట్రేలియాలో నిర్మించిన సింగిల్ సీట్ గ్లైడర్. ఇది లోహం, కలప మరియు సింథటిక్ పదార్థాల మిశ్రమం నుండి నిర్మించబడింది మరియు సైడ్-స్టిక్ కంట్రోల్ వంటి కొన్ని అసాధారణమైన లక్షణాలను కలిగి ఉంది మరియు పైలట్ యాక్సెస్ కోసం పట్టాలపై ముంద"&amp;"ుకు సాగిన నోసెకోన్. సుందర్‌ల్యాండ్ మోబా 2 పూర్తిగా ఒక వ్యక్తి గ్లైడర్. 1970 వ దశకంలో గ్యారీ సుందర్‌ల్యాండ్ ఒక ఆస్ట్రేలియన్ ఏవియేషన్ ఇంజనీర్ విభాగం మరియు గ్లైడర్ పైలట్, ఆస్ట్రేలియన్ నేషనల్ ఛాంపియన్‌షిప్‌లో తన సొంత గ్లైడర్ రూపకల్పనలో ""మై ఓన్ బ్లడీ ఎయిర్‌క్"&amp;"రాఫ్ట్"" లేదా మోబా తన పదబంధంలో. ఇది అధిక, ప్రామాణిక తరగతి పనితీరు యొక్క విమానంగా ఉద్దేశించబడింది, కానీ తక్కువ ఖర్చుతో కూడిన, ఇంటి అసెంబ్లీ సామర్థ్యం కలిగి ఉంది. 1970 నాటికి అతని ప్రయత్నాలు MOBA 2 మరియు కొన్ని అవుట్‌లైన్ డ్రాయింగ్‌లు మరియు ట్రయల్ మెటల్‌వర్"&amp;"క్‌లలోకి ప్రవేశించాయి. సింగిల్ సీట్ గ్లైడర్ 15 మీటర్ల ప్రామాణిక క్లాస్ స్పాన్ వింగ్ కలిగి ఉండాలి, కానీ ముడుచుకునే అండర్ క్యారేజ్ మరియు ఫ్లాప్‌లతో, ఆ వర్గంలో అనుమతించబడదు. [1] [2] ఆస్ట్రేలియన్ గ్లైడింగ్ మ్యాగజైన్ నిర్వహించిన రెండు వెర్షన్లు డ్రాయింగ్ బోర్డ"&amp;"ు నుండి బయటపడలేదు: ఖాతాలు వివరంగా విభిన్నంగా ఉన్నప్పటికీ, MOBA 2A కి 15 మీ అవసరం. [1] [2] [3] 1972 లో న్యాయమూర్తులు ఎంపిక చేసిన ఇద్దరు సంభావ్య విజేతలలో MOBA 2B ఒకరు, కానీ దురదృష్టవశాత్తు వారు తుది ఎంపికపై అంగీకరించలేదు మరియు బహుమతి ఇవ్వబడలేదు. [1] MOBA 2C"&amp;", తరువాత నిర్మించబడే ఏకైక సంస్కరణ, తరువాత MOBA 2D లో సవరించినప్పటికీ, 15 m స్పాన్ వింగ్, పొడవైన ఫిన్ మరియు ఫాబ్రిక్ కప్పబడిన చుక్కాని కలిగి ఉండటంలో MOBA 2B నుండి మాత్రమే భిన్నంగా ఉంది. [3] MOBA 2C మిశ్రమ నిర్మాణానికి చెందినది. దీని రెక్క మూడు విభాగాలలో ఉం"&amp;"ది, స్థిరమైన తీగ యొక్క సెంటర్-సెక్షన్ ఫ్యూజ్‌లేజ్‌పై ఎత్తైనది; మరియు సూటిగా దెబ్బతిన్న బయటి ప్యానెల్లు. ఇది ఒకే లోహం, దీర్ఘచతురస్రాకార, పివిసి ప్లాస్టిక్ నురుగు నిండిన పెట్టె స్పార్ చుట్టూ, GRP/ప్లైవుడ్ శాండ్‌విచ్ పక్కటెముకలతో నిర్మించబడింది. పక్కటెముకల మ"&amp;"ధ్య స్థలం కూడా పివిసి నురుగుతో నిండి ఉంది, తరువాత అది వోర్ట్‌మన్ ఎఫ్ఎక్స్ 67-కె -150 విభాగానికి ఆకారంలో ఉంది మరియు గాజు వస్త్రంతో కప్పబడి ఉంది. బయటి ప్యానెల్లు దీర్ఘ స్పాన్ ఐలెరాన్స్ మరియు లోపలి విభాగాలు పూర్తి వ్యవధి, మెటల్ స్కిన్డ్ ఫ్లాప్‌లను కలిగి ఉన్న"&amp;"ాయి, వీటిని +20 ° మరియు -15 between మధ్య కోణాల్లో అమర్చవచ్చు. ల్యాండింగ్ కోసం అవి తగ్గించబడ్డాయి, తక్కువ వేగంతో లిఫ్ట్ గుణకాన్ని పెంచడం మరియు ఎయిర్ బ్రేక్స్ గా పనిచేయడం. [1] ఏరోడైనమిక్‌గా, రెక్క వేగంతో పనిచేయడానికి రూపొందించబడింది, ఇది ఆస్ట్రేలియాలో దాని "&amp;"బలమైన థర్మల్స్ మరియు పొడవైన అంతర్-థర్మల్ దూరాలతో పెరగడానికి సహజ ఎంపిక. [2] MOBA 2C లో పాడ్-అండ్-బూమ్ రకం ఫ్యూజ్‌లేజ్ ఉంది. పైలట్ యొక్క సీటు వింగ్ లీడింగ్ ఎడ్జ్ కోసం ముందుకు ఉంది, అతన్ని పొడవైన, సింగిల్ పీస్ పందిరి కింద పడుకునే స్థితిలో ఉంచి, కత్తిరించని స"&amp;"్లింగ్స్బై కెస్ట్రెల్ అచ్చు నుండి ఆకారంలో ఉంది. కాక్‌పిట్ కొన్ని అసాధారణమైన లక్షణాలను కలిగి ఉంది, ప్రధానంగా దీనికి ప్రాప్యత మొత్తం నోస్‌కోన్ మరియు పందిరిని వింగ్ ముందు ఫ్యూజ్‌లేజ్ చుట్టూ చేరడం నుండి రైలు వెంట ముందుకు సాగడం ద్వారా. ఇది ఏరోడైనమిక్‌గా చాలా శ"&amp;"ుభ్రంగా మరియు చక్కగా మూసివేసిన ఫార్వర్డ్ ఫ్యూజ్‌లేజ్‌ను అందించింది, అలాగే ఇన్స్ట్రుమెంట్ ప్యానెల్ సర్వీసింగ్‌కు సులభంగా ప్రాప్యతను అందించింది. నియంత్రణ కాలమ్ కుడి వైపున పెరిగిన సైడ్ పుంజం మీద అమర్చబడింది; ఫ్లాప్ మరియు అండర్ క్యారేజ్ లివర్లు అదేవిధంగా మరొక"&amp;" వైపు అమర్చబడ్డాయి. ఈ అమరిక అండర్ఫ్లోర్ కంట్రోల్ కేబుళ్లను నివారించింది, ఫ్యూజ్‌లేజ్ క్రాస్ సెక్షన్‌ను తక్కువగా ఉంచడం మరియు నియంత్రణ అనుసంధానాలను సరళీకృతం చేస్తుంది. కాక్‌పిట్ ఇరుకైనది మరియు తక్కువగా ఉంది మరియు సుందర్‌ల్యాండ్ కంటే ఎత్తుగా పైలట్‌లకు సౌకర్య"&amp;"ంగా ఉండేది కాదు. నోస్‌కోన్ బాల్సాపై గాజు వస్త్రంతో చర్మం గలది. ఇన్స్ట్రుమెంట్ ప్యానెల్, నియంత్రణలు, సీటు మరియు ముడుచుకునే మోనోహీల్ అండర్ క్యారేజీకి సెంట్రల్, ధృ dy నిర్మాణంగల, షీట్ మిశ్రమం ఫ్రేమ్ రెక్కతో అనుసంధానించబడింది. ఫ్యూజ్‌లేజ్ ప్రముఖ అంచు వెనుక ను"&amp;"ండి దెబ్బతింది, ఇది పివిసి నురుగుపై గాజు వస్త్రంతో కప్పబడిన ప్రాంతం. దీని వెనుక, బూమ్ ఓవల్ మెటల్ ట్యూబ్, నిర్మాణ సౌలభ్యం కోసం ఫ్లాట్ టాప్ మరియు దిగువ ప్లేట్లు ఉన్నాయి. తోక ఉపరితలాలు అన్నీ సూటిగా ఉన్నాయి; పొడవైన, లోహ-చర్మం గల ఫిన్ కొంచెం తుడిచిపెట్టిన GRP "&amp;"లీడింగ్ అంచుని కలిగి ఉంది మరియు దెబ్బతిన్న, ఫాబ్రిక్ కప్పబడిన చుక్కానిని తీసుకువెళ్ళింది. MOBA 2C లో టి-టెయిల్ ఉంది, లోహంగా, అధిక కారక నిష్పత్తి, దెబ్బతిన్న టెయిల్‌ప్లేన్ మరియు ప్లైవుడ్-సర్ఫేస్డ్ ఎలివేటర్ ఉన్నాయి. ఫిన్ క్రింద ఒక చిన్న, సెమీ-రిసెస్డ్ టెయిల"&amp;"్‌వీల్ ఉంది. [1] [3] 1974 లో ఆస్ట్రేలియాలో జరిగిన వరల్డ్ గ్లైడింగ్ ఛాంపియన్‌షిప్‌ల కోసం మోబా 2 సి సిద్ధంగా ఉండాలని సుందర్‌ల్యాండ్ భావించినప్పటికీ, ముఖ్యంగా ప్రామాణిక తరగతి నియమాలకు మార్పులు ముడుచుకునే అండర్ క్యారేజీలు మరియు ఫ్లాప్‌లను అనుమతించిన తరువాత, అ"&amp;"తను 1980 కి ముందు విమాన పరీక్షను పూర్తి చేయలేకపోయాడు. ఇది బాగా నిర్వహించబడింది మరియు ప్రదర్శించబడింది Expected హించిన, ఓపెన్ క్లాస్‌తో పోటీ పడుతూ, థర్మల్స్‌లో ఎక్కేటప్పుడు దేశవ్యాప్తంగా నెమ్మదిగా ఉంటుంది. ల్యాండింగ్ ప్రవర్తన సెంట్రల్ ప్యానెళ్ల వెంట సగం వర"&amp;"కు స్పాయిలర్లను చేర్చడానికి దారితీసింది; మరియు సమాంతర తీగ ఫ్లాప్‌ల కంటే దెబ్బతింది, ఇది రెక్కల రూట్ వద్ద మొత్తం తీగకు 51 మిమీ (2.0 అంగుళాలు) జోడించింది, రెక్కల ప్రాంతాన్ని కొద్దిగా పెంచుతుంది. ఈ పునర్విమర్శకు MOBA 2D అని పేరు పెట్టారు. [1] మోబా 2 సి 1980 "&amp;"ఆస్ట్రేలియన్ ఛాంపియన్‌షిప్‌లో బెనల్లాలో మొదటి పోటీ విహారయాత్రను కలిగి ఉంది. సుందర్‌ల్యాండ్ దాని పనితీరును 15 మీటర్ల తరగతి మరియు అక్కడ ప్రామాణిక తరగతి గ్లైడర్‌ల మధ్య తీర్పు ఇచ్చింది, బహుశా తరువాతివారికి దగ్గరగా ఉంటుంది. అతను థర్మల్స్‌లో 15 మీటర్ల విమానాలను"&amp;" అధిగమించగలడు కాని అవి, 100 కిలోల (220 ఎల్బి) భారీగా అదే గ్లైడ్ కోణంలో వేగంగా ఎగిరిపోయాయి. MOBA 2C దాని 1:38 డిజైన్ గ్లైడ్ కోణాన్ని సాధించిందని అతను అంచనా వేశాడు. [3] MOBA 2D వయస్సులో, దాని రెక్కల ప్రొఫైల్ను నిర్ణయించే నురుగు నింపడం అస్థిరపరచడం మరియు విస్"&amp;"తరించడం ప్రారంభించింది. బయటి గ్లాస్ ఫైబర్ కవరింగ్ తొలగించబడింది, ప్రొఫైల్ పునరుద్ధరించబడింది మరియు రెక్కను తిరిగి పొందిన తరువాత విమానం మళ్లీ ఎగిరింది, కాని మరింత అభివృద్ధిని వదిలివేసింది. [1] సెయిల్‌ప్లేన్స్ నుండి డేటా 1965-2005 [1] సాధారణ లక్షణాల పనితీరు")</f>
        <v>సుందర్‌ల్యాండ్ మోబా 2 1970 లలో ఆస్ట్రేలియాలో నిర్మించిన సింగిల్ సీట్ గ్లైడర్. ఇది లోహం, కలప మరియు సింథటిక్ పదార్థాల మిశ్రమం నుండి నిర్మించబడింది మరియు సైడ్-స్టిక్ కంట్రోల్ వంటి కొన్ని అసాధారణమైన లక్షణాలను కలిగి ఉంది మరియు పైలట్ యాక్సెస్ కోసం పట్టాలపై ముందుకు సాగిన నోసెకోన్. సుందర్‌ల్యాండ్ మోబా 2 పూర్తిగా ఒక వ్యక్తి గ్లైడర్. 1970 వ దశకంలో గ్యారీ సుందర్‌ల్యాండ్ ఒక ఆస్ట్రేలియన్ ఏవియేషన్ ఇంజనీర్ విభాగం మరియు గ్లైడర్ పైలట్, ఆస్ట్రేలియన్ నేషనల్ ఛాంపియన్‌షిప్‌లో తన సొంత గ్లైడర్ రూపకల్పనలో "మై ఓన్ బ్లడీ ఎయిర్‌క్రాఫ్ట్" లేదా మోబా తన పదబంధంలో. ఇది అధిక, ప్రామాణిక తరగతి పనితీరు యొక్క విమానంగా ఉద్దేశించబడింది, కానీ తక్కువ ఖర్చుతో కూడిన, ఇంటి అసెంబ్లీ సామర్థ్యం కలిగి ఉంది. 1970 నాటికి అతని ప్రయత్నాలు MOBA 2 మరియు కొన్ని అవుట్‌లైన్ డ్రాయింగ్‌లు మరియు ట్రయల్ మెటల్‌వర్క్‌లలోకి ప్రవేశించాయి. సింగిల్ సీట్ గ్లైడర్ 15 మీటర్ల ప్రామాణిక క్లాస్ స్పాన్ వింగ్ కలిగి ఉండాలి, కానీ ముడుచుకునే అండర్ క్యారేజ్ మరియు ఫ్లాప్‌లతో, ఆ వర్గంలో అనుమతించబడదు. [1] [2] ఆస్ట్రేలియన్ గ్లైడింగ్ మ్యాగజైన్ నిర్వహించిన రెండు వెర్షన్లు డ్రాయింగ్ బోర్డు నుండి బయటపడలేదు: ఖాతాలు వివరంగా విభిన్నంగా ఉన్నప్పటికీ, MOBA 2A కి 15 మీ అవసరం. [1] [2] [3] 1972 లో న్యాయమూర్తులు ఎంపిక చేసిన ఇద్దరు సంభావ్య విజేతలలో MOBA 2B ఒకరు, కానీ దురదృష్టవశాత్తు వారు తుది ఎంపికపై అంగీకరించలేదు మరియు బహుమతి ఇవ్వబడలేదు. [1] MOBA 2C, తరువాత నిర్మించబడే ఏకైక సంస్కరణ, తరువాత MOBA 2D లో సవరించినప్పటికీ, 15 m స్పాన్ వింగ్, పొడవైన ఫిన్ మరియు ఫాబ్రిక్ కప్పబడిన చుక్కాని కలిగి ఉండటంలో MOBA 2B నుండి మాత్రమే భిన్నంగా ఉంది. [3] MOBA 2C మిశ్రమ నిర్మాణానికి చెందినది. దీని రెక్క మూడు విభాగాలలో ఉంది, స్థిరమైన తీగ యొక్క సెంటర్-సెక్షన్ ఫ్యూజ్‌లేజ్‌పై ఎత్తైనది; మరియు సూటిగా దెబ్బతిన్న బయటి ప్యానెల్లు. ఇది ఒకే లోహం, దీర్ఘచతురస్రాకార, పివిసి ప్లాస్టిక్ నురుగు నిండిన పెట్టె స్పార్ చుట్టూ, GRP/ప్లైవుడ్ శాండ్‌విచ్ పక్కటెముకలతో నిర్మించబడింది. పక్కటెముకల మధ్య స్థలం కూడా పివిసి నురుగుతో నిండి ఉంది, తరువాత అది వోర్ట్‌మన్ ఎఫ్ఎక్స్ 67-కె -150 విభాగానికి ఆకారంలో ఉంది మరియు గాజు వస్త్రంతో కప్పబడి ఉంది. బయటి ప్యానెల్లు దీర్ఘ స్పాన్ ఐలెరాన్స్ మరియు లోపలి విభాగాలు పూర్తి వ్యవధి, మెటల్ స్కిన్డ్ ఫ్లాప్‌లను కలిగి ఉన్నాయి, వీటిని +20 ° మరియు -15 between మధ్య కోణాల్లో అమర్చవచ్చు. ల్యాండింగ్ కోసం అవి తగ్గించబడ్డాయి, తక్కువ వేగంతో లిఫ్ట్ గుణకాన్ని పెంచడం మరియు ఎయిర్ బ్రేక్స్ గా పనిచేయడం. [1] ఏరోడైనమిక్‌గా, రెక్క వేగంతో పనిచేయడానికి రూపొందించబడింది, ఇది ఆస్ట్రేలియాలో దాని బలమైన థర్మల్స్ మరియు పొడవైన అంతర్-థర్మల్ దూరాలతో పెరగడానికి సహజ ఎంపిక. [2] MOBA 2C లో పాడ్-అండ్-బూమ్ రకం ఫ్యూజ్‌లేజ్ ఉంది. పైలట్ యొక్క సీటు వింగ్ లీడింగ్ ఎడ్జ్ కోసం ముందుకు ఉంది, అతన్ని పొడవైన, సింగిల్ పీస్ పందిరి కింద పడుకునే స్థితిలో ఉంచి, కత్తిరించని స్లింగ్స్బై కెస్ట్రెల్ అచ్చు నుండి ఆకారంలో ఉంది. కాక్‌పిట్ కొన్ని అసాధారణమైన లక్షణాలను కలిగి ఉంది, ప్రధానంగా దీనికి ప్రాప్యత మొత్తం నోస్‌కోన్ మరియు పందిరిని వింగ్ ముందు ఫ్యూజ్‌లేజ్ చుట్టూ చేరడం నుండి రైలు వెంట ముందుకు సాగడం ద్వారా. ఇది ఏరోడైనమిక్‌గా చాలా శుభ్రంగా మరియు చక్కగా మూసివేసిన ఫార్వర్డ్ ఫ్యూజ్‌లేజ్‌ను అందించింది, అలాగే ఇన్స్ట్రుమెంట్ ప్యానెల్ సర్వీసింగ్‌కు సులభంగా ప్రాప్యతను అందించింది. నియంత్రణ కాలమ్ కుడి వైపున పెరిగిన సైడ్ పుంజం మీద అమర్చబడింది; ఫ్లాప్ మరియు అండర్ క్యారేజ్ లివర్లు అదేవిధంగా మరొక వైపు అమర్చబడ్డాయి. ఈ అమరిక అండర్ఫ్లోర్ కంట్రోల్ కేబుళ్లను నివారించింది, ఫ్యూజ్‌లేజ్ క్రాస్ సెక్షన్‌ను తక్కువగా ఉంచడం మరియు నియంత్రణ అనుసంధానాలను సరళీకృతం చేస్తుంది. కాక్‌పిట్ ఇరుకైనది మరియు తక్కువగా ఉంది మరియు సుందర్‌ల్యాండ్ కంటే ఎత్తుగా పైలట్‌లకు సౌకర్యంగా ఉండేది కాదు. నోస్‌కోన్ బాల్సాపై గాజు వస్త్రంతో చర్మం గలది. ఇన్స్ట్రుమెంట్ ప్యానెల్, నియంత్రణలు, సీటు మరియు ముడుచుకునే మోనోహీల్ అండర్ క్యారేజీకి సెంట్రల్, ధృ dy నిర్మాణంగల, షీట్ మిశ్రమం ఫ్రేమ్ రెక్కతో అనుసంధానించబడింది. ఫ్యూజ్‌లేజ్ ప్రముఖ అంచు వెనుక నుండి దెబ్బతింది, ఇది పివిసి నురుగుపై గాజు వస్త్రంతో కప్పబడిన ప్రాంతం. దీని వెనుక, బూమ్ ఓవల్ మెటల్ ట్యూబ్, నిర్మాణ సౌలభ్యం కోసం ఫ్లాట్ టాప్ మరియు దిగువ ప్లేట్లు ఉన్నాయి. తోక ఉపరితలాలు అన్నీ సూటిగా ఉన్నాయి; పొడవైన, లోహ-చర్మం గల ఫిన్ కొంచెం తుడిచిపెట్టిన GRP లీడింగ్ అంచుని కలిగి ఉంది మరియు దెబ్బతిన్న, ఫాబ్రిక్ కప్పబడిన చుక్కానిని తీసుకువెళ్ళింది. MOBA 2C లో టి-టెయిల్ ఉంది, లోహంగా, అధిక కారక నిష్పత్తి, దెబ్బతిన్న టెయిల్‌ప్లేన్ మరియు ప్లైవుడ్-సర్ఫేస్డ్ ఎలివేటర్ ఉన్నాయి. ఫిన్ క్రింద ఒక చిన్న, సెమీ-రిసెస్డ్ టెయిల్‌వీల్ ఉంది. [1] [3] 1974 లో ఆస్ట్రేలియాలో జరిగిన వరల్డ్ గ్లైడింగ్ ఛాంపియన్‌షిప్‌ల కోసం మోబా 2 సి సిద్ధంగా ఉండాలని సుందర్‌ల్యాండ్ భావించినప్పటికీ, ముఖ్యంగా ప్రామాణిక తరగతి నియమాలకు మార్పులు ముడుచుకునే అండర్ క్యారేజీలు మరియు ఫ్లాప్‌లను అనుమతించిన తరువాత, అతను 1980 కి ముందు విమాన పరీక్షను పూర్తి చేయలేకపోయాడు. ఇది బాగా నిర్వహించబడింది మరియు ప్రదర్శించబడింది Expected హించిన, ఓపెన్ క్లాస్‌తో పోటీ పడుతూ, థర్మల్స్‌లో ఎక్కేటప్పుడు దేశవ్యాప్తంగా నెమ్మదిగా ఉంటుంది. ల్యాండింగ్ ప్రవర్తన సెంట్రల్ ప్యానెళ్ల వెంట సగం వరకు స్పాయిలర్లను చేర్చడానికి దారితీసింది; మరియు సమాంతర తీగ ఫ్లాప్‌ల కంటే దెబ్బతింది, ఇది రెక్కల రూట్ వద్ద మొత్తం తీగకు 51 మిమీ (2.0 అంగుళాలు) జోడించింది, రెక్కల ప్రాంతాన్ని కొద్దిగా పెంచుతుంది. ఈ పునర్విమర్శకు MOBA 2D అని పేరు పెట్టారు. [1] మోబా 2 సి 1980 ఆస్ట్రేలియన్ ఛాంపియన్‌షిప్‌లో బెనల్లాలో మొదటి పోటీ విహారయాత్రను కలిగి ఉంది. సుందర్‌ల్యాండ్ దాని పనితీరును 15 మీటర్ల తరగతి మరియు అక్కడ ప్రామాణిక తరగతి గ్లైడర్‌ల మధ్య తీర్పు ఇచ్చింది, బహుశా తరువాతివారికి దగ్గరగా ఉంటుంది. అతను థర్మల్స్‌లో 15 మీటర్ల విమానాలను అధిగమించగలడు కాని అవి, 100 కిలోల (220 ఎల్బి) భారీగా అదే గ్లైడ్ కోణంలో వేగంగా ఎగిరిపోయాయి. MOBA 2C దాని 1:38 డిజైన్ గ్లైడ్ కోణాన్ని సాధించిందని అతను అంచనా వేశాడు. [3] MOBA 2D వయస్సులో, దాని రెక్కల ప్రొఫైల్ను నిర్ణయించే నురుగు నింపడం అస్థిరపరచడం మరియు విస్తరించడం ప్రారంభించింది. బయటి గ్లాస్ ఫైబర్ కవరింగ్ తొలగించబడింది, ప్రొఫైల్ పునరుద్ధరించబడింది మరియు రెక్కను తిరిగి పొందిన తరువాత విమానం మళ్లీ ఎగిరింది, కాని మరింత అభివృద్ధిని వదిలివేసింది. [1] సెయిల్‌ప్లేన్స్ నుండి డేటా 1965-2005 [1] సాధారణ లక్షణాల పనితీరు</v>
      </c>
      <c r="F23" s="1" t="s">
        <v>568</v>
      </c>
      <c r="G23" s="1" t="str">
        <f>IFERROR(__xludf.DUMMYFUNCTION("GOOGLETRANSLATE(F:F,""en"", ""te"")"),"సింగిల్ సీట్ సెయిల్ ప్లేన్")</f>
        <v>సింగిల్ సీట్ సెయిల్ ప్లేన్</v>
      </c>
      <c r="H23" s="1" t="s">
        <v>569</v>
      </c>
      <c r="I23" s="1" t="s">
        <v>570</v>
      </c>
      <c r="J23" s="1" t="str">
        <f>IFERROR(__xludf.DUMMYFUNCTION("GOOGLETRANSLATE(I:I,""en"", ""te"")"),"ఆస్ట్రేలియా")</f>
        <v>ఆస్ట్రేలియా</v>
      </c>
      <c r="K23" s="2" t="s">
        <v>571</v>
      </c>
      <c r="R23" s="1">
        <v>1.0</v>
      </c>
      <c r="S23" s="1">
        <v>1.0</v>
      </c>
      <c r="U23" s="1" t="s">
        <v>572</v>
      </c>
      <c r="W23" s="1" t="s">
        <v>573</v>
      </c>
      <c r="X23" s="1" t="s">
        <v>574</v>
      </c>
      <c r="Y23" s="1" t="s">
        <v>575</v>
      </c>
      <c r="AF23" s="1" t="s">
        <v>576</v>
      </c>
      <c r="AG23" s="1" t="s">
        <v>577</v>
      </c>
      <c r="AH23" s="1" t="s">
        <v>578</v>
      </c>
      <c r="AM23" s="1" t="s">
        <v>579</v>
      </c>
      <c r="AO23" s="1" t="s">
        <v>580</v>
      </c>
      <c r="AW23" s="1" t="s">
        <v>581</v>
      </c>
      <c r="BD23" s="1">
        <v>24.3</v>
      </c>
    </row>
    <row r="24">
      <c r="A24" s="1" t="s">
        <v>582</v>
      </c>
      <c r="B24" s="1" t="str">
        <f>IFERROR(__xludf.DUMMYFUNCTION("GOOGLETRANSLATE(A:A,""en"", ""te"")"),"స్టిన్సన్ 108")</f>
        <v>స్టిన్సన్ 108</v>
      </c>
      <c r="C24" s="1" t="s">
        <v>583</v>
      </c>
      <c r="D24" s="1" t="str">
        <f>IFERROR(__xludf.DUMMYFUNCTION("GOOGLETRANSLATE(C:C,""en"", ""te"")"),"స్టిన్సన్ 108 అనేది అమెరికన్ ఎయిర్‌ప్లేన్ కంపెనీ యొక్క స్టిన్సన్ డివిజన్ నిర్మించిన ఒక ప్రసిద్ధ జనరల్ ఏవియేషన్ విమానం, ఇది రెండవ ప్రపంచ యుద్ధం తరువాత నుండి 1950 వరకు వుల్టీని కన్సాలిడేట్ చేసింది. ఇది ప్రీవార్ మోడల్ 10A వాయేజర్ నుండి అభివృద్ధి చేయబడింది. ["&amp;"2] స్టిన్సన్‌ను 1949 లో పైపర్ ఎయిర్‌క్రాఫ్ట్ కొనుగోలు చేసింది. అన్ని స్టిన్సన్ మోడల్ 108, 108-1, 108-2, 108-3 మరియు 108-4 విమానాలను మిచిగాన్‌లోని వేన్ వద్ద స్టిన్సన్ నిర్మించారు. స్టిన్సన్ 1949 లో టైప్ సర్టిఫికెట్‌ను పైపర్‌కు విక్రయించినప్పుడు, స్టిన్సన్ "&amp;"నిర్మించిన 5,260 మోడల్ 108 ల యొక్క సుమారు 325 విమానాలు పూర్తయ్యాయి కాని అమ్ముడుపోయాయి. ఈ 325 మోడల్ 108 లు అమ్మకంలో భాగంగా పైపర్‌కు వెళ్ళాయి. పైపర్ ఆ జాబితాను రాబోయే కొన్నేళ్లలో పైపర్-స్టిన్సన్‌గా విక్రయించాడు. ఫ్యూజ్‌లేజ్ ఫాబ్రిక్ కప్పబడిన స్టీల్ ట్యూబ్. "&amp;"అనంతర మాడిఫైయర్లు అల్యూమినియం కవరింగ్‌కు మార్చడానికి అనుబంధ రకం ధృవపత్రాలు (ఎస్‌టిసి) పొందాయి. లైమింగ్ O-360, ఫ్రాంక్లిన్ O-350, కాంటినెంటల్ O-470 వంటి STC 108 లో అనేక విభిన్న ఇంజన్లను వ్యవస్థాపించారు. [3] ఒక విలక్షణమైన లక్షణం రెక్కలపై ఇన్‌స్టాల్ చేయబడిన "&amp;"పాక్షిక ప్రముఖ ఎడ్జ్ స్లాట్ మరియు వెనుకంజలో ఉన్న ఐలెరాన్‌లతో సమలేఖనం చేయబడింది, ఐలెరాన్ ఉన్న రెక్క యొక్క భాగం దాడి యొక్క అధిక కోణాల వద్ద అన్‌స్టాల్ చేయబడిందని నిర్ధారిస్తుంది, తద్వారా నిశ్శబ్దమైన స్టాల్ ప్రవర్తనకు దోహదం చేస్తుంది. [సైటేషన్. అవసరం] స్టిన్స"&amp;"న్ మోడల్ 108 యొక్క మొత్తం కొత్త ఉత్పత్తి, స్టిన్సన్ చేత 5,260; ఈ మొత్తంలో మార్చబడిన రెండు ప్రోటోటైప్‌లు లేవు. స్టిన్సన్ సుమారు 4,935 విమానాలను అందించాడు మరియు పైపర్ సుమారు 325 విమానాలను పంపిణీ చేశాడు. [1] పైపర్ తరువాత టైప్ సర్టిఫికెట్‌ను యూనివరైర్ ఎయిర్‌క"&amp;"్రాఫ్ట్ కార్పొరేషన్‌కు విక్రయించాడు. యూనివరైర్ మోడల్ 108-5 ను నిర్మించింది మరియు ధృవీకరించింది, కానీ ఒక ఉదాహరణను మాత్రమే నిర్మించింది. స్టిన్సన్ మరియు యూనివరైర్ చేత మొత్తం కొత్త మోడల్ ఉత్పత్తి 5,261 విమానాలు. 5] స్టిన్సన్ ఆపరేటింగ్ మాన్యువల్.")</f>
        <v>స్టిన్సన్ 108 అనేది అమెరికన్ ఎయిర్‌ప్లేన్ కంపెనీ యొక్క స్టిన్సన్ డివిజన్ నిర్మించిన ఒక ప్రసిద్ధ జనరల్ ఏవియేషన్ విమానం, ఇది రెండవ ప్రపంచ యుద్ధం తరువాత నుండి 1950 వరకు వుల్టీని కన్సాలిడేట్ చేసింది. ఇది ప్రీవార్ మోడల్ 10A వాయేజర్ నుండి అభివృద్ధి చేయబడింది. [2] స్టిన్సన్‌ను 1949 లో పైపర్ ఎయిర్‌క్రాఫ్ట్ కొనుగోలు చేసింది. అన్ని స్టిన్సన్ మోడల్ 108, 108-1, 108-2, 108-3 మరియు 108-4 విమానాలను మిచిగాన్‌లోని వేన్ వద్ద స్టిన్సన్ నిర్మించారు. స్టిన్సన్ 1949 లో టైప్ సర్టిఫికెట్‌ను పైపర్‌కు విక్రయించినప్పుడు, స్టిన్సన్ నిర్మించిన 5,260 మోడల్ 108 ల యొక్క సుమారు 325 విమానాలు పూర్తయ్యాయి కాని అమ్ముడుపోయాయి. ఈ 325 మోడల్ 108 లు అమ్మకంలో భాగంగా పైపర్‌కు వెళ్ళాయి. పైపర్ ఆ జాబితాను రాబోయే కొన్నేళ్లలో పైపర్-స్టిన్సన్‌గా విక్రయించాడు. ఫ్యూజ్‌లేజ్ ఫాబ్రిక్ కప్పబడిన స్టీల్ ట్యూబ్. అనంతర మాడిఫైయర్లు అల్యూమినియం కవరింగ్‌కు మార్చడానికి అనుబంధ రకం ధృవపత్రాలు (ఎస్‌టిసి) పొందాయి. లైమింగ్ O-360, ఫ్రాంక్లిన్ O-350, కాంటినెంటల్ O-470 వంటి STC 108 లో అనేక విభిన్న ఇంజన్లను వ్యవస్థాపించారు. [3] ఒక విలక్షణమైన లక్షణం రెక్కలపై ఇన్‌స్టాల్ చేయబడిన పాక్షిక ప్రముఖ ఎడ్జ్ స్లాట్ మరియు వెనుకంజలో ఉన్న ఐలెరాన్‌లతో సమలేఖనం చేయబడింది, ఐలెరాన్ ఉన్న రెక్క యొక్క భాగం దాడి యొక్క అధిక కోణాల వద్ద అన్‌స్టాల్ చేయబడిందని నిర్ధారిస్తుంది, తద్వారా నిశ్శబ్దమైన స్టాల్ ప్రవర్తనకు దోహదం చేస్తుంది. [సైటేషన్. అవసరం] స్టిన్సన్ మోడల్ 108 యొక్క మొత్తం కొత్త ఉత్పత్తి, స్టిన్సన్ చేత 5,260; ఈ మొత్తంలో మార్చబడిన రెండు ప్రోటోటైప్‌లు లేవు. స్టిన్సన్ సుమారు 4,935 విమానాలను అందించాడు మరియు పైపర్ సుమారు 325 విమానాలను పంపిణీ చేశాడు. [1] పైపర్ తరువాత టైప్ సర్టిఫికెట్‌ను యూనివరైర్ ఎయిర్‌క్రాఫ్ట్ కార్పొరేషన్‌కు విక్రయించాడు. యూనివరైర్ మోడల్ 108-5 ను నిర్మించింది మరియు ధృవీకరించింది, కానీ ఒక ఉదాహరణను మాత్రమే నిర్మించింది. స్టిన్సన్ మరియు యూనివరైర్ చేత మొత్తం కొత్త మోడల్ ఉత్పత్తి 5,261 విమానాలు. 5] స్టిన్సన్ ఆపరేటింగ్ మాన్యువల్.</v>
      </c>
      <c r="E24" s="1" t="s">
        <v>584</v>
      </c>
      <c r="F24" s="1" t="s">
        <v>585</v>
      </c>
      <c r="G24" s="1" t="str">
        <f>IFERROR(__xludf.DUMMYFUNCTION("GOOGLETRANSLATE(F:F,""en"", ""te"")"),"ప్రైవేట్ యజమాని విమానం")</f>
        <v>ప్రైవేట్ యజమాని విమానం</v>
      </c>
      <c r="I24" s="1" t="s">
        <v>158</v>
      </c>
      <c r="J24" s="1" t="str">
        <f>IFERROR(__xludf.DUMMYFUNCTION("GOOGLETRANSLATE(I:I,""en"", ""te"")"),"అమెరికా")</f>
        <v>అమెరికా</v>
      </c>
      <c r="L24" s="1" t="s">
        <v>385</v>
      </c>
      <c r="M24" s="1" t="str">
        <f>IFERROR(__xludf.DUMMYFUNCTION("GOOGLETRANSLATE(L:L,""en"", ""te"")"),"స్టిన్సన్ ఎయిర్క్రాఫ్ట్ కంపెనీ")</f>
        <v>స్టిన్సన్ ఎయిర్క్రాఫ్ట్ కంపెనీ</v>
      </c>
      <c r="N24" s="1" t="s">
        <v>386</v>
      </c>
      <c r="R24" s="1" t="s">
        <v>586</v>
      </c>
      <c r="S24" s="1" t="s">
        <v>164</v>
      </c>
      <c r="T24" s="1" t="s">
        <v>587</v>
      </c>
      <c r="U24" s="1" t="s">
        <v>588</v>
      </c>
      <c r="V24" s="1" t="s">
        <v>589</v>
      </c>
      <c r="W24" s="1" t="s">
        <v>462</v>
      </c>
      <c r="X24" s="1" t="s">
        <v>590</v>
      </c>
      <c r="Y24" s="1" t="s">
        <v>591</v>
      </c>
      <c r="Z24" s="1" t="s">
        <v>592</v>
      </c>
      <c r="AA24" s="1" t="s">
        <v>593</v>
      </c>
      <c r="AB24" s="1" t="s">
        <v>594</v>
      </c>
      <c r="AD24" s="1" t="s">
        <v>595</v>
      </c>
      <c r="AE24" s="1" t="s">
        <v>596</v>
      </c>
      <c r="AF24" s="1" t="s">
        <v>597</v>
      </c>
      <c r="AG24" s="1" t="s">
        <v>598</v>
      </c>
      <c r="AH24" s="1" t="s">
        <v>599</v>
      </c>
      <c r="AI24" s="1" t="s">
        <v>600</v>
      </c>
      <c r="AJ24" s="1" t="s">
        <v>601</v>
      </c>
      <c r="AK24" s="1" t="s">
        <v>602</v>
      </c>
      <c r="AL24" s="1" t="s">
        <v>603</v>
      </c>
      <c r="AO24" s="5">
        <v>16407.0</v>
      </c>
      <c r="AQ24" s="1" t="s">
        <v>604</v>
      </c>
      <c r="AU24" s="1" t="s">
        <v>605</v>
      </c>
      <c r="AV24" s="1" t="s">
        <v>606</v>
      </c>
      <c r="AW24" s="1" t="s">
        <v>607</v>
      </c>
      <c r="BD24" s="1">
        <v>7.14</v>
      </c>
      <c r="BG24" s="1" t="s">
        <v>608</v>
      </c>
      <c r="BH24" s="1" t="s">
        <v>609</v>
      </c>
      <c r="BI24" s="1" t="s">
        <v>610</v>
      </c>
    </row>
    <row r="25">
      <c r="A25" s="1" t="s">
        <v>611</v>
      </c>
      <c r="B25" s="1" t="str">
        <f>IFERROR(__xludf.DUMMYFUNCTION("GOOGLETRANSLATE(A:A,""en"", ""te"")"),"SA-8 స్కీటోను కలిగి ఉంటుంది")</f>
        <v>SA-8 స్కీటోను కలిగి ఉంటుంది</v>
      </c>
      <c r="C25" s="1" t="s">
        <v>612</v>
      </c>
      <c r="D25" s="1" t="str">
        <f>IFERROR(__xludf.DUMMYFUNCTION("GOOGLETRANSLATE(C:C,""en"", ""te"")"),"స్టిట్స్ SA-8A స్కీటో రే స్టిట్స్ చేత ప్రారంభ హోమ్‌బిల్ట్ అల్ట్రాలైట్ డిజైన్. . 1982 వరకు స్వీకరించబడలేదు.) స్కెటో ప్రారంభంలో 1957 లో $ 500 లోపు పూర్తి చేయగలిగే సరసమైన తేలికపాటి విమానంగా ఉద్దేశించబడింది. ఫ్యూజ్‌లేజ్ వెల్డింగ్ ఉక్కు గొట్టాలను వెల్డింగ్ చేస"&amp;"ింది, రెక్కలు మరియు నియంత్రణ ఉపరితలాల కోసం ఎక్కువగా బట్టల కప్పబడిన కలప నిర్మాణం ఉంది. ఈ కిట్ వెంచర్ కోసం ఇంజిన్ తక్కువ ఖర్చుతో కూడుకున్నది-షెల్ఫ్ మోడల్. [1] విమానం ""పరిశోధన మరియు అభివృద్ధి"" ప్రాజెక్టుగా నమోదు చేయబడిన తరువాత పరీక్ష విమానాలు రన్‌వే యొక్క "&amp;"పొడవుకు పరిమితం చేయబడ్డాయి. రోల్ రేటు 20-30 mph వద్ద చాలా తక్కువగా ఉంది, ఆ చుక్కాని మలుపులు ప్రాధాన్యత ఇవ్వబడ్డాయి. 3-4 పౌండ్ల వింగ్ లోడింగ్ నిర్వహణ కోసం అసాధ్యమైన తేలికగా పరిగణించబడింది. SA-8 స్కీటో యొక్క ఉదాహరణ 1958 లో కాలిఫోర్నియా ఎయిర్ మ్యూజియంలోని క్"&amp;"లారెమోంట్‌కు విరాళంగా ఇవ్వబడింది, [2] ఇది ఇప్పుడు విస్కాన్సిన్‌లోని ఓష్కోష్‌లోని EAA ఎయిర్‌వెంచర్ మ్యూజియంలో ఉంది. [3] స్పోర్ట్ ఏవియేషన్ జనరల్ లక్షణాల పనితీరు నుండి డేటా")</f>
        <v>స్టిట్స్ SA-8A స్కీటో రే స్టిట్స్ చేత ప్రారంభ హోమ్‌బిల్ట్ అల్ట్రాలైట్ డిజైన్. . 1982 వరకు స్వీకరించబడలేదు.) స్కెటో ప్రారంభంలో 1957 లో $ 500 లోపు పూర్తి చేయగలిగే సరసమైన తేలికపాటి విమానంగా ఉద్దేశించబడింది. ఫ్యూజ్‌లేజ్ వెల్డింగ్ ఉక్కు గొట్టాలను వెల్డింగ్ చేసింది, రెక్కలు మరియు నియంత్రణ ఉపరితలాల కోసం ఎక్కువగా బట్టల కప్పబడిన కలప నిర్మాణం ఉంది. ఈ కిట్ వెంచర్ కోసం ఇంజిన్ తక్కువ ఖర్చుతో కూడుకున్నది-షెల్ఫ్ మోడల్. [1] విమానం "పరిశోధన మరియు అభివృద్ధి" ప్రాజెక్టుగా నమోదు చేయబడిన తరువాత పరీక్ష విమానాలు రన్‌వే యొక్క పొడవుకు పరిమితం చేయబడ్డాయి. రోల్ రేటు 20-30 mph వద్ద చాలా తక్కువగా ఉంది, ఆ చుక్కాని మలుపులు ప్రాధాన్యత ఇవ్వబడ్డాయి. 3-4 పౌండ్ల వింగ్ లోడింగ్ నిర్వహణ కోసం అసాధ్యమైన తేలికగా పరిగణించబడింది. SA-8 స్కీటో యొక్క ఉదాహరణ 1958 లో కాలిఫోర్నియా ఎయిర్ మ్యూజియంలోని క్లారెమోంట్‌కు విరాళంగా ఇవ్వబడింది, [2] ఇది ఇప్పుడు విస్కాన్సిన్‌లోని ఓష్కోష్‌లోని EAA ఎయిర్‌వెంచర్ మ్యూజియంలో ఉంది. [3] స్పోర్ట్ ఏవియేషన్ జనరల్ లక్షణాల పనితీరు నుండి డేటా</v>
      </c>
      <c r="F25" s="1" t="s">
        <v>258</v>
      </c>
      <c r="G25" s="1" t="str">
        <f>IFERROR(__xludf.DUMMYFUNCTION("GOOGLETRANSLATE(F:F,""en"", ""te"")"),"హోమ్‌బిల్ట్ విమానం")</f>
        <v>హోమ్‌బిల్ట్ విమానం</v>
      </c>
      <c r="H25" s="1" t="s">
        <v>259</v>
      </c>
      <c r="I25" s="1" t="s">
        <v>158</v>
      </c>
      <c r="J25" s="1" t="str">
        <f>IFERROR(__xludf.DUMMYFUNCTION("GOOGLETRANSLATE(I:I,""en"", ""te"")"),"అమెరికా")</f>
        <v>అమెరికా</v>
      </c>
      <c r="K25" s="2" t="s">
        <v>515</v>
      </c>
      <c r="O25" s="1">
        <v>1957.0</v>
      </c>
      <c r="U25" s="1" t="s">
        <v>613</v>
      </c>
      <c r="V25" s="1" t="s">
        <v>263</v>
      </c>
      <c r="W25" s="1" t="s">
        <v>614</v>
      </c>
      <c r="X25" s="1" t="s">
        <v>615</v>
      </c>
      <c r="Y25" s="1" t="s">
        <v>616</v>
      </c>
      <c r="Z25" s="1" t="s">
        <v>617</v>
      </c>
      <c r="AA25" s="1" t="s">
        <v>618</v>
      </c>
      <c r="AB25" s="1" t="s">
        <v>453</v>
      </c>
      <c r="AD25" s="1" t="s">
        <v>619</v>
      </c>
      <c r="AH25" s="1" t="s">
        <v>620</v>
      </c>
      <c r="AL25" s="1" t="s">
        <v>621</v>
      </c>
      <c r="AM25" s="1" t="s">
        <v>622</v>
      </c>
      <c r="AN25" s="1" t="s">
        <v>623</v>
      </c>
      <c r="AQ25" s="1" t="s">
        <v>524</v>
      </c>
    </row>
    <row r="26">
      <c r="A26" s="1" t="s">
        <v>624</v>
      </c>
      <c r="B26" s="1" t="str">
        <f>IFERROR(__xludf.DUMMYFUNCTION("GOOGLETRANSLATE(A:A,""en"", ""te"")"),"SA-5 FLUT-R- బగ్‌ను కలిగి ఉంటుంది")</f>
        <v>SA-5 FLUT-R- బగ్‌ను కలిగి ఉంటుంది</v>
      </c>
      <c r="C26" s="1" t="s">
        <v>625</v>
      </c>
      <c r="D26" s="1" t="str">
        <f>IFERROR(__xludf.DUMMYFUNCTION("GOOGLETRANSLATE(C:C,""en"", ""te"")"),"STITS SA-5 FLUT-R- బగ్ అనేది రే స్టిట్స్ రూపొందించిన హోమ్‌బిల్ట్ విమానం. FLUT-R- బగ్‌ను ఒకే ప్రదేశం లేదా టెన్డం సీట్ విమానంగా నిర్మించవచ్చు. ఇది ప్రారంభ పూర్తి కిట్ విమానం, ఇది ముందే వెల్డింగ్ ఫ్యూజ్‌లేజ్‌తో విక్రయించబడింది. హోమ్‌బిల్డింగ్ కోసం జర్మన్ మార"&amp;"్కెట్‌కు 100 కిట్‌లను అందించాలని స్టిట్స్ ప్రణాళిక వేసింది. [2] యునైటెడ్ స్టేట్స్ మరియు ఐరోపాలో ఉదాహరణలు పూర్తయ్యాయి. SA-5 అనేది మిడ్-వింగ్, ట్రైసైకిల్ ల్యాండింగ్ గేర్ డిజైన్, మడత రెక్కలతో. ఈ విమానం దాని ప్రధాన గేర్‌పై (తగ్గించిన) తోక ద్వారా వాహనం ద్వారా "&amp;"లాగడానికి ఉద్దేశించబడింది. కాక్‌పిట్ తెరిచి ఉంటుంది, లేదా బబుల్ పందిరితో కప్పబడి ఉంటుంది. ఫ్యూజ్‌లేజ్ వెల్డెడ్ స్టీల్ గొట్టాల నుండి విమాన ఫాబ్రిక్ కవరింగ్‌తో నిర్మించబడింది. రెక్కలు ఫాబ్రిక్ కవరింగ్‌తో స్ప్రూస్ చెక్క స్పార్లను ఉపయోగిస్తాయి. [3] స్పోర్ట్ ఏ"&amp;"వియేషన్ జనరల్ లక్షణాల పనితీరు నుండి డేటా")</f>
        <v>STITS SA-5 FLUT-R- బగ్ అనేది రే స్టిట్స్ రూపొందించిన హోమ్‌బిల్ట్ విమానం. FLUT-R- బగ్‌ను ఒకే ప్రదేశం లేదా టెన్డం సీట్ విమానంగా నిర్మించవచ్చు. ఇది ప్రారంభ పూర్తి కిట్ విమానం, ఇది ముందే వెల్డింగ్ ఫ్యూజ్‌లేజ్‌తో విక్రయించబడింది. హోమ్‌బిల్డింగ్ కోసం జర్మన్ మార్కెట్‌కు 100 కిట్‌లను అందించాలని స్టిట్స్ ప్రణాళిక వేసింది. [2] యునైటెడ్ స్టేట్స్ మరియు ఐరోపాలో ఉదాహరణలు పూర్తయ్యాయి. SA-5 అనేది మిడ్-వింగ్, ట్రైసైకిల్ ల్యాండింగ్ గేర్ డిజైన్, మడత రెక్కలతో. ఈ విమానం దాని ప్రధాన గేర్‌పై (తగ్గించిన) తోక ద్వారా వాహనం ద్వారా లాగడానికి ఉద్దేశించబడింది. కాక్‌పిట్ తెరిచి ఉంటుంది, లేదా బబుల్ పందిరితో కప్పబడి ఉంటుంది. ఫ్యూజ్‌లేజ్ వెల్డెడ్ స్టీల్ గొట్టాల నుండి విమాన ఫాబ్రిక్ కవరింగ్‌తో నిర్మించబడింది. రెక్కలు ఫాబ్రిక్ కవరింగ్‌తో స్ప్రూస్ చెక్క స్పార్లను ఉపయోగిస్తాయి. [3] స్పోర్ట్ ఏవియేషన్ జనరల్ లక్షణాల పనితీరు నుండి డేటా</v>
      </c>
      <c r="E26" s="1" t="s">
        <v>626</v>
      </c>
      <c r="F26" s="1" t="s">
        <v>258</v>
      </c>
      <c r="G26" s="1" t="str">
        <f>IFERROR(__xludf.DUMMYFUNCTION("GOOGLETRANSLATE(F:F,""en"", ""te"")"),"హోమ్‌బిల్ట్ విమానం")</f>
        <v>హోమ్‌బిల్ట్ విమానం</v>
      </c>
      <c r="H26" s="1" t="s">
        <v>259</v>
      </c>
      <c r="I26" s="1" t="s">
        <v>158</v>
      </c>
      <c r="J26" s="1" t="str">
        <f>IFERROR(__xludf.DUMMYFUNCTION("GOOGLETRANSLATE(I:I,""en"", ""te"")"),"అమెరికా")</f>
        <v>అమెరికా</v>
      </c>
      <c r="K26" s="1" t="s">
        <v>159</v>
      </c>
      <c r="L26" s="1" t="s">
        <v>627</v>
      </c>
      <c r="M26" s="1" t="str">
        <f>IFERROR(__xludf.DUMMYFUNCTION("GOOGLETRANSLATE(L:L,""en"", ""te"")"),"విమాన సంస్థను కలిగి ఉంటుంది")</f>
        <v>విమాన సంస్థను కలిగి ఉంటుంది</v>
      </c>
      <c r="R26" s="1" t="s">
        <v>628</v>
      </c>
      <c r="S26" s="1">
        <v>1.0</v>
      </c>
      <c r="T26" s="1" t="s">
        <v>629</v>
      </c>
      <c r="U26" s="1" t="s">
        <v>349</v>
      </c>
      <c r="W26" s="1" t="s">
        <v>630</v>
      </c>
      <c r="X26" s="1" t="s">
        <v>631</v>
      </c>
      <c r="Z26" s="1" t="s">
        <v>632</v>
      </c>
      <c r="AA26" s="1" t="s">
        <v>633</v>
      </c>
      <c r="AB26" s="1" t="s">
        <v>356</v>
      </c>
      <c r="AD26" s="1" t="s">
        <v>634</v>
      </c>
      <c r="AE26" s="1" t="s">
        <v>635</v>
      </c>
      <c r="AF26" s="1" t="s">
        <v>636</v>
      </c>
      <c r="AG26" s="1" t="s">
        <v>208</v>
      </c>
      <c r="AH26" s="1" t="s">
        <v>637</v>
      </c>
      <c r="AI26" s="1" t="s">
        <v>638</v>
      </c>
      <c r="AK26" s="1" t="s">
        <v>639</v>
      </c>
      <c r="AL26" s="1" t="s">
        <v>440</v>
      </c>
      <c r="AM26" s="1" t="s">
        <v>622</v>
      </c>
      <c r="AO26" s="1">
        <v>1956.0</v>
      </c>
      <c r="AQ26" s="1" t="s">
        <v>640</v>
      </c>
      <c r="AW26" s="1" t="s">
        <v>607</v>
      </c>
    </row>
    <row r="27">
      <c r="A27" s="1" t="s">
        <v>641</v>
      </c>
      <c r="B27" s="1" t="str">
        <f>IFERROR(__xludf.DUMMYFUNCTION("GOOGLETRANSLATE(A:A,""en"", ""te"")"),"SA-7 స్కై-కూప్‌ను కలిగి ఉంటుంది")</f>
        <v>SA-7 స్కై-కూప్‌ను కలిగి ఉంటుంది</v>
      </c>
      <c r="C27" s="1" t="s">
        <v>642</v>
      </c>
      <c r="D27" s="1" t="str">
        <f>IFERROR(__xludf.DUMMYFUNCTION("GOOGLETRANSLATE(C:C,""en"", ""te"")"),"SA-7 స్కైకాప్ స్టిట్స్ రెండు-సీట్ల, పక్కపక్కనే సీటింగ్, రే స్టిట్స్ రూపొందించిన హై వింగ్ హోమ్‌బిల్ట్ విమానం. [1] రే స్టిట్స్ 14 వేర్వేరు హోమ్‌బిల్ట్ ఎయిర్‌క్రాఫ్ట్ కిట్‌లను రూపొందించారు, ఇవి పరిమాణంలో నిర్మించిన సాధారణ ప్రజలకు మొదట అందుబాటులో ఉన్నాయి. [2]"&amp;" స్టిట్స్ సాధారణ ప్రజలకు స్టిట్స్ జూనియర్ తయారీదారుగా కూడా తెలుసు, SA-2A స్కై బేబీ, [3] మరియు బేబీ బర్డ్ ను స్టిట్ చేస్తుంది, వీటిలో ప్రతి ఒక్కటి ఒకప్పుడు ప్రపంచంలోని అతిచిన్న విమానం. [4] ఇంజనీర్ హెరాల్డ్ డేల్ తన డేల్ వీజెట్ 800 ని పూర్తి చేసిన తరువాత ధృవ"&amp;"ీకరణ ప్రక్రియలో సహకరించాడు. [5] స్కైకూప్‌ను ముందే తయారుచేసిన స్టీల్ ట్యూబ్ ఫ్యూజ్‌లేజ్‌తో కిట్‌గా అందించారు. ఉపరితలాలు ఫాబ్రిక్ కప్పబడి ఉంటాయి. ఈ విమానం 60 నుండి 90 హెచ్‌పి (45 నుండి 67 కిలోవాట్) వరకు ఉన్న ఇంజిన్‌లను రూపొందించడానికి రూపొందించబడింది. జేన్ "&amp;"యొక్క అన్ని ప్రపంచ విమానాల నుండి డేటా 1961-62 [6] సాధారణ లక్షణాల పనితీరు సంబంధిత అభివృద్ధి")</f>
        <v>SA-7 స్కైకాప్ స్టిట్స్ రెండు-సీట్ల, పక్కపక్కనే సీటింగ్, రే స్టిట్స్ రూపొందించిన హై వింగ్ హోమ్‌బిల్ట్ విమానం. [1] రే స్టిట్స్ 14 వేర్వేరు హోమ్‌బిల్ట్ ఎయిర్‌క్రాఫ్ట్ కిట్‌లను రూపొందించారు, ఇవి పరిమాణంలో నిర్మించిన సాధారణ ప్రజలకు మొదట అందుబాటులో ఉన్నాయి. [2] స్టిట్స్ సాధారణ ప్రజలకు స్టిట్స్ జూనియర్ తయారీదారుగా కూడా తెలుసు, SA-2A స్కై బేబీ, [3] మరియు బేబీ బర్డ్ ను స్టిట్ చేస్తుంది, వీటిలో ప్రతి ఒక్కటి ఒకప్పుడు ప్రపంచంలోని అతిచిన్న విమానం. [4] ఇంజనీర్ హెరాల్డ్ డేల్ తన డేల్ వీజెట్ 800 ని పూర్తి చేసిన తరువాత ధృవీకరణ ప్రక్రియలో సహకరించాడు. [5] స్కైకూప్‌ను ముందే తయారుచేసిన స్టీల్ ట్యూబ్ ఫ్యూజ్‌లేజ్‌తో కిట్‌గా అందించారు. ఉపరితలాలు ఫాబ్రిక్ కప్పబడి ఉంటాయి. ఈ విమానం 60 నుండి 90 హెచ్‌పి (45 నుండి 67 కిలోవాట్) వరకు ఉన్న ఇంజిన్‌లను రూపొందించడానికి రూపొందించబడింది. జేన్ యొక్క అన్ని ప్రపంచ విమానాల నుండి డేటా 1961-62 [6] సాధారణ లక్షణాల పనితీరు సంబంధిత అభివృద్ధి</v>
      </c>
      <c r="E27" s="1" t="s">
        <v>643</v>
      </c>
      <c r="F27" s="1" t="s">
        <v>258</v>
      </c>
      <c r="G27" s="1" t="str">
        <f>IFERROR(__xludf.DUMMYFUNCTION("GOOGLETRANSLATE(F:F,""en"", ""te"")"),"హోమ్‌బిల్ట్ విమానం")</f>
        <v>హోమ్‌బిల్ట్ విమానం</v>
      </c>
      <c r="I27" s="1" t="s">
        <v>158</v>
      </c>
      <c r="J27" s="1" t="str">
        <f>IFERROR(__xludf.DUMMYFUNCTION("GOOGLETRANSLATE(I:I,""en"", ""te"")"),"అమెరికా")</f>
        <v>అమెరికా</v>
      </c>
      <c r="L27" s="1" t="s">
        <v>644</v>
      </c>
      <c r="M27" s="1" t="str">
        <f>IFERROR(__xludf.DUMMYFUNCTION("GOOGLETRANSLATE(L:L,""en"", ""te"")"),"విమానాన్ని పొందుతుంది")</f>
        <v>విమానాన్ని పొందుతుంది</v>
      </c>
      <c r="O27" s="1">
        <v>1957.0</v>
      </c>
      <c r="T27" s="1">
        <v>2.0</v>
      </c>
      <c r="U27" s="1" t="s">
        <v>645</v>
      </c>
      <c r="V27" s="1" t="s">
        <v>646</v>
      </c>
      <c r="W27" s="1" t="s">
        <v>647</v>
      </c>
      <c r="X27" s="1" t="s">
        <v>353</v>
      </c>
      <c r="Y27" s="1" t="s">
        <v>648</v>
      </c>
      <c r="Z27" s="1" t="s">
        <v>649</v>
      </c>
      <c r="AA27" s="1" t="s">
        <v>650</v>
      </c>
      <c r="AB27" s="1" t="s">
        <v>651</v>
      </c>
      <c r="AD27" s="1" t="s">
        <v>634</v>
      </c>
      <c r="AG27" s="1" t="s">
        <v>208</v>
      </c>
      <c r="AH27" s="1" t="s">
        <v>652</v>
      </c>
      <c r="AI27" s="1" t="s">
        <v>653</v>
      </c>
      <c r="AK27" s="1" t="s">
        <v>377</v>
      </c>
      <c r="AL27" s="1" t="s">
        <v>440</v>
      </c>
      <c r="AM27" s="1" t="s">
        <v>654</v>
      </c>
      <c r="AN27" s="1" t="s">
        <v>655</v>
      </c>
      <c r="AO27" s="1">
        <v>1957.0</v>
      </c>
      <c r="AQ27" s="1" t="s">
        <v>656</v>
      </c>
      <c r="AW27" s="1" t="s">
        <v>607</v>
      </c>
      <c r="BD27" s="1">
        <v>5.0</v>
      </c>
    </row>
    <row r="28">
      <c r="A28" s="1" t="s">
        <v>657</v>
      </c>
      <c r="B28" s="1" t="str">
        <f>IFERROR(__xludf.DUMMYFUNCTION("GOOGLETRANSLATE(A:A,""en"", ""te"")"),"స్టౌట్ బాట్వింగ్")</f>
        <v>స్టౌట్ బాట్వింగ్</v>
      </c>
      <c r="C28" s="1" t="s">
        <v>658</v>
      </c>
      <c r="D28" s="1" t="str">
        <f>IFERROR(__xludf.DUMMYFUNCTION("GOOGLETRANSLATE(C:C,""en"", ""te"")"),"స్టౌట్ బాట్వింగ్ అనేది విలియం బుష్నెల్ స్టౌట్ అభివృద్ధి చేసిన ప్రయోగాత్మక తక్కువ కారక నిష్పత్తి ఫ్లయింగ్ వింగ్ విమానం. [1] ఈ విమానం కలప వెనిర్ నిర్మాణాన్ని ఉపయోగించింది మరియు కాంటిలివర్ వింగ్ డిజైన్‌కు ప్రారంభ ఉదాహరణ. డ్రాగ్-ప్రొడ్యూసింగ్ స్ట్రట్స్ లేకుండ"&amp;"ా రూపొందించిన మొట్టమొదటి అమెరికన్ విమానంలో అంతర్గతంగా కలుపు వింగ్ కూడా ఒకటి. మొదటి ప్రపంచ యుద్ధంలో, విలియం బుష్నెల్ స్టౌట్ 1917 లో ప్యాకర్డ్ చేత నియమించబడ్డాడు, అతను యుద్ధ ఉత్పత్తి బోర్డుకు సాంకేతిక సలహాదారుగా నియమించబడ్డాడు, అతను ఒక విమానం అభివృద్ధి చేయడ"&amp;"ానికి స్టౌట్కు ఒక ఒప్పందాన్ని ఇచ్చాడు. మోటార్ ప్రొడక్ట్స్ కార్పొరేషన్ నిధులతో, స్టౌట్ విమానాన్ని యునైటెడ్ స్టేట్స్ ఆర్మీ ఎయిర్ సర్వీస్‌కు విక్రయించాలని ఆశతో ""బాట్‌వింగ్"" విమానాన్ని అభివృద్ధి చేసింది. [2] 1926 లో ఫోర్డ్ విమానాశ్రయంలో పరీక్షించిన స్టౌట్ మ"&amp;"ొదట ఆల్-వుడ్ ఫ్లయింగ్ వింగ్ గ్లైడర్, ""బాట్వింగ్ గ్లైడర్"" తో ప్రయోగాలు చేశాడు. [3] స్టౌట్ యొక్క రూపకల్పనకు ""బుష్నెల్ తాబేలు"" అనే మారుపేరు ఉంది (సంబంధం లేని డేవిడ్ బుష్నెల్ యొక్క అమెరికన్ తాబేలు ఆకృతికి సూచన). [4] బ్యాట్‌వింగ్ అసాధారణంగా విశాలమైన తీగ, మ"&amp;"ందపాటి విభాగం కాంటిలివెర్డ్ వింగ్‌తో రూపొందించబడింది, ఇది విమానం వెనుక భాగంలో చాలా దగ్గరగా ఉన్న క్షితిజ సమాంతర స్టెబిలైజర్‌లతో. రెక్కలు మూడు-ప్లై కలప పొరతో కప్పబడి ఉన్నాయి. అంతర్గత బ్రేసింగ్ వందలాది స్ప్రూస్ స్ట్రట్‌లను కలిగి ఉంది. ఒక్కొక్కటి 1 టన్నుల లోడ"&amp;"్‌కు తొమ్మిది స్పార్‌లు పరీక్షించబడ్డాయి. [5] ఒక జంకర్లను ఎదుర్కొనే అవకాశం ఉంది f.13, బిల్ స్టౌట్ ఒక లోహ చట్రంలో లోహ ముడతలు పెట్టిన స్కిన్నింగ్ కోసం కలప నిర్మాణాన్ని వదిలివేసింది. [6] డ్రాగ్‌ను తగ్గించడానికి, విమానం మద్దతు వైర్లు లేదా స్ట్రట్స్ లేకుండా కా"&amp;"ంటిలివర్ వింగ్‌ను ఉపయోగించింది. విమానానికి మద్దతు ఇవ్వడానికి తగినంత లోతుగా ఒక స్పార్ నిర్మించడానికి దీనికి ""మందపాటి"" రెక్క అవసరం. ఆ సమయంలో సాధారణంగా ఉపయోగించే సన్నని ఎయిర్‌ఫాయిల్ విభాగాలను నిర్వహించడానికి, రెక్క మందంగా మారడంతో తీగ కూడా ఎక్కువసేపు ఉండాలి"&amp;". బాట్‌వింగ్ విషయంలో, తీగ విమానం యొక్క మొత్తం పొడవు. లోడ్‌కు మద్దతు ఇవ్వడానికి చిట్కాల వైపు స్పార్ అంత మందంగా ఉండవలసిన అవసరం లేదు కాబట్టి, తీగ రెక్క వెంట మరింత తగ్గింది, ఓవల్ ఆకారపు రెక్కను ఏర్పరుస్తుంది. ఇది ఆదర్శంగా, ఇది గణనీయమైన ఇంజనీరింగ్ సవాళ్లను కలి"&amp;"గించింది. [7] మరింత ఏరోడైనమిక్ డ్రాగ్ తగ్గింపులు నీటి-చల్లబడిన ఇంజిన్ను రెక్కలో పొందుపరిచిన రేడియేటర్లతో రెక్కలో పొందుపరచడం నుండి వచ్చాయి. [8] పైలట్ విమానం పైభాగంలో ఉంచిన ఓపెన్ కాక్‌పిట్‌లో కూర్చున్నాడు. దిగువ దృశ్యమానత రెక్క ద్వారా పరిమితం చేయబడింది. బాట"&amp;"్వింగ్ యునైటెడ్ స్టేట్స్లో రూపొందించిన మరియు నిర్మించిన కాంటిలివర్డ్ వింగ్ యొక్క మొదటి ఉదాహరణ. [9] అతని మొట్టమొదటి మందపాటి రెక్కల విమాన రూపకల్పన యొక్క మోకాప్ మిచిగాన్ లోని డెట్రాయిట్ లోని విడ్మాన్ వుడ్ వర్కింగ్ ప్లాంట్ వద్ద నిర్మించబడింది. 150 హెచ్‌పి ఇంజ"&amp;"ిన్ ఈ ప్రాజెక్టుపై ఆసక్తి ఉన్న చార్లెస్ డబ్ల్యూ. నాష్ నుండి పొందబడింది. [10] మొదటి ఫ్లైట్ డేటన్, ఒహియో 13 జనవరి 1919 లో జరిగింది. [11] ఇంజిన్‌పై పంప్ షాఫ్ట్ విరిగింది, కాని విమానం ఎలాగైనా ఎగిరింది. ఫ్లైట్ విజయవంతం అయినప్పటికీ, టెస్ట్ పైలట్ జిమ్మీ జాన్సన్ "&amp;"ఈ విమానం దృశ్యమానత తక్కువగా ఉన్నందున ఈ విమానం ఎగరడానికి చాలా ప్రమాదకరమని వ్యాఖ్యానించారు. స్టౌట్ తరువాత దృశ్యమానతను ""అసహ్యకరమైనది"" అని పిలిచాడు. పరీక్ష విమానం నిల్వలో ఉంచారు. వెంటనే, స్టౌట్ బ్రిటిష్ పేటెంట్ #149,708 ను సమర్పించాడు: బాట్వింగ్ విమానం మూలల"&amp;"తో కూడిన విమానం ప్రోటోటైప్ యొక్క ఓవల్ డిజైన్ కంటే స్క్వేర్డ్. నవీకరించబడిన విమానం ఎప్పుడూ ఉత్పత్తి చేయబడలేదు. ఆల్-మెటల్ నిర్మాణం యొక్క పురోగతిని కలిగి ఉన్న మరింత సాంప్రదాయిక విమానాలపై స్టౌట్ దృష్టి సారించింది, కాని భవిష్యత్ విమానం బాట్‌వింగ్ లాగా ఉంటుందని"&amp;" పేర్కొంది. [12] 100 అడుగుల వింగ్స్పాన్ తో బాట్వింగ్ యొక్క స్కేల్డ్-అప్ వెర్షన్ కోసం స్టౌట్ ప్రణాళికలను రూపొందించాడు. పెద్ద విమానాలు దృశ్యమానత సమస్యలను పరిష్కరించవచ్చు, కానీ ప్రణాళిక దశను దాటలేదు. ఆల్-మెటల్ ""బాట్వింగ్ 11"" నలభై అడుగుల రెక్కలు మరియు మెగ్న"&amp;"ీషియం నిర్మాణంతో 200 mph సామర్థ్యం కలిగి ఉన్నట్లు ప్రచారం చేయబడింది. [13] కాంటిలివర్ రెక్కలను ఉపయోగించిన భవిష్యత్ విమానాల పేరిట స్టౌట్ ""బాట్‌వింగ్"" అనే పదాన్ని కూడా ఉపయోగించాడు. SAE నుండి డేటా డిసెంబర్ 1922 జనరల్ క్యారెక్టరిస్టిక్స్ పనితీరు సంబంధిత అభివ"&amp;"ృద్ధి అభివృద్ధి విమానం పోల్చదగిన పాత్ర, కాన్ఫిగరేషన్ మరియు ఎరా మీడియా వికీమీడియా కామన్స్ వద్ద స్టౌట్ విమానాలకు సంబంధించినది")</f>
        <v>స్టౌట్ బాట్వింగ్ అనేది విలియం బుష్నెల్ స్టౌట్ అభివృద్ధి చేసిన ప్రయోగాత్మక తక్కువ కారక నిష్పత్తి ఫ్లయింగ్ వింగ్ విమానం. [1] ఈ విమానం కలప వెనిర్ నిర్మాణాన్ని ఉపయోగించింది మరియు కాంటిలివర్ వింగ్ డిజైన్‌కు ప్రారంభ ఉదాహరణ. డ్రాగ్-ప్రొడ్యూసింగ్ స్ట్రట్స్ లేకుండా రూపొందించిన మొట్టమొదటి అమెరికన్ విమానంలో అంతర్గతంగా కలుపు వింగ్ కూడా ఒకటి. మొదటి ప్రపంచ యుద్ధంలో, విలియం బుష్నెల్ స్టౌట్ 1917 లో ప్యాకర్డ్ చేత నియమించబడ్డాడు, అతను యుద్ధ ఉత్పత్తి బోర్డుకు సాంకేతిక సలహాదారుగా నియమించబడ్డాడు, అతను ఒక విమానం అభివృద్ధి చేయడానికి స్టౌట్కు ఒక ఒప్పందాన్ని ఇచ్చాడు. మోటార్ ప్రొడక్ట్స్ కార్పొరేషన్ నిధులతో, స్టౌట్ విమానాన్ని యునైటెడ్ స్టేట్స్ ఆర్మీ ఎయిర్ సర్వీస్‌కు విక్రయించాలని ఆశతో "బాట్‌వింగ్" విమానాన్ని అభివృద్ధి చేసింది. [2] 1926 లో ఫోర్డ్ విమానాశ్రయంలో పరీక్షించిన స్టౌట్ మొదట ఆల్-వుడ్ ఫ్లయింగ్ వింగ్ గ్లైడర్, "బాట్వింగ్ గ్లైడర్" తో ప్రయోగాలు చేశాడు. [3] స్టౌట్ యొక్క రూపకల్పనకు "బుష్నెల్ తాబేలు" అనే మారుపేరు ఉంది (సంబంధం లేని డేవిడ్ బుష్నెల్ యొక్క అమెరికన్ తాబేలు ఆకృతికి సూచన). [4] బ్యాట్‌వింగ్ అసాధారణంగా విశాలమైన తీగ, మందపాటి విభాగం కాంటిలివెర్డ్ వింగ్‌తో రూపొందించబడింది, ఇది విమానం వెనుక భాగంలో చాలా దగ్గరగా ఉన్న క్షితిజ సమాంతర స్టెబిలైజర్‌లతో. రెక్కలు మూడు-ప్లై కలప పొరతో కప్పబడి ఉన్నాయి. అంతర్గత బ్రేసింగ్ వందలాది స్ప్రూస్ స్ట్రట్‌లను కలిగి ఉంది. ఒక్కొక్కటి 1 టన్నుల లోడ్‌కు తొమ్మిది స్పార్‌లు పరీక్షించబడ్డాయి. [5] ఒక జంకర్లను ఎదుర్కొనే అవకాశం ఉంది f.13, బిల్ స్టౌట్ ఒక లోహ చట్రంలో లోహ ముడతలు పెట్టిన స్కిన్నింగ్ కోసం కలప నిర్మాణాన్ని వదిలివేసింది. [6] డ్రాగ్‌ను తగ్గించడానికి, విమానం మద్దతు వైర్లు లేదా స్ట్రట్స్ లేకుండా కాంటిలివర్ వింగ్‌ను ఉపయోగించింది. విమానానికి మద్దతు ఇవ్వడానికి తగినంత లోతుగా ఒక స్పార్ నిర్మించడానికి దీనికి "మందపాటి" రెక్క అవసరం. ఆ సమయంలో సాధారణంగా ఉపయోగించే సన్నని ఎయిర్‌ఫాయిల్ విభాగాలను నిర్వహించడానికి, రెక్క మందంగా మారడంతో తీగ కూడా ఎక్కువసేపు ఉండాలి. బాట్‌వింగ్ విషయంలో, తీగ విమానం యొక్క మొత్తం పొడవు. లోడ్‌కు మద్దతు ఇవ్వడానికి చిట్కాల వైపు స్పార్ అంత మందంగా ఉండవలసిన అవసరం లేదు కాబట్టి, తీగ రెక్క వెంట మరింత తగ్గింది, ఓవల్ ఆకారపు రెక్కను ఏర్పరుస్తుంది. ఇది ఆదర్శంగా, ఇది గణనీయమైన ఇంజనీరింగ్ సవాళ్లను కలిగించింది. [7] మరింత ఏరోడైనమిక్ డ్రాగ్ తగ్గింపులు నీటి-చల్లబడిన ఇంజిన్ను రెక్కలో పొందుపరిచిన రేడియేటర్లతో రెక్కలో పొందుపరచడం నుండి వచ్చాయి. [8] పైలట్ విమానం పైభాగంలో ఉంచిన ఓపెన్ కాక్‌పిట్‌లో కూర్చున్నాడు. దిగువ దృశ్యమానత రెక్క ద్వారా పరిమితం చేయబడింది. బాట్వింగ్ యునైటెడ్ స్టేట్స్లో రూపొందించిన మరియు నిర్మించిన కాంటిలివర్డ్ వింగ్ యొక్క మొదటి ఉదాహరణ. [9] అతని మొట్టమొదటి మందపాటి రెక్కల విమాన రూపకల్పన యొక్క మోకాప్ మిచిగాన్ లోని డెట్రాయిట్ లోని విడ్మాన్ వుడ్ వర్కింగ్ ప్లాంట్ వద్ద నిర్మించబడింది. 150 హెచ్‌పి ఇంజిన్ ఈ ప్రాజెక్టుపై ఆసక్తి ఉన్న చార్లెస్ డబ్ల్యూ. నాష్ నుండి పొందబడింది. [10] మొదటి ఫ్లైట్ డేటన్, ఒహియో 13 జనవరి 1919 లో జరిగింది. [11] ఇంజిన్‌పై పంప్ షాఫ్ట్ విరిగింది, కాని విమానం ఎలాగైనా ఎగిరింది. ఫ్లైట్ విజయవంతం అయినప్పటికీ, టెస్ట్ పైలట్ జిమ్మీ జాన్సన్ ఈ విమానం దృశ్యమానత తక్కువగా ఉన్నందున ఈ విమానం ఎగరడానికి చాలా ప్రమాదకరమని వ్యాఖ్యానించారు. స్టౌట్ తరువాత దృశ్యమానతను "అసహ్యకరమైనది" అని పిలిచాడు. పరీక్ష విమానం నిల్వలో ఉంచారు. వెంటనే, స్టౌట్ బ్రిటిష్ పేటెంట్ #149,708 ను సమర్పించాడు: బాట్వింగ్ విమానం మూలలతో కూడిన విమానం ప్రోటోటైప్ యొక్క ఓవల్ డిజైన్ కంటే స్క్వేర్డ్. నవీకరించబడిన విమానం ఎప్పుడూ ఉత్పత్తి చేయబడలేదు. ఆల్-మెటల్ నిర్మాణం యొక్క పురోగతిని కలిగి ఉన్న మరింత సాంప్రదాయిక విమానాలపై స్టౌట్ దృష్టి సారించింది, కాని భవిష్యత్ విమానం బాట్‌వింగ్ లాగా ఉంటుందని పేర్కొంది. [12] 100 అడుగుల వింగ్స్పాన్ తో బాట్వింగ్ యొక్క స్కేల్డ్-అప్ వెర్షన్ కోసం స్టౌట్ ప్రణాళికలను రూపొందించాడు. పెద్ద విమానాలు దృశ్యమానత సమస్యలను పరిష్కరించవచ్చు, కానీ ప్రణాళిక దశను దాటలేదు. ఆల్-మెటల్ "బాట్వింగ్ 11" నలభై అడుగుల రెక్కలు మరియు మెగ్నీషియం నిర్మాణంతో 200 mph సామర్థ్యం కలిగి ఉన్నట్లు ప్రచారం చేయబడింది. [13] కాంటిలివర్ రెక్కలను ఉపయోగించిన భవిష్యత్ విమానాల పేరిట స్టౌట్ "బాట్‌వింగ్" అనే పదాన్ని కూడా ఉపయోగించాడు. SAE నుండి డేటా డిసెంబర్ 1922 జనరల్ క్యారెక్టరిస్టిక్స్ పనితీరు సంబంధిత అభివృద్ధి అభివృద్ధి విమానం పోల్చదగిన పాత్ర, కాన్ఫిగరేషన్ మరియు ఎరా మీడియా వికీమీడియా కామన్స్ వద్ద స్టౌట్ విమానాలకు సంబంధించినది</v>
      </c>
      <c r="E28" s="1" t="s">
        <v>659</v>
      </c>
      <c r="F28" s="1" t="s">
        <v>660</v>
      </c>
      <c r="G28" s="1" t="str">
        <f>IFERROR(__xludf.DUMMYFUNCTION("GOOGLETRANSLATE(F:F,""en"", ""te"")"),"ప్రయోగాత్మక")</f>
        <v>ప్రయోగాత్మక</v>
      </c>
      <c r="I28" s="1" t="s">
        <v>158</v>
      </c>
      <c r="J28" s="1" t="str">
        <f>IFERROR(__xludf.DUMMYFUNCTION("GOOGLETRANSLATE(I:I,""en"", ""te"")"),"అమెరికా")</f>
        <v>అమెరికా</v>
      </c>
      <c r="L28" s="1" t="s">
        <v>661</v>
      </c>
      <c r="M28" s="1" t="str">
        <f>IFERROR(__xludf.DUMMYFUNCTION("GOOGLETRANSLATE(L:L,""en"", ""te"")"),"స్టౌట్ ఇంజనీరింగ్ ప్రయోగశాలలు")</f>
        <v>స్టౌట్ ఇంజనీరింగ్ ప్రయోగశాలలు</v>
      </c>
      <c r="N28" s="1" t="s">
        <v>662</v>
      </c>
      <c r="O28" s="1">
        <v>1918.0</v>
      </c>
      <c r="R28" s="1">
        <v>1.0</v>
      </c>
      <c r="W28" s="1" t="s">
        <v>663</v>
      </c>
      <c r="X28" s="1" t="s">
        <v>664</v>
      </c>
      <c r="AA28" s="1" t="s">
        <v>665</v>
      </c>
      <c r="AG28" s="1" t="s">
        <v>208</v>
      </c>
      <c r="AH28" s="1" t="s">
        <v>666</v>
      </c>
      <c r="AM28" s="1" t="s">
        <v>454</v>
      </c>
      <c r="AN28" s="1" t="s">
        <v>455</v>
      </c>
      <c r="AO28" s="1">
        <v>1918.0</v>
      </c>
      <c r="AU28" s="1" t="s">
        <v>667</v>
      </c>
    </row>
    <row r="29">
      <c r="A29" s="1" t="s">
        <v>668</v>
      </c>
      <c r="B29" s="1" t="str">
        <f>IFERROR(__xludf.DUMMYFUNCTION("GOOGLETRANSLATE(A:A,""en"", ""te"")"),"స్టీర్ బోడాసియస్")</f>
        <v>స్టీర్ బోడాసియస్</v>
      </c>
      <c r="C29" s="1" t="s">
        <v>669</v>
      </c>
      <c r="D29" s="1" t="str">
        <f>IFERROR(__xludf.DUMMYFUNCTION("GOOGLETRANSLATE(C:C,""en"", ""te"")"),"స్టీర్ బోడాసియస్ అనేది ఒక అమెరికన్ సింగిల్ సీట్ ఒరిజినల్ డిజైన్ అల్ట్రాలైట్ విమానం. బోడాసియస్ అనేది లీగల్ ఈగిల్ అల్ట్రాలైట్‌గా ప్రారంభమైన ఒక ప్రాజెక్ట్, కానీ పరివేష్టిత విమానంగా మార్చబడింది. ఈ విమానం ఒకే ఇంజిన్, స్ట్రట్-బ్రేస్డ్, సాంప్రదాయ ల్యాండింగ్ గేర్"&amp;"‌తో అధిక వింగ్ అల్ట్రాలైట్. అల్యూమినియం స్పార్ రెక్కలు చెక్క పక్కటెముకలు మరియు వెళ్ళుట లేదా నిల్వ కోసం మడత వెనుకకు ఉపయోగిస్తాయి. ఈ విమానం ఓరేటెక్స్‌తో కప్పబడి ఉంటుంది, ఇది మోడల్ ఎయిర్‌క్రాఫ్ట్ భవనంలో ఉపయోగించే ప్రీ-కలర్ కవరింగ్. [1] ప్రోటోటైప్ బోడాసియస్ 2"&amp;"012 EAA ఎయిర్‌వెంచర్ ఓష్కోష్ ఎయిర్‌షోలో రిజర్వ్ గ్రాండ్ ఛాంపియన్ అల్ట్రాలైట్ అవార్డును గెలుచుకుంది. [2] ఏరో న్యూస్ నెట్‌వర్క్ జనరల్ లక్షణాల నుండి డేటా పోల్చదగిన పాత్ర, కాన్ఫిగరేషన్ మరియు ERA యొక్క పనితీరు సంబంధిత అభివృద్ధి విమానం")</f>
        <v>స్టీర్ బోడాసియస్ అనేది ఒక అమెరికన్ సింగిల్ సీట్ ఒరిజినల్ డిజైన్ అల్ట్రాలైట్ విమానం. బోడాసియస్ అనేది లీగల్ ఈగిల్ అల్ట్రాలైట్‌గా ప్రారంభమైన ఒక ప్రాజెక్ట్, కానీ పరివేష్టిత విమానంగా మార్చబడింది. ఈ విమానం ఒకే ఇంజిన్, స్ట్రట్-బ్రేస్డ్, సాంప్రదాయ ల్యాండింగ్ గేర్‌తో అధిక వింగ్ అల్ట్రాలైట్. అల్యూమినియం స్పార్ రెక్కలు చెక్క పక్కటెముకలు మరియు వెళ్ళుట లేదా నిల్వ కోసం మడత వెనుకకు ఉపయోగిస్తాయి. ఈ విమానం ఓరేటెక్స్‌తో కప్పబడి ఉంటుంది, ఇది మోడల్ ఎయిర్‌క్రాఫ్ట్ భవనంలో ఉపయోగించే ప్రీ-కలర్ కవరింగ్. [1] ప్రోటోటైప్ బోడాసియస్ 2012 EAA ఎయిర్‌వెంచర్ ఓష్కోష్ ఎయిర్‌షోలో రిజర్వ్ గ్రాండ్ ఛాంపియన్ అల్ట్రాలైట్ అవార్డును గెలుచుకుంది. [2] ఏరో న్యూస్ నెట్‌వర్క్ జనరల్ లక్షణాల నుండి డేటా పోల్చదగిన పాత్ర, కాన్ఫిగరేషన్ మరియు ERA యొక్క పనితీరు సంబంధిత అభివృద్ధి విమానం</v>
      </c>
      <c r="E29" s="1" t="s">
        <v>670</v>
      </c>
      <c r="F29" s="1" t="s">
        <v>459</v>
      </c>
      <c r="G29" s="1" t="str">
        <f>IFERROR(__xludf.DUMMYFUNCTION("GOOGLETRANSLATE(F:F,""en"", ""te"")"),"అల్ట్రాలైట్ విమానం")</f>
        <v>అల్ట్రాలైట్ విమానం</v>
      </c>
      <c r="H29" s="1" t="s">
        <v>460</v>
      </c>
      <c r="I29" s="1" t="s">
        <v>158</v>
      </c>
      <c r="J29" s="1" t="str">
        <f>IFERROR(__xludf.DUMMYFUNCTION("GOOGLETRANSLATE(I:I,""en"", ""te"")"),"అమెరికా")</f>
        <v>అమెరికా</v>
      </c>
      <c r="L29" s="1" t="s">
        <v>671</v>
      </c>
      <c r="M29" s="1" t="str">
        <f>IFERROR(__xludf.DUMMYFUNCTION("GOOGLETRANSLATE(L:L,""en"", ""te"")"),"జాన్ స్టీర్")</f>
        <v>జాన్ స్టీర్</v>
      </c>
      <c r="R29" s="1">
        <v>1.0</v>
      </c>
      <c r="S29" s="1">
        <v>1.0</v>
      </c>
      <c r="X29" s="1" t="s">
        <v>672</v>
      </c>
      <c r="AA29" s="1" t="s">
        <v>673</v>
      </c>
      <c r="AB29" s="1" t="s">
        <v>674</v>
      </c>
      <c r="AI29" s="1" t="s">
        <v>675</v>
      </c>
      <c r="AM29" s="1" t="s">
        <v>671</v>
      </c>
      <c r="AO29" s="1">
        <v>2012.0</v>
      </c>
      <c r="AU29" s="1" t="s">
        <v>676</v>
      </c>
      <c r="AV29" s="1" t="s">
        <v>677</v>
      </c>
      <c r="AZ29" s="1" t="s">
        <v>678</v>
      </c>
    </row>
    <row r="30">
      <c r="A30" s="1" t="s">
        <v>679</v>
      </c>
      <c r="B30" s="1" t="str">
        <f>IFERROR(__xludf.DUMMYFUNCTION("GOOGLETRANSLATE(A:A,""en"", ""te"")"),"స్టెయిన్రక్ ఎస్సీఎస్ -1")</f>
        <v>స్టెయిన్రక్ ఎస్సీఎస్ -1</v>
      </c>
      <c r="C30" s="1" t="s">
        <v>680</v>
      </c>
      <c r="D30" s="1" t="str">
        <f>IFERROR(__xludf.DUMMYFUNCTION("GOOGLETRANSLATE(C:C,""en"", ""te"")"),"స్టెయిన్‌రక్ SCS-1 అనేది ఒక అమెరికన్ హై-వింగ్, సింగిల్-సీట్, వి-టెయిల్డ్ గ్లైడర్, దీనిని A.C. కోర్డాస్ రూపొందించారు మరియు వాడే స్టెయిన్‌రూక్ చేత నిర్మించబడింది. [1] [2] [3] కాలిఫోర్నియాలోని స్ప్రింగ్ వ్యాలీలోని తన ఇంటిలో స్టెయిన్‌రూక్ తన ఖాళీ సమయంలో చాలా "&amp;"సంవత్సరాలు SCS-1 లో పనిచేశాడు, 1959 లో ఈ విమానం పూర్తి చేశాడు. [1] [2] SCS-1 ప్రధానంగా అల్యూమినియం నుండి నిర్మించబడింది. ఇది NACA 33012 ఎయిర్‌ఫాయిల్‌తో V- తోక మరియు మూడు-ముక్కల రెక్కలను కలిగి ఉంది. స్పాయిలర్లు పందిరి వెనుక ఉన్న హాచ్‌లో ఉన్నాయి. [1] [2] [4"&amp;"] SCS-1 అనేక వినోద 200 MI (322 కిమీ) పై ఎగురవేయబడింది మరియు తిరిగి మరియు త్రిభుజం విమానాలు. [2] జూన్ 2011 లో, ఈ విమానం ఇప్పటికీ ఫెడరల్ ఏవియేషన్ అడ్మినిస్ట్రేషన్‌లో స్టెయిన్‌రక్‌కు నమోదు చేయబడింది, ఇది పూర్తయిన 52 సంవత్సరాల తరువాత. [3] సెయిల్ ప్లేన్ డైరెక్"&amp;"టరీ మరియు పెరిగే డేటా [1] [2] సాధారణ లక్షణాలు పనితీరు సంబంధిత జాబితాలు")</f>
        <v>స్టెయిన్‌రక్ SCS-1 అనేది ఒక అమెరికన్ హై-వింగ్, సింగిల్-సీట్, వి-టెయిల్డ్ గ్లైడర్, దీనిని A.C. కోర్డాస్ రూపొందించారు మరియు వాడే స్టెయిన్‌రూక్ చేత నిర్మించబడింది. [1] [2] [3] కాలిఫోర్నియాలోని స్ప్రింగ్ వ్యాలీలోని తన ఇంటిలో స్టెయిన్‌రూక్ తన ఖాళీ సమయంలో చాలా సంవత్సరాలు SCS-1 లో పనిచేశాడు, 1959 లో ఈ విమానం పూర్తి చేశాడు. [1] [2] SCS-1 ప్రధానంగా అల్యూమినియం నుండి నిర్మించబడింది. ఇది NACA 33012 ఎయిర్‌ఫాయిల్‌తో V- తోక మరియు మూడు-ముక్కల రెక్కలను కలిగి ఉంది. స్పాయిలర్లు పందిరి వెనుక ఉన్న హాచ్‌లో ఉన్నాయి. [1] [2] [4] SCS-1 అనేక వినోద 200 MI (322 కిమీ) పై ఎగురవేయబడింది మరియు తిరిగి మరియు త్రిభుజం విమానాలు. [2] జూన్ 2011 లో, ఈ విమానం ఇప్పటికీ ఫెడరల్ ఏవియేషన్ అడ్మినిస్ట్రేషన్‌లో స్టెయిన్‌రక్‌కు నమోదు చేయబడింది, ఇది పూర్తయిన 52 సంవత్సరాల తరువాత. [3] సెయిల్ ప్లేన్ డైరెక్టరీ మరియు పెరిగే డేటా [1] [2] సాధారణ లక్షణాలు పనితీరు సంబంధిత జాబితాలు</v>
      </c>
      <c r="F30" s="1" t="s">
        <v>681</v>
      </c>
      <c r="G30" s="1" t="str">
        <f>IFERROR(__xludf.DUMMYFUNCTION("GOOGLETRANSLATE(F:F,""en"", ""te"")"),"గ్లైడర్")</f>
        <v>గ్లైడర్</v>
      </c>
      <c r="H30" s="2" t="s">
        <v>682</v>
      </c>
      <c r="I30" s="1" t="s">
        <v>158</v>
      </c>
      <c r="J30" s="1" t="str">
        <f>IFERROR(__xludf.DUMMYFUNCTION("GOOGLETRANSLATE(I:I,""en"", ""te"")"),"అమెరికా")</f>
        <v>అమెరికా</v>
      </c>
      <c r="K30" s="1" t="s">
        <v>159</v>
      </c>
      <c r="L30" s="1" t="s">
        <v>683</v>
      </c>
      <c r="M30" s="1" t="str">
        <f>IFERROR(__xludf.DUMMYFUNCTION("GOOGLETRANSLATE(L:L,""en"", ""te"")"),"వాడే స్టెయిన్రక్")</f>
        <v>వాడే స్టెయిన్రక్</v>
      </c>
      <c r="N30" s="1" t="s">
        <v>684</v>
      </c>
      <c r="O30" s="1">
        <v>1959.0</v>
      </c>
      <c r="P30" s="1" t="s">
        <v>461</v>
      </c>
      <c r="Q30" s="1"/>
      <c r="R30" s="1" t="s">
        <v>685</v>
      </c>
      <c r="S30" s="1" t="s">
        <v>164</v>
      </c>
      <c r="W30" s="1" t="s">
        <v>686</v>
      </c>
      <c r="X30" s="1" t="s">
        <v>687</v>
      </c>
      <c r="Y30" s="1" t="s">
        <v>688</v>
      </c>
      <c r="AC30" s="1" t="s">
        <v>689</v>
      </c>
      <c r="AF30" s="1" t="s">
        <v>690</v>
      </c>
      <c r="AH30" s="1" t="s">
        <v>691</v>
      </c>
      <c r="AM30" s="1" t="s">
        <v>692</v>
      </c>
      <c r="AN30" s="1" t="s">
        <v>693</v>
      </c>
      <c r="AR30" s="1" t="s">
        <v>683</v>
      </c>
      <c r="AW30" s="1" t="s">
        <v>694</v>
      </c>
      <c r="BB30" s="1" t="s">
        <v>695</v>
      </c>
      <c r="BD30" s="1">
        <v>14.6</v>
      </c>
    </row>
    <row r="31">
      <c r="A31" s="1" t="s">
        <v>696</v>
      </c>
      <c r="B31" s="1" t="str">
        <f>IFERROR(__xludf.DUMMYFUNCTION("GOOGLETRANSLATE(A:A,""en"", ""te"")"),"స్టీఫెన్స్ అక్రో")</f>
        <v>స్టీఫెన్స్ అక్రో</v>
      </c>
      <c r="C31" s="1" t="s">
        <v>697</v>
      </c>
      <c r="D31" s="1" t="str">
        <f>IFERROR(__xludf.DUMMYFUNCTION("GOOGLETRANSLATE(C:C,""en"", ""te"")"),"స్టీఫెన్స్ అక్రో అనేది ఏరోబాటిక్ పోటీల కోసం యునైటెడ్ స్టేట్స్లో రూపొందించిన ఒకే ఇంజిన్ మోనోప్లేన్. ఇది మొట్టమొదట 1967 లో ప్రయాణించింది మరియు చాలా విజయవంతమైంది, వీటిలో అనేక పరిణామాలకు దారితీసింది, వీటిలో ఒకటి ఏడు యుఎస్ ఛాంపియన్‌షిప్‌లు మరియు 1975 మరియు 198"&amp;"2 మధ్య ఒక ప్రపంచ ఛాంపియన్‌షిప్‌ను గెలుచుకుంది. అదనపు EA-230 మరియు అదనపు EA-300 కూడా రెండు వందలకు పైగా నిర్మించాయి. ఏరోబాటిక్ పోటీలలో పోటీ చేసిన పైలట్ల కోసం అక్రోను హోమ్‌బిల్ట్ విమానంగా రూపొందించారు. ఇటువంటి సంఘటనల కోసం యుక్తి యొక్క అరేస్టి కేటలాగ్ చేత మార"&amp;"్గనిర్దేశం చేసిన మొదటి యు.ఎస్. విమాన రూపకల్పన ఇది. నిర్మాణం అధిక ఒత్తిడిని గ్రహిస్తుంది, +12/-11 గ్రా. అక్రో ఒక చెక్కతో కూడిన కాంటిలివర్ మిడ్ వింగ్ మోనోప్లేన్, రెండు స్పార్ మహోగని స్కిన్డ్ వింగ్ ఒక ముక్కలో నిర్మించబడింది, దాని ఫార్వర్డ్ స్పార్ ఫ్యూజ్‌లేజ్"&amp;" ద్వారా పగలనిది మరియు వెనుక స్పార్ రెండు భాగాలుగా ఉంటుంది. సాదా, స్థిరంగా సమతుల్య ఐలెరాన్లు స్ప్రూస్ పక్కటెముకలు మరియు వెనుకంజలో ఉన్న అంచులతో ఉక్కు స్పార్స్‌ను కలిగి ఉంటాయి; అవి ఫాబ్రిక్ కప్పబడి ఉంటాయి మరియు గ్రౌండ్ సర్దుబాటు చేయగల ట్రిమ్ ట్యాబ్‌లను కలిగి"&amp;" ఉంటాయి. తోక యూనిట్ ఒక ఫాబ్రిక్ కప్పబడిన స్టీల్ ట్యూబ్ స్ట్రక్చర్, వైర్ బ్రాస్డ్ మరియు తుడిచిపెట్టిన, నేరుగా దెబ్బతిన్న ఉపరితలాలు. ఐలెరాన్‌ల మాదిరిగానే, అన్ని వెనుక నియంత్రణ ఉపరితలాలు స్థిరంగా సమతుల్యంగా ఉంటాయి. చుక్కాని గ్రౌండ్ సర్దుబాటు చేయగల ట్రిమ్ టాబ"&amp;"్ ఉంది. టెయిల్‌ప్లేన్ ఫ్యూజ్‌లేజ్ పైభాగంలో అమర్చబడి ఉంటుంది, వేరియబుల్ సంభవం మరియు ఎలివేటర్‌లో ఫ్లైట్ కంట్రోలబుల్ ట్రిమ్ టాబ్ ఉన్నాయి. [2] అక్రోలో 180 హెచ్‌పి (134 కిలోవాట్ల) అవ్కో లైమింగ్ AIO-360-A1A ఎయిర్-కూల్డ్ ఫ్లాట్-ఫోర్ ఇంజిన్ ముక్కులో ఉంది, రెండు బ"&amp;"్లేడ్ మెటల్ ఫిక్స్‌డ్ పిచ్ ప్రొపెల్లర్‌ను నడుపుతుంది. దీని ఇంధనం సింగిల్ సీట్ కాక్‌పిట్ మరియు ఇంజిన్ మధ్య ఫ్యూజ్‌లేజ్ ట్యాంక్‌లో నిల్వ చేయబడుతుంది. కాక్‌పిట్ స్థిర స్క్రీన్ మరియు వెనుక స్లైడింగ్ బబుల్ పందిరిని కలిగి ఉంది. అదనంగా, ఫార్వర్డ్ కాక్‌పిట్ అంతస్"&amp;"తులో పెద్ద విండో ఉంది. స్థిరమైన, సాంప్రదాయిక అండర్ క్యారేజ్ ఉంది, కాంటిలివర్ మొలకెత్తిన ఉక్కు కాళ్ళపై గ్లాస్ ఫైబర్ ఫెయిరింగ్స్ కింద మెయిన్‌వీల్స్ ఉన్నాయి. హైడ్రాలిక్ డిస్క్ బ్రేక్‌లు అమర్చబడి ఉంటాయి. టెయిల్‌వీల్ స్టీరబుల్. [2] రెండు వేర్వేరు నమూనాలు మొదటి"&amp;" రెండు కస్టమర్ల కోసం ప్రత్యేకంగా రూపొందించబడ్డాయి. జూలై 1966 లో ప్రారంభమైన మోడల్ ఎ డిజైన్, 1966 యు.ఎస్ మారని వ్యవధి, కొంచెం భారీ (8%) మరియు రెక్కల క్రింద ఉన్న ఫ్యూజ్‌లేజ్ వైపులా కిటికీలతో. B కూడా 16% తక్కువ ఇంధనాన్ని కలిగి ఉంది, కానీ సరళత వ్యవస్థను సుదీర్"&amp;"ఘ విలోమ విమానానికి అనుగుణంగా మార్చారు. ఇది మొదట 9 జూలై 1969 న ప్రయాణించింది. [2] అక్రో మరియు దాని పరిణామాలు అత్యంత విజయవంతమైన ఏరోబాటిక్ పోటీ విమానాలలో ఒకటి. Ama త్సాహిక బిల్డర్లు మోడల్ A లేదా B వేరియంట్ల ప్రణాళికల నుండి ప్రారంభించారు. 180 హెచ్‌పి లైమింగ్ "&amp;"అత్యంత ప్రాచుర్యం పొందిన ఇంజిన్‌గా మిగిలిపోయింది, కాని 230 హెచ్‌పి మోటార్లు ఉన్న అక్రోస్ ఉత్పత్తి చేయబడింది. అదనపు EA-230 మరియు అదనపు EA-300 సింగిల్ సీట్ ఏరోబాటిక్ యంత్రాలు వంటి అనేక అక్రో పరిణామాలలో హైగ్ సూపర్ స్టార్ ఒకటి. లియో లౌడెన్స్లేగర్ యొక్క అక్రో "&amp;"లేజర్ 200 200 హెచ్‌పి (150 కిలోవాట్ల) లైమింగ్ IO-360 ఇంజిన్‌తో విజయవంతమైన అభివృద్ధి; ప్రారంభంలో ఇంజిన్ కాకుండా ఒక ప్రామాణిక అక్రో, తరువాత ఇది వేరే వింగ్ ఎయిర్‌ఫాయిల్, తేలికపాటి ఫ్యూజ్‌లేజ్ మరియు సవరించిన, దాని వెనుక ఉన్న డెక్కింగ్‌తో పందిరిని తగ్గించింది."&amp;" ఈ విమానాన్ని ఎగురుతూ అతను 1975 మరియు 1982 మధ్య యు.ఎస్. స్టీఫెన్స్ విమానం రెండు మోడళ్ల కోసం ప్రణాళికలను జారీ చేసింది: [2] te త్సాహిక సంప్రదాయంలో, బిల్డర్లు పెద్ద ఇంజన్లు వంటి వారి స్వంత వైవిధ్యాలను ప్రవేశపెట్టారు. స్టాండ్ అవుట్ వేరియంట్లు/పరిణామాలు: [1] జ"&amp;"ేన్ యొక్క అన్ని ప్రపంచ విమానాల నుండి డేటా 1981-82 [2] సాధారణ లక్షణాల పనితీరు")</f>
        <v>స్టీఫెన్స్ అక్రో అనేది ఏరోబాటిక్ పోటీల కోసం యునైటెడ్ స్టేట్స్లో రూపొందించిన ఒకే ఇంజిన్ మోనోప్లేన్. ఇది మొట్టమొదట 1967 లో ప్రయాణించింది మరియు చాలా విజయవంతమైంది, వీటిలో అనేక పరిణామాలకు దారితీసింది, వీటిలో ఒకటి ఏడు యుఎస్ ఛాంపియన్‌షిప్‌లు మరియు 1975 మరియు 1982 మధ్య ఒక ప్రపంచ ఛాంపియన్‌షిప్‌ను గెలుచుకుంది. అదనపు EA-230 మరియు అదనపు EA-300 కూడా రెండు వందలకు పైగా నిర్మించాయి. ఏరోబాటిక్ పోటీలలో పోటీ చేసిన పైలట్ల కోసం అక్రోను హోమ్‌బిల్ట్ విమానంగా రూపొందించారు. ఇటువంటి సంఘటనల కోసం యుక్తి యొక్క అరేస్టి కేటలాగ్ చేత మార్గనిర్దేశం చేసిన మొదటి యు.ఎస్. విమాన రూపకల్పన ఇది. నిర్మాణం అధిక ఒత్తిడిని గ్రహిస్తుంది, +12/-11 గ్రా. అక్రో ఒక చెక్కతో కూడిన కాంటిలివర్ మిడ్ వింగ్ మోనోప్లేన్, రెండు స్పార్ మహోగని స్కిన్డ్ వింగ్ ఒక ముక్కలో నిర్మించబడింది, దాని ఫార్వర్డ్ స్పార్ ఫ్యూజ్‌లేజ్ ద్వారా పగలనిది మరియు వెనుక స్పార్ రెండు భాగాలుగా ఉంటుంది. సాదా, స్థిరంగా సమతుల్య ఐలెరాన్లు స్ప్రూస్ పక్కటెముకలు మరియు వెనుకంజలో ఉన్న అంచులతో ఉక్కు స్పార్స్‌ను కలిగి ఉంటాయి; అవి ఫాబ్రిక్ కప్పబడి ఉంటాయి మరియు గ్రౌండ్ సర్దుబాటు చేయగల ట్రిమ్ ట్యాబ్‌లను కలిగి ఉంటాయి. తోక యూనిట్ ఒక ఫాబ్రిక్ కప్పబడిన స్టీల్ ట్యూబ్ స్ట్రక్చర్, వైర్ బ్రాస్డ్ మరియు తుడిచిపెట్టిన, నేరుగా దెబ్బతిన్న ఉపరితలాలు. ఐలెరాన్‌ల మాదిరిగానే, అన్ని వెనుక నియంత్రణ ఉపరితలాలు స్థిరంగా సమతుల్యంగా ఉంటాయి. చుక్కాని గ్రౌండ్ సర్దుబాటు చేయగల ట్రిమ్ టాబ్ ఉంది. టెయిల్‌ప్లేన్ ఫ్యూజ్‌లేజ్ పైభాగంలో అమర్చబడి ఉంటుంది, వేరియబుల్ సంభవం మరియు ఎలివేటర్‌లో ఫ్లైట్ కంట్రోలబుల్ ట్రిమ్ టాబ్ ఉన్నాయి. [2] అక్రోలో 180 హెచ్‌పి (134 కిలోవాట్ల) అవ్కో లైమింగ్ AIO-360-A1A ఎయిర్-కూల్డ్ ఫ్లాట్-ఫోర్ ఇంజిన్ ముక్కులో ఉంది, రెండు బ్లేడ్ మెటల్ ఫిక్స్‌డ్ పిచ్ ప్రొపెల్లర్‌ను నడుపుతుంది. దీని ఇంధనం సింగిల్ సీట్ కాక్‌పిట్ మరియు ఇంజిన్ మధ్య ఫ్యూజ్‌లేజ్ ట్యాంక్‌లో నిల్వ చేయబడుతుంది. కాక్‌పిట్ స్థిర స్క్రీన్ మరియు వెనుక స్లైడింగ్ బబుల్ పందిరిని కలిగి ఉంది. అదనంగా, ఫార్వర్డ్ కాక్‌పిట్ అంతస్తులో పెద్ద విండో ఉంది. స్థిరమైన, సాంప్రదాయిక అండర్ క్యారేజ్ ఉంది, కాంటిలివర్ మొలకెత్తిన ఉక్కు కాళ్ళపై గ్లాస్ ఫైబర్ ఫెయిరింగ్స్ కింద మెయిన్‌వీల్స్ ఉన్నాయి. హైడ్రాలిక్ డిస్క్ బ్రేక్‌లు అమర్చబడి ఉంటాయి. టెయిల్‌వీల్ స్టీరబుల్. [2] రెండు వేర్వేరు నమూనాలు మొదటి రెండు కస్టమర్ల కోసం ప్రత్యేకంగా రూపొందించబడ్డాయి. జూలై 1966 లో ప్రారంభమైన మోడల్ ఎ డిజైన్, 1966 యు.ఎస్ మారని వ్యవధి, కొంచెం భారీ (8%) మరియు రెక్కల క్రింద ఉన్న ఫ్యూజ్‌లేజ్ వైపులా కిటికీలతో. B కూడా 16% తక్కువ ఇంధనాన్ని కలిగి ఉంది, కానీ సరళత వ్యవస్థను సుదీర్ఘ విలోమ విమానానికి అనుగుణంగా మార్చారు. ఇది మొదట 9 జూలై 1969 న ప్రయాణించింది. [2] అక్రో మరియు దాని పరిణామాలు అత్యంత విజయవంతమైన ఏరోబాటిక్ పోటీ విమానాలలో ఒకటి. Ama త్సాహిక బిల్డర్లు మోడల్ A లేదా B వేరియంట్ల ప్రణాళికల నుండి ప్రారంభించారు. 180 హెచ్‌పి లైమింగ్ అత్యంత ప్రాచుర్యం పొందిన ఇంజిన్‌గా మిగిలిపోయింది, కాని 230 హెచ్‌పి మోటార్లు ఉన్న అక్రోస్ ఉత్పత్తి చేయబడింది. అదనపు EA-230 మరియు అదనపు EA-300 సింగిల్ సీట్ ఏరోబాటిక్ యంత్రాలు వంటి అనేక అక్రో పరిణామాలలో హైగ్ సూపర్ స్టార్ ఒకటి. లియో లౌడెన్స్లేగర్ యొక్క అక్రో లేజర్ 200 200 హెచ్‌పి (150 కిలోవాట్ల) లైమింగ్ IO-360 ఇంజిన్‌తో విజయవంతమైన అభివృద్ధి; ప్రారంభంలో ఇంజిన్ కాకుండా ఒక ప్రామాణిక అక్రో, తరువాత ఇది వేరే వింగ్ ఎయిర్‌ఫాయిల్, తేలికపాటి ఫ్యూజ్‌లేజ్ మరియు సవరించిన, దాని వెనుక ఉన్న డెక్కింగ్‌తో పందిరిని తగ్గించింది. ఈ విమానాన్ని ఎగురుతూ అతను 1975 మరియు 1982 మధ్య యు.ఎస్. స్టీఫెన్స్ విమానం రెండు మోడళ్ల కోసం ప్రణాళికలను జారీ చేసింది: [2] te త్సాహిక సంప్రదాయంలో, బిల్డర్లు పెద్ద ఇంజన్లు వంటి వారి స్వంత వైవిధ్యాలను ప్రవేశపెట్టారు. స్టాండ్ అవుట్ వేరియంట్లు/పరిణామాలు: [1] జేన్ యొక్క అన్ని ప్రపంచ విమానాల నుండి డేటా 1981-82 [2] సాధారణ లక్షణాల పనితీరు</v>
      </c>
      <c r="F31" s="1" t="s">
        <v>698</v>
      </c>
      <c r="G31" s="1" t="str">
        <f>IFERROR(__xludf.DUMMYFUNCTION("GOOGLETRANSLATE(F:F,""en"", ""te"")"),"ఏరోబాటిక్ విమానం")</f>
        <v>ఏరోబాటిక్ విమానం</v>
      </c>
      <c r="H31" s="1" t="s">
        <v>699</v>
      </c>
      <c r="I31" s="1" t="s">
        <v>158</v>
      </c>
      <c r="J31" s="1" t="str">
        <f>IFERROR(__xludf.DUMMYFUNCTION("GOOGLETRANSLATE(I:I,""en"", ""te"")"),"అమెరికా")</f>
        <v>అమెరికా</v>
      </c>
      <c r="K31" s="1" t="s">
        <v>159</v>
      </c>
      <c r="L31" s="1" t="s">
        <v>700</v>
      </c>
      <c r="M31" s="1" t="str">
        <f>IFERROR(__xludf.DUMMYFUNCTION("GOOGLETRANSLATE(L:L,""en"", ""te"")"),"స్టీఫెన్స్ విమానం")</f>
        <v>స్టీఫెన్స్ విమానం</v>
      </c>
      <c r="S31" s="1" t="s">
        <v>685</v>
      </c>
      <c r="U31" s="1" t="s">
        <v>701</v>
      </c>
      <c r="V31" s="1" t="s">
        <v>702</v>
      </c>
      <c r="W31" s="1" t="s">
        <v>703</v>
      </c>
      <c r="X31" s="1" t="s">
        <v>704</v>
      </c>
      <c r="Z31" s="1" t="s">
        <v>705</v>
      </c>
      <c r="AA31" s="1" t="s">
        <v>706</v>
      </c>
      <c r="AB31" s="1" t="s">
        <v>707</v>
      </c>
      <c r="AD31" s="1" t="s">
        <v>708</v>
      </c>
      <c r="AE31" s="1" t="s">
        <v>709</v>
      </c>
      <c r="AG31" s="1" t="s">
        <v>710</v>
      </c>
      <c r="AH31" s="1" t="s">
        <v>711</v>
      </c>
      <c r="AI31" s="1" t="s">
        <v>466</v>
      </c>
      <c r="AJ31" s="1" t="s">
        <v>712</v>
      </c>
      <c r="AK31" s="1" t="s">
        <v>713</v>
      </c>
      <c r="AL31" s="1" t="s">
        <v>714</v>
      </c>
      <c r="AM31" s="1" t="s">
        <v>715</v>
      </c>
      <c r="AO31" s="4">
        <v>24680.0</v>
      </c>
      <c r="AQ31" s="1" t="s">
        <v>716</v>
      </c>
      <c r="AT31" s="1" t="s">
        <v>717</v>
      </c>
      <c r="AW31" s="1" t="s">
        <v>718</v>
      </c>
      <c r="BE31" s="1" t="s">
        <v>719</v>
      </c>
      <c r="BI31" s="1" t="s">
        <v>720</v>
      </c>
      <c r="BJ31" s="1" t="s">
        <v>721</v>
      </c>
      <c r="BK31" s="1" t="s">
        <v>722</v>
      </c>
      <c r="BL31" s="1" t="s">
        <v>723</v>
      </c>
    </row>
    <row r="32">
      <c r="A32" s="1" t="s">
        <v>724</v>
      </c>
      <c r="B32" s="1" t="str">
        <f>IFERROR(__xludf.DUMMYFUNCTION("GOOGLETRANSLATE(A:A,""en"", ""te"")"),"స్టీవెన్స్ సు -1")</f>
        <v>స్టీవెన్స్ సు -1</v>
      </c>
      <c r="C32" s="1" t="s">
        <v>725</v>
      </c>
      <c r="D32" s="1" t="str">
        <f>IFERROR(__xludf.DUMMYFUNCTION("GOOGLETRANSLATE(C:C,""en"", ""te"")"),"స్టీవెన్స్ సు -1 అనేది ఒక అమెరికన్ సింగిల్ సీటు, హై-వింగ్, స్ట్రట్-బ్రేస్డ్, గ్లైడర్, దీనిని 1933 లో న్యూజెర్సీలోని హోబోకెన్‌లోని స్టీవెన్స్ ఇన్స్టిట్యూట్ ఆఫ్ టెక్నాలజీలో విద్యార్థులు రూపొందించారు. [1] SU-1 ను ఫ్రాంక్లిన్ పిఎస్ -2 యొక్క పనితీరును మెరుగుపర"&amp;"ిచే ప్రయత్నంగా అభివృద్ధి చేయబడింది, దాని కోసం కొత్త రెక్కలను విద్యార్థి ప్రాజెక్టుగా రూపొందించడం ద్వారా. PS-2 యొక్క స్ట్రెయిట్ 36 అడుగుల (11.0 మీ) రెక్కలను 46 అడుగుల (14.0 మీ) గల్-రెక్కలతో భర్తీ చేశారు. అసలు రెక్కల మాదిరిగానే, కొత్త రెక్కలు రెండు స్పార్‌ల"&amp;"ను కలిగి ఉన్నాయి, కానీ సమాంతర స్ట్రట్‌లకు బదులుగా, కొత్త రెక్కలు ఒకే ఫ్యూజ్‌లేజ్ అటాచ్మెంట్ పాయింట్ వద్ద ముగిసే V- స్ట్రట్‌లను ఉపయోగిస్తాయి. జ్యూరీ స్ట్రట్స్ కూడా ఉపయోగించబడతాయి. అసలు రెక్కల మాదిరిగా, కొత్త రెక్కలు ఒక చెక్క నిర్మాణం, ఇది డోప్డ్ ఎయిర్క్రాఫ"&amp;"్ట్ ఫాబ్రిక్ కవరింగ్‌లో కప్పబడి ఉంటుంది. SU-1 PS-2 యొక్క అసలు స్టీల్ ట్యూబ్ ఫ్యూజ్‌లేజ్‌ను కలిగి ఉంది. ల్యాండింగ్ గేర్ స్థిర మోనోహీల్ రకం. [1] స్టీవెన్స్ ఇన్స్టిట్యూట్ విద్యార్థులు విజయవంతమయ్యారని మరియు SU-1 గ్లైడ్ నిష్పత్తిని 17: 1 గా కలిగి ఉందని పరీక్షల"&amp;"ో తేలింది, పిఎస్ -2 కంటే రెండు పాయింట్లు మెరుగ్గా ఉన్నాయి. ఇది పిఎస్ -2 యొక్క 150 కి వ్యతిరేకంగా నిమిషానికి 180 అడుగుల కొంచెం ఎక్కువ సింక్ రేటును కలిగి ఉంది. స్థూల బరువును 400 ఎల్బి (181 కిలోలు) నుండి 550 ఎల్బి (249 కిలోలు) కు పెంచారు. [1] సుమారు నాలుగు S"&amp;"U-1 లు ఉత్పత్తి చేయబడ్డాయి. [1] 1983 లో పెరుగుతున్న మ్యాగజైన్ రెండు SU-1 లు ఇప్పటికీ ఉనికిలో ఉన్నాయని నివేదించింది, ఒకటి సేవ చేయదగిన స్థితిలో ఉంది మరియు మరమ్మత్తు అవసరం. [1] ఏప్రిల్ 2011 లో ఒకటి ఫెడరల్ ఏవియేషన్ అడ్మినిస్ట్రేషన్ రిజిస్టర్‌లో ఉంది. [2] [1] "&amp;"సాధారణ లక్షణాల పనితీరు నుండి డేటా")</f>
        <v>స్టీవెన్స్ సు -1 అనేది ఒక అమెరికన్ సింగిల్ సీటు, హై-వింగ్, స్ట్రట్-బ్రేస్డ్, గ్లైడర్, దీనిని 1933 లో న్యూజెర్సీలోని హోబోకెన్‌లోని స్టీవెన్స్ ఇన్స్టిట్యూట్ ఆఫ్ టెక్నాలజీలో విద్యార్థులు రూపొందించారు. [1] SU-1 ను ఫ్రాంక్లిన్ పిఎస్ -2 యొక్క పనితీరును మెరుగుపరిచే ప్రయత్నంగా అభివృద్ధి చేయబడింది, దాని కోసం కొత్త రెక్కలను విద్యార్థి ప్రాజెక్టుగా రూపొందించడం ద్వారా. PS-2 యొక్క స్ట్రెయిట్ 36 అడుగుల (11.0 మీ) రెక్కలను 46 అడుగుల (14.0 మీ) గల్-రెక్కలతో భర్తీ చేశారు. అసలు రెక్కల మాదిరిగానే, కొత్త రెక్కలు రెండు స్పార్‌లను కలిగి ఉన్నాయి, కానీ సమాంతర స్ట్రట్‌లకు బదులుగా, కొత్త రెక్కలు ఒకే ఫ్యూజ్‌లేజ్ అటాచ్మెంట్ పాయింట్ వద్ద ముగిసే V- స్ట్రట్‌లను ఉపయోగిస్తాయి. జ్యూరీ స్ట్రట్స్ కూడా ఉపయోగించబడతాయి. అసలు రెక్కల మాదిరిగా, కొత్త రెక్కలు ఒక చెక్క నిర్మాణం, ఇది డోప్డ్ ఎయిర్క్రాఫ్ట్ ఫాబ్రిక్ కవరింగ్‌లో కప్పబడి ఉంటుంది. SU-1 PS-2 యొక్క అసలు స్టీల్ ట్యూబ్ ఫ్యూజ్‌లేజ్‌ను కలిగి ఉంది. ల్యాండింగ్ గేర్ స్థిర మోనోహీల్ రకం. [1] స్టీవెన్స్ ఇన్స్టిట్యూట్ విద్యార్థులు విజయవంతమయ్యారని మరియు SU-1 గ్లైడ్ నిష్పత్తిని 17: 1 గా కలిగి ఉందని పరీక్షలో తేలింది, పిఎస్ -2 కంటే రెండు పాయింట్లు మెరుగ్గా ఉన్నాయి. ఇది పిఎస్ -2 యొక్క 150 కి వ్యతిరేకంగా నిమిషానికి 180 అడుగుల కొంచెం ఎక్కువ సింక్ రేటును కలిగి ఉంది. స్థూల బరువును 400 ఎల్బి (181 కిలోలు) నుండి 550 ఎల్బి (249 కిలోలు) కు పెంచారు. [1] సుమారు నాలుగు SU-1 లు ఉత్పత్తి చేయబడ్డాయి. [1] 1983 లో పెరుగుతున్న మ్యాగజైన్ రెండు SU-1 లు ఇప్పటికీ ఉనికిలో ఉన్నాయని నివేదించింది, ఒకటి సేవ చేయదగిన స్థితిలో ఉంది మరియు మరమ్మత్తు అవసరం. [1] ఏప్రిల్ 2011 లో ఒకటి ఫెడరల్ ఏవియేషన్ అడ్మినిస్ట్రేషన్ రిజిస్టర్‌లో ఉంది. [2] [1] సాధారణ లక్షణాల పనితీరు నుండి డేటా</v>
      </c>
      <c r="F32" s="1" t="s">
        <v>681</v>
      </c>
      <c r="G32" s="1" t="str">
        <f>IFERROR(__xludf.DUMMYFUNCTION("GOOGLETRANSLATE(F:F,""en"", ""te"")"),"గ్లైడర్")</f>
        <v>గ్లైడర్</v>
      </c>
      <c r="H32" s="2" t="s">
        <v>682</v>
      </c>
      <c r="I32" s="1" t="s">
        <v>158</v>
      </c>
      <c r="J32" s="1" t="str">
        <f>IFERROR(__xludf.DUMMYFUNCTION("GOOGLETRANSLATE(I:I,""en"", ""te"")"),"అమెరికా")</f>
        <v>అమెరికా</v>
      </c>
      <c r="K32" s="1" t="s">
        <v>159</v>
      </c>
      <c r="L32" s="1" t="s">
        <v>726</v>
      </c>
      <c r="M32" s="1" t="str">
        <f>IFERROR(__xludf.DUMMYFUNCTION("GOOGLETRANSLATE(L:L,""en"", ""te"")"),"స్టీవెన్స్ ఇన్స్టిట్యూట్ ఆఫ్ టెక్నాలజీ")</f>
        <v>స్టీవెన్స్ ఇన్స్టిట్యూట్ ఆఫ్ టెక్నాలజీ</v>
      </c>
      <c r="N32" s="1" t="s">
        <v>727</v>
      </c>
      <c r="O32" s="1">
        <v>1933.0</v>
      </c>
      <c r="P32" s="1" t="s">
        <v>728</v>
      </c>
      <c r="Q32" s="1"/>
      <c r="R32" s="1" t="s">
        <v>729</v>
      </c>
      <c r="S32" s="1" t="s">
        <v>164</v>
      </c>
      <c r="W32" s="1" t="s">
        <v>730</v>
      </c>
      <c r="X32" s="1" t="s">
        <v>731</v>
      </c>
      <c r="Y32" s="1" t="s">
        <v>688</v>
      </c>
      <c r="AC32" s="1">
        <v>17.0</v>
      </c>
      <c r="AF32" s="1" t="s">
        <v>732</v>
      </c>
      <c r="AH32" s="1" t="s">
        <v>339</v>
      </c>
      <c r="AO32" s="1">
        <v>1933.0</v>
      </c>
      <c r="AU32" s="1" t="s">
        <v>733</v>
      </c>
      <c r="AV32" s="1" t="s">
        <v>734</v>
      </c>
      <c r="BB32" s="1" t="s">
        <v>735</v>
      </c>
      <c r="BD32" s="1">
        <v>11.5</v>
      </c>
    </row>
    <row r="33">
      <c r="A33" s="1" t="s">
        <v>736</v>
      </c>
      <c r="B33" s="1" t="str">
        <f>IFERROR(__xludf.DUMMYFUNCTION("GOOGLETRANSLATE(A:A,""en"", ""te"")"),"స్టీవర్ట్ M-2")</f>
        <v>స్టీవర్ట్ M-2</v>
      </c>
      <c r="C33" s="1" t="s">
        <v>737</v>
      </c>
      <c r="D33" s="1" t="str">
        <f>IFERROR(__xludf.DUMMYFUNCTION("GOOGLETRANSLATE(C:C,""en"", ""te"")"),"స్టీవర్ట్ M-2 ఒక అమెరికన్ ఆల్-మెటల్, ట్విన్-ఇంజిన్, వైమానిక సర్వే విమానం. [1] W.F. స్టీవర్ట్ కంపెనీ చెక్క ఆటో బాడీస్ యొక్క కస్టమ్ బిల్డర్. ఫ్యాక్టరీ నిర్మించిన ఉక్కు శరీరాలు కలప నిర్మాణాన్ని అధిగమించినప్పుడు, కంపెనీ ఏవియేషన్ మార్కెట్లోకి ప్రవేశించింది, ఇద"&amp;"ి ఆల్-వుడ్ మోనోప్లేన్ అయిన స్టీవర్ట్ M-1 తో. కలప నిర్మాణాన్ని సెన్సింగ్ ఆల్-మెటల్ విమానాల ద్వారా అధిగమించబోతోంది, స్టీవర్ట్ M-2 అభివృద్ధి చేయబడింది. [2] M-2 అనేది ఆల్-మెటల్, ట్విన్-ఇంజిన్ విమానం, ఇది సాంప్రదాయిక ల్యాండింగ్ గేర్‌తో, రైట్ J-6 ఇంజిన్‌లతో నడి"&amp;"చేది. 225 HP ప్యాకర్డ్ DR-980 ఇంజన్లు తరువాత వ్యవస్థాపించబడ్డాయి మరియు పరీక్షించబడ్డాయి. తిరిగి వ్యవస్థాపించిన రైట్ జె -6 ఇంజిన్లలో టౌనెండ్ రింగులు ఉపయోగించబడ్డాయి. డిజైనర్ జాక్ హంట్ టెస్ట్ 22 మే 1931 న ప్రోటోటైప్‌ను ఎగరవేసింది. కొత్త విమానాలకు ఆర్డర్లు ర"&amp;"ాలేదు. ఈ విమానం వైమానిక సర్వేల కోసం అబ్రమ్స్ ఏరియల్ సర్వే కార్పొరేషన్ చేత ఉపయోగించబడింది. ఎయిర్ఫ్రేమ్ 1941 లో రద్దు చేయబడింది. [2] స్కైవేల నుండి డేటా [2] సాధారణ లక్షణాల పనితీరు")</f>
        <v>స్టీవర్ట్ M-2 ఒక అమెరికన్ ఆల్-మెటల్, ట్విన్-ఇంజిన్, వైమానిక సర్వే విమానం. [1] W.F. స్టీవర్ట్ కంపెనీ చెక్క ఆటో బాడీస్ యొక్క కస్టమ్ బిల్డర్. ఫ్యాక్టరీ నిర్మించిన ఉక్కు శరీరాలు కలప నిర్మాణాన్ని అధిగమించినప్పుడు, కంపెనీ ఏవియేషన్ మార్కెట్లోకి ప్రవేశించింది, ఇది ఆల్-వుడ్ మోనోప్లేన్ అయిన స్టీవర్ట్ M-1 తో. కలప నిర్మాణాన్ని సెన్సింగ్ ఆల్-మెటల్ విమానాల ద్వారా అధిగమించబోతోంది, స్టీవర్ట్ M-2 అభివృద్ధి చేయబడింది. [2] M-2 అనేది ఆల్-మెటల్, ట్విన్-ఇంజిన్ విమానం, ఇది సాంప్రదాయిక ల్యాండింగ్ గేర్‌తో, రైట్ J-6 ఇంజిన్‌లతో నడిచేది. 225 HP ప్యాకర్డ్ DR-980 ఇంజన్లు తరువాత వ్యవస్థాపించబడ్డాయి మరియు పరీక్షించబడ్డాయి. తిరిగి వ్యవస్థాపించిన రైట్ జె -6 ఇంజిన్లలో టౌనెండ్ రింగులు ఉపయోగించబడ్డాయి. డిజైనర్ జాక్ హంట్ టెస్ట్ 22 మే 1931 న ప్రోటోటైప్‌ను ఎగరవేసింది. కొత్త విమానాలకు ఆర్డర్లు రాలేదు. ఈ విమానం వైమానిక సర్వేల కోసం అబ్రమ్స్ ఏరియల్ సర్వే కార్పొరేషన్ చేత ఉపయోగించబడింది. ఎయిర్ఫ్రేమ్ 1941 లో రద్దు చేయబడింది. [2] స్కైవేల నుండి డేటా [2] సాధారణ లక్షణాల పనితీరు</v>
      </c>
      <c r="F33" s="1" t="s">
        <v>738</v>
      </c>
      <c r="G33" s="1" t="str">
        <f>IFERROR(__xludf.DUMMYFUNCTION("GOOGLETRANSLATE(F:F,""en"", ""te"")"),"లైట్ ట్విన్")</f>
        <v>లైట్ ట్విన్</v>
      </c>
      <c r="I33" s="1" t="s">
        <v>158</v>
      </c>
      <c r="J33" s="1" t="str">
        <f>IFERROR(__xludf.DUMMYFUNCTION("GOOGLETRANSLATE(I:I,""en"", ""te"")"),"అమెరికా")</f>
        <v>అమెరికా</v>
      </c>
      <c r="K33" s="1" t="s">
        <v>159</v>
      </c>
      <c r="L33" s="1" t="s">
        <v>368</v>
      </c>
      <c r="M33" s="1" t="str">
        <f>IFERROR(__xludf.DUMMYFUNCTION("GOOGLETRANSLATE(L:L,""en"", ""te"")"),"W.F. స్టీవర్ట్ కంపెనీ")</f>
        <v>W.F. స్టీవర్ట్ కంపెనీ</v>
      </c>
      <c r="N33" s="1" t="s">
        <v>369</v>
      </c>
      <c r="O33" s="1">
        <v>1930.0</v>
      </c>
      <c r="R33" s="1">
        <v>1.0</v>
      </c>
      <c r="S33" s="1">
        <v>1.0</v>
      </c>
      <c r="T33" s="1">
        <v>4.0</v>
      </c>
      <c r="U33" s="1" t="s">
        <v>739</v>
      </c>
      <c r="AA33" s="1" t="s">
        <v>740</v>
      </c>
      <c r="AB33" s="1" t="s">
        <v>741</v>
      </c>
      <c r="AH33" s="1" t="s">
        <v>742</v>
      </c>
      <c r="AI33" s="1" t="s">
        <v>674</v>
      </c>
      <c r="AM33" s="1" t="s">
        <v>743</v>
      </c>
      <c r="AQ33" s="1" t="s">
        <v>744</v>
      </c>
    </row>
    <row r="34">
      <c r="A34" s="1" t="s">
        <v>543</v>
      </c>
      <c r="B34" s="1" t="str">
        <f>IFERROR(__xludf.DUMMYFUNCTION("GOOGLETRANSLATE(A:A,""en"", ""te"")"),"STOLP స్టార్డస్టర్")</f>
        <v>STOLP స్టార్డస్టర్</v>
      </c>
      <c r="C34" s="1" t="s">
        <v>745</v>
      </c>
      <c r="D34" s="1" t="str">
        <f>IFERROR(__xludf.DUMMYFUNCTION("GOOGLETRANSLATE(C:C,""en"", ""te"")"),"STOLP-ADAMS SA-100 స్టార్డస్టర్ అనేది యు.ఎస్. సింగిల్ సీట్ స్పోర్ట్ బైప్‌లేన్, ఇది ఎయిర్‌క్రాఫ్ట్ స్ప్రూస్ &amp; స్పెషాలిటీ కో సరఫరా చేసిన ప్రణాళికల నుండి నిర్మించటానికి రూపొందించబడింది. మొదటి ఫ్లైట్ 1957 లో ఉన్నప్పటికీ, స్టార్‌డస్టర్‌లు నిర్మించబడ్డాయి మరియు"&amp;" ఎగిరిపోతున్నాయి. [1] SA-100 స్టార్డస్టర్‌ను లూయిస్ ఎ. స్టోల్ప్ మరియు జార్జ్ ఎం. ఆడమ్స్ ప్రణాళికల నుండి హోమ్‌బిల్డింగ్ కోసం తేలికపాటి క్రీడా విమానంగా రూపొందించారు. ఇది ఫాబ్రిక్ కప్పబడిన, చెక్క ఫ్రేమ్డ్ అస్థిర రెక్కలతో కూడిన సింగిల్ బే బైప్‌లేన్, ప్రతి జత "&amp;"ఒకే, విస్తృత తీగ ఇంటర్‌ప్లేన్ స్ట్రట్‌తో కలుపుతారు. మొత్తం ఎనిమిది సెంటర్ సెక్షన్ స్ట్రట్స్ పై వింగ్‌లో ఫ్యూజ్‌లేజ్‌కు చేరి, ప్రాథమికంగా ఎన్-ఫారమ్‌లో రెండు జతలు, కానీ ఫార్వర్డ్ స్ట్రట్ రెట్టింపు అయ్యింది. దిగువ వింగ్ అన్‌వెప్ట్ మరియు 1.5 ° డైహెడ్రల్ కలిగి"&amp;" ఉంటుంది; ఎగువ వింగ్ దాని ప్రముఖ అంచున 6 ° స్వీప్ కలిగి ఉంది, డైహెడ్రల్ మరియు ఎక్కువ వ్యవధి లేదు. దిగువ రెక్కలపై మాత్రమే ఐలెరాన్‌లు ఉన్నాయి, కానీ ఫ్లాప్‌లు లేవు. [2] ఫ్యూజ్‌లేజ్ మరియు టెయిల్ యూనిట్ ఒక ఫాబ్రిక్ కప్పబడిన స్టీల్ ట్యూబ్ నిర్మాణాన్ని కలిగి ఉంద"&amp;"ి, ఓపెన్ కాక్‌పిట్ స్వీప్ ఎగువ వింగ్ వెనుకంజలో ఉన్న అంచు వెనుక ఉంచబడింది, ఇది పైకి దృశ్యమానత కోసం గుండ్రని కటౌట్ కలిగి ఉంటుంది. కాక్‌పిట్ వెనుక, వంగిన ఎగువ ఫ్యూజ్‌లేజ్ ఉపరితలం పైన పొడవైన మరియు ప్రముఖ ఫెయిర్‌డ్ హెడ్‌రెస్ట్ ఉంది. స్టార్డస్టర్ సాంప్రదాయిక తో"&amp;"క యూనిట్‌ను కలిగి ఉంది, వైర్ బ్రేస్డ్ టెయిల్‌ప్లేన్ మరియు స్ట్రెయిట్ టేపర్డ్, రౌండ్ టాప్డ్ ఫిన్ మరియు చుక్కాని, రెండోది స్ప్లిట్ ఎలివేటర్ల మధ్య కీల్‌కు విస్తరించింది. చుక్కాని మరియు ఎలివేటర్లు రెండూ కొమ్ము సమతుల్యతతో ఉంటాయి. [2] స్టార్డస్టర్ సిఫార్సు చేసి"&amp;"న విద్యుత్ పరిధిని 125 నుండి 160 హెచ్‌పి (93 నుండి 119 కిలోవాట్) కలిగి ఉంటుంది మరియు ఇది సాధారణంగా నాలుగు సిలిండర్, అడ్డంగా వ్యతిరేకించిన, 125 హెచ్‌పి (93 కిలోవాట్) లైమింగ్ ఓ -290-డి -1, [2] చేత శక్తినిస్తుంది 200 హెచ్‌పి (150 కిలోవాట్) వరకు మరింత శక్తివం"&amp;"తమైన ఇంజన్లు అమర్చబడ్డాయి. [3] దీనికి సాంప్రదాయ టెయిల్‌వీల్ అండర్ క్యారేజ్ ఉంది. మెయిన్‌వీల్స్ దిగువ ఫ్యూజ్‌లేజ్ లాంగన్ నుండి అతుక్కొని ఉన్న V- స్ట్రట్‌లపై అమర్చబడి ఉంటాయి, వీల్ మరియు సెంట్రల్, ఫ్యూజ్‌లేజ్ వి-ఫార్మ్ మౌంటు బ్రాకెట్ కింద వీల్ మరియు సెంట్రల్"&amp;" మధ్య వికర్ణ పొడిగింపు స్ట్రట్‌లపై రబ్బరు షాక్ అబ్జార్బర్‌లు ఉన్నాయి. ప్రధాన కాళ్ళు తరచుగా పాక్షికంగా లేదా పూర్తిగా ఫెయిర్‌గా ఉంటాయి మరియు చక్రాలు స్పాట్స్‌లో జతచేయబడతాయి. [1] [2] మొదటి ఫ్లైట్ మరియు హోమ్‌బిల్డింగ్ భవనం కొనసాగిన 50 సంవత్సరాల తరువాత స్టార్డ"&amp;"స్టర్ ప్రణాళికలు అందుబాటులో ఉన్నాయి. [4] స్టార్డస్టర్ రిజిస్టర్ [5] ప్రస్తుతం 27 SA-100 స్టార్డస్టర్లు మరియు 3 SA-101 సూపర్ స్టార్‌డస్టర్‌లను నిర్మించి, భవనం చూపిస్తుంది. FAA రిజిస్టర్ 64 SA-100 లు మరియు 1 SA-101 ను చూపిస్తుంది, అయినప్పటికీ అన్నీ కేటాయించ"&amp;"బడలేదు మరియు మరికొన్ని స్టార్డస్టర్లు రకం సంఖ్య లేకుండా కనిపిస్తాయి. [6] జేన్ యొక్క అన్ని ప్రపంచ విమానాల నుండి డేటా 1966/7, పే.")</f>
        <v>STOLP-ADAMS SA-100 స్టార్డస్టర్ అనేది యు.ఎస్. సింగిల్ సీట్ స్పోర్ట్ బైప్‌లేన్, ఇది ఎయిర్‌క్రాఫ్ట్ స్ప్రూస్ &amp; స్పెషాలిటీ కో సరఫరా చేసిన ప్రణాళికల నుండి నిర్మించటానికి రూపొందించబడింది. మొదటి ఫ్లైట్ 1957 లో ఉన్నప్పటికీ, స్టార్‌డస్టర్‌లు నిర్మించబడ్డాయి మరియు ఎగిరిపోతున్నాయి. [1] SA-100 స్టార్డస్టర్‌ను లూయిస్ ఎ. స్టోల్ప్ మరియు జార్జ్ ఎం. ఆడమ్స్ ప్రణాళికల నుండి హోమ్‌బిల్డింగ్ కోసం తేలికపాటి క్రీడా విమానంగా రూపొందించారు. ఇది ఫాబ్రిక్ కప్పబడిన, చెక్క ఫ్రేమ్డ్ అస్థిర రెక్కలతో కూడిన సింగిల్ బే బైప్‌లేన్, ప్రతి జత ఒకే, విస్తృత తీగ ఇంటర్‌ప్లేన్ స్ట్రట్‌తో కలుపుతారు. మొత్తం ఎనిమిది సెంటర్ సెక్షన్ స్ట్రట్స్ పై వింగ్‌లో ఫ్యూజ్‌లేజ్‌కు చేరి, ప్రాథమికంగా ఎన్-ఫారమ్‌లో రెండు జతలు, కానీ ఫార్వర్డ్ స్ట్రట్ రెట్టింపు అయ్యింది. దిగువ వింగ్ అన్‌వెప్ట్ మరియు 1.5 ° డైహెడ్రల్ కలిగి ఉంటుంది; ఎగువ వింగ్ దాని ప్రముఖ అంచున 6 ° స్వీప్ కలిగి ఉంది, డైహెడ్రల్ మరియు ఎక్కువ వ్యవధి లేదు. దిగువ రెక్కలపై మాత్రమే ఐలెరాన్‌లు ఉన్నాయి, కానీ ఫ్లాప్‌లు లేవు. [2] ఫ్యూజ్‌లేజ్ మరియు టెయిల్ యూనిట్ ఒక ఫాబ్రిక్ కప్పబడిన స్టీల్ ట్యూబ్ నిర్మాణాన్ని కలిగి ఉంది, ఓపెన్ కాక్‌పిట్ స్వీప్ ఎగువ వింగ్ వెనుకంజలో ఉన్న అంచు వెనుక ఉంచబడింది, ఇది పైకి దృశ్యమానత కోసం గుండ్రని కటౌట్ కలిగి ఉంటుంది. కాక్‌పిట్ వెనుక, వంగిన ఎగువ ఫ్యూజ్‌లేజ్ ఉపరితలం పైన పొడవైన మరియు ప్రముఖ ఫెయిర్‌డ్ హెడ్‌రెస్ట్ ఉంది. స్టార్డస్టర్ సాంప్రదాయిక తోక యూనిట్‌ను కలిగి ఉంది, వైర్ బ్రేస్డ్ టెయిల్‌ప్లేన్ మరియు స్ట్రెయిట్ టేపర్డ్, రౌండ్ టాప్డ్ ఫిన్ మరియు చుక్కాని, రెండోది స్ప్లిట్ ఎలివేటర్ల మధ్య కీల్‌కు విస్తరించింది. చుక్కాని మరియు ఎలివేటర్లు రెండూ కొమ్ము సమతుల్యతతో ఉంటాయి. [2] స్టార్డస్టర్ సిఫార్సు చేసిన విద్యుత్ పరిధిని 125 నుండి 160 హెచ్‌పి (93 నుండి 119 కిలోవాట్) కలిగి ఉంటుంది మరియు ఇది సాధారణంగా నాలుగు సిలిండర్, అడ్డంగా వ్యతిరేకించిన, 125 హెచ్‌పి (93 కిలోవాట్) లైమింగ్ ఓ -290-డి -1, [2] చేత శక్తినిస్తుంది 200 హెచ్‌పి (150 కిలోవాట్) వరకు మరింత శక్తివంతమైన ఇంజన్లు అమర్చబడ్డాయి. [3] దీనికి సాంప్రదాయ టెయిల్‌వీల్ అండర్ క్యారేజ్ ఉంది. మెయిన్‌వీల్స్ దిగువ ఫ్యూజ్‌లేజ్ లాంగన్ నుండి అతుక్కొని ఉన్న V- స్ట్రట్‌లపై అమర్చబడి ఉంటాయి, వీల్ మరియు సెంట్రల్, ఫ్యూజ్‌లేజ్ వి-ఫార్మ్ మౌంటు బ్రాకెట్ కింద వీల్ మరియు సెంట్రల్ మధ్య వికర్ణ పొడిగింపు స్ట్రట్‌లపై రబ్బరు షాక్ అబ్జార్బర్‌లు ఉన్నాయి. ప్రధాన కాళ్ళు తరచుగా పాక్షికంగా లేదా పూర్తిగా ఫెయిర్‌గా ఉంటాయి మరియు చక్రాలు స్పాట్స్‌లో జతచేయబడతాయి. [1] [2] మొదటి ఫ్లైట్ మరియు హోమ్‌బిల్డింగ్ భవనం కొనసాగిన 50 సంవత్సరాల తరువాత స్టార్డస్టర్ ప్రణాళికలు అందుబాటులో ఉన్నాయి. [4] స్టార్డస్టర్ రిజిస్టర్ [5] ప్రస్తుతం 27 SA-100 స్టార్డస్టర్లు మరియు 3 SA-101 సూపర్ స్టార్‌డస్టర్‌లను నిర్మించి, భవనం చూపిస్తుంది. FAA రిజిస్టర్ 64 SA-100 లు మరియు 1 SA-101 ను చూపిస్తుంది, అయినప్పటికీ అన్నీ కేటాయించబడలేదు మరియు మరికొన్ని స్టార్డస్టర్లు రకం సంఖ్య లేకుండా కనిపిస్తాయి. [6] జేన్ యొక్క అన్ని ప్రపంచ విమానాల నుండి డేటా 1966/7, పే.</v>
      </c>
      <c r="E34" s="1" t="s">
        <v>746</v>
      </c>
      <c r="F34" s="1" t="s">
        <v>747</v>
      </c>
      <c r="G34" s="1" t="str">
        <f>IFERROR(__xludf.DUMMYFUNCTION("GOOGLETRANSLATE(F:F,""en"", ""te"")"),"సింగిల్ సీట్ స్పోర్ట్ విమానం")</f>
        <v>సింగిల్ సీట్ స్పోర్ట్ విమానం</v>
      </c>
      <c r="I34" s="1" t="s">
        <v>158</v>
      </c>
      <c r="J34" s="1" t="str">
        <f>IFERROR(__xludf.DUMMYFUNCTION("GOOGLETRANSLATE(I:I,""en"", ""te"")"),"అమెరికా")</f>
        <v>అమెరికా</v>
      </c>
      <c r="L34" s="1" t="s">
        <v>748</v>
      </c>
      <c r="M34" s="1" t="str">
        <f>IFERROR(__xludf.DUMMYFUNCTION("GOOGLETRANSLATE(L:L,""en"", ""te"")"),"STOLP ఎయిర్‌క్రాఫ్టెయిర్‌క్రాఫ్ట్ స్ప్రూస్ &amp; స్పెషాలిటీ కో.")</f>
        <v>STOLP ఎయిర్‌క్రాఫ్టెయిర్‌క్రాఫ్ట్ స్ప్రూస్ &amp; స్పెషాలిటీ కో.</v>
      </c>
      <c r="N34" s="1" t="s">
        <v>749</v>
      </c>
      <c r="P34" s="1" t="s">
        <v>518</v>
      </c>
      <c r="Q34" s="1"/>
      <c r="T34" s="1">
        <v>1.0</v>
      </c>
      <c r="U34" s="1" t="s">
        <v>750</v>
      </c>
      <c r="V34" s="1" t="s">
        <v>751</v>
      </c>
      <c r="W34" s="1" t="s">
        <v>752</v>
      </c>
      <c r="X34" s="1" t="s">
        <v>753</v>
      </c>
      <c r="Z34" s="1" t="s">
        <v>754</v>
      </c>
      <c r="AA34" s="1" t="s">
        <v>755</v>
      </c>
      <c r="AB34" s="1" t="s">
        <v>246</v>
      </c>
      <c r="AE34" s="1" t="s">
        <v>756</v>
      </c>
      <c r="AG34" s="1" t="s">
        <v>208</v>
      </c>
      <c r="AI34" s="1" t="s">
        <v>466</v>
      </c>
      <c r="AK34" s="1" t="s">
        <v>757</v>
      </c>
      <c r="AM34" s="1" t="s">
        <v>758</v>
      </c>
      <c r="AO34" s="3">
        <v>21125.0</v>
      </c>
      <c r="AQ34" s="1" t="s">
        <v>601</v>
      </c>
      <c r="AS34" s="1" t="s">
        <v>759</v>
      </c>
      <c r="AT34" s="1" t="s">
        <v>760</v>
      </c>
      <c r="AW34" s="1" t="s">
        <v>607</v>
      </c>
      <c r="BD34" s="1">
        <v>6.33</v>
      </c>
      <c r="BM34" s="1" t="s">
        <v>242</v>
      </c>
      <c r="BN34" s="1" t="s">
        <v>761</v>
      </c>
    </row>
    <row r="35">
      <c r="A35" s="1" t="s">
        <v>762</v>
      </c>
      <c r="B35" s="1" t="str">
        <f>IFERROR(__xludf.DUMMYFUNCTION("GOOGLETRANSLATE(A:A,""en"", ""te"")"),"తుఫాను శతాబ్దం")</f>
        <v>తుఫాను శతాబ్దం</v>
      </c>
      <c r="C35" s="1" t="s">
        <v>763</v>
      </c>
      <c r="D35" s="1" t="str">
        <f>IFERROR(__xludf.DUMMYFUNCTION("GOOGLETRANSLATE(C:C,""en"", ""te"")"),"ఈ శతాబ్దం ఇటలీలోని సబాడియాకు చెందిన తుఫాను విమాన సంస్థ నిర్మించిన విమానాల కుటుంబం. తుఫాను శతాబ్దం శ్రేణి విమానాలు అసలు ""తుఫాను"" పరిధి నుండి పెరిగాయి, SG ఏవియేషన్ అభివృద్ధి చేసి విక్రయించింది. తుఫాను ప్రధానంగా కిట్‌లుగా విక్రయించబడింది మరియు అధికార పరిధి"&amp;"ని బట్టి అల్ట్రాలైట్ లేదా ప్రయోగాత్మక వర్గాలలో ప్రయాణించారు. మొత్తం తుఫాను శ్రేణి విమానాలు ఇప్పుడు స్టోర్‌ఫార్మర్‌క్రాఫ్ట్ SRL చేత తయారు చేయబడ్డాయి మరియు విక్రయించబడ్డాయి. తుఫాను శతాబ్దం యునైటెడ్ స్టేట్స్ మరియు ఆస్ట్రేలియాలో తేలికపాటి క్రీడా విమానంగా విక్"&amp;"రయించబడింది మరియు ప్రపంచవ్యాప్తంగా అనేక ఇతర దేశాలలో అల్ట్రాలైట్ (ఉదా. జర్మనీ, డెన్మార్క్ మరియు ఆస్ట్రేలియాలో). ఈ విమానం తక్కువ-వింగ్, అన్ని మెటల్ డిజైన్ 100 HP (70 kW) రోటాక్స్ 912UL-S ఇంజిన్. ఇతర ఇంజన్లు ఆర్డర్ చేయడానికి అందుబాటులో ఉన్నాయి. ఈ శతాబ్దం మొద"&amp;"ట్లో ""అన్ని ఎగిరే"" కలయిక క్షితిజ సమాంతర స్టెబిలైజర్ మరియు ఎలివేటర్‌తో అమర్చబడింది. తదనంతరం, శతాబ్దపు RG అభివృద్ధిలో భాగంగా - ముడుచుకునే గేర్ వేరియంట్ - నిలువు స్టెబిలైజర్ మరియు ఎంపెనేజ్ సూక్ష్మంగా పున es రూపకల్పన చేయబడ్డాయి మరియు క్షితిజ సమాంతర తోక ఉపరి"&amp;"తలాలు సాంప్రదాయక స్థిర క్షితిజ సమాంతర స్టెబిలైజర్/ఎలివేటర్ కలయిక ద్వారా భర్తీ చేయబడ్డాయి. ఈ మార్పు నుండి ఒక స్థిర గేర్ ప్రత్యామ్నాయం అభివృద్ధి చేయబడింది మరియు శతాబ్దం '04 గా గుర్తించబడింది. శతాబ్దం యొక్క మరింత అభివృద్ధిలో ఫైర్‌వాల్ (సవరించిన ఇంజిన్ మౌంట్ "&amp;"ద్వారా) మరియు 15 సెం.మీ విమానానికి విమానానికి 25 సెం.మీ. ఈ 2+2 వేరియంట్ సెంచరీ 5xL గా గుర్తించబడింది మరియు అసలు లేదా సెంచరీ '04 తోక కాన్ఫిగరేషన్‌తో తయారు చేయబడింది. అదనంగా, 5xL వింగ్స్పాన్ అసలు కంటే 40 సెం.మీ. ఈ వేరియంట్ ప్రయోగాత్మక వర్గంలో 2-సీట్ల LSA లే"&amp;"దా 2+2 గా లభిస్తుంది. 5XL 130 నాట్ల TAS వరకు మెరుగైన టాప్ స్పీడ్ మరియు చాలా ప్రతిస్పందించే నిర్వహణతో పాటు తగ్గిన స్టాల్ స్పీడ్ కలిగి ఉంది. మార్పులు అసలు విమానాలకు సానుకూలంగా దోహదపడ్డాయని తెలుస్తుంది. [సైటేషన్ అవసరం] [1] సాధారణ లక్షణాల పనితీరు నుండి డేటా")</f>
        <v>ఈ శతాబ్దం ఇటలీలోని సబాడియాకు చెందిన తుఫాను విమాన సంస్థ నిర్మించిన విమానాల కుటుంబం. తుఫాను శతాబ్దం శ్రేణి విమానాలు అసలు "తుఫాను" పరిధి నుండి పెరిగాయి, SG ఏవియేషన్ అభివృద్ధి చేసి విక్రయించింది. తుఫాను ప్రధానంగా కిట్‌లుగా విక్రయించబడింది మరియు అధికార పరిధిని బట్టి అల్ట్రాలైట్ లేదా ప్రయోగాత్మక వర్గాలలో ప్రయాణించారు. మొత్తం తుఫాను శ్రేణి విమానాలు ఇప్పుడు స్టోర్‌ఫార్మర్‌క్రాఫ్ట్ SRL చేత తయారు చేయబడ్డాయి మరియు విక్రయించబడ్డాయి. తుఫాను శతాబ్దం యునైటెడ్ స్టేట్స్ మరియు ఆస్ట్రేలియాలో తేలికపాటి క్రీడా విమానంగా విక్రయించబడింది మరియు ప్రపంచవ్యాప్తంగా అనేక ఇతర దేశాలలో అల్ట్రాలైట్ (ఉదా. జర్మనీ, డెన్మార్క్ మరియు ఆస్ట్రేలియాలో). ఈ విమానం తక్కువ-వింగ్, అన్ని మెటల్ డిజైన్ 100 HP (70 kW) రోటాక్స్ 912UL-S ఇంజిన్. ఇతర ఇంజన్లు ఆర్డర్ చేయడానికి అందుబాటులో ఉన్నాయి. ఈ శతాబ్దం మొదట్లో "అన్ని ఎగిరే" కలయిక క్షితిజ సమాంతర స్టెబిలైజర్ మరియు ఎలివేటర్‌తో అమర్చబడింది. తదనంతరం, శతాబ్దపు RG అభివృద్ధిలో భాగంగా - ముడుచుకునే గేర్ వేరియంట్ - నిలువు స్టెబిలైజర్ మరియు ఎంపెనేజ్ సూక్ష్మంగా పున es రూపకల్పన చేయబడ్డాయి మరియు క్షితిజ సమాంతర తోక ఉపరితలాలు సాంప్రదాయక స్థిర క్షితిజ సమాంతర స్టెబిలైజర్/ఎలివేటర్ కలయిక ద్వారా భర్తీ చేయబడ్డాయి. ఈ మార్పు నుండి ఒక స్థిర గేర్ ప్రత్యామ్నాయం అభివృద్ధి చేయబడింది మరియు శతాబ్దం '04 గా గుర్తించబడింది. శతాబ్దం యొక్క మరింత అభివృద్ధిలో ఫైర్‌వాల్ (సవరించిన ఇంజిన్ మౌంట్ ద్వారా) మరియు 15 సెం.మీ విమానానికి విమానానికి 25 సెం.మీ. ఈ 2+2 వేరియంట్ సెంచరీ 5xL గా గుర్తించబడింది మరియు అసలు లేదా సెంచరీ '04 తోక కాన్ఫిగరేషన్‌తో తయారు చేయబడింది. అదనంగా, 5xL వింగ్స్పాన్ అసలు కంటే 40 సెం.మీ. ఈ వేరియంట్ ప్రయోగాత్మక వర్గంలో 2-సీట్ల LSA లేదా 2+2 గా లభిస్తుంది. 5XL 130 నాట్ల TAS వరకు మెరుగైన టాప్ స్పీడ్ మరియు చాలా ప్రతిస్పందించే నిర్వహణతో పాటు తగ్గిన స్టాల్ స్పీడ్ కలిగి ఉంది. మార్పులు అసలు విమానాలకు సానుకూలంగా దోహదపడ్డాయని తెలుస్తుంది. [సైటేషన్ అవసరం] [1] సాధారణ లక్షణాల పనితీరు నుండి డేటా</v>
      </c>
      <c r="F35" s="1" t="s">
        <v>764</v>
      </c>
      <c r="G35" s="1" t="str">
        <f>IFERROR(__xludf.DUMMYFUNCTION("GOOGLETRANSLATE(F:F,""en"", ""te"")"),"#VALUE!")</f>
        <v>#VALUE!</v>
      </c>
      <c r="H35" s="1" t="s">
        <v>765</v>
      </c>
      <c r="I35" s="1" t="s">
        <v>766</v>
      </c>
      <c r="J35" s="1" t="str">
        <f>IFERROR(__xludf.DUMMYFUNCTION("GOOGLETRANSLATE(I:I,""en"", ""te"")"),"ఇటలీ")</f>
        <v>ఇటలీ</v>
      </c>
      <c r="L35" s="1" t="s">
        <v>767</v>
      </c>
      <c r="M35" s="1" t="str">
        <f>IFERROR(__xludf.DUMMYFUNCTION("GOOGLETRANSLATE(L:L,""en"", ""te"")"),"తుఫాను విమాన సంస్థ")</f>
        <v>తుఫాను విమాన సంస్థ</v>
      </c>
      <c r="N35" s="1" t="s">
        <v>768</v>
      </c>
      <c r="O35" s="1">
        <v>1991.0</v>
      </c>
      <c r="S35" s="1">
        <v>1.0</v>
      </c>
      <c r="T35" s="1" t="s">
        <v>769</v>
      </c>
      <c r="U35" s="1" t="s">
        <v>770</v>
      </c>
      <c r="V35" s="1" t="s">
        <v>771</v>
      </c>
      <c r="W35" s="1" t="s">
        <v>772</v>
      </c>
      <c r="X35" s="1" t="s">
        <v>773</v>
      </c>
      <c r="Y35" s="1" t="s">
        <v>774</v>
      </c>
      <c r="Z35" s="1" t="s">
        <v>775</v>
      </c>
      <c r="AA35" s="1" t="s">
        <v>776</v>
      </c>
      <c r="AB35" s="1" t="s">
        <v>777</v>
      </c>
      <c r="AD35" s="1" t="s">
        <v>778</v>
      </c>
      <c r="AG35" s="1" t="s">
        <v>779</v>
      </c>
      <c r="AH35" s="1" t="s">
        <v>780</v>
      </c>
      <c r="AI35" s="1" t="s">
        <v>781</v>
      </c>
      <c r="AJ35" s="1" t="s">
        <v>782</v>
      </c>
      <c r="AK35" s="1" t="s">
        <v>783</v>
      </c>
      <c r="AL35" s="1" t="s">
        <v>784</v>
      </c>
      <c r="AM35" s="1" t="s">
        <v>785</v>
      </c>
      <c r="AO35" s="1">
        <v>1991.0</v>
      </c>
      <c r="AQ35" s="1" t="s">
        <v>786</v>
      </c>
      <c r="AS35" s="1" t="s">
        <v>787</v>
      </c>
      <c r="AT35" s="1" t="s">
        <v>788</v>
      </c>
      <c r="AU35" s="1" t="s">
        <v>789</v>
      </c>
      <c r="AV35" s="1" t="s">
        <v>790</v>
      </c>
      <c r="BO35" s="1" t="s">
        <v>791</v>
      </c>
      <c r="BP35" s="1" t="s">
        <v>792</v>
      </c>
    </row>
    <row r="36">
      <c r="A36" s="1" t="s">
        <v>793</v>
      </c>
      <c r="B36" s="1" t="str">
        <f>IFERROR(__xludf.DUMMYFUNCTION("GOOGLETRANSLATE(A:A,""en"", ""te"")"),"సుడ్-ఎస్ట్ గ్రోగ్నార్డ్")</f>
        <v>సుడ్-ఎస్ట్ గ్రోగ్నార్డ్</v>
      </c>
      <c r="C36" s="1" t="s">
        <v>794</v>
      </c>
      <c r="D36" s="1" t="str">
        <f>IFERROR(__xludf.DUMMYFUNCTION("GOOGLETRANSLATE(C:C,""en"", ""te"")"),"SNCase Grognard సింగిల్-సీట్, తక్కువ-స్థాయి గ్రౌండ్-అటాక్ విమానంగా రూపొందించబడింది. ఫ్రెంచ్ ఆర్మీ డి ఎల్ ఎయిర్ కోసం 1950 లలో అభివృద్ధిలో ఉన్నప్పటికీ, ఈ కార్యక్రమం సుడ్-ఓయెస్ట్ వౌటూర్ II కి అనుకూలంగా రద్దు చేయబడింది. [1] 1948 లో గీసిన భూమి-దాడి విమానం కోసం"&amp;" ఒక ఆర్మీ డి ఎల్ ఎయిర్ స్పెసిఫికేషన్ ఫ్రెంచ్ విమానయాన పరిశ్రమను జెట్-శక్తితో కూడిన డిజైన్‌ను రూపొందించడానికి ఉద్దేశించబడింది. ఒనెరా (చలైస్-మెడాన్) విండ్ టన్నెల్‌లో ఒక మోడల్‌ను పరీక్షించిన తరువాత, సుడ్-ఎస్ట్ మునుపటి SE.2400 దాడి విమానాల అభివృద్ధితో పోటీలో "&amp;"ప్రవేశించింది. ఈ డిజైన్‌లో అసాధారణమైన 47˚ స్వీప్ వింగ్ డిజైన్‌తో పాటు కాంపాక్ట్, బల్బస్ ఫ్యూజ్‌లేజ్‌లో ఒకే డోర్సల్ ఇన్లెట్ ద్వారా రెండు పేర్చబడిన నేనే జెట్ ఇంజన్లు ఉన్నాయి. [2] కాక్‌పిట్ ముక్కు యొక్క తీవ్ర చివరలో వికారంగా ఉంది; మొత్తం అమరిక త్వరలోనే ఉత్పన"&amp;"్నమైన మారుపేరును సంపాదిస్తుంది: ""హంచ్‌బ్యాక్"". [1] అధికారిక పేరు SE.2410 గ్రోగ్నార్డ్ (ఫ్రెంచ్: గ్రంబ్లర్) నెపోలియన్ యొక్క పాత గార్డు యొక్క సైనికుడికి మారుపేరు నుండి తీసుకోబడింది. పరీక్ష విమానాలలో ఎదురయ్యే సమస్యలు తోక యూనిట్ మరియు ఐలెరాన్‌లకు అనేక మార్ప"&amp;"ులకు దారితీశాయి. [3] SUD-EST భవనంతో రెండు ప్రోటోటైప్‌లతో అభివృద్ధి కొనసాగింది, ఇది SE.2415 కు దారితీసింది, ఇది గ్రోగ్నార్డ్ II గా గుర్తించబడింది, ఇది రెండు-సీట్ల అభివృద్ధి, ఇందులో బబుల్ పందిరితో పెరిగిన కాక్‌పిట్‌ను కలుపుకొని 32˚ రెక్కలను తగ్గించింది. తిర"&amp;"ిగి స్వీప్ చేయండి. [4] ప్రారంభ పరీక్ష తరువాత, SE.2415 యొక్క బయటి రెక్కలపై రెండు సరిహద్దు పొర కంచెలు వ్యవస్థాపించబడ్డాయి; అండర్ వింగ్ స్పాయిలర్లను కూడా పరీక్షించారు. ప్రోటోటైప్ మొదట్లో సాయుధంగా లేనప్పటికీ, ప్రణాళికాబద్ధమైన ఆయుధాల శ్రేణిలో రెండు DEFA 30MM ఫ"&amp;"ిరంగితో పాటు బాంబులు మరియు రాకెట్లు ఉన్నాయి. [5] SUD-EST SE.2410 యొక్క మొదటి ఫ్లైట్ గ్రోగ్నార్డ్ I (F-ZWRJ) 30 ఏప్రిల్ 1950 న జరిగింది, రెండవ ప్రోటోటైప్ (F-ZWRK) 14 ఫిబ్రవరి 1951 న ప్రయాణించింది, కాని టెయిల్‌ప్లేన్ ఫ్లట్టర్‌తో బాధపడింది. [6] [3] రెండు ప్ర"&amp;"ోటోటైప్‌లు అనేక ఆయుధ పరీక్షలకు గురయ్యాయి, ముఖ్యంగా గాలి నుండి గాలికి క్షిపణిని కాల్చిన మొదటి ఫ్రెంచ్ విమానం (మాట్రా టి -10). తప్పుడు అగ్నిమాపక హెచ్చరిక తరువాత గ్రోగ్నార్డ్ II బొడ్డు ల్యాండింగ్‌లో భారీగా దెబ్బతింది, అయినప్పటికీ ఎయిర్‌ఫ్రేమ్ రక్షించబడింది మ"&amp;"రియు తరువాత ఫైరింగ్ పరీక్షలకు లక్ష్యంగా ఉపయోగించబడింది. [7] ట్రయల్స్ సమయంలో, ఆర్మీ డి ఎల్ ఎయిర్ ఫైటర్ మరియు బాంబర్ విమానాల యొక్క స్పెసిఫికేషన్లను సమూలంగా మార్చింది, వాస్తవంగా దాడి వర్గాన్ని తొలగిస్తుంది. ఈ మార్పు గ్రోగ్నార్డ్ యొక్క భవిష్యత్తు అభివృద్ధిని "&amp;"అస్పష్టంగా లేని ఎయిర్ఫ్రేమ్ ఇతర మిషన్లకు అనుగుణంగా లేదు. [7] ముక్కులో రాడార్‌తో అంకితమైన ""ఆల్-వెదర్"" ఫైటర్ వేరియంట్ అయినప్పటికీ, SE.2421 ప్రణాళిక చేయబడినప్పటికీ, ఖచ్చితమైన దాడి వేరియంట్, SE.2418 రెండు x 2, 850 kgp (6,2850 lb st) రోల్స్ ఉపయోగించింది -రోయ"&amp;"ిస్ tays హించిన పనితీరుతో టేస్, ఇందులో సముద్ర మట్టంలో గరిష్టంగా 1,086 కిమీ/గం (675 mph) వేగం ఉంటుంది. [4] గ్రోగ్నార్డ్ I యొక్క రెక్కను గ్రోగ్నార్డ్ I యొక్క రెక్కను కలుపుకొని, గ్రోగ్నార్డ్ II [7] నుండి పొడవైన ఫ్యూజ్‌లేజ్ మరియు ఇతర మెరుగుదలలతో కలిసి ఈ కార్య"&amp;"క్రమం 1952 లో ఈ కార్యక్రమం మూసివేయబడినప్పుడు ఉత్పత్తి కోసం సిద్ధంగా ఉంది మరింత ఆశాజనక డిజైన్ అని నిరూపించబడింది. [1] SE.2410 చివరికి రిటైర్ అయ్యింది మరియు తరువాత 1954 నాటికి రద్దు చేయబడింది. [8] ప్రపంచ విమానం నుండి డేటా [9] సాధారణ లక్షణాలు పనితీరు ఆయుధ సం"&amp;"బంధిత అభివృద్ధి విమానం పోల్చదగిన పాత్ర, కాన్ఫిగరేషన్ మరియు ERA")</f>
        <v>SNCase Grognard సింగిల్-సీట్, తక్కువ-స్థాయి గ్రౌండ్-అటాక్ విమానంగా రూపొందించబడింది. ఫ్రెంచ్ ఆర్మీ డి ఎల్ ఎయిర్ కోసం 1950 లలో అభివృద్ధిలో ఉన్నప్పటికీ, ఈ కార్యక్రమం సుడ్-ఓయెస్ట్ వౌటూర్ II కి అనుకూలంగా రద్దు చేయబడింది. [1] 1948 లో గీసిన భూమి-దాడి విమానం కోసం ఒక ఆర్మీ డి ఎల్ ఎయిర్ స్పెసిఫికేషన్ ఫ్రెంచ్ విమానయాన పరిశ్రమను జెట్-శక్తితో కూడిన డిజైన్‌ను రూపొందించడానికి ఉద్దేశించబడింది. ఒనెరా (చలైస్-మెడాన్) విండ్ టన్నెల్‌లో ఒక మోడల్‌ను పరీక్షించిన తరువాత, సుడ్-ఎస్ట్ మునుపటి SE.2400 దాడి విమానాల అభివృద్ధితో పోటీలో ప్రవేశించింది. ఈ డిజైన్‌లో అసాధారణమైన 47˚ స్వీప్ వింగ్ డిజైన్‌తో పాటు కాంపాక్ట్, బల్బస్ ఫ్యూజ్‌లేజ్‌లో ఒకే డోర్సల్ ఇన్లెట్ ద్వారా రెండు పేర్చబడిన నేనే జెట్ ఇంజన్లు ఉన్నాయి. [2] కాక్‌పిట్ ముక్కు యొక్క తీవ్ర చివరలో వికారంగా ఉంది; మొత్తం అమరిక త్వరలోనే ఉత్పన్నమైన మారుపేరును సంపాదిస్తుంది: "హంచ్‌బ్యాక్". [1] అధికారిక పేరు SE.2410 గ్రోగ్నార్డ్ (ఫ్రెంచ్: గ్రంబ్లర్) నెపోలియన్ యొక్క పాత గార్డు యొక్క సైనికుడికి మారుపేరు నుండి తీసుకోబడింది. పరీక్ష విమానాలలో ఎదురయ్యే సమస్యలు తోక యూనిట్ మరియు ఐలెరాన్‌లకు అనేక మార్పులకు దారితీశాయి. [3] SUD-EST భవనంతో రెండు ప్రోటోటైప్‌లతో అభివృద్ధి కొనసాగింది, ఇది SE.2415 కు దారితీసింది, ఇది గ్రోగ్నార్డ్ II గా గుర్తించబడింది, ఇది రెండు-సీట్ల అభివృద్ధి, ఇందులో బబుల్ పందిరితో పెరిగిన కాక్‌పిట్‌ను కలుపుకొని 32˚ రెక్కలను తగ్గించింది. తిరిగి స్వీప్ చేయండి. [4] ప్రారంభ పరీక్ష తరువాత, SE.2415 యొక్క బయటి రెక్కలపై రెండు సరిహద్దు పొర కంచెలు వ్యవస్థాపించబడ్డాయి; అండర్ వింగ్ స్పాయిలర్లను కూడా పరీక్షించారు. ప్రోటోటైప్ మొదట్లో సాయుధంగా లేనప్పటికీ, ప్రణాళికాబద్ధమైన ఆయుధాల శ్రేణిలో రెండు DEFA 30MM ఫిరంగితో పాటు బాంబులు మరియు రాకెట్లు ఉన్నాయి. [5] SUD-EST SE.2410 యొక్క మొదటి ఫ్లైట్ గ్రోగ్నార్డ్ I (F-ZWRJ) 30 ఏప్రిల్ 1950 న జరిగింది, రెండవ ప్రోటోటైప్ (F-ZWRK) 14 ఫిబ్రవరి 1951 న ప్రయాణించింది, కాని టెయిల్‌ప్లేన్ ఫ్లట్టర్‌తో బాధపడింది. [6] [3] రెండు ప్రోటోటైప్‌లు అనేక ఆయుధ పరీక్షలకు గురయ్యాయి, ముఖ్యంగా గాలి నుండి గాలికి క్షిపణిని కాల్చిన మొదటి ఫ్రెంచ్ విమానం (మాట్రా టి -10). తప్పుడు అగ్నిమాపక హెచ్చరిక తరువాత గ్రోగ్నార్డ్ II బొడ్డు ల్యాండింగ్‌లో భారీగా దెబ్బతింది, అయినప్పటికీ ఎయిర్‌ఫ్రేమ్ రక్షించబడింది మరియు తరువాత ఫైరింగ్ పరీక్షలకు లక్ష్యంగా ఉపయోగించబడింది. [7] ట్రయల్స్ సమయంలో, ఆర్మీ డి ఎల్ ఎయిర్ ఫైటర్ మరియు బాంబర్ విమానాల యొక్క స్పెసిఫికేషన్లను సమూలంగా మార్చింది, వాస్తవంగా దాడి వర్గాన్ని తొలగిస్తుంది. ఈ మార్పు గ్రోగ్నార్డ్ యొక్క భవిష్యత్తు అభివృద్ధిని అస్పష్టంగా లేని ఎయిర్ఫ్రేమ్ ఇతర మిషన్లకు అనుగుణంగా లేదు. [7] ముక్కులో రాడార్‌తో అంకితమైన "ఆల్-వెదర్" ఫైటర్ వేరియంట్ అయినప్పటికీ, SE.2421 ప్రణాళిక చేయబడినప్పటికీ, ఖచ్చితమైన దాడి వేరియంట్, SE.2418 రెండు x 2, 850 kgp (6,2850 lb st) రోల్స్ ఉపయోగించింది -రోయిస్ tays హించిన పనితీరుతో టేస్, ఇందులో సముద్ర మట్టంలో గరిష్టంగా 1,086 కిమీ/గం (675 mph) వేగం ఉంటుంది. [4] గ్రోగ్నార్డ్ I యొక్క రెక్కను గ్రోగ్నార్డ్ I యొక్క రెక్కను కలుపుకొని, గ్రోగ్నార్డ్ II [7] నుండి పొడవైన ఫ్యూజ్‌లేజ్ మరియు ఇతర మెరుగుదలలతో కలిసి ఈ కార్యక్రమం 1952 లో ఈ కార్యక్రమం మూసివేయబడినప్పుడు ఉత్పత్తి కోసం సిద్ధంగా ఉంది మరింత ఆశాజనక డిజైన్ అని నిరూపించబడింది. [1] SE.2410 చివరికి రిటైర్ అయ్యింది మరియు తరువాత 1954 నాటికి రద్దు చేయబడింది. [8] ప్రపంచ విమానం నుండి డేటా [9] సాధారణ లక్షణాలు పనితీరు ఆయుధ సంబంధిత అభివృద్ధి విమానం పోల్చదగిన పాత్ర, కాన్ఫిగరేషన్ మరియు ERA</v>
      </c>
      <c r="E36" s="1" t="s">
        <v>795</v>
      </c>
      <c r="F36" s="1" t="s">
        <v>796</v>
      </c>
      <c r="G36" s="1" t="str">
        <f>IFERROR(__xludf.DUMMYFUNCTION("GOOGLETRANSLATE(F:F,""en"", ""te"")"),"గ్రౌండ్-అటాక్ విమానం")</f>
        <v>గ్రౌండ్-అటాక్ విమానం</v>
      </c>
      <c r="H36" s="1" t="s">
        <v>797</v>
      </c>
      <c r="I36" s="1" t="s">
        <v>798</v>
      </c>
      <c r="J36" s="1" t="str">
        <f>IFERROR(__xludf.DUMMYFUNCTION("GOOGLETRANSLATE(I:I,""en"", ""te"")"),"ఫ్రాన్స్")</f>
        <v>ఫ్రాన్స్</v>
      </c>
      <c r="L36" s="1" t="s">
        <v>799</v>
      </c>
      <c r="M36" s="1" t="str">
        <f>IFERROR(__xludf.DUMMYFUNCTION("GOOGLETRANSLATE(L:L,""en"", ""te"")"),"సుడ్-ఎస్ట్")</f>
        <v>సుడ్-ఎస్ట్</v>
      </c>
      <c r="N36" s="2" t="s">
        <v>800</v>
      </c>
      <c r="R36" s="1">
        <v>2.0</v>
      </c>
      <c r="S36" s="1">
        <v>1.0</v>
      </c>
      <c r="U36" s="1" t="s">
        <v>801</v>
      </c>
      <c r="V36" s="1" t="s">
        <v>802</v>
      </c>
      <c r="W36" s="1" t="s">
        <v>803</v>
      </c>
      <c r="AA36" s="1" t="s">
        <v>804</v>
      </c>
      <c r="AG36" s="1" t="s">
        <v>208</v>
      </c>
      <c r="AH36" s="1" t="s">
        <v>805</v>
      </c>
      <c r="AL36" s="1" t="s">
        <v>806</v>
      </c>
      <c r="AO36" s="4">
        <v>18383.0</v>
      </c>
      <c r="AQ36" s="1" t="s">
        <v>807</v>
      </c>
      <c r="AT36" s="1" t="s">
        <v>808</v>
      </c>
      <c r="BC36" s="1">
        <v>1952.0</v>
      </c>
      <c r="BQ36" s="1" t="s">
        <v>809</v>
      </c>
      <c r="BR36" s="1" t="s">
        <v>810</v>
      </c>
      <c r="BS36" s="1" t="s">
        <v>811</v>
      </c>
      <c r="BT36" s="1" t="s">
        <v>812</v>
      </c>
    </row>
    <row r="37">
      <c r="A37" s="1" t="s">
        <v>813</v>
      </c>
      <c r="B37" s="1" t="str">
        <f>IFERROR(__xludf.DUMMYFUNCTION("GOOGLETRANSLATE(A:A,""en"", ""te"")"),"సుల్లివన్ మోడల్ K-3 క్రెస్టెడ్ హార్పీ")</f>
        <v>సుల్లివన్ మోడల్ K-3 క్రెస్టెడ్ హార్పీ</v>
      </c>
      <c r="C37" s="1" t="s">
        <v>814</v>
      </c>
      <c r="D37" s="1" t="str">
        <f>IFERROR(__xludf.DUMMYFUNCTION("GOOGLETRANSLATE(C:C,""en"", ""te"")"),"సుల్లివన్ మోడల్ K-3 క్రెస్టెడ్ హార్పీ 1920 లలో రెండు ప్రదేశాల లైట్ స్పోర్ట్‌ప్లేన్. [1] క్రెస్టెడ్ హార్పీ సీట్లు 3. ముందు రెండు ప్రయాణీకులలో పైలట్ మరియు వెనుక భాగంలో ద్వంద్వ నియంత్రణలు. మూడు విమానాలు నిర్మించబడ్డాయి. సిరీస్ #2 మిస్టర్ గార్నర్ మరియు మిస్టర"&amp;"్ గార్డనర్‌ను చంపిన ప్రదర్శన విమానంలో క్రాష్ అయ్యింది. తక్కువ సమయంలోనే కిన్నర్ ఇంజిన్‌ను 120 హెచ్‌పి సెస్నా అంజాని ఇంజిన్‌తో భర్తీ చేశారు. మరియు బంగీ ల్యాండింగ్ గేర్‌ను కాన్సాస్‌లోని డాడ్జ్ సిటీలోని మెక్కాయ్ విమానాశ్రయంలో మిస్టర్ పాట్స్ ఒలియో టైప్ స్ట్రట్"&amp;"‌లతో భర్తీ చేశారు. ఒక యజమాని తన సుల్లివన్ ను పదేళ్లపాటు కలిగి ఉన్నాడు మరియు అతను దానిని చాలా ఇష్టపడ్డాడని చెప్పాడు. @ &lt;! .")</f>
        <v>సుల్లివన్ మోడల్ K-3 క్రెస్టెడ్ హార్పీ 1920 లలో రెండు ప్రదేశాల లైట్ స్పోర్ట్‌ప్లేన్. [1] క్రెస్టెడ్ హార్పీ సీట్లు 3. ముందు రెండు ప్రయాణీకులలో పైలట్ మరియు వెనుక భాగంలో ద్వంద్వ నియంత్రణలు. మూడు విమానాలు నిర్మించబడ్డాయి. సిరీస్ #2 మిస్టర్ గార్నర్ మరియు మిస్టర్ గార్డనర్‌ను చంపిన ప్రదర్శన విమానంలో క్రాష్ అయ్యింది. తక్కువ సమయంలోనే కిన్నర్ ఇంజిన్‌ను 120 హెచ్‌పి సెస్నా అంజాని ఇంజిన్‌తో భర్తీ చేశారు. మరియు బంగీ ల్యాండింగ్ గేర్‌ను కాన్సాస్‌లోని డాడ్జ్ సిటీలోని మెక్కాయ్ విమానాశ్రయంలో మిస్టర్ పాట్స్ ఒలియో టైప్ స్ట్రట్‌లతో భర్తీ చేశారు. ఒక యజమాని తన సుల్లివన్ ను పదేళ్లపాటు కలిగి ఉన్నాడు మరియు అతను దానిని చాలా ఇష్టపడ్డాడని చెప్పాడు. @ &lt;! .</v>
      </c>
      <c r="F37" s="1" t="s">
        <v>815</v>
      </c>
      <c r="G37" s="1" t="str">
        <f>IFERROR(__xludf.DUMMYFUNCTION("GOOGLETRANSLATE(F:F,""en"", ""te"")"),"స్పోర్ట్‌ప్లేన్")</f>
        <v>స్పోర్ట్‌ప్లేన్</v>
      </c>
      <c r="I37" s="1" t="s">
        <v>158</v>
      </c>
      <c r="J37" s="1" t="str">
        <f>IFERROR(__xludf.DUMMYFUNCTION("GOOGLETRANSLATE(I:I,""en"", ""te"")"),"అమెరికా")</f>
        <v>అమెరికా</v>
      </c>
      <c r="K37" s="1" t="s">
        <v>159</v>
      </c>
      <c r="L37" s="1" t="s">
        <v>816</v>
      </c>
      <c r="M37" s="1" t="str">
        <f>IFERROR(__xludf.DUMMYFUNCTION("GOOGLETRANSLATE(L:L,""en"", ""te"")"),"సుల్లివన్ విమానం తయారీ సంస్థ")</f>
        <v>సుల్లివన్ విమానం తయారీ సంస్థ</v>
      </c>
      <c r="N37" s="1" t="s">
        <v>817</v>
      </c>
      <c r="O37" s="1">
        <v>1929.0</v>
      </c>
      <c r="S37" s="1">
        <v>1.0</v>
      </c>
      <c r="T37" s="1">
        <v>1.0</v>
      </c>
      <c r="U37" s="1" t="s">
        <v>539</v>
      </c>
      <c r="AA37" s="1" t="s">
        <v>818</v>
      </c>
      <c r="AB37" s="1" t="s">
        <v>819</v>
      </c>
      <c r="AE37" s="1" t="s">
        <v>375</v>
      </c>
      <c r="AH37" s="1" t="s">
        <v>820</v>
      </c>
      <c r="AK37" s="1" t="s">
        <v>821</v>
      </c>
      <c r="AQ37" s="1" t="s">
        <v>822</v>
      </c>
    </row>
    <row r="38">
      <c r="A38" s="1" t="s">
        <v>823</v>
      </c>
      <c r="B38" s="1" t="str">
        <f>IFERROR(__xludf.DUMMYFUNCTION("GOOGLETRANSLATE(A:A,""en"", ""te"")"),"సూపర్ మేరిన్ 525")</f>
        <v>సూపర్ మేరిన్ 525</v>
      </c>
      <c r="C38" s="1" t="s">
        <v>824</v>
      </c>
      <c r="D38" s="1" t="str">
        <f>IFERROR(__xludf.DUMMYFUNCTION("GOOGLETRANSLATE(C:C,""en"", ""te"")"),"సూపర్ మేరిన్ టైప్ 525 1950 లలో బ్రిటిష్ ప్రోటోటైప్ నావల్ జెట్ ఫైటర్ విమానం. టైప్ 525 టైప్ 508 యొక్క ఆలస్యమైన అభివృద్ధి, వీటిలో మూడు ఉదాహరణలు నవంబర్ 1947 లో సూపర్ మేరిన్ నుండి ఎయిర్ మినిస్ట్రీ స్పెసిఫికేషన్ N.9/47 కు ఆదేశించబడ్డాయి. [1] టైప్ 508 లు క్యారియ"&amp;"ర్-బార్న్ ఇంటర్‌సెప్టర్, నిఘా మరియు తక్కువ-స్థాయి అణు సమ్మె విమానాల కోసం అభివృద్ధి విమానాలు, తరువాత సూపర్ మేరిన్ చేత స్పెసిఫికేషన్ N.113D కి నిర్మించబడతాయి మరియు ఇది టైప్ 544 గా మారింది, ఇది సేవలో సేవల్లోకి ప్రవేశించింది. [2] మొదటి రకం 508, సీరియల్ VX133,"&amp;" రబ్బరు డెక్ ల్యాండింగ్ పద్ధతులతో ఉపయోగం కోసం ఉద్దేశించిన V- తోక (""సీతాకోకచిలుక"") తోకతో అమర్చిన సరళ-రెక్కల జెట్ విమానం, విస్తృత, ఫ్లాట్ ఫ్యూజ్‌లేజ్ మరియు V- తోక ఎంపిక రూపొందించబడింది సాధారణ అండర్ క్యారేజ్ లేకుండా దిగేటప్పుడు తగిన స్థిరత్వం మరియు క్లియరె"&amp;"న్స్‌ను అందించండి. [3] ఇది మొట్టమొదట 31 ఆగస్టు 1951 న ప్రయాణించింది. రెండవ రకం 508 VX136 మొదటి విమానానికి చాలా పోలి ఉంటుంది, అయితే ఇది టైప్ 529 గా పున es రూపకల్పన చేయబడింది మరియు మొదట 29 ఆగస్టు 1952 న ప్రయాణించింది. [4] సూపర్ మేరిన్ యొక్క హర్స్లీ పార్క్ ప"&amp;"్రయోగాత్మక విభాగంలో ఇతరుల మాదిరిగా నిర్మించిన మూడవ రకం 508 VX138, ఉత్పత్తి మార్గంలో స్కిమిటార్ ప్రమాణాలకు దగ్గరగా ఉండేలా సవరించబడింది మరియు 525 టైప్‌ను పున es రూపకల్పన చేసింది. ఈ విమానం విమానం మరియు ఆయుధ ప్రయోగాత్మక స్థాపనకు రహదారి ద్వారా పంపిణీ చేయబడింది"&amp;" (A &amp; AEE . టైప్ 525 రెండు రోల్స్ రాయిస్ అవాన్ టర్బోజెట్స్ చేత శక్తిని పొందింది మరియు 508 టైప్ కంటే రెక్కలపై మరింత పొడవైన ట్రైసైకిల్ అండర్ క్యారేజీతో అమర్చబడింది. దీనికి సాంప్రదాయ తోక మరియు చుక్కాని ఉపరితలాలు మరియు తుడిచిపెట్టిన రెక్కలు ఉన్నాయి. ఇది సెప్ట"&amp;"ెంబర్ 1954 ఫార్న్‌బరో ఎయిర్‌షోలో మొదటిసారి బహిరంగంగా కనిపించింది. ఈ విమానం 1954 చివరలో హాంప్‌షైర్‌లోని చిల్బోల్టన్ ఎయిర్ఫీల్డ్ వద్ద ఉన్న బేస్ నుండి మరింత పరీక్ష విమానాలను చేసింది. 1955 ప్రారంభంలో, ఫ్లాప్ బ్లోయింగ్ వ్యవస్థ యొక్క సంస్థాపన కోసం దీనిని హర్స్ల"&amp;"ీ పార్క్ ఫ్యాక్టరీకి రహదారి ద్వారా తీసుకున్నారు. [5] ఇది సురక్షితమైన ల్యాండింగ్ అప్రోచ్ వేగాన్ని తగ్గించడానికి రూపొందించబడింది, ఇది విమాన వాహకాల నుండి సురక్షితమైన ఆపరేషన్ కోసం స్పష్టమైన ప్రయోజనం. ఇది కాటాపుల్ట్ లాంచ్‌లు నిర్వహించే వేగాన్ని కూడా తగ్గించింద"&amp;"ి. [6] టైప్ 525 లోని ఫ్లాప్ బ్లోయింగ్ సిస్టమ్ (""సూపర్-సర్క్యులేషన్"") ఒక ఇంజిన్ కంప్రెసర్ నుండి రక్తస్రావం అయిన అధిక పీడన గాలి యొక్క సన్నని జెట్ను ప్రొజెక్ట్ చేయడానికి ఒక పరికరాన్ని ఉపయోగించింది, ఫ్లాప్ అతుకుల ముందు రెక్కల వెనుకంజలో ఉన్న ఇరుకైన స్లాట్ ద్"&amp;"వారా. కోండ్ ప్రభావం అప్పుడు ఫ్లాప్‌లపై గాలి యొక్క జెట్ను వంగి ఉంటుంది. మెరుగైన లిఫ్ట్ ఫలితంగా విధాన వేగంతో 18 mph తగ్గింపుకు దారితీసింది - క్యారియర్ -ఆధారిత విమానాలకు చాలా ఉపయోగకరంగా ఉంటుంది. [7] రోడ్ ద్వారా చిల్బోల్టన్కు తిరిగి వచ్చిన తరువాత, ఈ విమానం 5 "&amp;"జూలై 1955 న తదుపరి పరీక్షల కోసం A &amp; AEE కి తరలించబడింది. ఈ విమానం జూలై 5 న తక్కువ వేగవంతమైన నిర్వహణ కోసం పరీక్షించబడింది. 10,000 అడుగుల (3,000 మీ) వద్ద, మరియు టేకాఫ్ చేసిన 20 నిమిషాల తర్వాత ఫ్లాట్ స్పిన్ నుండి కోలుకోలేక, ఈ విమానం 3,000 అడుగుల (910 మీ) నుం"&amp;"డి బోస్కోంబేకు ఆగ్నేయ రెండు మైళ్ళ దూరంలో తిరుగుతుంది. ఇది అగ్ని మరియు పైలట్ లెఫ్టినెంట్ కమాండర్ టి.ఎ. క్రాష్‌కు ముందే తొలగించిన రికెల్, గాయాలతో మరణించాడు. [8] [9] మొదటి రకం 544 స్కిమిటార్ ప్రోటోటైప్ టైప్ 525 నుండి అనుభవాన్ని కలిగి ఉంది మరియు మొదట 19 జనవరి"&amp;" 1956 న ప్రయాణించింది. [5] 1912 నుండి బ్రిటిష్ ఫైటర్ నుండి వచ్చిన డేటా [10] సాధారణ లక్షణాల పనితీరు")</f>
        <v>సూపర్ మేరిన్ టైప్ 525 1950 లలో బ్రిటిష్ ప్రోటోటైప్ నావల్ జెట్ ఫైటర్ విమానం. టైప్ 525 టైప్ 508 యొక్క ఆలస్యమైన అభివృద్ధి, వీటిలో మూడు ఉదాహరణలు నవంబర్ 1947 లో సూపర్ మేరిన్ నుండి ఎయిర్ మినిస్ట్రీ స్పెసిఫికేషన్ N.9/47 కు ఆదేశించబడ్డాయి. [1] టైప్ 508 లు క్యారియర్-బార్న్ ఇంటర్‌సెప్టర్, నిఘా మరియు తక్కువ-స్థాయి అణు సమ్మె విమానాల కోసం అభివృద్ధి విమానాలు, తరువాత సూపర్ మేరిన్ చేత స్పెసిఫికేషన్ N.113D కి నిర్మించబడతాయి మరియు ఇది టైప్ 544 గా మారింది, ఇది సేవలో సేవల్లోకి ప్రవేశించింది. [2] మొదటి రకం 508, సీరియల్ VX133, రబ్బరు డెక్ ల్యాండింగ్ పద్ధతులతో ఉపయోగం కోసం ఉద్దేశించిన V- తోక ("సీతాకోకచిలుక") తోకతో అమర్చిన సరళ-రెక్కల జెట్ విమానం, విస్తృత, ఫ్లాట్ ఫ్యూజ్‌లేజ్ మరియు V- తోక ఎంపిక రూపొందించబడింది సాధారణ అండర్ క్యారేజ్ లేకుండా దిగేటప్పుడు తగిన స్థిరత్వం మరియు క్లియరెన్స్‌ను అందించండి. [3] ఇది మొట్టమొదట 31 ఆగస్టు 1951 న ప్రయాణించింది. రెండవ రకం 508 VX136 మొదటి విమానానికి చాలా పోలి ఉంటుంది, అయితే ఇది టైప్ 529 గా పున es రూపకల్పన చేయబడింది మరియు మొదట 29 ఆగస్టు 1952 న ప్రయాణించింది. [4] సూపర్ మేరిన్ యొక్క హర్స్లీ పార్క్ ప్రయోగాత్మక విభాగంలో ఇతరుల మాదిరిగా నిర్మించిన మూడవ రకం 508 VX138, ఉత్పత్తి మార్గంలో స్కిమిటార్ ప్రమాణాలకు దగ్గరగా ఉండేలా సవరించబడింది మరియు 525 టైప్‌ను పున es రూపకల్పన చేసింది. ఈ విమానం విమానం మరియు ఆయుధ ప్రయోగాత్మక స్థాపనకు రహదారి ద్వారా పంపిణీ చేయబడింది (A &amp; AEE . టైప్ 525 రెండు రోల్స్ రాయిస్ అవాన్ టర్బోజెట్స్ చేత శక్తిని పొందింది మరియు 508 టైప్ కంటే రెక్కలపై మరింత పొడవైన ట్రైసైకిల్ అండర్ క్యారేజీతో అమర్చబడింది. దీనికి సాంప్రదాయ తోక మరియు చుక్కాని ఉపరితలాలు మరియు తుడిచిపెట్టిన రెక్కలు ఉన్నాయి. ఇది సెప్టెంబర్ 1954 ఫార్న్‌బరో ఎయిర్‌షోలో మొదటిసారి బహిరంగంగా కనిపించింది. ఈ విమానం 1954 చివరలో హాంప్‌షైర్‌లోని చిల్బోల్టన్ ఎయిర్ఫీల్డ్ వద్ద ఉన్న బేస్ నుండి మరింత పరీక్ష విమానాలను చేసింది. 1955 ప్రారంభంలో, ఫ్లాప్ బ్లోయింగ్ వ్యవస్థ యొక్క సంస్థాపన కోసం దీనిని హర్స్లీ పార్క్ ఫ్యాక్టరీకి రహదారి ద్వారా తీసుకున్నారు. [5] ఇది సురక్షితమైన ల్యాండింగ్ అప్రోచ్ వేగాన్ని తగ్గించడానికి రూపొందించబడింది, ఇది విమాన వాహకాల నుండి సురక్షితమైన ఆపరేషన్ కోసం స్పష్టమైన ప్రయోజనం. ఇది కాటాపుల్ట్ లాంచ్‌లు నిర్వహించే వేగాన్ని కూడా తగ్గించింది. [6] టైప్ 525 లోని ఫ్లాప్ బ్లోయింగ్ సిస్టమ్ ("సూపర్-సర్క్యులేషన్") ఒక ఇంజిన్ కంప్రెసర్ నుండి రక్తస్రావం అయిన అధిక పీడన గాలి యొక్క సన్నని జెట్ను ప్రొజెక్ట్ చేయడానికి ఒక పరికరాన్ని ఉపయోగించింది, ఫ్లాప్ అతుకుల ముందు రెక్కల వెనుకంజలో ఉన్న ఇరుకైన స్లాట్ ద్వారా. కోండ్ ప్రభావం అప్పుడు ఫ్లాప్‌లపై గాలి యొక్క జెట్ను వంగి ఉంటుంది. మెరుగైన లిఫ్ట్ ఫలితంగా విధాన వేగంతో 18 mph తగ్గింపుకు దారితీసింది - క్యారియర్ -ఆధారిత విమానాలకు చాలా ఉపయోగకరంగా ఉంటుంది. [7] రోడ్ ద్వారా చిల్బోల్టన్కు తిరిగి వచ్చిన తరువాత, ఈ విమానం 5 జూలై 1955 న తదుపరి పరీక్షల కోసం A &amp; AEE కి తరలించబడింది. ఈ విమానం జూలై 5 న తక్కువ వేగవంతమైన నిర్వహణ కోసం పరీక్షించబడింది. 10,000 అడుగుల (3,000 మీ) వద్ద, మరియు టేకాఫ్ చేసిన 20 నిమిషాల తర్వాత ఫ్లాట్ స్పిన్ నుండి కోలుకోలేక, ఈ విమానం 3,000 అడుగుల (910 మీ) నుండి బోస్కోంబేకు ఆగ్నేయ రెండు మైళ్ళ దూరంలో తిరుగుతుంది. ఇది అగ్ని మరియు పైలట్ లెఫ్టినెంట్ కమాండర్ టి.ఎ. క్రాష్‌కు ముందే తొలగించిన రికెల్, గాయాలతో మరణించాడు. [8] [9] మొదటి రకం 544 స్కిమిటార్ ప్రోటోటైప్ టైప్ 525 నుండి అనుభవాన్ని కలిగి ఉంది మరియు మొదట 19 జనవరి 1956 న ప్రయాణించింది. [5] 1912 నుండి బ్రిటిష్ ఫైటర్ నుండి వచ్చిన డేటా [10] సాధారణ లక్షణాల పనితీరు</v>
      </c>
      <c r="E38" s="1" t="s">
        <v>825</v>
      </c>
      <c r="F38" s="1" t="s">
        <v>826</v>
      </c>
      <c r="G38" s="1" t="str">
        <f>IFERROR(__xludf.DUMMYFUNCTION("GOOGLETRANSLATE(F:F,""en"", ""te"")"),"ప్రోటోటైప్ నావల్ ఫైటర్")</f>
        <v>ప్రోటోటైప్ నావల్ ఫైటర్</v>
      </c>
      <c r="I38" s="1" t="s">
        <v>480</v>
      </c>
      <c r="J38" s="1" t="str">
        <f>IFERROR(__xludf.DUMMYFUNCTION("GOOGLETRANSLATE(I:I,""en"", ""te"")"),"యునైటెడ్ కింగ్‌డమ్")</f>
        <v>యునైటెడ్ కింగ్‌డమ్</v>
      </c>
      <c r="L38" s="1" t="s">
        <v>827</v>
      </c>
      <c r="M38" s="1" t="str">
        <f>IFERROR(__xludf.DUMMYFUNCTION("GOOGLETRANSLATE(L:L,""en"", ""te"")"),"సూపర్ మెరైన్")</f>
        <v>సూపర్ మెరైన్</v>
      </c>
      <c r="N38" s="2" t="s">
        <v>828</v>
      </c>
      <c r="P38" s="1" t="s">
        <v>829</v>
      </c>
      <c r="Q38" s="1"/>
      <c r="R38" s="1">
        <v>1.0</v>
      </c>
      <c r="S38" s="1">
        <v>1.0</v>
      </c>
      <c r="U38" s="1" t="s">
        <v>830</v>
      </c>
      <c r="Y38" s="1" t="s">
        <v>831</v>
      </c>
      <c r="AA38" s="1" t="s">
        <v>832</v>
      </c>
      <c r="AH38" s="1" t="s">
        <v>833</v>
      </c>
      <c r="AL38" s="1" t="s">
        <v>834</v>
      </c>
      <c r="AO38" s="4">
        <v>19841.0</v>
      </c>
      <c r="AQ38" s="1" t="s">
        <v>835</v>
      </c>
      <c r="AT38" s="1" t="s">
        <v>836</v>
      </c>
      <c r="AU38" s="1" t="s">
        <v>837</v>
      </c>
      <c r="AV38" s="1" t="s">
        <v>838</v>
      </c>
      <c r="AX38" s="1" t="s">
        <v>839</v>
      </c>
      <c r="AY38" s="1" t="s">
        <v>840</v>
      </c>
    </row>
    <row r="39">
      <c r="A39" s="1" t="s">
        <v>841</v>
      </c>
      <c r="B39" s="1" t="str">
        <f>IFERROR(__xludf.DUMMYFUNCTION("GOOGLETRANSLATE(A:A,""en"", ""te"")"),"బీగల్ ఎయిర్‌డేల్")</f>
        <v>బీగల్ ఎయిర్‌డేల్</v>
      </c>
      <c r="C39" s="1" t="s">
        <v>842</v>
      </c>
      <c r="D39" s="1" t="str">
        <f>IFERROR(__xludf.DUMMYFUNCTION("GOOGLETRANSLATE(C:C,""en"", ""te"")"),"బీగల్ A.109 ఎయిర్‌డేల్ 1960 లలో అభివృద్ధి చేయబడిన బ్రిటిష్ లైట్ సివిల్ విమానం. ఎయిర్‌డేల్ నాలుగు-సీట్ల, హై-వింగ్ బ్రాస్డ్ మోనోప్లేన్, ఇది స్థిరమైన, ట్రైసైకిల్ అండర్ క్యారేజీ, ప్రధానంగా స్టీల్ ట్యూబ్ నిర్మాణం మరియు ఫాబ్రిక్ కప్పబడి ఉంది. [1] ఇది మొదట ఆస్టర"&amp;"్ D.8 గా రూపొందించబడింది, ఇది ఆస్టర్ D.6 యొక్క సవరించిన ట్రైసైకిల్ వెర్షన్. అనేక అంశాలలో సమానమైనప్పటికీ, ఎయిర్‌డేల్ మునుపటి ఆస్టర్ C.6 అట్లాంటిక్ డిజైన్ ఆధారంగా లేదు, [2] వీటిలో ఒకే విమానం 1958 లో నిర్మించబడింది మరియు ఎగిరింది (రిజిస్ట్రేషన్ G-AFFT). మొదట"&amp;"ి మూడు [2] డి .8 ఎయిర్‌ఫ్రేమ్‌లు నిర్మాణంలో ఉన్నాయి మరియు కుడి వైపున రెండవ తలుపు జోడించడం, వెనుక క్యాబిన్‌ను విస్తృతం చేయడం, వెనుక ఫ్యూజ్‌లేజ్‌ను పొడిగించడం మరియు తుడిచిపెట్టిన ఫిన్, అలాగే చాలా చిన్న మార్పులను జోడించడం. [3] 1 వ ప్రోటోటైప్ జి-కేర్కే యొక్క "&amp;"మొదటి ఫ్లైట్ తరువాత, మరో ఏడు అభివృద్ధి మరియు ప్రీ-ప్రొడక్షన్ విమానాలు ఎగిరిపోయాయి. [4] మార్పులు కొనసాగుతున్నప్పుడు, ఈ ఎనిమిది విమానాలు పదేపదే సవరించబడ్డాయి మరియు పునర్నిర్మించబడ్డాయి; ఈ మార్పులు నిరంతరం విమానానికి అదనపు బరువును జోడించాయి మరియు ఖర్చులు పోయ"&amp;"ాయి. [5] బరువు గురించి ఆందోళనలు, ""బరువు పెరుగుదల 2-సీట్ల విమానానికి దారితీసింది"" అని సూచించినప్పుడు, డిజైన్ బృందం విస్మరించబడింది. [6] ఎయిర్‌డేల్ యొక్క పనితీరు, అదే ఇంజిన్‌లో D.6 కన్నా వేగంగా ఉన్నప్పటికీ, నిర్ణయాత్మకంగా పేలవంగా ఉంది, ఎక్కువగా అధిక నిర్మ"&amp;"ాణాత్మక బరువు కారణంగా, మరియు అది దాని US పోటీదారులతో మార్కెట్లో పోటీ పడలేకపోయింది. ఇది చాలావరకు-డేటెడ్ స్టీల్ ట్యూబ్/ఫాబ్రిక్ నిర్మాణం కారణంగా ఉంది, [7] మరింత ఆధునిక ఆల్-మెటల్ పైపర్ చెరోకీ మరియు సెస్నా 172 డిజైన్లతో పోలిస్తే, కానీ పనితీరు కూడా అధ్వాన్నంగా"&amp;" ఉంది [5] మరియు ఉత్పత్తి నాణ్యత తక్కువగా ఉంది. [7 సాహస సం మోనోకోక్ పద్ధతుల అభివృద్ధి డిజైన్ వ్యవధిని పొడిగించేటప్పుడు బీగల్ పాత నిర్మాణ పద్ధతిని నిలుపుకున్నాడు; ఎయిర్‌డేల్ కూడా డిజైన్ డ్రాయింగ్‌లలో ప్రారంభించడానికి మొదటి విమానంలో నాలుగున్నర నెలలు పట్టింది"&amp;". [9] ఏదేమైనా, దీని యొక్క ప్రయోజనం తరువాతి దీర్ఘకాలిక అభివృద్ధి కాలం ద్వారా పూర్తిగా కోల్పోయింది. అదనంగా, ఎయిర్‌డేల్ ఉత్పత్తి మనిషి-గంటలు than హించిన దానికంటే ఎక్కువ మరియు తత్ఫలితంగా అమెరికన్ దిగుమతుల కంటే ఎక్కువ ధరతో తయారు చేయడం ఖరీదైనది. [10] [7] విదేశా"&amp;"లలో ఉన్న డీలర్లు బీగల్-మైల్స్ M.218 కోసం ఏజెంట్లుగా నియమించబడాలని వారు కోరుకున్నందున, వారు ప్రదర్శనకారుడు ఎయిర్‌డేల్ కొనుగోలు చేయడానికి మాత్రమే అంగీకరించారని కూడా నివేదించబడింది, వారు మరింత విక్రయించదగినదిగా భావించారు. [11] ఒకే ఎయిర్‌డేల్, మొదటి ప్రోటోటైప"&amp;"్ (రిజిస్ట్రేషన్ జి-కేర్కే) 180 హెచ్‌పి (134 కిలోవాట్ ఎయిర్‌షో, యుఎస్ నిర్మించిన లైమింగ్ ఓ -360 ఇంజిన్ కారణంగా ప్రామాణిక ఎయిర్‌డేల్ అర్హత లేదు. ఈ మోడల్ A.111 గా నియమించబడింది. ఈ ఇంజిన్ వారి కొత్త లైసెన్స్ ఒప్పందం ప్రకారం రోల్స్ రాయిస్ చేత తయారు చేయబడింది,"&amp;" కాని ఇంజిన్ USA నుండి వచ్చింది. [12] ఈ వ్యయం ప్రచారం ద్వారా సమర్థించబడుతుందా, మరియు పనితీరు అధ్వాన్నంగా ఉంది. [13] ఎయిర్‌డేల్ యొక్క ఉత్పత్తి 1963 లో కేవలం 43 విమానాల ఉత్పత్తి తరువాత ఆగిపోయింది, బ్రేక్-ఈవెన్ ఫిగర్ 675 విమానాల వలె ఎక్కువగా ఉంటుందని లెక్కిం"&amp;"చినప్పుడు. [10] ఎయిర్‌డేల్ 6,900 మ్యాన్-గంటలు మరియు కార్మిక ఛార్జీలలో 8 2,037 ను తీసుకుంది, అమ్మకపు ధర £ 5,000 కంటే తక్కువ; [14] 1963 లో ఒక దశలో, బీగ్‌కు 20 అమ్ముడుపోయే ఎయిర్‌డేల్స్ ఉన్నాయి. [7] ఎయిర్‌డేల్ మరియు ది టెర్రియర్ రెండూ బీగల్ చేత స్టాప్-గ్యాప్‌"&amp;"లచే నిర్మించబడ్డాయి, అయితే మరింత ఆధునిక విమానాలు రూపొందించబడ్డాయి, కాని రెండూ గణనీయమైన నష్టాలను ఎదుర్కొన్నాయి, ఎయిర్‌డేల్ విషయంలో దాదాపు, 000 500,000. [15] మొదటి 25 విమానాలను దాటి ఉత్పత్తిని కొనసాగించడానికి 1962 లో ఒక నిర్ణయం ఛైర్మన్ పీటర్ మాస్‌ఫీల్డ్ యొక"&amp;"్క ఆశావాద దృక్పథం మరియు అంచనాల కారణంగా మాత్రమే జరిగిందని తెలుస్తుంది. [10] [15] 1919 వాల్యూమ్ I [16] నుండి బ్రిటిష్ సివిల్ ఎయిర్క్రాఫ్ట్ నుండి డేటా పోల్చదగిన పాత్ర, కాన్ఫిగరేషన్ మరియు ERA యొక్క సాధారణ లక్షణాలు పనితీరు విమానం")</f>
        <v>బీగల్ A.109 ఎయిర్‌డేల్ 1960 లలో అభివృద్ధి చేయబడిన బ్రిటిష్ లైట్ సివిల్ విమానం. ఎయిర్‌డేల్ నాలుగు-సీట్ల, హై-వింగ్ బ్రాస్డ్ మోనోప్లేన్, ఇది స్థిరమైన, ట్రైసైకిల్ అండర్ క్యారేజీ, ప్రధానంగా స్టీల్ ట్యూబ్ నిర్మాణం మరియు ఫాబ్రిక్ కప్పబడి ఉంది. [1] ఇది మొదట ఆస్టర్ D.8 గా రూపొందించబడింది, ఇది ఆస్టర్ D.6 యొక్క సవరించిన ట్రైసైకిల్ వెర్షన్. అనేక అంశాలలో సమానమైనప్పటికీ, ఎయిర్‌డేల్ మునుపటి ఆస్టర్ C.6 అట్లాంటిక్ డిజైన్ ఆధారంగా లేదు, [2] వీటిలో ఒకే విమానం 1958 లో నిర్మించబడింది మరియు ఎగిరింది (రిజిస్ట్రేషన్ G-AFFT). మొదటి మూడు [2] డి .8 ఎయిర్‌ఫ్రేమ్‌లు నిర్మాణంలో ఉన్నాయి మరియు కుడి వైపున రెండవ తలుపు జోడించడం, వెనుక క్యాబిన్‌ను విస్తృతం చేయడం, వెనుక ఫ్యూజ్‌లేజ్‌ను పొడిగించడం మరియు తుడిచిపెట్టిన ఫిన్, అలాగే చాలా చిన్న మార్పులను జోడించడం. [3] 1 వ ప్రోటోటైప్ జి-కేర్కే యొక్క మొదటి ఫ్లైట్ తరువాత, మరో ఏడు అభివృద్ధి మరియు ప్రీ-ప్రొడక్షన్ విమానాలు ఎగిరిపోయాయి. [4] మార్పులు కొనసాగుతున్నప్పుడు, ఈ ఎనిమిది విమానాలు పదేపదే సవరించబడ్డాయి మరియు పునర్నిర్మించబడ్డాయి; ఈ మార్పులు నిరంతరం విమానానికి అదనపు బరువును జోడించాయి మరియు ఖర్చులు పోయాయి. [5] బరువు గురించి ఆందోళనలు, "బరువు పెరుగుదల 2-సీట్ల విమానానికి దారితీసింది" అని సూచించినప్పుడు, డిజైన్ బృందం విస్మరించబడింది. [6] ఎయిర్‌డేల్ యొక్క పనితీరు, అదే ఇంజిన్‌లో D.6 కన్నా వేగంగా ఉన్నప్పటికీ, నిర్ణయాత్మకంగా పేలవంగా ఉంది, ఎక్కువగా అధిక నిర్మాణాత్మక బరువు కారణంగా, మరియు అది దాని US పోటీదారులతో మార్కెట్లో పోటీ పడలేకపోయింది. ఇది చాలావరకు-డేటెడ్ స్టీల్ ట్యూబ్/ఫాబ్రిక్ నిర్మాణం కారణంగా ఉంది, [7] మరింత ఆధునిక ఆల్-మెటల్ పైపర్ చెరోకీ మరియు సెస్నా 172 డిజైన్లతో పోలిస్తే, కానీ పనితీరు కూడా అధ్వాన్నంగా ఉంది [5] మరియు ఉత్పత్తి నాణ్యత తక్కువగా ఉంది. [7 సాహస సం మోనోకోక్ పద్ధతుల అభివృద్ధి డిజైన్ వ్యవధిని పొడిగించేటప్పుడు బీగల్ పాత నిర్మాణ పద్ధతిని నిలుపుకున్నాడు; ఎయిర్‌డేల్ కూడా డిజైన్ డ్రాయింగ్‌లలో ప్రారంభించడానికి మొదటి విమానంలో నాలుగున్నర నెలలు పట్టింది. [9] ఏదేమైనా, దీని యొక్క ప్రయోజనం తరువాతి దీర్ఘకాలిక అభివృద్ధి కాలం ద్వారా పూర్తిగా కోల్పోయింది. అదనంగా, ఎయిర్‌డేల్ ఉత్పత్తి మనిషి-గంటలు than హించిన దానికంటే ఎక్కువ మరియు తత్ఫలితంగా అమెరికన్ దిగుమతుల కంటే ఎక్కువ ధరతో తయారు చేయడం ఖరీదైనది. [10] [7] విదేశాలలో ఉన్న డీలర్లు బీగల్-మైల్స్ M.218 కోసం ఏజెంట్లుగా నియమించబడాలని వారు కోరుకున్నందున, వారు ప్రదర్శనకారుడు ఎయిర్‌డేల్ కొనుగోలు చేయడానికి మాత్రమే అంగీకరించారని కూడా నివేదించబడింది, వారు మరింత విక్రయించదగినదిగా భావించారు. [11] ఒకే ఎయిర్‌డేల్, మొదటి ప్రోటోటైప్ (రిజిస్ట్రేషన్ జి-కేర్కే) 180 హెచ్‌పి (134 కిలోవాట్ ఎయిర్‌షో, యుఎస్ నిర్మించిన లైమింగ్ ఓ -360 ఇంజిన్ కారణంగా ప్రామాణిక ఎయిర్‌డేల్ అర్హత లేదు. ఈ మోడల్ A.111 గా నియమించబడింది. ఈ ఇంజిన్ వారి కొత్త లైసెన్స్ ఒప్పందం ప్రకారం రోల్స్ రాయిస్ చేత తయారు చేయబడింది, కాని ఇంజిన్ USA నుండి వచ్చింది. [12] ఈ వ్యయం ప్రచారం ద్వారా సమర్థించబడుతుందా, మరియు పనితీరు అధ్వాన్నంగా ఉంది. [13] ఎయిర్‌డేల్ యొక్క ఉత్పత్తి 1963 లో కేవలం 43 విమానాల ఉత్పత్తి తరువాత ఆగిపోయింది, బ్రేక్-ఈవెన్ ఫిగర్ 675 విమానాల వలె ఎక్కువగా ఉంటుందని లెక్కించినప్పుడు. [10] ఎయిర్‌డేల్ 6,900 మ్యాన్-గంటలు మరియు కార్మిక ఛార్జీలలో 8 2,037 ను తీసుకుంది, అమ్మకపు ధర £ 5,000 కంటే తక్కువ; [14] 1963 లో ఒక దశలో, బీగ్‌కు 20 అమ్ముడుపోయే ఎయిర్‌డేల్స్ ఉన్నాయి. [7] ఎయిర్‌డేల్ మరియు ది టెర్రియర్ రెండూ బీగల్ చేత స్టాప్-గ్యాప్‌లచే నిర్మించబడ్డాయి, అయితే మరింత ఆధునిక విమానాలు రూపొందించబడ్డాయి, కాని రెండూ గణనీయమైన నష్టాలను ఎదుర్కొన్నాయి, ఎయిర్‌డేల్ విషయంలో దాదాపు, 000 500,000. [15] మొదటి 25 విమానాలను దాటి ఉత్పత్తిని కొనసాగించడానికి 1962 లో ఒక నిర్ణయం ఛైర్మన్ పీటర్ మాస్‌ఫీల్డ్ యొక్క ఆశావాద దృక్పథం మరియు అంచనాల కారణంగా మాత్రమే జరిగిందని తెలుస్తుంది. [10] [15] 1919 వాల్యూమ్ I [16] నుండి బ్రిటిష్ సివిల్ ఎయిర్క్రాఫ్ట్ నుండి డేటా పోల్చదగిన పాత్ర, కాన్ఫిగరేషన్ మరియు ERA యొక్క సాధారణ లక్షణాలు పనితీరు విమానం</v>
      </c>
      <c r="E39" s="1" t="s">
        <v>843</v>
      </c>
      <c r="F39" s="1" t="s">
        <v>844</v>
      </c>
      <c r="G39" s="1" t="str">
        <f>IFERROR(__xludf.DUMMYFUNCTION("GOOGLETRANSLATE(F:F,""en"", ""te"")"),"సివిల్ యుటిలిటీ విమానం")</f>
        <v>సివిల్ యుటిలిటీ విమానం</v>
      </c>
      <c r="I39" s="1" t="s">
        <v>480</v>
      </c>
      <c r="J39" s="1" t="str">
        <f>IFERROR(__xludf.DUMMYFUNCTION("GOOGLETRANSLATE(I:I,""en"", ""te"")"),"యునైటెడ్ కింగ్‌డమ్")</f>
        <v>యునైటెడ్ కింగ్‌డమ్</v>
      </c>
      <c r="L39" s="1" t="s">
        <v>845</v>
      </c>
      <c r="M39" s="1" t="str">
        <f>IFERROR(__xludf.DUMMYFUNCTION("GOOGLETRANSLATE(L:L,""en"", ""te"")"),"ఆస్టర్ బీగల్ విమానం")</f>
        <v>ఆస్టర్ బీగల్ విమానం</v>
      </c>
      <c r="N39" s="1" t="s">
        <v>846</v>
      </c>
      <c r="R39" s="1">
        <v>43.0</v>
      </c>
      <c r="S39" s="1">
        <v>1.0</v>
      </c>
      <c r="T39" s="1" t="s">
        <v>847</v>
      </c>
      <c r="U39" s="1" t="s">
        <v>848</v>
      </c>
      <c r="V39" s="1" t="s">
        <v>849</v>
      </c>
      <c r="W39" s="1" t="s">
        <v>850</v>
      </c>
      <c r="X39" s="1" t="s">
        <v>851</v>
      </c>
      <c r="Y39" s="1" t="s">
        <v>852</v>
      </c>
      <c r="Z39" s="1" t="s">
        <v>853</v>
      </c>
      <c r="AA39" s="1" t="s">
        <v>854</v>
      </c>
      <c r="AB39" s="1" t="s">
        <v>855</v>
      </c>
      <c r="AD39" s="1" t="s">
        <v>357</v>
      </c>
      <c r="AE39" s="1" t="s">
        <v>856</v>
      </c>
      <c r="AH39" s="1" t="s">
        <v>857</v>
      </c>
      <c r="AI39" s="1" t="s">
        <v>858</v>
      </c>
      <c r="AK39" s="1" t="s">
        <v>859</v>
      </c>
      <c r="AL39" s="1" t="s">
        <v>860</v>
      </c>
      <c r="AO39" s="4">
        <v>22387.0</v>
      </c>
      <c r="AQ39" s="1" t="s">
        <v>861</v>
      </c>
      <c r="AU39" s="1" t="s">
        <v>862</v>
      </c>
      <c r="AV39" s="1" t="s">
        <v>863</v>
      </c>
      <c r="AW39" s="1" t="s">
        <v>864</v>
      </c>
      <c r="BD39" s="1">
        <v>6.9</v>
      </c>
    </row>
    <row r="40">
      <c r="A40" s="1" t="s">
        <v>865</v>
      </c>
      <c r="B40" s="1" t="str">
        <f>IFERROR(__xludf.DUMMYFUNCTION("GOOGLETRANSLATE(A:A,""en"", ""te"")"),"బేడే BD-4")</f>
        <v>బేడే BD-4</v>
      </c>
      <c r="C40" s="1" t="s">
        <v>866</v>
      </c>
      <c r="D40" s="1" t="str">
        <f>IFERROR(__xludf.DUMMYFUNCTION("GOOGLETRANSLATE(C:C,""en"", ""te"")"),"బేడే BD-4 అనేది ఒక అమెరికన్ లైట్ విమానం, ఇది జిమ్ బేడే హోమ్‌బిల్డింగ్ కోసం రూపొందించబడింది మరియు 1968 నుండి అందుబాటులో ఉంది. ఇది కిట్ రూపంలో అందించిన మొదటి హోమ్‌బిల్ట్ విమానం. [1] ఇది ప్రపంచంలోని అత్యంత ప్రాచుర్యం పొందిన హోమ్‌బాయిట్‌లలో ఒకటిగా ఉంది మరియు "&amp;"వేలాది ప్రణాళికలు మరియు వందలాది ఉదాహరణలు ఇప్పటి వరకు పూర్తయ్యాయి. వినూత్న తేలికపాటి విమానాలతో అతని మునుపటి పని ఆధారంగా, BD-1 (చివరికి అమెరికన్ ఏవియేషన్ AA-1 యాంకీగా అభివృద్ధి చెందింది) మరియు BD-2 గా అభివృద్ధి చెందింది, జిమ్ బేడే BD-4 ను ప్రపంచంలోని మొట్టమ"&amp;"ొదటి నిజమైన ""కిట్‌ప్లేన్"" గా రూపొందించారు. ఈ డిజైన్ సాంప్రదాయిక రూపకల్పన యొక్క హై-వింగ్ కాంటిలివర్ మోనోప్లేన్ ఆధారంగా రూపొందించబడింది, ఇది టెయిల్‌వీల్ లేదా ట్రైసైకిల్ అండర్ క్యారేజీతో అమర్చగలదు. విమానం నిర్మించేటప్పుడు, రెండు-సీట్ల లేదా నాలుగు-సీట్ల సంస"&amp;"్కరణల మధ్య ఎంచుకోవడం కూడా సాధ్యమే. తక్కువ లేదా కల్పిత అనుభవం ఉన్నవారికి సమగ్ర ప్రణాళికల సమితితో ప్రారంభించడానికి మరియు బోల్ట్-కలెర్ ఆపరేషన్ వరకు పని చేయడం దీని ఉద్దేశ్యం, దీనిలో ఫ్యాక్టరీ నుండి సంక్లిష్ట భాగాలు అందించబడ్డాయి. నిర్మాణాన్ని సరళీకృతం చేయడాని"&amp;"కి, కొన్ని వక్ర ఉపరితలాలు ఉన్నాయి మరియు చాలా ఫ్యూజ్‌లేజ్ ఫ్లాట్ అల్యూమినియం షీటింగ్‌తో రూపొందించబడింది. కాంపౌండ్ వక్రతలతో కూడిన ఏకైక ప్రధాన భాగాలు ఇంజిన్ కౌలింగ్ మరియు ల్యాండింగ్ గేర్ స్పాట్స్, ఇవి ఫైబర్‌గ్లాస్‌తో తయారు చేయబడ్డాయి. ఫ్యూజ్‌లేజ్ అల్యూమినియం"&amp;" యాంగిల్ కలుపులతో నిర్మించబడింది, కలిసి ట్రస్ ఫ్రేమ్‌ను ఏర్పరుస్తుంది. [2] BD-4 యొక్క ఒక వినూత్న లక్షణం రెక్కల నిర్మాణం, ఇది విభాగాలలో నిర్మించిన 'ప్యానెల్-రిబ్' ను ఉపయోగించింది, వీటిని పక్కటెముకతో కలిగి ఉంది, దీని ఎగువ అంచుని అడ్డంగా విస్తరించి రెక్క ఉపర"&amp;"ితలం యొక్క ఒక విభాగంగా మారుతుంది. ఈ విభాగాలను గొట్టపు స్పార్ మీద జారడం ద్వారా మరియు వారు కలుసుకున్న చోట వాటిని కట్టుకోవడం ద్వారా రెక్క క్రమంగా నిర్మించబడింది. విమానం కొంతకాలంగా సేవలో ఉండే వరకు ప్యానెల్-రిబ్ నిర్మాణానికి ఒక ఇబ్బంది గమనించబడలేదు. ప్యానెల్లు"&amp;" కలిసి అతుక్కొని ఉన్నందున, అవి రివెట్స్ ఉపయోగించి సాంప్రదాయిక వ్యవస్థల మాదిరిగా కాకుండా ద్రవ-గట్టి బంధాన్ని ఏర్పరుస్తాయి. ఇంధనాన్ని పట్టుకోవటానికి ప్రత్యేక ట్యాంక్‌ను ఉపయోగించటానికి బదులుగా, బిల్డర్లు పక్కటెముకలలో రంధ్రాలు వేయారు, ట్యాంక్ ఏర్పడటానికి విభా"&amp;"గాలను అనుసంధానించడానికి. సేవలో, సరికాని ముద్రలు మరియు రెక్క యొక్క సహజ వంగడం వంటి సమస్యల కారణంగా లీక్‌లు అనివార్యంగా అభివృద్ధి చెందాయని కనుగొనబడింది. [3] బెడ్‌కార్ప్ తరువాత బిడి -4 సిలో ప్రత్యేక ఇంధన ట్యాంకులతో మరింత సాంప్రదాయిక వ్యవస్థను ఉపయోగించడానికి రె"&amp;"క్కను పున es రూపకల్పన చేసింది. [4] అసలు వింగ్ డిజైన్ నిర్మించడం సులభం అయినప్పటికీ, ఇటీవలి BD-4B లో పున es రూపకల్పన చేయబడిన, మరింత సాంప్రదాయిక, లోహ వింగ్ ను తేనెగూడు పక్కటెముకలతో బంధం కలిగి ఉంది. [5] యునైటెడ్ స్టేట్స్ లోని ఒహియోలోని మదీనాకు చెందిన బెడ్‌కార"&amp;"్ప్ నుండి ఈ విమానం 2017 లో te త్సాహిక నిర్మాణానికి ప్రణాళికలుగా అందుబాటులో ఉంది. [6] బేడే 165 పేజీల BD-4 బిల్డర్ యొక్క పుస్తకం ""బిల్డ్ యువర్ ఓన్ విమానాన్ని"" రాశాడు, te త్సాహిక బిల్డర్‌కు నిర్మాణ పద్ధతులపై మంచి దృక్పథాన్ని ఇచ్చాడు. [7] కిట్‌ప్లాన్‌ల నుండ"&amp;"ి డేటా మరియు అసంపూర్ణ గైడ్ టు ఎయిర్‌ఫాయిల్ వాడకం [8] [9] పోల్చదగిన పాత్ర, కాన్ఫిగరేషన్ మరియు ERA యొక్క సాధారణ లక్షణాలు పనితీరు విమానం")</f>
        <v>బేడే BD-4 అనేది ఒక అమెరికన్ లైట్ విమానం, ఇది జిమ్ బేడే హోమ్‌బిల్డింగ్ కోసం రూపొందించబడింది మరియు 1968 నుండి అందుబాటులో ఉంది. ఇది కిట్ రూపంలో అందించిన మొదటి హోమ్‌బిల్ట్ విమానం. [1] ఇది ప్రపంచంలోని అత్యంత ప్రాచుర్యం పొందిన హోమ్‌బాయిట్‌లలో ఒకటిగా ఉంది మరియు వేలాది ప్రణాళికలు మరియు వందలాది ఉదాహరణలు ఇప్పటి వరకు పూర్తయ్యాయి. వినూత్న తేలికపాటి విమానాలతో అతని మునుపటి పని ఆధారంగా, BD-1 (చివరికి అమెరికన్ ఏవియేషన్ AA-1 యాంకీగా అభివృద్ధి చెందింది) మరియు BD-2 గా అభివృద్ధి చెందింది, జిమ్ బేడే BD-4 ను ప్రపంచంలోని మొట్టమొదటి నిజమైన "కిట్‌ప్లేన్" గా రూపొందించారు. ఈ డిజైన్ సాంప్రదాయిక రూపకల్పన యొక్క హై-వింగ్ కాంటిలివర్ మోనోప్లేన్ ఆధారంగా రూపొందించబడింది, ఇది టెయిల్‌వీల్ లేదా ట్రైసైకిల్ అండర్ క్యారేజీతో అమర్చగలదు. విమానం నిర్మించేటప్పుడు, రెండు-సీట్ల లేదా నాలుగు-సీట్ల సంస్కరణల మధ్య ఎంచుకోవడం కూడా సాధ్యమే. తక్కువ లేదా కల్పిత అనుభవం ఉన్నవారికి సమగ్ర ప్రణాళికల సమితితో ప్రారంభించడానికి మరియు బోల్ట్-కలెర్ ఆపరేషన్ వరకు పని చేయడం దీని ఉద్దేశ్యం, దీనిలో ఫ్యాక్టరీ నుండి సంక్లిష్ట భాగాలు అందించబడ్డాయి. నిర్మాణాన్ని సరళీకృతం చేయడానికి, కొన్ని వక్ర ఉపరితలాలు ఉన్నాయి మరియు చాలా ఫ్యూజ్‌లేజ్ ఫ్లాట్ అల్యూమినియం షీటింగ్‌తో రూపొందించబడింది. కాంపౌండ్ వక్రతలతో కూడిన ఏకైక ప్రధాన భాగాలు ఇంజిన్ కౌలింగ్ మరియు ల్యాండింగ్ గేర్ స్పాట్స్, ఇవి ఫైబర్‌గ్లాస్‌తో తయారు చేయబడ్డాయి. ఫ్యూజ్‌లేజ్ అల్యూమినియం యాంగిల్ కలుపులతో నిర్మించబడింది, కలిసి ట్రస్ ఫ్రేమ్‌ను ఏర్పరుస్తుంది. [2] BD-4 యొక్క ఒక వినూత్న లక్షణం రెక్కల నిర్మాణం, ఇది విభాగాలలో నిర్మించిన 'ప్యానెల్-రిబ్' ను ఉపయోగించింది, వీటిని పక్కటెముకతో కలిగి ఉంది, దీని ఎగువ అంచుని అడ్డంగా విస్తరించి రెక్క ఉపరితలం యొక్క ఒక విభాగంగా మారుతుంది. ఈ విభాగాలను గొట్టపు స్పార్ మీద జారడం ద్వారా మరియు వారు కలుసుకున్న చోట వాటిని కట్టుకోవడం ద్వారా రెక్క క్రమంగా నిర్మించబడింది. విమానం కొంతకాలంగా సేవలో ఉండే వరకు ప్యానెల్-రిబ్ నిర్మాణానికి ఒక ఇబ్బంది గమనించబడలేదు. ప్యానెల్లు కలిసి అతుక్కొని ఉన్నందున, అవి రివెట్స్ ఉపయోగించి సాంప్రదాయిక వ్యవస్థల మాదిరిగా కాకుండా ద్రవ-గట్టి బంధాన్ని ఏర్పరుస్తాయి. ఇంధనాన్ని పట్టుకోవటానికి ప్రత్యేక ట్యాంక్‌ను ఉపయోగించటానికి బదులుగా, బిల్డర్లు పక్కటెముకలలో రంధ్రాలు వేయారు, ట్యాంక్ ఏర్పడటానికి విభాగాలను అనుసంధానించడానికి. సేవలో, సరికాని ముద్రలు మరియు రెక్క యొక్క సహజ వంగడం వంటి సమస్యల కారణంగా లీక్‌లు అనివార్యంగా అభివృద్ధి చెందాయని కనుగొనబడింది. [3] బెడ్‌కార్ప్ తరువాత బిడి -4 సిలో ప్రత్యేక ఇంధన ట్యాంకులతో మరింత సాంప్రదాయిక వ్యవస్థను ఉపయోగించడానికి రెక్కను పున es రూపకల్పన చేసింది. [4] అసలు వింగ్ డిజైన్ నిర్మించడం సులభం అయినప్పటికీ, ఇటీవలి BD-4B లో పున es రూపకల్పన చేయబడిన, మరింత సాంప్రదాయిక, లోహ వింగ్ ను తేనెగూడు పక్కటెముకలతో బంధం కలిగి ఉంది. [5] యునైటెడ్ స్టేట్స్ లోని ఒహియోలోని మదీనాకు చెందిన బెడ్‌కార్ప్ నుండి ఈ విమానం 2017 లో te త్సాహిక నిర్మాణానికి ప్రణాళికలుగా అందుబాటులో ఉంది. [6] బేడే 165 పేజీల BD-4 బిల్డర్ యొక్క పుస్తకం "బిల్డ్ యువర్ ఓన్ విమానాన్ని" రాశాడు, te త్సాహిక బిల్డర్‌కు నిర్మాణ పద్ధతులపై మంచి దృక్పథాన్ని ఇచ్చాడు. [7] కిట్‌ప్లాన్‌ల నుండి డేటా మరియు అసంపూర్ణ గైడ్ టు ఎయిర్‌ఫాయిల్ వాడకం [8] [9] పోల్చదగిన పాత్ర, కాన్ఫిగరేషన్ మరియు ERA యొక్క సాధారణ లక్షణాలు పనితీరు విమానం</v>
      </c>
      <c r="E40" s="1" t="s">
        <v>867</v>
      </c>
      <c r="F40" s="1" t="s">
        <v>868</v>
      </c>
      <c r="G40" s="1" t="str">
        <f>IFERROR(__xludf.DUMMYFUNCTION("GOOGLETRANSLATE(F:F,""en"", ""te"")"),"గజ్జి")</f>
        <v>గజ్జి</v>
      </c>
      <c r="L40" s="1" t="s">
        <v>869</v>
      </c>
      <c r="M40" s="1" t="str">
        <f>IFERROR(__xludf.DUMMYFUNCTION("GOOGLETRANSLATE(L:L,""en"", ""te"")"),"హోమ్‌బిల్డింగ్ కోసం బెడ్‌కార్ప్")</f>
        <v>హోమ్‌బిల్డింగ్ కోసం బెడ్‌కార్ప్</v>
      </c>
      <c r="N40" s="1" t="s">
        <v>870</v>
      </c>
      <c r="O40" s="1">
        <v>1968.0</v>
      </c>
      <c r="S40" s="1" t="s">
        <v>164</v>
      </c>
      <c r="T40" s="1" t="s">
        <v>587</v>
      </c>
      <c r="U40" s="1" t="s">
        <v>871</v>
      </c>
      <c r="W40" s="1" t="s">
        <v>872</v>
      </c>
      <c r="X40" s="1" t="s">
        <v>873</v>
      </c>
      <c r="Y40" s="1" t="s">
        <v>874</v>
      </c>
      <c r="Z40" s="1" t="s">
        <v>875</v>
      </c>
      <c r="AA40" s="1" t="s">
        <v>876</v>
      </c>
      <c r="AB40" s="1" t="s">
        <v>877</v>
      </c>
      <c r="AD40" s="1" t="s">
        <v>878</v>
      </c>
      <c r="AE40" s="1" t="s">
        <v>292</v>
      </c>
      <c r="AG40" s="1" t="s">
        <v>208</v>
      </c>
      <c r="AH40" s="1" t="s">
        <v>879</v>
      </c>
      <c r="AI40" s="1" t="s">
        <v>600</v>
      </c>
      <c r="AK40" s="1" t="s">
        <v>880</v>
      </c>
      <c r="AM40" s="1" t="s">
        <v>881</v>
      </c>
      <c r="AN40" s="1" t="s">
        <v>882</v>
      </c>
      <c r="AO40" s="1">
        <v>1968.0</v>
      </c>
      <c r="AU40" s="1" t="s">
        <v>883</v>
      </c>
      <c r="AV40" s="2" t="s">
        <v>884</v>
      </c>
      <c r="AW40" s="1" t="s">
        <v>885</v>
      </c>
    </row>
    <row r="41">
      <c r="A41" s="1" t="s">
        <v>886</v>
      </c>
      <c r="B41" s="1" t="str">
        <f>IFERROR(__xludf.DUMMYFUNCTION("GOOGLETRANSLATE(A:A,""en"", ""te"")"),"పెద్ద దుర్వాసన (విమానం)")</f>
        <v>పెద్ద దుర్వాసన (విమానం)</v>
      </c>
      <c r="C41" s="1" t="s">
        <v>887</v>
      </c>
      <c r="D41" s="1" t="str">
        <f>IFERROR(__xludf.DUMMYFUNCTION("GOOGLETRANSLATE(C:C,""en"", ""te"")"),"బిగ్ స్టింక్-తరువాత డేవ్స్ డ్రీం అని పేరు మార్చబడింది-యునైటెడ్ స్టేట్స్ ఆర్మీ ఎయిర్ ఫోర్సెస్ బోయింగ్ B-29-40-MO సూపర్‌ఫోర్ట్రెస్ బాంబర్ (విక్టర్ నంబర్ 90), ఆగష్టు 9, 1945 న జపాన్‌లోని నాగసాకిపై అణు బాంబు దాడిలో పాల్గొంది. 393 డి బాంబ్ స్క్వాడ్రన్, 509 వ మ"&amp;"ిశ్రమ సమూహం, బాంబు పేలుడు మరియు ప్రభావాలను ఫోటో తీయడానికి మరియు శాస్త్రీయ పరిశీలకులను తీసుకువెళ్ళడానికి బాంబు పెంచే B-29 బోక్‌స్కార్‌కు మద్దతుగా ఇది కెమెరా విమానంగా ఉపయోగించబడింది. ఈ మిషన్‌ను క్రూ సి -14 ఎగురవేశారు, కాని గ్రూప్ ఆపరేషన్స్ ఆఫీసర్ మేజర్ జేమ్"&amp;"స్ I. హాప్కిన్స్, జూనియర్, విమాన కమాండర్‌గా. ప్రాజెక్ట్ అల్బెర్టాకు చెందిన రాబర్ట్ సెర్బర్‌ను విమానం విడిచిపెట్టమని మేజర్ హాప్కిన్స్ ఆదేశించినప్పుడు విక్టర్ 90 సహాయక సభ్యులలో ఒకరు లేకుండా మిగిలిపోయింది-బి -29 అప్పటికే రన్‌వేపై టాక్సీ చేసిన తర్వాత-శాస్త్రవ"&amp;"ేత్త తన పారాచూట్‌ను మరచిపోయాడు. హై-స్పీడ్ కెమెరాను ఎలా ఆపరేట్ చేయాలో తెలిసిన ఏకైక సిబ్బంది సెర్బెర్ కాబట్టి, హాప్కిన్స్ దాని ఉపయోగంలో టినియన్ నుండి రేడియో ద్వారా సూచించవలసి వచ్చింది. స్ట్రైక్ ఫ్లైట్ యొక్క మిగిలిన భాగాలతో ఈ విమానం తన రెండెజౌస్‌ను తయారు చేయ"&amp;"డంలో విఫలమైంది, అది లేకుండా మిషన్‌ను పూర్తి చేసింది. అయితే ఇది పేలుడు యొక్క ప్రభావాలను ఫోటో తీయడానికి నాగసాకి వద్దకు చేరుకుంది - అయితే 30,000 అడుగుల (9,144 మీటర్లు) కంటే 39,000 అడుగుల (11,877 మీటర్లు) ఎత్తులో ఉంది - తరువాత ఒకినావాలోని యోంటన్ ఎయిర్ఫీల్డ్ వ"&amp;"ద్ద కోలుకుంది మరియు బోక్‌స్కార్ మరియు రెండింటిలోనూ కోలుకుంది B-29 గొప్ప కళాకారుడు. B-29-40-MO 44-27354 నెబ్రాస్కాలోని ఒమాహాలోని గ్లెన్ ఎల్. మే 1945 లో క్రూ ఎ -5 (లెఫ్టినెంట్ కల్నల్ థామస్ జె. యూనిట్-కేటాయించిన గుర్తింపు) సంఖ్య 10 కానీ 1 ఆగస్టు 1945 న 6 వ బ"&amp;"ాంబు పాలన సమూహం యొక్క సర్కిల్ ఆర్ టెయిల్ గుర్తులు భద్రతా కొలతగా ఇవ్వబడ్డాయి మరియు అసలు 6 వ బాంబు పాలన సమూహ విమానంతో తప్పుగా గుర్తించకుండా ఉండటానికి దాని విక్టర్ 90 కి మార్చారు. 23 జూలై 1945 న, కల్నల్ పాల్ టిబ్బెట్స్‌తో నియంత్రణలో, దాని రాడార్ ఆల్టైమీటర్ డ"&amp;"ిటోనేటర్లను పరీక్షించడానికి టినియన్ నుండి డమ్మీ ""చిన్న పిల్లవాడు"" అణు బాంబు అసెంబ్లీని వదిలివేసింది. 6 ఆగస్టు 1945 న, ఈ విమానం క్రూ బి -8 (మొదటి లెఫ్టినెంట్ చార్లెస్ మెక్‌నైట్ చేత ఆదేశించబడింది) బ్యాకప్ స్పేర్‌గా ఎగురవేయబడింది, కాని విమానంలో ఉన్న అన్ని "&amp;"విమానాలు కొనసాగినప్పుడు ఇవో జిమాలో దిగారు. నాగసాకి మిషన్ తరువాత ఈ విమానం క్రూ సి -12 (కెప్టెన్ కెప్టెన్ హర్మన్ ఎస్. బిగ్ స్టింక్ 12 ట్రైనింగ్ అండ్ ప్రాక్టీస్ మిషన్లు, మరియు రెండు పోరాట మిషన్లు నాగోకా మరియు జపాన్లోని నాగోకా మరియు హిటాచీలలో పారిశ్రామిక లక్ష"&amp;"్యాలపై గుమ్మడికాయ బాంబులను వదలడానికి ప్రయాణించారు, రెండూ క్లాసెన్ మరియు క్రూ ఎ -5 చేత ఎగిరిపోయాయి. మిగతా 393 డి బాంబుడు స్క్వాడ్రన్ B-29 కంటే కార్యాచరణ మిషన్లలో ఎక్కువ మంది సిబ్బంది (15 లో తొమ్మిది) పెద్ద దుర్వాసనను ఎగురవేశారు. రెండవ ప్రపంచ యుద్ధం తరువాత,"&amp;" బిగ్ స్టింక్ రోస్వెల్ ఆర్మీ ఎయిర్ ఫీల్డ్‌లో 509 వ మిశ్రమ సమూహంతో పనిచేశారు. ఏప్రిల్ 1946 లో దీనిని ఆపరేషన్ క్రాస్‌రోడ్స్‌కు కేటాయించారు మరియు న్యూ మెక్సికోలోని అల్బుకెర్కీ సమీపంలో 7 మార్చి 1946 న మరో బి -29 ప్రమాదంలో మరణించిన బొంబార్డియర్ కెప్టెన్ డేవిడ్"&amp;" సెంపెల్ గౌరవార్థం డేవ్ డ్రీం పేరు మార్చారు. మాన్హాటన్ ప్రాజెక్ట్ కోసం 155 టెస్ట్ చుక్కలలో సెంపుల్ బొంబార్డియర్. 1 జూలై 1946 న, డేవ్ యొక్క కల మేజర్ వుడ్రో స్వాన్ట్ (యునైటెడ్ స్టేట్స్ వైమానిక దళంలో ప్రధాన జనరల్ అవుతారు) నాయకత్వంలో ఉన్నప్పుడు బికినీ అటోల్ వ"&amp;"ద్ద ఆపరేషన్ క్రాస్‌రోడ్స్ పరీక్షలో ఉపయోగించే ""ఫ్యాట్ మ్యాన్""-టైప్ అటామిక్ బాంబును వదిలివేసింది. [[పట్టు కుములి జూన్ 1949 లో, డేవ్ యొక్క కల, అప్పటి స్వతంత్ర యునైటెడ్ స్టేట్స్ వైమానిక దళంలో పనిచేస్తుంది, టెక్సాస్‌లోని బిగ్స్ ఎయిర్ ఫోర్స్ బేస్ వద్ద 97 వ బా"&amp;"ంబు పాలన సమూహానికి బదిలీ చేయబడింది. దీనిని ఏప్రిల్ 1950 లో టింకర్ ఎయిర్ ఫోర్స్ బేస్ వద్ద ఓక్లహోమా సిటీ మెటీరియల్ ప్రాంతం ఏప్రిల్ 1950 లో టిబి -29 శిక్షణా విమానంగా మార్చింది. ఇది తరువాత కేటాయించబడింది: జూన్ 1959 లో దీనిని అరిజోనాలోని డేవిస్-మాన్తాన్ ఎయిర్ "&amp;"ఫోర్స్ బేస్ వద్ద నిల్వలోకి మార్చారు మరియు ఫిబ్రవరి 1960 లో యు.ఎస్. వైమానిక దళం జాబితా నుండి నివృత్తిగా తొలగించబడింది. క్రూ బి -8 (క్రమం తప్పకుండా టాప్ సీక్రెట్‌కు కేటాయించబడింది): [2] క్రూ సి -14 (సాధారణంగా అవసరమైన చెడుకు కేటాయించబడుతుంది; 1 వ లెఫ్టినెంట్"&amp;" నార్మన్ రే): [2] సిబ్బందిని ఇద్దరు బ్రిటిష్ పరిశీలకులు చేరారు: [3] ఎ ఎఫ్‌బి -111A USAF 509 వ బాంబ్ వింగ్ యొక్క వ్యూహాత్మక బాంబర్, సీరియల్ 67-7195, బిగ్ స్టింక్ యొక్క పేరు మరియు అసలు ముక్కు కళ మరియు డేవ్ యొక్క డ్రీం పేరు దాని నోస్‌వీల్ తలుపులపై రెండింటినీ"&amp;" 1970 లలో పీస్ ఎయిర్ ఫోర్స్ బేస్, న్యూ హాంప్‌షైర్‌లో కలిగి ఉంది మరియు 1980 లు. [సైటేషన్ అవసరం]")</f>
        <v>బిగ్ స్టింక్-తరువాత డేవ్స్ డ్రీం అని పేరు మార్చబడింది-యునైటెడ్ స్టేట్స్ ఆర్మీ ఎయిర్ ఫోర్సెస్ బోయింగ్ B-29-40-MO సూపర్‌ఫోర్ట్రెస్ బాంబర్ (విక్టర్ నంబర్ 90), ఆగష్టు 9, 1945 న జపాన్‌లోని నాగసాకిపై అణు బాంబు దాడిలో పాల్గొంది. 393 డి బాంబ్ స్క్వాడ్రన్, 509 వ మిశ్రమ సమూహం, బాంబు పేలుడు మరియు ప్రభావాలను ఫోటో తీయడానికి మరియు శాస్త్రీయ పరిశీలకులను తీసుకువెళ్ళడానికి బాంబు పెంచే B-29 బోక్‌స్కార్‌కు మద్దతుగా ఇది కెమెరా విమానంగా ఉపయోగించబడింది. ఈ మిషన్‌ను క్రూ సి -14 ఎగురవేశారు, కాని గ్రూప్ ఆపరేషన్స్ ఆఫీసర్ మేజర్ జేమ్స్ I. హాప్కిన్స్, జూనియర్, విమాన కమాండర్‌గా. ప్రాజెక్ట్ అల్బెర్టాకు చెందిన రాబర్ట్ సెర్బర్‌ను విమానం విడిచిపెట్టమని మేజర్ హాప్కిన్స్ ఆదేశించినప్పుడు విక్టర్ 90 సహాయక సభ్యులలో ఒకరు లేకుండా మిగిలిపోయింది-బి -29 అప్పటికే రన్‌వేపై టాక్సీ చేసిన తర్వాత-శాస్త్రవేత్త తన పారాచూట్‌ను మరచిపోయాడు. హై-స్పీడ్ కెమెరాను ఎలా ఆపరేట్ చేయాలో తెలిసిన ఏకైక సిబ్బంది సెర్బెర్ కాబట్టి, హాప్కిన్స్ దాని ఉపయోగంలో టినియన్ నుండి రేడియో ద్వారా సూచించవలసి వచ్చింది. స్ట్రైక్ ఫ్లైట్ యొక్క మిగిలిన భాగాలతో ఈ విమానం తన రెండెజౌస్‌ను తయారు చేయడంలో విఫలమైంది, అది లేకుండా మిషన్‌ను పూర్తి చేసింది. అయితే ఇది పేలుడు యొక్క ప్రభావాలను ఫోటో తీయడానికి నాగసాకి వద్దకు చేరుకుంది - అయితే 30,000 అడుగుల (9,144 మీటర్లు) కంటే 39,000 అడుగుల (11,877 మీటర్లు) ఎత్తులో ఉంది - తరువాత ఒకినావాలోని యోంటన్ ఎయిర్ఫీల్డ్ వద్ద కోలుకుంది మరియు బోక్‌స్కార్ మరియు రెండింటిలోనూ కోలుకుంది B-29 గొప్ప కళాకారుడు. B-29-40-MO 44-27354 నెబ్రాస్కాలోని ఒమాహాలోని గ్లెన్ ఎల్. మే 1945 లో క్రూ ఎ -5 (లెఫ్టినెంట్ కల్నల్ థామస్ జె. యూనిట్-కేటాయించిన గుర్తింపు) సంఖ్య 10 కానీ 1 ఆగస్టు 1945 న 6 వ బాంబు పాలన సమూహం యొక్క సర్కిల్ ఆర్ టెయిల్ గుర్తులు భద్రతా కొలతగా ఇవ్వబడ్డాయి మరియు అసలు 6 వ బాంబు పాలన సమూహ విమానంతో తప్పుగా గుర్తించకుండా ఉండటానికి దాని విక్టర్ 90 కి మార్చారు. 23 జూలై 1945 న, కల్నల్ పాల్ టిబ్బెట్స్‌తో నియంత్రణలో, దాని రాడార్ ఆల్టైమీటర్ డిటోనేటర్లను పరీక్షించడానికి టినియన్ నుండి డమ్మీ "చిన్న పిల్లవాడు" అణు బాంబు అసెంబ్లీని వదిలివేసింది. 6 ఆగస్టు 1945 న, ఈ విమానం క్రూ బి -8 (మొదటి లెఫ్టినెంట్ చార్లెస్ మెక్‌నైట్ చేత ఆదేశించబడింది) బ్యాకప్ స్పేర్‌గా ఎగురవేయబడింది, కాని విమానంలో ఉన్న అన్ని విమానాలు కొనసాగినప్పుడు ఇవో జిమాలో దిగారు. నాగసాకి మిషన్ తరువాత ఈ విమానం క్రూ సి -12 (కెప్టెన్ కెప్టెన్ హర్మన్ ఎస్. బిగ్ స్టింక్ 12 ట్రైనింగ్ అండ్ ప్రాక్టీస్ మిషన్లు, మరియు రెండు పోరాట మిషన్లు నాగోకా మరియు జపాన్లోని నాగోకా మరియు హిటాచీలలో పారిశ్రామిక లక్ష్యాలపై గుమ్మడికాయ బాంబులను వదలడానికి ప్రయాణించారు, రెండూ క్లాసెన్ మరియు క్రూ ఎ -5 చేత ఎగిరిపోయాయి. మిగతా 393 డి బాంబుడు స్క్వాడ్రన్ B-29 కంటే కార్యాచరణ మిషన్లలో ఎక్కువ మంది సిబ్బంది (15 లో తొమ్మిది) పెద్ద దుర్వాసనను ఎగురవేశారు. రెండవ ప్రపంచ యుద్ధం తరువాత, బిగ్ స్టింక్ రోస్వెల్ ఆర్మీ ఎయిర్ ఫీల్డ్‌లో 509 వ మిశ్రమ సమూహంతో పనిచేశారు. ఏప్రిల్ 1946 లో దీనిని ఆపరేషన్ క్రాస్‌రోడ్స్‌కు కేటాయించారు మరియు న్యూ మెక్సికోలోని అల్బుకెర్కీ సమీపంలో 7 మార్చి 1946 న మరో బి -29 ప్రమాదంలో మరణించిన బొంబార్డియర్ కెప్టెన్ డేవిడ్ సెంపెల్ గౌరవార్థం డేవ్ డ్రీం పేరు మార్చారు. మాన్హాటన్ ప్రాజెక్ట్ కోసం 155 టెస్ట్ చుక్కలలో సెంపుల్ బొంబార్డియర్. 1 జూలై 1946 న, డేవ్ యొక్క కల మేజర్ వుడ్రో స్వాన్ట్ (యునైటెడ్ స్టేట్స్ వైమానిక దళంలో ప్రధాన జనరల్ అవుతారు) నాయకత్వంలో ఉన్నప్పుడు బికినీ అటోల్ వద్ద ఆపరేషన్ క్రాస్‌రోడ్స్ పరీక్షలో ఉపయోగించే "ఫ్యాట్ మ్యాన్"-టైప్ అటామిక్ బాంబును వదిలివేసింది. [[పట్టు కుములి జూన్ 1949 లో, డేవ్ యొక్క కల, అప్పటి స్వతంత్ర యునైటెడ్ స్టేట్స్ వైమానిక దళంలో పనిచేస్తుంది, టెక్సాస్‌లోని బిగ్స్ ఎయిర్ ఫోర్స్ బేస్ వద్ద 97 వ బాంబు పాలన సమూహానికి బదిలీ చేయబడింది. దీనిని ఏప్రిల్ 1950 లో టింకర్ ఎయిర్ ఫోర్స్ బేస్ వద్ద ఓక్లహోమా సిటీ మెటీరియల్ ప్రాంతం ఏప్రిల్ 1950 లో టిబి -29 శిక్షణా విమానంగా మార్చింది. ఇది తరువాత కేటాయించబడింది: జూన్ 1959 లో దీనిని అరిజోనాలోని డేవిస్-మాన్తాన్ ఎయిర్ ఫోర్స్ బేస్ వద్ద నిల్వలోకి మార్చారు మరియు ఫిబ్రవరి 1960 లో యు.ఎస్. వైమానిక దళం జాబితా నుండి నివృత్తిగా తొలగించబడింది. క్రూ బి -8 (క్రమం తప్పకుండా టాప్ సీక్రెట్‌కు కేటాయించబడింది): [2] క్రూ సి -14 (సాధారణంగా అవసరమైన చెడుకు కేటాయించబడుతుంది; 1 వ లెఫ్టినెంట్ నార్మన్ రే): [2] సిబ్బందిని ఇద్దరు బ్రిటిష్ పరిశీలకులు చేరారు: [3] ఎ ఎఫ్‌బి -111A USAF 509 వ బాంబ్ వింగ్ యొక్క వ్యూహాత్మక బాంబర్, సీరియల్ 67-7195, బిగ్ స్టింక్ యొక్క పేరు మరియు అసలు ముక్కు కళ మరియు డేవ్ యొక్క డ్రీం పేరు దాని నోస్‌వీల్ తలుపులపై రెండింటినీ 1970 లలో పీస్ ఎయిర్ ఫోర్స్ బేస్, న్యూ హాంప్‌షైర్‌లో కలిగి ఉంది మరియు 1980 లు. [సైటేషన్ అవసరం]</v>
      </c>
      <c r="E41" s="1" t="s">
        <v>888</v>
      </c>
      <c r="G41" s="1" t="str">
        <f>IFERROR(__xludf.DUMMYFUNCTION("GOOGLETRANSLATE(F:F,""en"", ""te"")"),"#VALUE!")</f>
        <v>#VALUE!</v>
      </c>
      <c r="L41" s="1" t="s">
        <v>889</v>
      </c>
      <c r="M41" s="1" t="str">
        <f>IFERROR(__xludf.DUMMYFUNCTION("GOOGLETRANSLATE(L:L,""en"", ""te"")"),"నెబ్రాస్కాలోని ఒమాహాలో గ్లెన్ ఎల్. మార్టిన్ కంపెనీ")</f>
        <v>నెబ్రాస్కాలోని ఒమాహాలో గ్లెన్ ఎల్. మార్టిన్ కంపెనీ</v>
      </c>
      <c r="N41" s="1" t="s">
        <v>890</v>
      </c>
      <c r="BU41" s="1" t="s">
        <v>891</v>
      </c>
      <c r="BV41" s="1" t="s">
        <v>892</v>
      </c>
      <c r="BW41" s="1" t="s">
        <v>893</v>
      </c>
      <c r="BX41" s="1" t="s">
        <v>894</v>
      </c>
      <c r="BY41" s="1" t="s">
        <v>895</v>
      </c>
      <c r="BZ41" s="1" t="s">
        <v>896</v>
      </c>
      <c r="CA41" s="5">
        <v>16547.0</v>
      </c>
      <c r="CB41" s="1" t="s">
        <v>897</v>
      </c>
    </row>
    <row r="42">
      <c r="A42" s="1" t="s">
        <v>898</v>
      </c>
      <c r="B42" s="1" t="str">
        <f>IFERROR(__xludf.DUMMYFUNCTION("GOOGLETRANSLATE(A:A,""en"", ""te"")"),"బార్టెల్ BM 4")</f>
        <v>బార్టెల్ BM 4</v>
      </c>
      <c r="C42" s="1" t="s">
        <v>899</v>
      </c>
      <c r="D42" s="1" t="str">
        <f>IFERROR(__xludf.DUMMYFUNCTION("GOOGLETRANSLATE(C:C,""en"", ""te"")"),"బార్టెల్ BM.4 అనేది పోలిష్ బిప్‌లేన్ ప్రాధమిక శిక్షకుడు, ఇది 1929 నుండి 1939 వరకు పోలిష్ వైమానిక దళం మరియు పోజ్నాస్‌లోని సమోలోట్ కర్మాగారంలో తయారు చేయబడిన పోలిష్ పౌర విమానయానం. ఇది పోలిష్ డిజైన్ యొక్క మొదటి విమానం. ఈ విమానం పోజ్నాస్‌లోని సమోలోట్ ఫ్యాక్టరీ"&amp;"లో రైస్‌జార్డ్ బార్టెల్ రూపొందించింది. ఇది బార్టెల్ BM.2 యొక్క అభివృద్ధి, ఇది ప్రోటోటైప్ దశకు మించి ముందుకు రాలేదు. BM.2 కన్నా తక్కువ బరువుకు ధన్యవాదాలు, ఇది తక్కువ-శక్తితో పనిచేసే ఇంజిన్‌లను ఉపయోగించవచ్చు, కాబట్టి దాని పనితీరు వాస్తవానికి మెరుగుపడింది. ద"&amp;"ీని పనితీరు హాన్రియోట్ H.28 కన్నా గొప్పది, దీనిని స్తంభాలు ఉపయోగిస్తాయి మరియు సమోలోట్ చేత లైసెన్స్ నిర్మించబడ్డాయి. BM.4 ప్రోటోటైప్ 20 డిసెంబర్ 1927 న పోజ్నాస్లో ఎగురవేయబడింది. ఇది మంచి నిర్వహణ మరియు స్థిరత్వాన్ని కలిగి ఉంది మరియు స్పిన్నింగ్‌కు నిరోధకతను"&amp;" కలిగి ఉంది. అన్ని బార్టెల్స్ యొక్క ప్రత్యేక లక్షణం తక్కువ వ్యవధి యొక్క ఎగువ వింగ్, ఎందుకంటే తక్కువ మరియు ఎగువ రెక్క భాగాలు పరస్పరం మార్చుకోగలవు (అనగా దిగువ వింగ్స్పాన్ ఫ్యూజ్‌లేజ్ యొక్క వెడల్పును కలిగి ఉంది). మొదటి నమూనా BM.4B గా నియమించబడింది మరియు 67 k"&amp;"W (90 HP) వాల్టర్ వేగా రేడియల్ ఇంజిన్‌తో అమర్చబడింది. రెండవ నమూనా, 2 ఏప్రిల్ 1928 న ఎగురుతుంది, దీనిని BM.4D గా నియమించారు మరియు పోలిష్ ప్రయోగాత్మక 63 kW (85 HP) WZ-7 రేడియల్ ఇంజిన్‌తో అమర్చారు, తరువాత 60 kW (80 HP) లే రోన్ 9 సి రోటరీ ఇంజిన్‌తో రీఫిట్ చేస"&amp;"ి, పున es రూపకల్పన చేసిన BM .4 ఎ. BM.4A ఉత్పత్తి వేరియంట్‌గా మారింది, ఎందుకంటే పోలిష్ వైమానిక దళంలో లే రోన్ 9 సి ఇంజిన్ల దుకాణం ఉంది. 22 విమానాలను 1928-1929లో కౌల్డ్ ఇంజిన్లతో ఆదేశించారు మరియు నిర్మించారు, ఇది అన్ని ఇతర BM.4 ల నుండి రేడియల్ ఇంజిన్లతో భిన్"&amp;"నంగా చేసింది. మూడు BM.4A లను 1930 లో BM.4E గా మార్చారు, పోలిష్ ప్రయోగాత్మక 63 kW (85 HP) పీటర్లోట్ రేడియల్ ఇంజిన్, 1931 యొక్క BM.4F పోలిష్ ప్రయోగాత్మక 89 kW (120 HP) స్కోడా G-594 CZARNY PIOTRUś RADIAN ENGIN , మరియు 1931 యొక్క BM.4G 75 kW (100 HP) డి హవిలా"&amp;"ండ్ జిప్సీ I ఇన్లైన్ ఇంజిన్‌తో, ఇది RWD-8 కు వ్యతిరేకంగా ప్రామాణిక ట్రైనర్ విమానం కోసం అన్వేషణలో పోటీ పడింది, కానీ ఎంపిక చేయబడలేదు. 1932 లో పరీక్షల తరువాత, ముగ్గురూ లే రోన్ 9 సి ఇంజిన్లకు తిరిగి వచ్చారు. 1930 లో సమోలోట్ ఫ్యాక్టరీ మూసివేత కారణంగా, BM.4H ను"&amp;" PWS (పోడ్లాస్కా వైట్వర్నియా సమోలోటెవ్) వద్ద అభివృద్ధి చేశారు మరియు 1932 లో సుమారు 50 విమానాలలో నిర్మించారు. చెక్క నిర్మాణ బిప్‌లేన్, సాంప్రదాయిక లేఅవుట్‌లో. క్రాస్ -సెక్షన్‌లో ఫ్యూజ్‌లేజ్ దీర్ఘచతురస్రాకార, ప్లైవుడ్ కవర్ (ఇంజిన్ విభాగం - మెటల్ కవర్). దీర్"&amp;"ఘచతురస్రాకార రెండు-స్పేర్ రెక్కలు, ప్లైవుడ్ మరియు కాన్వాస్ కప్పబడి ఉన్నాయి. ఇద్దరు సిబ్బంది, ఓపెన్ కాక్‌పిట్స్‌లో, వ్యక్తిగత విండ్‌షీల్డ్‌లతో కలిసి కూర్చున్నారు. ద్వంద్వ నియంత్రణలతో కాక్‌పిట్స్, వెనుక భాగంలో బోధకుడు. స్థిర ల్యాండింగ్ గేర్, వెనుక స్కిడ్‌తో"&amp;". BM.4A లు 1929 నుండి పోలిష్ వైమానిక దళంలో ఉపయోగించబడ్డాయి - బైడ్గోజ్జ్జ్‌లోని పైలట్ల పాఠశాలలో. 6 సెప్టెంబర్ 1929 లో సమోలోట్ ఫ్యాక్టరీలో కాలిపోయింది. BM.4H లు 1932 నుండి, బైడ్గోజ్జ్ మరియు డిబ్లిన్ లోని పాఠశాలల్లో పోలిష్ వైమానిక దళంలో ఉపయోగించబడ్డాయి. వారు"&amp;" పాక్షికంగా హాన్రియోట్ H.28 లను మాత్రమే భర్తీ చేశారు మరియు తమను RWD 8 తో భర్తీ చేశారు. వారికి 33 తో ప్రారంభమయ్యే సైనిక సంఖ్యలు ఉన్నాయి. 1936 లో పోలిష్ వైమానిక దళం వారి మిగిలిన 23 BM.4H లను పౌర విమానయానానికి అప్పగించింది - చాలా ప్రాంతీయ ఏరో క్లబ్‌లు కమ్యూన"&amp;"ికేషన్ మంత్రిత్వ శాఖకు. వారు రిజిస్ట్రేషన్లు SP-BBP-BBZ మరియు శ్రేణి SP-ORB నుండి ARZ కు అందుకున్నారు. సెప్టెంబర్ 1939 లో జర్మన్ పోలాండ్ దండయాత్ర వరకు చాలామంది బయటపడ్డారు; ప్రచారం సమయంలో చాలా మంది అనుసంధాన విమానంగా ఉపయోగించబడ్డారు, కాని ఎవరూ యుద్ధంలో బయటప"&amp;"డలేదు. [1] సాధారణ లక్షణాల పనితీరు గ్లాస్, ఆండ్రేజ్ (1977) నుండి డేటా. పోల్స్కీ కోన్స్ట్రూక్జే లోట్నిక్జీ 1893-1939 (పోలిష్ భాషలో). వార్సా: wkił.")</f>
        <v>బార్టెల్ BM.4 అనేది పోలిష్ బిప్‌లేన్ ప్రాధమిక శిక్షకుడు, ఇది 1929 నుండి 1939 వరకు పోలిష్ వైమానిక దళం మరియు పోజ్నాస్‌లోని సమోలోట్ కర్మాగారంలో తయారు చేయబడిన పోలిష్ పౌర విమానయానం. ఇది పోలిష్ డిజైన్ యొక్క మొదటి విమానం. ఈ విమానం పోజ్నాస్‌లోని సమోలోట్ ఫ్యాక్టరీలో రైస్‌జార్డ్ బార్టెల్ రూపొందించింది. ఇది బార్టెల్ BM.2 యొక్క అభివృద్ధి, ఇది ప్రోటోటైప్ దశకు మించి ముందుకు రాలేదు. BM.2 కన్నా తక్కువ బరువుకు ధన్యవాదాలు, ఇది తక్కువ-శక్తితో పనిచేసే ఇంజిన్‌లను ఉపయోగించవచ్చు, కాబట్టి దాని పనితీరు వాస్తవానికి మెరుగుపడింది. దీని పనితీరు హాన్రియోట్ H.28 కన్నా గొప్పది, దీనిని స్తంభాలు ఉపయోగిస్తాయి మరియు సమోలోట్ చేత లైసెన్స్ నిర్మించబడ్డాయి. BM.4 ప్రోటోటైప్ 20 డిసెంబర్ 1927 న పోజ్నాస్లో ఎగురవేయబడింది. ఇది మంచి నిర్వహణ మరియు స్థిరత్వాన్ని కలిగి ఉంది మరియు స్పిన్నింగ్‌కు నిరోధకతను కలిగి ఉంది. అన్ని బార్టెల్స్ యొక్క ప్రత్యేక లక్షణం తక్కువ వ్యవధి యొక్క ఎగువ వింగ్, ఎందుకంటే తక్కువ మరియు ఎగువ రెక్క భాగాలు పరస్పరం మార్చుకోగలవు (అనగా దిగువ వింగ్స్పాన్ ఫ్యూజ్‌లేజ్ యొక్క వెడల్పును కలిగి ఉంది). మొదటి నమూనా BM.4B గా నియమించబడింది మరియు 67 kW (90 HP) వాల్టర్ వేగా రేడియల్ ఇంజిన్‌తో అమర్చబడింది. రెండవ నమూనా, 2 ఏప్రిల్ 1928 న ఎగురుతుంది, దీనిని BM.4D గా నియమించారు మరియు పోలిష్ ప్రయోగాత్మక 63 kW (85 HP) WZ-7 రేడియల్ ఇంజిన్‌తో అమర్చారు, తరువాత 60 kW (80 HP) లే రోన్ 9 సి రోటరీ ఇంజిన్‌తో రీఫిట్ చేసి, పున es రూపకల్పన చేసిన BM .4 ఎ. BM.4A ఉత్పత్తి వేరియంట్‌గా మారింది, ఎందుకంటే పోలిష్ వైమానిక దళంలో లే రోన్ 9 సి ఇంజిన్ల దుకాణం ఉంది. 22 విమానాలను 1928-1929లో కౌల్డ్ ఇంజిన్లతో ఆదేశించారు మరియు నిర్మించారు, ఇది అన్ని ఇతర BM.4 ల నుండి రేడియల్ ఇంజిన్లతో భిన్నంగా చేసింది. మూడు BM.4A లను 1930 లో BM.4E గా మార్చారు, పోలిష్ ప్రయోగాత్మక 63 kW (85 HP) పీటర్లోట్ రేడియల్ ఇంజిన్, 1931 యొక్క BM.4F పోలిష్ ప్రయోగాత్మక 89 kW (120 HP) స్కోడా G-594 CZARNY PIOTRUś RADIAN ENGIN , మరియు 1931 యొక్క BM.4G 75 kW (100 HP) డి హవిలాండ్ జిప్సీ I ఇన్లైన్ ఇంజిన్‌తో, ఇది RWD-8 కు వ్యతిరేకంగా ప్రామాణిక ట్రైనర్ విమానం కోసం అన్వేషణలో పోటీ పడింది, కానీ ఎంపిక చేయబడలేదు. 1932 లో పరీక్షల తరువాత, ముగ్గురూ లే రోన్ 9 సి ఇంజిన్లకు తిరిగి వచ్చారు. 1930 లో సమోలోట్ ఫ్యాక్టరీ మూసివేత కారణంగా, BM.4H ను PWS (పోడ్లాస్కా వైట్వర్నియా సమోలోటెవ్) వద్ద అభివృద్ధి చేశారు మరియు 1932 లో సుమారు 50 విమానాలలో నిర్మించారు. చెక్క నిర్మాణ బిప్‌లేన్, సాంప్రదాయిక లేఅవుట్‌లో. క్రాస్ -సెక్షన్‌లో ఫ్యూజ్‌లేజ్ దీర్ఘచతురస్రాకార, ప్లైవుడ్ కవర్ (ఇంజిన్ విభాగం - మెటల్ కవర్). దీర్ఘచతురస్రాకార రెండు-స్పేర్ రెక్కలు, ప్లైవుడ్ మరియు కాన్వాస్ కప్పబడి ఉన్నాయి. ఇద్దరు సిబ్బంది, ఓపెన్ కాక్‌పిట్స్‌లో, వ్యక్తిగత విండ్‌షీల్డ్‌లతో కలిసి కూర్చున్నారు. ద్వంద్వ నియంత్రణలతో కాక్‌పిట్స్, వెనుక భాగంలో బోధకుడు. స్థిర ల్యాండింగ్ గేర్, వెనుక స్కిడ్‌తో. BM.4A లు 1929 నుండి పోలిష్ వైమానిక దళంలో ఉపయోగించబడ్డాయి - బైడ్గోజ్జ్జ్‌లోని పైలట్ల పాఠశాలలో. 6 సెప్టెంబర్ 1929 లో సమోలోట్ ఫ్యాక్టరీలో కాలిపోయింది. BM.4H లు 1932 నుండి, బైడ్గోజ్జ్ మరియు డిబ్లిన్ లోని పాఠశాలల్లో పోలిష్ వైమానిక దళంలో ఉపయోగించబడ్డాయి. వారు పాక్షికంగా హాన్రియోట్ H.28 లను మాత్రమే భర్తీ చేశారు మరియు తమను RWD 8 తో భర్తీ చేశారు. వారికి 33 తో ప్రారంభమయ్యే సైనిక సంఖ్యలు ఉన్నాయి. 1936 లో పోలిష్ వైమానిక దళం వారి మిగిలిన 23 BM.4H లను పౌర విమానయానానికి అప్పగించింది - చాలా ప్రాంతీయ ఏరో క్లబ్‌లు కమ్యూనికేషన్ మంత్రిత్వ శాఖకు. వారు రిజిస్ట్రేషన్లు SP-BBP-BBZ మరియు శ్రేణి SP-ORB నుండి ARZ కు అందుకున్నారు. సెప్టెంబర్ 1939 లో జర్మన్ పోలాండ్ దండయాత్ర వరకు చాలామంది బయటపడ్డారు; ప్రచారం సమయంలో చాలా మంది అనుసంధాన విమానంగా ఉపయోగించబడ్డారు, కాని ఎవరూ యుద్ధంలో బయటపడలేదు. [1] సాధారణ లక్షణాల పనితీరు గ్లాస్, ఆండ్రేజ్ (1977) నుండి డేటా. పోల్స్కీ కోన్స్ట్రూక్జే లోట్నిక్జీ 1893-1939 (పోలిష్ భాషలో). వార్సా: wkił.</v>
      </c>
      <c r="E42" s="1" t="s">
        <v>900</v>
      </c>
      <c r="F42" s="1" t="s">
        <v>901</v>
      </c>
      <c r="G42" s="1" t="str">
        <f>IFERROR(__xludf.DUMMYFUNCTION("GOOGLETRANSLATE(F:F,""en"", ""te"")"),"ప్రాథమిక శిక్షకుల విమానం")</f>
        <v>ప్రాథమిక శిక్షకుల విమానం</v>
      </c>
      <c r="H42" s="1" t="s">
        <v>902</v>
      </c>
      <c r="L42" s="1" t="s">
        <v>903</v>
      </c>
      <c r="M42" s="1" t="str">
        <f>IFERROR(__xludf.DUMMYFUNCTION("GOOGLETRANSLATE(L:L,""en"", ""te"")"),"సమోలోట్, పిడబ్ల్యుఎస్")</f>
        <v>సమోలోట్, పిడబ్ల్యుఎస్</v>
      </c>
      <c r="N42" s="1" t="s">
        <v>904</v>
      </c>
      <c r="O42" s="1">
        <v>1929.0</v>
      </c>
      <c r="R42" s="1" t="s">
        <v>905</v>
      </c>
      <c r="S42" s="1">
        <v>2.0</v>
      </c>
      <c r="U42" s="1" t="s">
        <v>906</v>
      </c>
      <c r="V42" s="1" t="s">
        <v>907</v>
      </c>
      <c r="W42" s="1" t="s">
        <v>908</v>
      </c>
      <c r="X42" s="1" t="s">
        <v>909</v>
      </c>
      <c r="Y42" s="1" t="s">
        <v>910</v>
      </c>
      <c r="Z42" s="1" t="s">
        <v>911</v>
      </c>
      <c r="AA42" s="1" t="s">
        <v>912</v>
      </c>
      <c r="AB42" s="1" t="s">
        <v>913</v>
      </c>
      <c r="AD42" s="1" t="s">
        <v>914</v>
      </c>
      <c r="AE42" s="1" t="s">
        <v>915</v>
      </c>
      <c r="AF42" s="1" t="s">
        <v>916</v>
      </c>
      <c r="AG42" s="1" t="s">
        <v>208</v>
      </c>
      <c r="AH42" s="1" t="s">
        <v>917</v>
      </c>
      <c r="AI42" s="1" t="s">
        <v>918</v>
      </c>
      <c r="AL42" s="1" t="s">
        <v>919</v>
      </c>
      <c r="AO42" s="4">
        <v>10216.0</v>
      </c>
      <c r="AQ42" s="1" t="s">
        <v>920</v>
      </c>
      <c r="AR42" s="1" t="s">
        <v>921</v>
      </c>
      <c r="AZ42" s="1" t="s">
        <v>922</v>
      </c>
      <c r="BA42" s="1" t="s">
        <v>923</v>
      </c>
      <c r="BC42" s="1">
        <v>1939.0</v>
      </c>
      <c r="BG42" s="1" t="s">
        <v>924</v>
      </c>
      <c r="BH42" s="1" t="s">
        <v>925</v>
      </c>
      <c r="CC42" s="1" t="s">
        <v>926</v>
      </c>
    </row>
    <row r="43">
      <c r="A43" s="1" t="s">
        <v>927</v>
      </c>
      <c r="B43" s="1" t="str">
        <f>IFERROR(__xludf.DUMMYFUNCTION("GOOGLETRANSLATE(A:A,""en"", ""te"")"),"బార్డ్మోర్ W.B.1")</f>
        <v>బార్డ్మోర్ W.B.1</v>
      </c>
      <c r="C43" s="1" t="s">
        <v>928</v>
      </c>
      <c r="D43" s="1" t="str">
        <f>IFERROR(__xludf.DUMMYFUNCTION("GOOGLETRANSLATE(C:C,""en"", ""te"")"),"బార్డ్మోర్ W.B.1 మొదటి ప్రపంచ యుద్ధం యొక్క బ్రిటిష్ సింగిల్-ఇంజిన్ బాంబర్ బైప్లేన్. [1] 1916 లో, స్కాటిష్ షిప్ బిల్డర్ విలియం బార్డ్మోర్ యొక్క ఏవియేషన్ విభాగం యొక్క కొత్తగా నియమించబడిన చీఫ్ డిజైనర్ జి. ఇది రాయల్ నావల్ ఎయిర్ సర్వీస్ (ఆర్‌ఎన్‌ఏ) కోసం ఒకే ఇం"&amp;"జిన్ బాంబర్, ఇది ఆశ్చర్యం సాధించడానికి లాంగ్ గ్లైడింగ్ దాడులను నిర్వహించడానికి ఉద్దేశించబడింది. ఇది లాంగ్ స్పాన్ హై కారక నిష్పత్తి రెక్కలతో మూడు-బే బైప్‌లేన్, ఇవి చాలా అస్థిరంగా ఉన్నాయి. [2] ఇది 230 హెచ్‌పి (172 కిలోవాట్) బిహెచ్‌పి ఇంజిన్ ద్వారా శక్తిని ప"&amp;"ొందింది మరియు మొదట 1917 ప్రారంభంలో ప్రయాణించింది. [3] W.B.1 ను 8 జూన్ 1917 న మూల్యాంకనం కోసం క్రాన్వెల్ వద్ద RNA లకు పంపిణీ చేశారు. [4] అయితే, ఈ సమయానికి, పెద్ద మరియు మరింత సమర్థవంతమైన హ్యాండ్లీ పేజీ O/100 ఉత్పత్తిలో ఉంది మరియు W.B.1 ను RNA లు తిరస్కరించా"&amp;"యి. [3] మాసన్ నుండి డేటా, 1912 నుండి బ్రిటిష్ బాంబర్ [3] సాధారణ లక్షణాలు పనితీరు ఆయుధాలు")</f>
        <v>బార్డ్మోర్ W.B.1 మొదటి ప్రపంచ యుద్ధం యొక్క బ్రిటిష్ సింగిల్-ఇంజిన్ బాంబర్ బైప్లేన్. [1] 1916 లో, స్కాటిష్ షిప్ బిల్డర్ విలియం బార్డ్మోర్ యొక్క ఏవియేషన్ విభాగం యొక్క కొత్తగా నియమించబడిన చీఫ్ డిజైనర్ జి. ఇది రాయల్ నావల్ ఎయిర్ సర్వీస్ (ఆర్‌ఎన్‌ఏ) కోసం ఒకే ఇంజిన్ బాంబర్, ఇది ఆశ్చర్యం సాధించడానికి లాంగ్ గ్లైడింగ్ దాడులను నిర్వహించడానికి ఉద్దేశించబడింది. ఇది లాంగ్ స్పాన్ హై కారక నిష్పత్తి రెక్కలతో మూడు-బే బైప్‌లేన్, ఇవి చాలా అస్థిరంగా ఉన్నాయి. [2] ఇది 230 హెచ్‌పి (172 కిలోవాట్) బిహెచ్‌పి ఇంజిన్ ద్వారా శక్తిని పొందింది మరియు మొదట 1917 ప్రారంభంలో ప్రయాణించింది. [3] W.B.1 ను 8 జూన్ 1917 న మూల్యాంకనం కోసం క్రాన్వెల్ వద్ద RNA లకు పంపిణీ చేశారు. [4] అయితే, ఈ సమయానికి, పెద్ద మరియు మరింత సమర్థవంతమైన హ్యాండ్లీ పేజీ O/100 ఉత్పత్తిలో ఉంది మరియు W.B.1 ను RNA లు తిరస్కరించాయి. [3] మాసన్ నుండి డేటా, 1912 నుండి బ్రిటిష్ బాంబర్ [3] సాధారణ లక్షణాలు పనితీరు ఆయుధాలు</v>
      </c>
      <c r="F43" s="1" t="s">
        <v>929</v>
      </c>
      <c r="G43" s="1" t="str">
        <f>IFERROR(__xludf.DUMMYFUNCTION("GOOGLETRANSLATE(F:F,""en"", ""te"")"),"బాంబర్")</f>
        <v>బాంబర్</v>
      </c>
      <c r="H43" s="2" t="s">
        <v>930</v>
      </c>
      <c r="I43" s="1" t="s">
        <v>931</v>
      </c>
      <c r="J43" s="1" t="str">
        <f>IFERROR(__xludf.DUMMYFUNCTION("GOOGLETRANSLATE(I:I,""en"", ""te"")"),"బ్రిటిష్")</f>
        <v>బ్రిటిష్</v>
      </c>
      <c r="K43" s="2" t="s">
        <v>932</v>
      </c>
      <c r="L43" s="1" t="s">
        <v>933</v>
      </c>
      <c r="M43" s="1" t="str">
        <f>IFERROR(__xludf.DUMMYFUNCTION("GOOGLETRANSLATE(L:L,""en"", ""te"")"),"బార్డ్మోర్")</f>
        <v>బార్డ్మోర్</v>
      </c>
      <c r="N43" s="2" t="s">
        <v>934</v>
      </c>
      <c r="P43" s="1" t="s">
        <v>935</v>
      </c>
      <c r="Q43" s="1"/>
      <c r="R43" s="1">
        <v>1.0</v>
      </c>
      <c r="S43" s="1">
        <v>1.0</v>
      </c>
      <c r="U43" s="1" t="s">
        <v>936</v>
      </c>
      <c r="V43" s="1" t="s">
        <v>937</v>
      </c>
      <c r="W43" s="1" t="s">
        <v>938</v>
      </c>
      <c r="X43" s="1" t="s">
        <v>939</v>
      </c>
      <c r="Y43" s="1" t="s">
        <v>940</v>
      </c>
      <c r="AA43" s="1" t="s">
        <v>941</v>
      </c>
      <c r="AH43" s="1" t="s">
        <v>942</v>
      </c>
      <c r="AM43" s="1" t="s">
        <v>943</v>
      </c>
      <c r="AN43" s="1" t="s">
        <v>944</v>
      </c>
      <c r="AO43" s="1">
        <v>1917.0</v>
      </c>
      <c r="AQ43" s="1" t="s">
        <v>945</v>
      </c>
      <c r="AZ43" s="1" t="s">
        <v>946</v>
      </c>
    </row>
    <row r="44">
      <c r="A44" s="1" t="s">
        <v>947</v>
      </c>
      <c r="B44" s="1" t="str">
        <f>IFERROR(__xludf.DUMMYFUNCTION("GOOGLETRANSLATE(A:A,""en"", ""te"")"),"బేడే BD-6")</f>
        <v>బేడే BD-6</v>
      </c>
      <c r="C44" s="1" t="s">
        <v>948</v>
      </c>
      <c r="D44" s="1" t="str">
        <f>IFERROR(__xludf.DUMMYFUNCTION("GOOGLETRANSLATE(C:C,""en"", ""te"")"),"బేడే BD-6 అనేది 1974 లో యునైటెడ్ స్టేట్స్లో మొదట ఎగిరిన సింగిల్-సీట్ల లైట్ విమానం. బేడే BD-4 కు డిజైన్‌లో సమానంగా ఉంటుంది, ఇది సాంప్రదాయిక కాన్ఫిగరేషన్ యొక్క అధిక-వింగ్ కాంటిలివర్ మోనోప్లేన్. BD-6 ను కిట్ హోమ్‌బిల్ట్‌గా విక్రయించారు. [1] 1993 యొక్క గొప్ప "&amp;"వరదలో సెయింట్ లూయిస్‌లో ఈ నమూనా దెబ్బతింది, కాని 2005 లో బెడ్‌కార్ప్ పునరుద్ధరణలో ఉంది. చివరకు డిజైన్‌ను మార్కెట్‌కు తీసుకురావడానికి కంపెనీ కొత్త డ్రాయింగ్‌లను సృష్టించింది. 2011 నాటికి వస్తు సామగ్రి US $ 13,000 మరియు రెండు విమానాలు ఎగురవేయబడ్డాయి. [1] వి"&amp;"మానం యొక్క సిఫార్సు చేసిన ఇంజిన్ శక్తి శ్రేణి 50 నుండి 80 హెచ్‌పి (37 నుండి 60 కిలోవాట్) మరియు ఉపయోగించిన ప్రామాణిక ఇంజన్లు 60 హెచ్‌పి (45 కిలోవాట్ జేన్ యొక్క అన్ని ప్రపంచ విమానాల నుండి డేటా 1976-77 [2] సాధారణ లక్షణాల పనితీరు")</f>
        <v>బేడే BD-6 అనేది 1974 లో యునైటెడ్ స్టేట్స్లో మొదట ఎగిరిన సింగిల్-సీట్ల లైట్ విమానం. బేడే BD-4 కు డిజైన్‌లో సమానంగా ఉంటుంది, ఇది సాంప్రదాయిక కాన్ఫిగరేషన్ యొక్క అధిక-వింగ్ కాంటిలివర్ మోనోప్లేన్. BD-6 ను కిట్ హోమ్‌బిల్ట్‌గా విక్రయించారు. [1] 1993 యొక్క గొప్ప వరదలో సెయింట్ లూయిస్‌లో ఈ నమూనా దెబ్బతింది, కాని 2005 లో బెడ్‌కార్ప్ పునరుద్ధరణలో ఉంది. చివరకు డిజైన్‌ను మార్కెట్‌కు తీసుకురావడానికి కంపెనీ కొత్త డ్రాయింగ్‌లను సృష్టించింది. 2011 నాటికి వస్తు సామగ్రి US $ 13,000 మరియు రెండు విమానాలు ఎగురవేయబడ్డాయి. [1] విమానం యొక్క సిఫార్సు చేసిన ఇంజిన్ శక్తి శ్రేణి 50 నుండి 80 హెచ్‌పి (37 నుండి 60 కిలోవాట్) మరియు ఉపయోగించిన ప్రామాణిక ఇంజన్లు 60 హెచ్‌పి (45 కిలోవాట్ జేన్ యొక్క అన్ని ప్రపంచ విమానాల నుండి డేటా 1976-77 [2] సాధారణ లక్షణాల పనితీరు</v>
      </c>
      <c r="F44" s="1" t="s">
        <v>949</v>
      </c>
      <c r="G44" s="1" t="str">
        <f>IFERROR(__xludf.DUMMYFUNCTION("GOOGLETRANSLATE(F:F,""en"", ""te"")"),"స్పోర్ట్స్ ప్లేన్")</f>
        <v>స్పోర్ట్స్ ప్లేన్</v>
      </c>
      <c r="L44" s="1" t="s">
        <v>950</v>
      </c>
      <c r="M44" s="1" t="str">
        <f>IFERROR(__xludf.DUMMYFUNCTION("GOOGLETRANSLATE(L:L,""en"", ""te"")"),"హోమ్‌బిల్ట్ విమానం కోసం బెడ్‌కార్ప్")</f>
        <v>హోమ్‌బిల్ట్ విమానం కోసం బెడ్‌కార్ప్</v>
      </c>
      <c r="N44" s="1" t="s">
        <v>951</v>
      </c>
      <c r="R44" s="1">
        <v>2.0</v>
      </c>
      <c r="S44" s="1" t="s">
        <v>164</v>
      </c>
      <c r="U44" s="1" t="s">
        <v>952</v>
      </c>
      <c r="V44" s="1" t="s">
        <v>646</v>
      </c>
      <c r="W44" s="1" t="s">
        <v>953</v>
      </c>
      <c r="X44" s="1" t="s">
        <v>954</v>
      </c>
      <c r="Y44" s="1" t="s">
        <v>353</v>
      </c>
      <c r="AA44" s="1" t="s">
        <v>955</v>
      </c>
      <c r="AB44" s="1" t="s">
        <v>956</v>
      </c>
      <c r="AD44" s="1" t="s">
        <v>957</v>
      </c>
      <c r="AH44" s="1" t="s">
        <v>523</v>
      </c>
      <c r="AK44" s="1" t="s">
        <v>958</v>
      </c>
      <c r="AL44" s="1" t="s">
        <v>959</v>
      </c>
      <c r="AM44" s="1" t="s">
        <v>881</v>
      </c>
      <c r="AN44" s="1" t="s">
        <v>882</v>
      </c>
      <c r="AO44" s="1">
        <v>1974.0</v>
      </c>
      <c r="AQ44" s="1" t="s">
        <v>960</v>
      </c>
      <c r="CD44" s="2" t="s">
        <v>961</v>
      </c>
    </row>
    <row r="45">
      <c r="A45" s="1" t="s">
        <v>962</v>
      </c>
      <c r="B45" s="1" t="str">
        <f>IFERROR(__xludf.DUMMYFUNCTION("GOOGLETRANSLATE(A:A,""en"", ""te"")"),"మెగ్గిట్ బాన్షీ")</f>
        <v>మెగ్గిట్ బాన్షీ</v>
      </c>
      <c r="C45" s="1" t="s">
        <v>963</v>
      </c>
      <c r="D45" s="1" t="str">
        <f>IFERROR(__xludf.DUMMYFUNCTION("GOOGLETRANSLATE(C:C,""en"", ""te"")"),"BTT3 బాన్షీ, గతంలో టార్గెట్ టెక్నాలజీ బాన్షీ &amp; మెగ్గిట్ బాన్షీ, 1980 లలో ఎయిర్ డిఫెన్స్ సిస్టమ్స్ శిక్షణ కోసం అభివృద్ధి చేసిన బ్రిటిష్ టార్గెట్ డ్రోన్. బాన్షీని టార్గెట్ టెక్నాలజీ లిమిటెడ్ అభివృద్ధి చేసింది. [2] సంస్థ డ్రోన్ల కోసం తేలికపాటి ఇంజిన్లలో ప్రత"&amp;"్యేకత కలిగి ఉంది మరియు 1983 లో దాని స్వంత రూపకల్పనను అభివృద్ధి చేసింది. [3] బాన్షీ అనేది టైలెస్ డెల్టా వింగ్ ప్లాన్‌ఫార్మ్‌తో మిశ్రమ పదార్థం (కెవ్లార్ మరియు గ్లాస్-రీన్ఫోర్స్డ్ ప్లాస్టిక్) నుండి ఎక్కువగా నిర్మించబడింది. మొదటి మోడల్స్ 26 హెచ్‌పి 342 సిసి స"&amp;"ాధారణ-గారెట్ రెండు సిలిండర్ రెండు-స్ట్రోక్‌ను పషర్ ప్రొపెల్లర్‌ను నడుపుతున్నాయి. పనితీరు 1-3 గంటల నుండి ఓర్పుతో 35-185 kt. ఫ్లైట్ కంట్రోల్ రెండు ఎలివాన్ల ద్వారా. 185 కి.టి. తరువాత నమూనాలు నార్టన్ పి 73 రోటరీ ఇంజిన్లను ఉపయోగించాయి [4] [5] బాన్షీ 1980 ల మధ్"&amp;"యలో బ్రిటిష్ సైన్యంతో కలిసి చిన్న బ్లోపైప్ మరియు జావెలిన్ భుజం-లాంచ్ చేసిన క్షిపణులకు వైమానిక లక్ష్యంగా సేవలను ప్రవేశపెట్టారు. [6] బాన్షీ 40 కి పైగా దేశాలలో మోహరించబడింది. [7] ఇది బ్లోపైప్, చాపరల్, క్రోటేల్, జావెలిన్, ఫలాంక్స్, రాపియర్, సీ స్పారో, క్యూర్స"&amp;"ామ్, ఆకాష్ సామ్ మరియు బరాక్ 8 సామ్ సిస్టమ్స్ లకు వ్యతిరేకంగా పరీక్షించబడింది. [8] మెగ్గిట్జెనరల్ లక్షణాల నుండి డేటా పనితీరు సంబంధిత అభివృద్ధి")</f>
        <v>BTT3 బాన్షీ, గతంలో టార్గెట్ టెక్నాలజీ బాన్షీ &amp; మెగ్గిట్ బాన్షీ, 1980 లలో ఎయిర్ డిఫెన్స్ సిస్టమ్స్ శిక్షణ కోసం అభివృద్ధి చేసిన బ్రిటిష్ టార్గెట్ డ్రోన్. బాన్షీని టార్గెట్ టెక్నాలజీ లిమిటెడ్ అభివృద్ధి చేసింది. [2] సంస్థ డ్రోన్ల కోసం తేలికపాటి ఇంజిన్లలో ప్రత్యేకత కలిగి ఉంది మరియు 1983 లో దాని స్వంత రూపకల్పనను అభివృద్ధి చేసింది. [3] బాన్షీ అనేది టైలెస్ డెల్టా వింగ్ ప్లాన్‌ఫార్మ్‌తో మిశ్రమ పదార్థం (కెవ్లార్ మరియు గ్లాస్-రీన్ఫోర్స్డ్ ప్లాస్టిక్) నుండి ఎక్కువగా నిర్మించబడింది. మొదటి మోడల్స్ 26 హెచ్‌పి 342 సిసి సాధారణ-గారెట్ రెండు సిలిండర్ రెండు-స్ట్రోక్‌ను పషర్ ప్రొపెల్లర్‌ను నడుపుతున్నాయి. పనితీరు 1-3 గంటల నుండి ఓర్పుతో 35-185 kt. ఫ్లైట్ కంట్రోల్ రెండు ఎలివాన్ల ద్వారా. 185 కి.టి. తరువాత నమూనాలు నార్టన్ పి 73 రోటరీ ఇంజిన్లను ఉపయోగించాయి [4] [5] బాన్షీ 1980 ల మధ్యలో బ్రిటిష్ సైన్యంతో కలిసి చిన్న బ్లోపైప్ మరియు జావెలిన్ భుజం-లాంచ్ చేసిన క్షిపణులకు వైమానిక లక్ష్యంగా సేవలను ప్రవేశపెట్టారు. [6] బాన్షీ 40 కి పైగా దేశాలలో మోహరించబడింది. [7] ఇది బ్లోపైప్, చాపరల్, క్రోటేల్, జావెలిన్, ఫలాంక్స్, రాపియర్, సీ స్పారో, క్యూర్సామ్, ఆకాష్ సామ్ మరియు బరాక్ 8 సామ్ సిస్టమ్స్ లకు వ్యతిరేకంగా పరీక్షించబడింది. [8] మెగ్గిట్జెనరల్ లక్షణాల నుండి డేటా పనితీరు సంబంధిత అభివృద్ధి</v>
      </c>
      <c r="E45" s="1" t="s">
        <v>964</v>
      </c>
      <c r="F45" s="1" t="s">
        <v>965</v>
      </c>
      <c r="G45" s="1" t="str">
        <f>IFERROR(__xludf.DUMMYFUNCTION("GOOGLETRANSLATE(F:F,""en"", ""te"")"),"టార్గెట్ డ్రోన్")</f>
        <v>టార్గెట్ డ్రోన్</v>
      </c>
      <c r="I45" s="1" t="s">
        <v>480</v>
      </c>
      <c r="J45" s="1" t="str">
        <f>IFERROR(__xludf.DUMMYFUNCTION("GOOGLETRANSLATE(I:I,""en"", ""te"")"),"యునైటెడ్ కింగ్‌డమ్")</f>
        <v>యునైటెడ్ కింగ్‌డమ్</v>
      </c>
      <c r="L45" s="1" t="s">
        <v>966</v>
      </c>
      <c r="M45" s="1" t="str">
        <f>IFERROR(__xludf.DUMMYFUNCTION("GOOGLETRANSLATE(L:L,""en"", ""te"")"),"మెగ్గిట్ డిఫెన్స్ సిస్టమ్స్")</f>
        <v>మెగ్గిట్ డిఫెన్స్ సిస్టమ్స్</v>
      </c>
      <c r="N45" s="1" t="s">
        <v>967</v>
      </c>
      <c r="O45" s="1">
        <v>1984.0</v>
      </c>
      <c r="P45" s="1" t="s">
        <v>72</v>
      </c>
      <c r="Q45" s="1"/>
      <c r="R45" s="1" t="s">
        <v>968</v>
      </c>
      <c r="S45" s="1" t="s">
        <v>969</v>
      </c>
      <c r="U45" s="1" t="s">
        <v>970</v>
      </c>
      <c r="V45" s="1" t="s">
        <v>971</v>
      </c>
      <c r="X45" s="1" t="s">
        <v>972</v>
      </c>
      <c r="Y45" s="1" t="s">
        <v>973</v>
      </c>
      <c r="AA45" s="1" t="s">
        <v>974</v>
      </c>
      <c r="AG45" s="1" t="s">
        <v>208</v>
      </c>
      <c r="AH45" s="1" t="s">
        <v>975</v>
      </c>
      <c r="AL45" s="1" t="s">
        <v>976</v>
      </c>
      <c r="AO45" s="1">
        <v>1983.0</v>
      </c>
      <c r="AQ45" s="1" t="s">
        <v>977</v>
      </c>
      <c r="AR45" s="1" t="s">
        <v>978</v>
      </c>
      <c r="AX45" s="1" t="s">
        <v>979</v>
      </c>
      <c r="AY45" s="1" t="s">
        <v>980</v>
      </c>
      <c r="AZ45" s="1" t="s">
        <v>981</v>
      </c>
    </row>
    <row r="46">
      <c r="A46" s="1" t="s">
        <v>982</v>
      </c>
      <c r="B46" s="1" t="str">
        <f>IFERROR(__xludf.DUMMYFUNCTION("GOOGLETRANSLATE(A:A,""en"", ""te"")"),"బార్టెల్ BM 2")</f>
        <v>బార్టెల్ BM 2</v>
      </c>
      <c r="C46" s="1" t="s">
        <v>983</v>
      </c>
      <c r="D46" s="1" t="str">
        <f>IFERROR(__xludf.DUMMYFUNCTION("GOOGLETRANSLATE(C:C,""en"", ""te"")"),"బార్టెల్ BM 2, వాస్తవానికి బార్టెల్ M.2 అనేది 1926 నాటి పోలిష్ బిప్‌లేన్ ప్రైమరీ ట్రైనర్ ఎయిర్‌క్రాఫ్ట్ ప్రోటోటైప్. ఈ విమానం పోజ్నాస్‌లోని సమోలోట్ ఫ్యాక్టరీ యొక్క చీఫ్ డిజైనర్ రైస్‌జార్డ్ బార్టెల్ చేత రూపొందించబడింది. ఇది ఒక శిక్షకుల విమానం యొక్క మొదటి పో"&amp;"లిష్ డిజైన్. ప్రారంభంలో దీనిని బార్టెల్ M.2, తరువాత BM 2 అని పిలుస్తారు (M డిజైనర్ భార్య మేరీలా కోసం). ఈ నమూనా 7 డిసెంబర్ 1926 న పోజ్నాస్లో ఎగురవేయబడింది. జూన్ 1927 లో ఇది వార్సాలో జరిగిన మొదటి విమానయాన ప్రదర్శనలో చూపబడింది. ఇది 1927 లో పరీక్షించబడింది మర"&amp;"ియు చాలా మంచిదిగా అంచనా వేయబడింది, కానీ ఇది సిరీస్‌లో నిర్మించబడలేదు, ఎందుకంటే బార్టెల్ మెరుగైన విమానాన్ని రూపొందించాలని నిర్ణయించుకున్నాడు, దీని ఫలితంగా బార్టెల్ BM 4 ట్రైనర్, ఇది పరిమాణంలో ఉత్పత్తి చేయబడింది. విమాన పరీక్ష తరువాత, ప్రోటోటైప్ సేవ నుండి తొ"&amp;"లగించబడింది. [1] BM 2 మరియు అన్ని బార్టెల్స్ యొక్క ప్రత్యేక లక్షణం తక్కువ వ్యవధి యొక్క ఎగువ విభాగం, ఎందుకంటే దిగువ మరియు ఎగువ వింగ్ భాగాలు పరస్పరం మార్చుకోగలవు (అనగా దిగువ రెక్కలు ఫ్యూజ్‌లేజ్ యొక్క వెడల్పును కలిగి ఉన్నాయి). ఉత్పత్తి మరియు మరమ్మతులు సులభతర"&amp;"ం చేయడానికి, ఉపయోగించిన నిర్మాణ సామగ్రిని ప్రామాణీకరించడంపై బార్టెల్ ఒత్తిడి తెచ్చింది: స్టీల్ పైపులు, మెటల్ షీట్ మొదలైనవి. BM 2 యొక్క ప్రత్యేక లక్షణం దిగువ రెక్కపై నేరుగా ఎగువ వింగ్ - అన్‌స్టాగర్డ్ రెక్కలు, తరువాత బార్టెల్ డిజైన్లలో, రెక్కలు ఫార్వర్డ్ స్"&amp;"ట్రాగర్‌ను కలిగి ఉంటాయి - ఇక్కడ పై వింగ్ దిగువ రెక్క కంటే ముందు అమర్చబడి ఉంటుంది. చెక్క నిర్మాణ బిప్‌లేన్, సాంప్రదాయిక లేఅవుట్‌లో. క్రాస్-సెక్షన్‌లో ఫ్యూజ్‌లేజ్ దీర్ఘచతురస్రాకార, ప్లైవుడ్-కప్పబడిన (ఇంజిన్ విభాగం-మెటల్ కవర్). దీర్ఘచతురస్రాకార రెండు-స్పేర్ "&amp;"రెక్కలు, ప్లైవుడ్- మరియు కాన్వాస్-కప్పబడిన. ఇద్దరు సిబ్బంది, ఓపెన్ కాక్‌పిట్స్‌లో, వ్యక్తిగత విండ్‌షీల్డ్‌లతో కలిసి కూర్చున్నారు. జంట నియంత్రణలతో కాక్‌పిట్స్, బోధకుడు వెనుక కూర్చున్నాడు. స్థిర ల్యాండింగ్ గేర్, వెనుక స్కిడ్ (సాధారణ ఇరుసుతో ప్రధాన గేర్, రబ్"&amp;"బరు తాడుతో పుట్టుకొచ్చింది). కౌలింగ్ లేకుండా, ఫ్యూజ్‌లేజ్ ముక్కులో రేడియల్ ఇంజిన్. [1] జేన్ యొక్క ఆల్ ది వరల్డ్ విమానాల నుండి డేటా 1928, [2] పోలిష్ విమానం 1893-1939 [1] సాధారణ లక్షణాల పనితీరు సంబంధిత అభివృద్ధి")</f>
        <v>బార్టెల్ BM 2, వాస్తవానికి బార్టెల్ M.2 అనేది 1926 నాటి పోలిష్ బిప్‌లేన్ ప్రైమరీ ట్రైనర్ ఎయిర్‌క్రాఫ్ట్ ప్రోటోటైప్. ఈ విమానం పోజ్నాస్‌లోని సమోలోట్ ఫ్యాక్టరీ యొక్క చీఫ్ డిజైనర్ రైస్‌జార్డ్ బార్టెల్ చేత రూపొందించబడింది. ఇది ఒక శిక్షకుల విమానం యొక్క మొదటి పోలిష్ డిజైన్. ప్రారంభంలో దీనిని బార్టెల్ M.2, తరువాత BM 2 అని పిలుస్తారు (M డిజైనర్ భార్య మేరీలా కోసం). ఈ నమూనా 7 డిసెంబర్ 1926 న పోజ్నాస్లో ఎగురవేయబడింది. జూన్ 1927 లో ఇది వార్సాలో జరిగిన మొదటి విమానయాన ప్రదర్శనలో చూపబడింది. ఇది 1927 లో పరీక్షించబడింది మరియు చాలా మంచిదిగా అంచనా వేయబడింది, కానీ ఇది సిరీస్‌లో నిర్మించబడలేదు, ఎందుకంటే బార్టెల్ మెరుగైన విమానాన్ని రూపొందించాలని నిర్ణయించుకున్నాడు, దీని ఫలితంగా బార్టెల్ BM 4 ట్రైనర్, ఇది పరిమాణంలో ఉత్పత్తి చేయబడింది. విమాన పరీక్ష తరువాత, ప్రోటోటైప్ సేవ నుండి తొలగించబడింది. [1] BM 2 మరియు అన్ని బార్టెల్స్ యొక్క ప్రత్యేక లక్షణం తక్కువ వ్యవధి యొక్క ఎగువ విభాగం, ఎందుకంటే దిగువ మరియు ఎగువ వింగ్ భాగాలు పరస్పరం మార్చుకోగలవు (అనగా దిగువ రెక్కలు ఫ్యూజ్‌లేజ్ యొక్క వెడల్పును కలిగి ఉన్నాయి). ఉత్పత్తి మరియు మరమ్మతులు సులభతరం చేయడానికి, ఉపయోగించిన నిర్మాణ సామగ్రిని ప్రామాణీకరించడంపై బార్టెల్ ఒత్తిడి తెచ్చింది: స్టీల్ పైపులు, మెటల్ షీట్ మొదలైనవి. BM 2 యొక్క ప్రత్యేక లక్షణం దిగువ రెక్కపై నేరుగా ఎగువ వింగ్ - అన్‌స్టాగర్డ్ రెక్కలు, తరువాత బార్టెల్ డిజైన్లలో, రెక్కలు ఫార్వర్డ్ స్ట్రాగర్‌ను కలిగి ఉంటాయి - ఇక్కడ పై వింగ్ దిగువ రెక్క కంటే ముందు అమర్చబడి ఉంటుంది. చెక్క నిర్మాణ బిప్‌లేన్, సాంప్రదాయిక లేఅవుట్‌లో. క్రాస్-సెక్షన్‌లో ఫ్యూజ్‌లేజ్ దీర్ఘచతురస్రాకార, ప్లైవుడ్-కప్పబడిన (ఇంజిన్ విభాగం-మెటల్ కవర్). దీర్ఘచతురస్రాకార రెండు-స్పేర్ రెక్కలు, ప్లైవుడ్- మరియు కాన్వాస్-కప్పబడిన. ఇద్దరు సిబ్బంది, ఓపెన్ కాక్‌పిట్స్‌లో, వ్యక్తిగత విండ్‌షీల్డ్‌లతో కలిసి కూర్చున్నారు. జంట నియంత్రణలతో కాక్‌పిట్స్, బోధకుడు వెనుక కూర్చున్నాడు. స్థిర ల్యాండింగ్ గేర్, వెనుక స్కిడ్ (సాధారణ ఇరుసుతో ప్రధాన గేర్, రబ్బరు తాడుతో పుట్టుకొచ్చింది). కౌలింగ్ లేకుండా, ఫ్యూజ్‌లేజ్ ముక్కులో రేడియల్ ఇంజిన్. [1] జేన్ యొక్క ఆల్ ది వరల్డ్ విమానాల నుండి డేటా 1928, [2] పోలిష్ విమానం 1893-1939 [1] సాధారణ లక్షణాల పనితీరు సంబంధిత అభివృద్ధి</v>
      </c>
      <c r="E46" s="1" t="s">
        <v>984</v>
      </c>
      <c r="F46" s="1" t="s">
        <v>901</v>
      </c>
      <c r="G46" s="1" t="str">
        <f>IFERROR(__xludf.DUMMYFUNCTION("GOOGLETRANSLATE(F:F,""en"", ""te"")"),"ప్రాథమిక శిక్షకుల విమానం")</f>
        <v>ప్రాథమిక శిక్షకుల విమానం</v>
      </c>
      <c r="H46" s="1" t="s">
        <v>902</v>
      </c>
      <c r="L46" s="1" t="s">
        <v>985</v>
      </c>
      <c r="M46" s="1" t="str">
        <f>IFERROR(__xludf.DUMMYFUNCTION("GOOGLETRANSLATE(L:L,""en"", ""te"")"),"సమోలోట్")</f>
        <v>సమోలోట్</v>
      </c>
      <c r="N46" s="2" t="s">
        <v>986</v>
      </c>
      <c r="P46" s="1" t="s">
        <v>935</v>
      </c>
      <c r="Q46" s="1"/>
      <c r="R46" s="1">
        <v>1.0</v>
      </c>
      <c r="S46" s="1">
        <v>2.0</v>
      </c>
      <c r="U46" s="1" t="s">
        <v>987</v>
      </c>
      <c r="V46" s="1" t="s">
        <v>988</v>
      </c>
      <c r="W46" s="1" t="s">
        <v>989</v>
      </c>
      <c r="X46" s="1" t="s">
        <v>990</v>
      </c>
      <c r="Y46" s="1" t="s">
        <v>991</v>
      </c>
      <c r="Z46" s="1" t="s">
        <v>992</v>
      </c>
      <c r="AA46" s="1" t="s">
        <v>993</v>
      </c>
      <c r="AB46" s="1" t="s">
        <v>994</v>
      </c>
      <c r="AD46" s="1" t="s">
        <v>995</v>
      </c>
      <c r="AE46" s="1" t="s">
        <v>996</v>
      </c>
      <c r="AF46" s="1" t="s">
        <v>997</v>
      </c>
      <c r="AH46" s="1" t="s">
        <v>998</v>
      </c>
      <c r="AI46" s="1" t="s">
        <v>999</v>
      </c>
      <c r="AK46" s="1" t="s">
        <v>1000</v>
      </c>
      <c r="AL46" s="1" t="s">
        <v>213</v>
      </c>
      <c r="AM46" s="1" t="s">
        <v>1001</v>
      </c>
      <c r="AN46" s="1" t="s">
        <v>1002</v>
      </c>
      <c r="AO46" s="4">
        <v>9838.0</v>
      </c>
      <c r="AQ46" s="1" t="s">
        <v>1003</v>
      </c>
      <c r="AW46" s="1" t="s">
        <v>1004</v>
      </c>
      <c r="BD46" s="1">
        <v>8.5</v>
      </c>
      <c r="BH46" s="1" t="s">
        <v>1005</v>
      </c>
      <c r="CC46" s="1" t="s">
        <v>1006</v>
      </c>
      <c r="CE46" s="1" t="s">
        <v>1007</v>
      </c>
      <c r="CF46" s="1" t="s">
        <v>1008</v>
      </c>
    </row>
    <row r="47">
      <c r="A47" s="1" t="s">
        <v>1009</v>
      </c>
      <c r="B47" s="1" t="str">
        <f>IFERROR(__xludf.DUMMYFUNCTION("GOOGLETRANSLATE(A:A,""en"", ""te"")"),"బార్టెల్ BM 6")</f>
        <v>బార్టెల్ BM 6</v>
      </c>
      <c r="C47" s="1" t="s">
        <v>1010</v>
      </c>
      <c r="D47" s="1" t="str">
        <f>IFERROR(__xludf.DUMMYFUNCTION("GOOGLETRANSLATE(C:C,""en"", ""te"")"),"బార్టెల్ BM 6 1930 నాటి పోలిష్ బిప్‌లేన్ ట్రైనర్ ఫైటర్ విమానం. ఇది ప్రోటోటైప్ దశకు మించి ముందుకు రాలేదు. ఈ విమానం రైస్‌జార్డ్ బార్టెల్ చేత పోజ్నాస్‌లోని సమోలోట్ ఫ్యాక్టరీలో, ట్రైనర్-ఫైటర్ ప్లేన్‌గా రూపొందించబడింది. BM-6 ప్రోటోటైప్, BM 6A గా నియమించబడినది,"&amp;" 8 ఏప్రిల్ 1930 న పోజ్నాస్లో ఎగురవేయబడింది. బార్టెల్ యొక్క డిజైన్ ఫిలాసఫీ ప్రకారం దాని ప్రయోజనం సులభమైన నిర్మాణం మరియు నిర్వహణ. అన్ని బార్టెల్స్ యొక్క ప్రత్యేక లక్షణం తక్కువ వ్యవధి యొక్క ఎగువ వింగ్, ఎందుకంటే తక్కువ మరియు ఎగువ రెక్క భాగాలు పరస్పరం మార్చుకో"&amp;"గలిగినవి (అనగా దిగువ వింగ్స్పాన్ ఫ్యూజ్‌లేజ్ వెడల్పును కలిగి ఉంది). ఇది మొదట బార్టెల్ యొక్క డిజైన్లకు మిశ్రమ నిర్మాణాన్ని ప్రవేశపెట్టింది. ట్రయల్స్ తరువాత, ప్రోటోటైప్ జూలై 1930 లో సవరించబడింది. ప్రోటోటైప్ తరువాత గణనీయంగా సవరించబడిన తరువాత BM 6A/II ను పున "&amp;"es రూపకల్పన చేసింది. ఇది చాలా మంచి విమాన లక్షణాలను అందించింది మరియు ఏరోబాటిక్ ఫ్లైట్ చేయగలదు. ఇదే విధమైన PZL P.1 తో పాటు 1930 లో బుకారెస్ట్‌లో జరిగిన ఫైటర్-ప్లేన్ పోటీలో ఇది ప్రదర్శించబడింది. రెండవ ప్రోటోటైప్ BM 6B, రైట్ వర్ల్‌విండ్ 220 హెచ్‌పి రేడియల్ ఇం"&amp;"జిన్‌తో ఆదేశించబడింది, కాని 1930 మధ్యలో సమోలోట్ ఫ్యాక్టరీని మూసివేయడంతో దానిపై పని ఆగిపోయింది. సమోలోట్ యొక్క అనేక ప్రాజెక్టులను వారసత్వంగా పొందిన పిడబ్ల్యుఎస్ వర్క్స్ ఈ ప్రాజెక్టును కొనసాగించలేదు, ఎందుకంటే దీనికి దాని స్వంత డిజైన్ పిడబ్ల్యుఎస్ -11 ఉంది. 1"&amp;"931 లో రాష్ట్ర విచారణల తరువాత, ఈ నమూనాను గ్రుడ్జిడ్జ్‌లోని ఒక అధునాతన శిక్షణా పాఠశాలలో, తరువాత డిబ్లిన్‌లోని విమానయాన శిక్షణా కేంద్రంలో ఉపయోగించారు. మిశ్రమ నిర్మాణ బిప్‌లేన్. స్టీల్ ఫ్రేమ్డ్ ఫ్యూజ్‌లేజ్, క్రాస్ -సెక్షన్‌లో దీర్ఘచతురస్రాకార, కాన్వాస్ కవర్ "&amp;"(ఇంజిన్ మరియు ఎగువ విభాగాలు - అల్యూమినియం కవర్). గుండ్రని చివరలతో దీర్ఘచతురస్రాకార రెండు-స్పేర్ రెక్కలు, ప్లైవుడ్ మరియు కాన్వాస్ కప్పబడి ఉన్నాయి. అప్పర్ వింగ్ స్పాన్: 7.36 మీ, దిగువ వింగ్ స్పాన్: 8.10 మీ. దిగువ మరియు ఎగువ వింగ్ భాగాలు పరస్పరం మార్చుకోగలవు"&amp;". సింగిల్ పైలట్, ఓపెన్ కాక్‌పిట్‌లో కూర్చుని, విండ్‌షీల్డ్‌తో. V8 ఇంజిన్ హిస్పానో-సూజా 8BE ను తక్కువ విద్యుత్ ఉత్పత్తికి సవరించబడింది (220 HP నుండి 180 HP వరకు). ఫ్యూజ్‌లేజ్ క్రింద రేడియేటర్. స్థిర ల్యాండింగ్ గేర్, వెనుక స్కిడ్‌తో. స్థిర పిచ్ యొక్క రెండు-"&amp;"బ్లేడ్ చెక్క ప్రొపెల్లర్. ఫ్యూజ్‌లేజ్‌లో ఇంధన ట్యాంక్: 168 ఎల్ సామర్థ్యం. పోలిష్ విమానాల నుండి డేటా 1893-1939 [1] సాధారణ లక్షణాలు పనితీరు ఆయుధాలు, కాన్ఫిగరేషన్ మరియు ERA యొక్క ఆయుధ విమానం")</f>
        <v>బార్టెల్ BM 6 1930 నాటి పోలిష్ బిప్‌లేన్ ట్రైనర్ ఫైటర్ విమానం. ఇది ప్రోటోటైప్ దశకు మించి ముందుకు రాలేదు. ఈ విమానం రైస్‌జార్డ్ బార్టెల్ చేత పోజ్నాస్‌లోని సమోలోట్ ఫ్యాక్టరీలో, ట్రైనర్-ఫైటర్ ప్లేన్‌గా రూపొందించబడింది. BM-6 ప్రోటోటైప్, BM 6A గా నియమించబడినది, 8 ఏప్రిల్ 1930 న పోజ్నాస్లో ఎగురవేయబడింది. బార్టెల్ యొక్క డిజైన్ ఫిలాసఫీ ప్రకారం దాని ప్రయోజనం సులభమైన నిర్మాణం మరియు నిర్వహణ. అన్ని బార్టెల్స్ యొక్క ప్రత్యేక లక్షణం తక్కువ వ్యవధి యొక్క ఎగువ వింగ్, ఎందుకంటే తక్కువ మరియు ఎగువ రెక్క భాగాలు పరస్పరం మార్చుకోగలిగినవి (అనగా దిగువ వింగ్స్పాన్ ఫ్యూజ్‌లేజ్ వెడల్పును కలిగి ఉంది). ఇది మొదట బార్టెల్ యొక్క డిజైన్లకు మిశ్రమ నిర్మాణాన్ని ప్రవేశపెట్టింది. ట్రయల్స్ తరువాత, ప్రోటోటైప్ జూలై 1930 లో సవరించబడింది. ప్రోటోటైప్ తరువాత గణనీయంగా సవరించబడిన తరువాత BM 6A/II ను పున es రూపకల్పన చేసింది. ఇది చాలా మంచి విమాన లక్షణాలను అందించింది మరియు ఏరోబాటిక్ ఫ్లైట్ చేయగలదు. ఇదే విధమైన PZL P.1 తో పాటు 1930 లో బుకారెస్ట్‌లో జరిగిన ఫైటర్-ప్లేన్ పోటీలో ఇది ప్రదర్శించబడింది. రెండవ ప్రోటోటైప్ BM 6B, రైట్ వర్ల్‌విండ్ 220 హెచ్‌పి రేడియల్ ఇంజిన్‌తో ఆదేశించబడింది, కాని 1930 మధ్యలో సమోలోట్ ఫ్యాక్టరీని మూసివేయడంతో దానిపై పని ఆగిపోయింది. సమోలోట్ యొక్క అనేక ప్రాజెక్టులను వారసత్వంగా పొందిన పిడబ్ల్యుఎస్ వర్క్స్ ఈ ప్రాజెక్టును కొనసాగించలేదు, ఎందుకంటే దీనికి దాని స్వంత డిజైన్ పిడబ్ల్యుఎస్ -11 ఉంది. 1931 లో రాష్ట్ర విచారణల తరువాత, ఈ నమూనాను గ్రుడ్జిడ్జ్‌లోని ఒక అధునాతన శిక్షణా పాఠశాలలో, తరువాత డిబ్లిన్‌లోని విమానయాన శిక్షణా కేంద్రంలో ఉపయోగించారు. మిశ్రమ నిర్మాణ బిప్‌లేన్. స్టీల్ ఫ్రేమ్డ్ ఫ్యూజ్‌లేజ్, క్రాస్ -సెక్షన్‌లో దీర్ఘచతురస్రాకార, కాన్వాస్ కవర్ (ఇంజిన్ మరియు ఎగువ విభాగాలు - అల్యూమినియం కవర్). గుండ్రని చివరలతో దీర్ఘచతురస్రాకార రెండు-స్పేర్ రెక్కలు, ప్లైవుడ్ మరియు కాన్వాస్ కప్పబడి ఉన్నాయి. అప్పర్ వింగ్ స్పాన్: 7.36 మీ, దిగువ వింగ్ స్పాన్: 8.10 మీ. దిగువ మరియు ఎగువ వింగ్ భాగాలు పరస్పరం మార్చుకోగలవు. సింగిల్ పైలట్, ఓపెన్ కాక్‌పిట్‌లో కూర్చుని, విండ్‌షీల్డ్‌తో. V8 ఇంజిన్ హిస్పానో-సూజా 8BE ను తక్కువ విద్యుత్ ఉత్పత్తికి సవరించబడింది (220 HP నుండి 180 HP వరకు). ఫ్యూజ్‌లేజ్ క్రింద రేడియేటర్. స్థిర ల్యాండింగ్ గేర్, వెనుక స్కిడ్‌తో. స్థిర పిచ్ యొక్క రెండు-బ్లేడ్ చెక్క ప్రొపెల్లర్. ఫ్యూజ్‌లేజ్‌లో ఇంధన ట్యాంక్: 168 ఎల్ సామర్థ్యం. పోలిష్ విమానాల నుండి డేటా 1893-1939 [1] సాధారణ లక్షణాలు పనితీరు ఆయుధాలు, కాన్ఫిగరేషన్ మరియు ERA యొక్క ఆయుధ విమానం</v>
      </c>
      <c r="E47" s="1" t="s">
        <v>1011</v>
      </c>
      <c r="F47" s="1" t="s">
        <v>1012</v>
      </c>
      <c r="G47" s="1" t="str">
        <f>IFERROR(__xludf.DUMMYFUNCTION("GOOGLETRANSLATE(F:F,""en"", ""te"")"),"ట్రైనర్ విమానం")</f>
        <v>ట్రైనర్ విమానం</v>
      </c>
      <c r="H47" s="1" t="s">
        <v>1013</v>
      </c>
      <c r="L47" s="1" t="s">
        <v>985</v>
      </c>
      <c r="M47" s="1" t="str">
        <f>IFERROR(__xludf.DUMMYFUNCTION("GOOGLETRANSLATE(L:L,""en"", ""te"")"),"సమోలోట్")</f>
        <v>సమోలోట్</v>
      </c>
      <c r="N47" s="2" t="s">
        <v>986</v>
      </c>
      <c r="P47" s="1" t="s">
        <v>935</v>
      </c>
      <c r="Q47" s="1"/>
      <c r="R47" s="1">
        <v>1.0</v>
      </c>
      <c r="S47" s="1">
        <v>1.0</v>
      </c>
      <c r="U47" s="1" t="s">
        <v>1014</v>
      </c>
      <c r="V47" s="1" t="s">
        <v>1015</v>
      </c>
      <c r="W47" s="1" t="s">
        <v>1016</v>
      </c>
      <c r="X47" s="1" t="s">
        <v>1017</v>
      </c>
      <c r="Y47" s="1" t="s">
        <v>1018</v>
      </c>
      <c r="Z47" s="1" t="s">
        <v>1019</v>
      </c>
      <c r="AA47" s="1" t="s">
        <v>1020</v>
      </c>
      <c r="AE47" s="1" t="s">
        <v>1021</v>
      </c>
      <c r="AF47" s="1" t="s">
        <v>1022</v>
      </c>
      <c r="AH47" s="1" t="s">
        <v>1023</v>
      </c>
      <c r="AJ47" s="1" t="s">
        <v>1024</v>
      </c>
      <c r="AL47" s="1" t="s">
        <v>1025</v>
      </c>
      <c r="AO47" s="4">
        <v>11056.0</v>
      </c>
      <c r="AQ47" s="1" t="s">
        <v>1026</v>
      </c>
      <c r="AR47" s="1" t="s">
        <v>921</v>
      </c>
      <c r="BA47" s="1" t="s">
        <v>923</v>
      </c>
      <c r="BH47" s="1" t="s">
        <v>1027</v>
      </c>
      <c r="BR47" s="1" t="s">
        <v>1028</v>
      </c>
      <c r="CC47" s="1" t="s">
        <v>1029</v>
      </c>
    </row>
    <row r="48">
      <c r="A48" s="1" t="s">
        <v>1030</v>
      </c>
      <c r="B48" s="1" t="str">
        <f>IFERROR(__xludf.DUMMYFUNCTION("GOOGLETRANSLATE(A:A,""en"", ""te"")"),"బీచ్‌క్రాఫ్ట్ మెరుపు")</f>
        <v>బీచ్‌క్రాఫ్ట్ మెరుపు</v>
      </c>
      <c r="C48" s="1" t="s">
        <v>1031</v>
      </c>
      <c r="D48" s="1" t="str">
        <f>IFERROR(__xludf.DUMMYFUNCTION("GOOGLETRANSLATE(C:C,""en"", ""te"")"),"బీచ్‌క్రాఫ్ట్ మోడల్ 38 పి మెరుపు 1980 లలో బీచ్‌క్రాఫ్ట్ (ఇప్పుడు హాకర్ బీచ్‌క్రాఫ్ట్ యొక్క విభాగం) నిర్మించిన మరియు పరీక్షించిన ప్రయోగాత్మక టర్బోప్రాప్ విమానం. మోడల్ 38 పి (ప్రెస్సురైజ్డ్) (మోడల్ పిడి 336 అని కూడా పిలుస్తారు) ఒక బీచ్‌క్రాఫ్ట్ బారన్ 58 పి "&amp;"ఫ్యూజ్‌లేజ్ యొక్క ముక్కులో గారెట్ ఎయిర్‌సెర్చ్ టిపిఇ -331-9 ఇంజిన్‌ను వ్యవస్థాపించడం ద్వారా సృష్టించబడింది, ఇది బీచ్‌క్రాఫ్ట్ బి 36 టిసి బోనాంజా వింగ్‌తో జతచేయబడింది. రెండు ఇంజిన్లతో బారన్ వింగ్. [1] దీని ఫలితంగా పైలట్‌లతో సహా ఆరు సీట్లతో తక్కువ-వింగ్ విమ"&amp;"ానం వచ్చింది. ఈ విమానం జూన్ 14, 1982 న మొదటిసారిగా ప్రయాణించింది. [1] దాదాపు 18 నెలల్లో 133 విమానాల తరువాత, విమానం తాత్కాలికంగా గ్రౌన్దేడ్ చేయబడింది, తద్వారా TPE331 ను తొలగించవచ్చు మరియు ప్రాట్ &amp; విట్నీ కెనడా PT6A-40 ఇంజిన్ దాని స్థానంలో అమర్చబడి ఉంటుంది."&amp;" [1] ఈ విమానం ఈ కాన్ఫిగరేషన్‌లో మార్చి 9, 1984 న మొదటిసారిగా ఎగిరింది మరియు చివరి ఫ్లైట్ అదే సంవత్సరం ఆగస్టు 8 న జరిగింది. [1] బీచ్‌క్రాఫ్ట్ మొదట మెరుపును ఉత్పత్తిలో ఉంచాలని యోచిస్తోంది, కాని 1980 లలో యునైటెడ్ స్టేట్స్‌లోని సాధారణ విమానయాన తయారీదారులలో ఆర"&amp;"్థిక మాంద్యం ఈ ప్రాజెక్ట్ను పండించటానికి దారితీసింది [2] PT6A శక్తితో మొదటి ఫ్లైట్ తరువాత. [1] అనేక మోడల్ 38 పిలను బీచ్‌క్రాఫ్ట్ డీలర్ నెట్‌వర్క్ వినియోగదారులకు ముందే విక్రయించారు, కాని విమానాన్ని ఉత్పత్తి చేయకూడదని నిర్ణయం తీసుకున్నప్పుడు సేకరించిన కొనుగ"&amp;"ోలు డిపాజిట్లు తిరిగి ఇవ్వబడ్డాయి. జేన్ యొక్క 1983–84 ఏవియేషన్ రివ్యూ [3] నుండి డేటా పోల్చదగిన పాత్ర, కాన్ఫిగరేషన్ మరియు ERA యొక్క సాధారణ లక్షణాల పనితీరు విమానం")</f>
        <v>బీచ్‌క్రాఫ్ట్ మోడల్ 38 పి మెరుపు 1980 లలో బీచ్‌క్రాఫ్ట్ (ఇప్పుడు హాకర్ బీచ్‌క్రాఫ్ట్ యొక్క విభాగం) నిర్మించిన మరియు పరీక్షించిన ప్రయోగాత్మక టర్బోప్రాప్ విమానం. మోడల్ 38 పి (ప్రెస్సురైజ్డ్) (మోడల్ పిడి 336 అని కూడా పిలుస్తారు) ఒక బీచ్‌క్రాఫ్ట్ బారన్ 58 పి ఫ్యూజ్‌లేజ్ యొక్క ముక్కులో గారెట్ ఎయిర్‌సెర్చ్ టిపిఇ -331-9 ఇంజిన్‌ను వ్యవస్థాపించడం ద్వారా సృష్టించబడింది, ఇది బీచ్‌క్రాఫ్ట్ బి 36 టిసి బోనాంజా వింగ్‌తో జతచేయబడింది. రెండు ఇంజిన్లతో బారన్ వింగ్. [1] దీని ఫలితంగా పైలట్‌లతో సహా ఆరు సీట్లతో తక్కువ-వింగ్ విమానం వచ్చింది. ఈ విమానం జూన్ 14, 1982 న మొదటిసారిగా ప్రయాణించింది. [1] దాదాపు 18 నెలల్లో 133 విమానాల తరువాత, విమానం తాత్కాలికంగా గ్రౌన్దేడ్ చేయబడింది, తద్వారా TPE331 ను తొలగించవచ్చు మరియు ప్రాట్ &amp; విట్నీ కెనడా PT6A-40 ఇంజిన్ దాని స్థానంలో అమర్చబడి ఉంటుంది. [1] ఈ విమానం ఈ కాన్ఫిగరేషన్‌లో మార్చి 9, 1984 న మొదటిసారిగా ఎగిరింది మరియు చివరి ఫ్లైట్ అదే సంవత్సరం ఆగస్టు 8 న జరిగింది. [1] బీచ్‌క్రాఫ్ట్ మొదట మెరుపును ఉత్పత్తిలో ఉంచాలని యోచిస్తోంది, కాని 1980 లలో యునైటెడ్ స్టేట్స్‌లోని సాధారణ విమానయాన తయారీదారులలో ఆర్థిక మాంద్యం ఈ ప్రాజెక్ట్ను పండించటానికి దారితీసింది [2] PT6A శక్తితో మొదటి ఫ్లైట్ తరువాత. [1] అనేక మోడల్ 38 పిలను బీచ్‌క్రాఫ్ట్ డీలర్ నెట్‌వర్క్ వినియోగదారులకు ముందే విక్రయించారు, కాని విమానాన్ని ఉత్పత్తి చేయకూడదని నిర్ణయం తీసుకున్నప్పుడు సేకరించిన కొనుగోలు డిపాజిట్లు తిరిగి ఇవ్వబడ్డాయి. జేన్ యొక్క 1983–84 ఏవియేషన్ రివ్యూ [3] నుండి డేటా పోల్చదగిన పాత్ర, కాన్ఫిగరేషన్ మరియు ERA యొక్క సాధారణ లక్షణాల పనితీరు విమానం</v>
      </c>
      <c r="F48" s="1" t="s">
        <v>844</v>
      </c>
      <c r="G48" s="1" t="str">
        <f>IFERROR(__xludf.DUMMYFUNCTION("GOOGLETRANSLATE(F:F,""en"", ""te"")"),"సివిల్ యుటిలిటీ విమానం")</f>
        <v>సివిల్ యుటిలిటీ విమానం</v>
      </c>
      <c r="L48" s="1" t="s">
        <v>1032</v>
      </c>
      <c r="M48" s="1" t="str">
        <f>IFERROR(__xludf.DUMMYFUNCTION("GOOGLETRANSLATE(L:L,""en"", ""te"")"),"బీచ్‌క్రాఫ్ట్")</f>
        <v>బీచ్‌క్రాఫ్ట్</v>
      </c>
      <c r="N48" s="2" t="s">
        <v>1033</v>
      </c>
      <c r="O48" s="1">
        <v>1982.0</v>
      </c>
      <c r="R48" s="1">
        <v>2.0</v>
      </c>
      <c r="S48" s="1">
        <v>1.0</v>
      </c>
      <c r="T48" s="1" t="s">
        <v>1034</v>
      </c>
      <c r="U48" s="1" t="s">
        <v>1035</v>
      </c>
      <c r="AA48" s="1" t="s">
        <v>1036</v>
      </c>
      <c r="AB48" s="1" t="s">
        <v>1037</v>
      </c>
      <c r="AH48" s="1" t="s">
        <v>1038</v>
      </c>
      <c r="AK48" s="1" t="s">
        <v>1039</v>
      </c>
      <c r="AL48" s="1" t="s">
        <v>1040</v>
      </c>
      <c r="AO48" s="5">
        <v>30116.0</v>
      </c>
      <c r="AU48" s="1" t="s">
        <v>1041</v>
      </c>
      <c r="AV48" s="1" t="s">
        <v>1042</v>
      </c>
      <c r="BC48" s="1">
        <v>1984.0</v>
      </c>
    </row>
    <row r="49">
      <c r="A49" s="1" t="s">
        <v>1043</v>
      </c>
      <c r="B49" s="1" t="str">
        <f>IFERROR(__xludf.DUMMYFUNCTION("GOOGLETRANSLATE(A:A,""en"", ""te"")"),"ఆంటోనెట్ మిలిటరీ మోనోప్లేన్")</f>
        <v>ఆంటోనెట్ మిలిటరీ మోనోప్లేన్</v>
      </c>
      <c r="C49" s="1" t="s">
        <v>1044</v>
      </c>
      <c r="D49" s="1" t="str">
        <f>IFERROR(__xludf.DUMMYFUNCTION("GOOGLETRANSLATE(C:C,""en"", ""te"")"),"ఆంటోనెట్ మిలిటరీ మోనోప్లేన్, ఆంటోనిట్టే మోనోబ్లోక్ లేదా ఆంటోనిట్టే-లాథమ్ అని కూడా పిలుస్తారు, ఫ్రెంచ్ మిలిటరీ నుండి ఆర్డర్‌లను ఆకర్షించాలనే ఆశతో 1911 లో ఆంటోనిట్టే సంస్థ ఫ్రాన్స్‌లో నిర్మించిన 3-సీట్ల ప్రారంభ మోనోప్లేన్. ఇది వినూత్న అంశాలతో కూడిన ఫ్యూచరిస"&amp;"్టిక్ మరియు ఏరోడైనమిక్ డిజైన్‌ను కలిగి ఉంది, వీటిలో దాని సమయానికి ముందే ఉంది, వీటిలో అన్‌బ్రాస్డ్ కాంటిలివర్ వింగ్స్, పరివేష్టిత ఫ్యూజ్‌లేజ్ మరియు వీల్ ఫెయిరింగ్‌లు మరియు ఆవిరి శీతలీకరణ మరియు ప్రత్యక్ష ఇంధన ఇంజెక్షన్ ఉన్న ఇంజిన్ ఉన్నాయి. ఏదేమైనా, తక్కువ శ"&amp;"క్తితో పనిచేసే ఇంజిన్ కారణంగా, ఇది ఎగరలేకపోయింది మరియు ఆర్డర్‌లను ఆకర్షించడంలో విఫలమైంది. లియోన్ లెవావాస్సీర్ మరియు జూల్స్ గాస్టాంబైడ్ చేత రూపొందించబడింది మరియు ""మోనోబ్లోక్"" అనే పేరుతో బాప్తిస్మం తీసుకుంది, ఈ విమానం దాని సమయానికి అనేక వినూత్న ఏరోడైనమిక్"&amp;" మెరుగుదలలను కలిగి ఉంది. డిజైన్‌ను పరివేష్టిత మరియు క్రమబద్ధీకరించిన శరీరం మరియు రెక్కలు కలిగి ఉన్నాయి. డిజైన్ బాహ్య బ్రేసింగ్ వైర్లు లేకపోవడం ద్వారా గాలి నిరోధకతను తగ్గించింది మరియు దాని నియంత్రణ కేబుళ్లను దాని చతురస్రాకార-సెక్షన్ ఫ్యూజ్‌లేజ్ మరియు పెద్ద"&amp;" చెక్క కాంటిలివర్ రెక్కలలో పూర్తిగా జతచేయడం ద్వారా. [1] చెక్క రెక్కలు బేస్ వద్ద 70 సెం.మీ. ప్రధాన స్పార్ 70 సెం.మీ ఎత్తు మరియు రెక్క ముందు మూడవ భాగంలో పరిష్కరించబడింది; ఇతరులు (నేను ముందు, 2 వెనుక) వారి గొడ్డలి మధ్యలో అతుక్కొని, రెక్కలు యంత్రం యొక్క పార్శ"&amp;"్వ నియంత్రణను అందించడానికి 'వార్ప్' చేయడానికి అనుమతిస్తాయి. వీటిని పైలట్ ఒక వక్రీకృత ఫ్రేమ్ ద్వారా నియంత్రించారు, వీటిని రెక్కల వార్పింగ్ నియంత్రించడానికి మరియు వైపు లేదా ప్రక్క వైపుకు నెట్టవచ్చు. [1] [2] స్పార్స్‌కు 40 సెం.మీ దూరంలో ఉన్న పక్కటెముకలు మద్ద"&amp;"తు ఇచ్చాయి; రెక్కలు, పూర్తిగా లోడ్ చేయబడినవి, m2 కి 25 కిలోల కోసం రూపొందించబడ్డాయి - ప్రస్తుత సమయం యొక్క విమానం 15 కిలోల/మీ 2 ను భరించటానికి మాత్రమే రూపొందించబడింది. ప్రతి రెక్క యొక్క తీగ ఫ్యూజ్‌లేజ్‌తో జంక్షన్ వద్ద 4 మీటర్లు, మరియు రెక్క చిట్కా వద్ద 3 మీ"&amp;"టర్లకు తగ్గింది. రెక్క యొక్క ఎయిర్‌ఫాయిల్ యొక్క ఎగువ భాగం కేంబర్‌గా ఉంది, అండర్ సైడ్ చాలా ఫ్లాట్‌గా ఉంది, ప్రముఖ మరియు వెనుకంజలో ఉన్న అంచులు చాలా పదునైనవి. [2] [3] [4] టెయిల్‌ప్లేన్‌లో పొడవైన, తక్కువ ఫిన్ మరియు పెద్ద దీర్ఘచతురస్రాకార చుక్కాని ఉన్నాయి, అది"&amp;" పొడిగింపు ద్వారా విస్తరించవచ్చు. [5] క్రమబద్ధీకరించిన ఫ్యూజ్‌లేజ్ కలప ఫ్రేమ్‌లు మరియు గట్టి కాన్వాస్‌తో అలంకరించబడింది, ఇంజిన్ యొక్క సిలిండర్-హెడ్ మాత్రమే బహిర్గతమైంది. ఫ్యూజ్‌లేజ్ ఒక పడవ ఆకారంలో ఉన్న విల్లు ద్వారా ముందు భాగంలో ముగిసింది. క్రూ కంపార్ట్మె"&amp;"ంట్లో మూడు సీట్లు ఉన్నాయి మరియు మూసివేయబడ్డాయి, కాబట్టి ఫ్యూజ్‌లేజ్ కింద ఒక తలుపు ద్వారా యాక్సెస్ ఉంది. ముందు భాగంలో కూర్చున్న మెకానిక్, ముందు భాగంలో ఇంజిన్‌కు సులభంగా ప్రత్యక్ష ప్రాప్యత కలిగి ఉన్నాడు. అతని వెనుక, పైలట్ మంచి దృష్టిని కలిగి ఉన్నాడు, అంతస్త"&amp;"ులో కిటికీలు అతని క్రింద చూడటానికి వీలు కల్పిస్తాయి. ఒక పరిశీలకుడు వెనుక భాగంలో పైలట్ వెనుక కూర్చున్నాడు. [2] [4] [5] [6] క్రమబద్ధమైన ఫెయిరింగ్స్ లేదా ""స్పాట్స్"" ద్వారా విమానం యొక్క స్థిర ల్యాండింగ్ గేర్ యొక్క ఆవరణ 1911 లో ఒక గొప్ప ఆవిష్కరణగా భావించబడిం"&amp;"ది. [7] ప్రతి ఫెయిరింగ్ కాన్వాస్-కప్పబడిన నిర్మాణం కలిగి ఉంటుంది, ఇది సరళంగా మొలకెత్తిన ఇరుసుపై పెద్ద డబుల్ మెయిన్ వీల్ కలిగి ఉంటుంది మరియు ల్యాండింగ్‌లో ముక్కు-ఓవర్లను నివారించడానికి ఒక చిన్న చక్రం ముందుకు ఉంచబడింది. [1] [3] [5] [7] ఇదే విధమైన అమరికను కో"&amp;"ండ్ 1911 ట్విన్-గ్నామ్ ఇంజిన్ మోనోప్లేన్ ఉపయోగించారు. [7] రేడియేటర్‌గా పనిచేస్తూ, ఫ్యూజ్‌లేజ్ వెంట నడుస్తున్న రాగి గొట్టాల నెట్‌వర్క్ 50 నుండి 60 హెచ్‌పి (వేర్వేరు వనరుల ప్రకారం) ఆంటోనెట్ 8 వి ఇంజిన్‌ను చల్లబరిచింది. [3] [5] [6] సెప్టెంబర్-అక్టోబర్ 1911 ల"&amp;"ో REIMS లో 1911 సైనిక పోటీ కోసం 100 HP యొక్క పెద్ద V12 ఇంజిన్ అమర్చబడింది. ఇది ఆవిరితో చల్లబడింది - వేడిచేసిన నీరు సిలిండర్ జాకెట్లలో ఆవిరైపోయి, ఆపై విమానం వెలుపల జతచేయబడిన రాగి గొట్టాలలో ఘనీకృతమైంది. ఇంజిన్‌లో సిలిండర్‌కు రెండు కవాటాలు ఉన్నాయి, యాంత్రికం"&amp;"గా పనిచేసే ఎగ్జాస్ట్ వాల్వ్ మరియు ఆటోమేటిక్ ఇన్లెట్ వాల్వ్. కార్బ్యురేటర్‌కు బదులుగా, రెండు ఇంధన పంపులు ఇన్లెట్ వాల్వ్ గదులకు ఇంధనాన్ని అందించాయి. [8] V16 కాన్ఫిగరేషన్ మరియు 120 HP యొక్క పెద్ద ఇంజిన్ ప్రణాళిక చేయబడింది, [2] కానీ ఇంజిన్ మరియు ఫ్యూజ్‌లేజ్ క"&amp;"్రింద ఉన్న సిబ్బంది ఎంట్రీ హాచ్ మధ్య పరిమిత స్థలం కారణంగా ఇది సాధ్యం కాకపోవచ్చు. [9] ఫ్రెంచ్ మిలిటరీ నుండి ఆదేశాలను ఆకర్షించాలనే ఆశతో ఈ విమానం సెప్టెంబర్ 1911 లో రీమ్స్ వద్ద లే గ్రాండ్ కాంకోర్స్ డి ఏవియేషన్ మిలిటైర్ వద్ద ప్రదర్శించబడింది. ఫ్రెంచ్ సైన్యం న"&amp;"ిర్వహించిన, ఈ పోటీలో విమానం మరియు ఇంజిన్‌లను ఫ్రాన్స్‌లో పూర్తిగా నిర్మించవలసి ఉంది మరియు 300 కిలోమీటర్ల క్లోజ్డ్ సర్క్యూట్లో 300 కిలోల లోడ్ (చమురు, నీరు మరియు ఇంధనంతో సహా) తో ఆగిపోకుండా ఎగురుతుంది గంటకు 60 కిమీ కంటే ఎక్కువ వేగం. అదనంగా, అవి 3-సీటర్లు, మర"&amp;"ియు తీసుకోని ఉపరితలాల నుండి తీసుకోవటానికి మరియు ల్యాండ్ చేయగలవు. మొదటి బహుమతి 700,000 ఫ్రాంక్‌లు మరియు గంటకు 60 కిమీ కంటే ఎక్కువ వేగంతో పెరగడానికి అదనపు మొత్తాలు, అలాగే 10 విమానాలను కొనుగోలు చేయడానికి మిలిటరీ చేసిన నిబద్ధత. ఈ పోటీ బ్లెరియోట్, ఫార్మాన్, డె"&amp;"పెర్డస్సిన్ మరియు న్యూపోర్ట్‌తో సహా ఆ సమయంలో ప్రధాన ఫ్రెంచ్ విమాన తయారీదారులను ఆకర్షించింది. [2] 100 హెచ్‌పి [8] యొక్క మరింత శక్తివంతమైన V12 ఇంజిన్ మరియు చిన్న 16 లీటర్ ఇంధన ట్యాంక్ యొక్క అమరిక ఉన్నప్పటికీ, ఆంటోనిట్టే యొక్క మోనోబ్లోక్ ఎంట్రీ తక్కువ శక్తివ"&amp;"ంతమైనది మరియు ఇది అనేక మీటర్ల చిన్న హాప్‌ను నిర్వహించినప్పటికీ, అది విజయవంతంగా ఎగరలేకపోయింది . ఇది ఏ ఆర్డర్‌లను ఆకర్షించడంలో విఫలమైంది, మరియు ఈ ఎదురుదెబ్బ తరువాత, ఆంటోనెట్ సంస్థ త్వరలో దివాలా తీసింది. [5] దిగువ జాబితా చేయబడిన వివిధ వనరుల నుండి సమన్వయం చేస"&amp;"ిన డేటా జనరల్ లక్షణాలు సంబంధిత జాబితాల విమానాల జాబితా (1914 కి ముందు)")</f>
        <v>ఆంటోనెట్ మిలిటరీ మోనోప్లేన్, ఆంటోనిట్టే మోనోబ్లోక్ లేదా ఆంటోనిట్టే-లాథమ్ అని కూడా పిలుస్తారు, ఫ్రెంచ్ మిలిటరీ నుండి ఆర్డర్‌లను ఆకర్షించాలనే ఆశతో 1911 లో ఆంటోనిట్టే సంస్థ ఫ్రాన్స్‌లో నిర్మించిన 3-సీట్ల ప్రారంభ మోనోప్లేన్. ఇది వినూత్న అంశాలతో కూడిన ఫ్యూచరిస్టిక్ మరియు ఏరోడైనమిక్ డిజైన్‌ను కలిగి ఉంది, వీటిలో దాని సమయానికి ముందే ఉంది, వీటిలో అన్‌బ్రాస్డ్ కాంటిలివర్ వింగ్స్, పరివేష్టిత ఫ్యూజ్‌లేజ్ మరియు వీల్ ఫెయిరింగ్‌లు మరియు ఆవిరి శీతలీకరణ మరియు ప్రత్యక్ష ఇంధన ఇంజెక్షన్ ఉన్న ఇంజిన్ ఉన్నాయి. ఏదేమైనా, తక్కువ శక్తితో పనిచేసే ఇంజిన్ కారణంగా, ఇది ఎగరలేకపోయింది మరియు ఆర్డర్‌లను ఆకర్షించడంలో విఫలమైంది. లియోన్ లెవావాస్సీర్ మరియు జూల్స్ గాస్టాంబైడ్ చేత రూపొందించబడింది మరియు "మోనోబ్లోక్" అనే పేరుతో బాప్తిస్మం తీసుకుంది, ఈ విమానం దాని సమయానికి అనేక వినూత్న ఏరోడైనమిక్ మెరుగుదలలను కలిగి ఉంది. డిజైన్‌ను పరివేష్టిత మరియు క్రమబద్ధీకరించిన శరీరం మరియు రెక్కలు కలిగి ఉన్నాయి. డిజైన్ బాహ్య బ్రేసింగ్ వైర్లు లేకపోవడం ద్వారా గాలి నిరోధకతను తగ్గించింది మరియు దాని నియంత్రణ కేబుళ్లను దాని చతురస్రాకార-సెక్షన్ ఫ్యూజ్‌లేజ్ మరియు పెద్ద చెక్క కాంటిలివర్ రెక్కలలో పూర్తిగా జతచేయడం ద్వారా. [1] చెక్క రెక్కలు బేస్ వద్ద 70 సెం.మీ. ప్రధాన స్పార్ 70 సెం.మీ ఎత్తు మరియు రెక్క ముందు మూడవ భాగంలో పరిష్కరించబడింది; ఇతరులు (నేను ముందు, 2 వెనుక) వారి గొడ్డలి మధ్యలో అతుక్కొని, రెక్కలు యంత్రం యొక్క పార్శ్వ నియంత్రణను అందించడానికి 'వార్ప్' చేయడానికి అనుమతిస్తాయి. వీటిని పైలట్ ఒక వక్రీకృత ఫ్రేమ్ ద్వారా నియంత్రించారు, వీటిని రెక్కల వార్పింగ్ నియంత్రించడానికి మరియు వైపు లేదా ప్రక్క వైపుకు నెట్టవచ్చు. [1] [2] స్పార్స్‌కు 40 సెం.మీ దూరంలో ఉన్న పక్కటెముకలు మద్దతు ఇచ్చాయి; రెక్కలు, పూర్తిగా లోడ్ చేయబడినవి, m2 కి 25 కిలోల కోసం రూపొందించబడ్డాయి - ప్రస్తుత సమయం యొక్క విమానం 15 కిలోల/మీ 2 ను భరించటానికి మాత్రమే రూపొందించబడింది. ప్రతి రెక్క యొక్క తీగ ఫ్యూజ్‌లేజ్‌తో జంక్షన్ వద్ద 4 మీటర్లు, మరియు రెక్క చిట్కా వద్ద 3 మీటర్లకు తగ్గింది. రెక్క యొక్క ఎయిర్‌ఫాయిల్ యొక్క ఎగువ భాగం కేంబర్‌గా ఉంది, అండర్ సైడ్ చాలా ఫ్లాట్‌గా ఉంది, ప్రముఖ మరియు వెనుకంజలో ఉన్న అంచులు చాలా పదునైనవి. [2] [3] [4] టెయిల్‌ప్లేన్‌లో పొడవైన, తక్కువ ఫిన్ మరియు పెద్ద దీర్ఘచతురస్రాకార చుక్కాని ఉన్నాయి, అది పొడిగింపు ద్వారా విస్తరించవచ్చు. [5] క్రమబద్ధీకరించిన ఫ్యూజ్‌లేజ్ కలప ఫ్రేమ్‌లు మరియు గట్టి కాన్వాస్‌తో అలంకరించబడింది, ఇంజిన్ యొక్క సిలిండర్-హెడ్ మాత్రమే బహిర్గతమైంది. ఫ్యూజ్‌లేజ్ ఒక పడవ ఆకారంలో ఉన్న విల్లు ద్వారా ముందు భాగంలో ముగిసింది. క్రూ కంపార్ట్మెంట్లో మూడు సీట్లు ఉన్నాయి మరియు మూసివేయబడ్డాయి, కాబట్టి ఫ్యూజ్‌లేజ్ కింద ఒక తలుపు ద్వారా యాక్సెస్ ఉంది. ముందు భాగంలో కూర్చున్న మెకానిక్, ముందు భాగంలో ఇంజిన్‌కు సులభంగా ప్రత్యక్ష ప్రాప్యత కలిగి ఉన్నాడు. అతని వెనుక, పైలట్ మంచి దృష్టిని కలిగి ఉన్నాడు, అంతస్తులో కిటికీలు అతని క్రింద చూడటానికి వీలు కల్పిస్తాయి. ఒక పరిశీలకుడు వెనుక భాగంలో పైలట్ వెనుక కూర్చున్నాడు. [2] [4] [5] [6] క్రమబద్ధమైన ఫెయిరింగ్స్ లేదా "స్పాట్స్" ద్వారా విమానం యొక్క స్థిర ల్యాండింగ్ గేర్ యొక్క ఆవరణ 1911 లో ఒక గొప్ప ఆవిష్కరణగా భావించబడింది. [7] ప్రతి ఫెయిరింగ్ కాన్వాస్-కప్పబడిన నిర్మాణం కలిగి ఉంటుంది, ఇది సరళంగా మొలకెత్తిన ఇరుసుపై పెద్ద డబుల్ మెయిన్ వీల్ కలిగి ఉంటుంది మరియు ల్యాండింగ్‌లో ముక్కు-ఓవర్లను నివారించడానికి ఒక చిన్న చక్రం ముందుకు ఉంచబడింది. [1] [3] [5] [7] ఇదే విధమైన అమరికను కోండ్ 1911 ట్విన్-గ్నామ్ ఇంజిన్ మోనోప్లేన్ ఉపయోగించారు. [7] రేడియేటర్‌గా పనిచేస్తూ, ఫ్యూజ్‌లేజ్ వెంట నడుస్తున్న రాగి గొట్టాల నెట్‌వర్క్ 50 నుండి 60 హెచ్‌పి (వేర్వేరు వనరుల ప్రకారం) ఆంటోనెట్ 8 వి ఇంజిన్‌ను చల్లబరిచింది. [3] [5] [6] సెప్టెంబర్-అక్టోబర్ 1911 లో REIMS లో 1911 సైనిక పోటీ కోసం 100 HP యొక్క పెద్ద V12 ఇంజిన్ అమర్చబడింది. ఇది ఆవిరితో చల్లబడింది - వేడిచేసిన నీరు సిలిండర్ జాకెట్లలో ఆవిరైపోయి, ఆపై విమానం వెలుపల జతచేయబడిన రాగి గొట్టాలలో ఘనీకృతమైంది. ఇంజిన్‌లో సిలిండర్‌కు రెండు కవాటాలు ఉన్నాయి, యాంత్రికంగా పనిచేసే ఎగ్జాస్ట్ వాల్వ్ మరియు ఆటోమేటిక్ ఇన్లెట్ వాల్వ్. కార్బ్యురేటర్‌కు బదులుగా, రెండు ఇంధన పంపులు ఇన్లెట్ వాల్వ్ గదులకు ఇంధనాన్ని అందించాయి. [8] V16 కాన్ఫిగరేషన్ మరియు 120 HP యొక్క పెద్ద ఇంజిన్ ప్రణాళిక చేయబడింది, [2] కానీ ఇంజిన్ మరియు ఫ్యూజ్‌లేజ్ క్రింద ఉన్న సిబ్బంది ఎంట్రీ హాచ్ మధ్య పరిమిత స్థలం కారణంగా ఇది సాధ్యం కాకపోవచ్చు. [9] ఫ్రెంచ్ మిలిటరీ నుండి ఆదేశాలను ఆకర్షించాలనే ఆశతో ఈ విమానం సెప్టెంబర్ 1911 లో రీమ్స్ వద్ద లే గ్రాండ్ కాంకోర్స్ డి ఏవియేషన్ మిలిటైర్ వద్ద ప్రదర్శించబడింది. ఫ్రెంచ్ సైన్యం నిర్వహించిన, ఈ పోటీలో విమానం మరియు ఇంజిన్‌లను ఫ్రాన్స్‌లో పూర్తిగా నిర్మించవలసి ఉంది మరియు 300 కిలోమీటర్ల క్లోజ్డ్ సర్క్యూట్లో 300 కిలోల లోడ్ (చమురు, నీరు మరియు ఇంధనంతో సహా) తో ఆగిపోకుండా ఎగురుతుంది గంటకు 60 కిమీ కంటే ఎక్కువ వేగం. అదనంగా, అవి 3-సీటర్లు, మరియు తీసుకోని ఉపరితలాల నుండి తీసుకోవటానికి మరియు ల్యాండ్ చేయగలవు. మొదటి బహుమతి 700,000 ఫ్రాంక్‌లు మరియు గంటకు 60 కిమీ కంటే ఎక్కువ వేగంతో పెరగడానికి అదనపు మొత్తాలు, అలాగే 10 విమానాలను కొనుగోలు చేయడానికి మిలిటరీ చేసిన నిబద్ధత. ఈ పోటీ బ్లెరియోట్, ఫార్మాన్, డెపెర్డస్సిన్ మరియు న్యూపోర్ట్‌తో సహా ఆ సమయంలో ప్రధాన ఫ్రెంచ్ విమాన తయారీదారులను ఆకర్షించింది. [2] 100 హెచ్‌పి [8] యొక్క మరింత శక్తివంతమైన V12 ఇంజిన్ మరియు చిన్న 16 లీటర్ ఇంధన ట్యాంక్ యొక్క అమరిక ఉన్నప్పటికీ, ఆంటోనిట్టే యొక్క మోనోబ్లోక్ ఎంట్రీ తక్కువ శక్తివంతమైనది మరియు ఇది అనేక మీటర్ల చిన్న హాప్‌ను నిర్వహించినప్పటికీ, అది విజయవంతంగా ఎగరలేకపోయింది . ఇది ఏ ఆర్డర్‌లను ఆకర్షించడంలో విఫలమైంది, మరియు ఈ ఎదురుదెబ్బ తరువాత, ఆంటోనెట్ సంస్థ త్వరలో దివాలా తీసింది. [5] దిగువ జాబితా చేయబడిన వివిధ వనరుల నుండి సమన్వయం చేసిన డేటా జనరల్ లక్షణాలు సంబంధిత జాబితాల విమానాల జాబితా (1914 కి ముందు)</v>
      </c>
      <c r="E49" s="1" t="s">
        <v>1045</v>
      </c>
      <c r="F49" s="1" t="s">
        <v>1046</v>
      </c>
      <c r="G49" s="1" t="str">
        <f>IFERROR(__xludf.DUMMYFUNCTION("GOOGLETRANSLATE(F:F,""en"", ""te"")"),"ప్రోటోటైప్ మిలిటరీ విమానం")</f>
        <v>ప్రోటోటైప్ మిలిటరీ విమానం</v>
      </c>
      <c r="L49" s="1" t="s">
        <v>1047</v>
      </c>
      <c r="M49" s="1" t="str">
        <f>IFERROR(__xludf.DUMMYFUNCTION("GOOGLETRANSLATE(L:L,""en"", ""te"")"),"అంటోనిట్టే")</f>
        <v>అంటోనిట్టే</v>
      </c>
      <c r="N49" s="2" t="s">
        <v>1048</v>
      </c>
      <c r="R49" s="1">
        <v>1.0</v>
      </c>
      <c r="S49" s="1" t="s">
        <v>1049</v>
      </c>
      <c r="T49" s="1" t="s">
        <v>1050</v>
      </c>
      <c r="U49" s="1" t="s">
        <v>1051</v>
      </c>
      <c r="V49" s="1" t="s">
        <v>1052</v>
      </c>
      <c r="W49" s="1" t="s">
        <v>1053</v>
      </c>
      <c r="X49" s="1" t="s">
        <v>1054</v>
      </c>
      <c r="Y49" s="1" t="s">
        <v>1055</v>
      </c>
      <c r="AA49" s="1" t="s">
        <v>1056</v>
      </c>
      <c r="AB49" s="1" t="s">
        <v>1057</v>
      </c>
      <c r="AE49" s="1" t="s">
        <v>1047</v>
      </c>
      <c r="AF49" s="1" t="s">
        <v>1058</v>
      </c>
      <c r="AH49" s="1" t="s">
        <v>1059</v>
      </c>
      <c r="AM49" s="1" t="s">
        <v>1060</v>
      </c>
      <c r="AN49" s="1" t="s">
        <v>1061</v>
      </c>
      <c r="AO49" s="1">
        <v>1911.0</v>
      </c>
      <c r="AQ49" s="1" t="s">
        <v>1062</v>
      </c>
    </row>
    <row r="50">
      <c r="A50" s="1" t="s">
        <v>1063</v>
      </c>
      <c r="B50" s="1" t="str">
        <f>IFERROR(__xludf.DUMMYFUNCTION("GOOGLETRANSLATE(A:A,""en"", ""te"")"),"బేడే BD-2")</f>
        <v>బేడే BD-2</v>
      </c>
      <c r="C50" s="1" t="s">
        <v>1064</v>
      </c>
      <c r="D50" s="1" t="str">
        <f>IFERROR(__xludf.DUMMYFUNCTION("GOOGLETRANSLATE(C:C,""en"", ""te"")"),"బేడే BD-2 అనేది ఒక అమెరికన్ ప్రయోగాత్మక శక్తితో కూడిన సెయిల్ ప్లేన్, ఇది జిమ్ బేడే చేత రూపొందించబడిన రౌండ్-ది-ప్రపంచ విమానాన్ని ప్రయత్నించడానికి. [1] BD-2 అనేది సవరించిన ష్వీజర్ SGS 2-32 ప్రత్యేకంగా సవరించిన ఖండాంతర IO-360-C ఇంజిన్‌తో అమర్చబడి ఉంటుంది. [1"&amp;"] BD-2 వింగ్ మరియు ఫ్యూజ్‌లేజ్ ట్యాంకులలో 565 యుఎస్ గ్యాలన్ల (2138 లీటర్లు) ఇంధనాన్ని తీసుకెళ్లగలదు, మరియు సవరించిన ఇంజిన్ విమానంలో క్రూయిజ్ భాగంలో 30 హెచ్‌పి (22.4 కిలోవాట్) ను మాత్రమే ఉత్పత్తి చేస్తుంది. [1] BD-2 మార్చి 12, 1967 న విచిత నుండి మొదటి విమా"&amp;"నంలో చేసింది. [2] నవంబర్ 7 మరియు 10, 1969 మధ్య, ఈ విమానం పిస్టన్-ఇంజిన్ విమానాల కోసం ప్రపంచ క్లోజ్డ్-సర్క్యూట్ ఫ్లైట్ దూర రికార్డును నెలకొల్పింది, దీనిలో ఇది 70 గంటలు 15 నిమిషాల్లో 8,973.38 మైళ్ళు (14,441.26 కిమీ) ని కలిగి ఉంది. [1] [3] పూర్తి విద్యుత్ వై"&amp;"ఫల్యాన్ని అనుసరించి ఫ్లైట్ ఆపవలసి వచ్చింది, మరియు తదుపరి రికార్డ్ విమానాలను బేడే ప్రయత్నించలేదు. [1] BD-2 ను విచిత యొక్క జావెలిన్ విమానం ఫీనిక్స్గా సవరించారు, దీనిని జెర్రీ ముల్లెన్స్ డిసెంబర్ 5-8, 1981 న పిస్టన్ విమానాల కోసం కొత్త క్లోజ్డ్-సర్క్యూట్ రికా"&amp;"ర్డును సృష్టించడానికి ఉపయోగించారు, 73 h 2 లో 10,070 మైళ్ళు (16207 కిమీ) మిన్, ఇది ఆ సమయంలో సోలో పైలట్ చేత తయారు చేయబడిన అతి పొడవైన రిఫ్యూయల్స్ ఫ్లైట్. [4] [5] [6] జేన్ యొక్క అన్ని ప్రపంచ విమానాల నుండి డేటా 1982–83 [5] పోల్చదగిన పాత్ర, కాన్ఫిగరేషన్ మరియు E"&amp;"RA యొక్క సాధారణ లక్షణాల పనితీరు విమానం")</f>
        <v>బేడే BD-2 అనేది ఒక అమెరికన్ ప్రయోగాత్మక శక్తితో కూడిన సెయిల్ ప్లేన్, ఇది జిమ్ బేడే చేత రూపొందించబడిన రౌండ్-ది-ప్రపంచ విమానాన్ని ప్రయత్నించడానికి. [1] BD-2 అనేది సవరించిన ష్వీజర్ SGS 2-32 ప్రత్యేకంగా సవరించిన ఖండాంతర IO-360-C ఇంజిన్‌తో అమర్చబడి ఉంటుంది. [1] BD-2 వింగ్ మరియు ఫ్యూజ్‌లేజ్ ట్యాంకులలో 565 యుఎస్ గ్యాలన్ల (2138 లీటర్లు) ఇంధనాన్ని తీసుకెళ్లగలదు, మరియు సవరించిన ఇంజిన్ విమానంలో క్రూయిజ్ భాగంలో 30 హెచ్‌పి (22.4 కిలోవాట్) ను మాత్రమే ఉత్పత్తి చేస్తుంది. [1] BD-2 మార్చి 12, 1967 న విచిత నుండి మొదటి విమానంలో చేసింది. [2] నవంబర్ 7 మరియు 10, 1969 మధ్య, ఈ విమానం పిస్టన్-ఇంజిన్ విమానాల కోసం ప్రపంచ క్లోజ్డ్-సర్క్యూట్ ఫ్లైట్ దూర రికార్డును నెలకొల్పింది, దీనిలో ఇది 70 గంటలు 15 నిమిషాల్లో 8,973.38 మైళ్ళు (14,441.26 కిమీ) ని కలిగి ఉంది. [1] [3] పూర్తి విద్యుత్ వైఫల్యాన్ని అనుసరించి ఫ్లైట్ ఆపవలసి వచ్చింది, మరియు తదుపరి రికార్డ్ విమానాలను బేడే ప్రయత్నించలేదు. [1] BD-2 ను విచిత యొక్క జావెలిన్ విమానం ఫీనిక్స్గా సవరించారు, దీనిని జెర్రీ ముల్లెన్స్ డిసెంబర్ 5-8, 1981 న పిస్టన్ విమానాల కోసం కొత్త క్లోజ్డ్-సర్క్యూట్ రికార్డును సృష్టించడానికి ఉపయోగించారు, 73 h 2 లో 10,070 మైళ్ళు (16207 కిమీ) మిన్, ఇది ఆ సమయంలో సోలో పైలట్ చేత తయారు చేయబడిన అతి పొడవైన రిఫ్యూయల్స్ ఫ్లైట్. [4] [5] [6] జేన్ యొక్క అన్ని ప్రపంచ విమానాల నుండి డేటా 1982–83 [5] పోల్చదగిన పాత్ర, కాన్ఫిగరేషన్ మరియు ERA యొక్క సాధారణ లక్షణాల పనితీరు విమానం</v>
      </c>
      <c r="F50" s="1" t="s">
        <v>1065</v>
      </c>
      <c r="G50" s="1" t="str">
        <f>IFERROR(__xludf.DUMMYFUNCTION("GOOGLETRANSLATE(F:F,""en"", ""te"")"),"ప్రయోగాత్మక శక్తితో కూడిన సెయిల్ ప్లేన్")</f>
        <v>ప్రయోగాత్మక శక్తితో కూడిన సెయిల్ ప్లేన్</v>
      </c>
      <c r="H50" s="1" t="s">
        <v>1066</v>
      </c>
      <c r="I50" s="1" t="s">
        <v>158</v>
      </c>
      <c r="J50" s="1" t="str">
        <f>IFERROR(__xludf.DUMMYFUNCTION("GOOGLETRANSLATE(I:I,""en"", ""te"")"),"అమెరికా")</f>
        <v>అమెరికా</v>
      </c>
      <c r="L50" s="1" t="s">
        <v>1067</v>
      </c>
      <c r="M50" s="1" t="str">
        <f>IFERROR(__xludf.DUMMYFUNCTION("GOOGLETRANSLATE(L:L,""en"", ""te"")"),"బేడే విమానం")</f>
        <v>బేడే విమానం</v>
      </c>
      <c r="N50" s="1" t="s">
        <v>1068</v>
      </c>
      <c r="R50" s="1">
        <v>1.0</v>
      </c>
      <c r="S50" s="1" t="s">
        <v>164</v>
      </c>
      <c r="U50" s="1" t="s">
        <v>1069</v>
      </c>
      <c r="W50" s="1" t="s">
        <v>1070</v>
      </c>
      <c r="X50" s="1" t="s">
        <v>1071</v>
      </c>
      <c r="AA50" s="1" t="s">
        <v>1072</v>
      </c>
      <c r="AB50" s="1" t="s">
        <v>1073</v>
      </c>
      <c r="AD50" s="1" t="s">
        <v>1074</v>
      </c>
      <c r="AH50" s="1" t="s">
        <v>1075</v>
      </c>
      <c r="AI50" s="1" t="s">
        <v>1076</v>
      </c>
      <c r="AJ50" s="1" t="s">
        <v>1077</v>
      </c>
      <c r="AK50" s="1" t="s">
        <v>1078</v>
      </c>
      <c r="AM50" s="1" t="s">
        <v>881</v>
      </c>
      <c r="AN50" s="1" t="s">
        <v>882</v>
      </c>
      <c r="AT50" s="1" t="s">
        <v>1079</v>
      </c>
      <c r="AU50" s="1" t="s">
        <v>1080</v>
      </c>
      <c r="AV50" s="1" t="s">
        <v>1081</v>
      </c>
      <c r="AZ50" s="1" t="s">
        <v>1082</v>
      </c>
      <c r="BD50" s="1">
        <v>20.7</v>
      </c>
    </row>
    <row r="51">
      <c r="A51" s="1" t="s">
        <v>1083</v>
      </c>
      <c r="B51" s="1" t="str">
        <f>IFERROR(__xludf.DUMMYFUNCTION("GOOGLETRANSLATE(A:A,""en"", ""te"")"),"బేడే BD-8")</f>
        <v>బేడే BD-8</v>
      </c>
      <c r="C51" s="1" t="s">
        <v>1084</v>
      </c>
      <c r="D51" s="1" t="str">
        <f>IFERROR(__xludf.DUMMYFUNCTION("GOOGLETRANSLATE(C:C,""en"", ""te"")"),"బేడే BD-8 అనేది 1970 ల మధ్యలో యునైటెడ్ స్టేట్స్లో అభివృద్ధి చేయబడిన ఏరోబాటిక్స్ విమానం. ఇది సాంప్రదాయిక కాన్ఫిగరేషన్ యొక్క తక్కువ-వింగ్, సింగిల్-సీట్ మోనోప్లేన్, చాలా స్వల్ప-కపుల్డ్ మరియు ఆల్-మెటల్ నిర్మాణం. సింగిల్ ప్రోటోటైప్ జిమ్ బేడే నిర్మాణంలో ఉంది, అ"&amp;"తని సంస్థ, బెడే విమానం 1977 లో దివాలా తీసింది. అసంపూర్ణమైన BD-8 ను మైక్ హఫ్ఫ్మన్ కొనుగోలు చేశారు, అతను 1980 లో నిర్మాణాన్ని పూర్తి చేశాడు. ఇది మొదట మే 14, 1980 న ప్రయాణించింది. [1 ] జేన్ యొక్క అన్ని ప్రపంచ విమానాల నుండి డేటా 1982–83 [1] సాధారణ లక్షణాల పని"&amp;"తీరు")</f>
        <v>బేడే BD-8 అనేది 1970 ల మధ్యలో యునైటెడ్ స్టేట్స్లో అభివృద్ధి చేయబడిన ఏరోబాటిక్స్ విమానం. ఇది సాంప్రదాయిక కాన్ఫిగరేషన్ యొక్క తక్కువ-వింగ్, సింగిల్-సీట్ మోనోప్లేన్, చాలా స్వల్ప-కపుల్డ్ మరియు ఆల్-మెటల్ నిర్మాణం. సింగిల్ ప్రోటోటైప్ జిమ్ బేడే నిర్మాణంలో ఉంది, అతని సంస్థ, బెడే విమానం 1977 లో దివాలా తీసింది. అసంపూర్ణమైన BD-8 ను మైక్ హఫ్ఫ్మన్ కొనుగోలు చేశారు, అతను 1980 లో నిర్మాణాన్ని పూర్తి చేశాడు. ఇది మొదట మే 14, 1980 న ప్రయాణించింది. [1 ] జేన్ యొక్క అన్ని ప్రపంచ విమానాల నుండి డేటా 1982–83 [1] సాధారణ లక్షణాల పనితీరు</v>
      </c>
      <c r="F51" s="1" t="s">
        <v>1085</v>
      </c>
      <c r="G51" s="1" t="str">
        <f>IFERROR(__xludf.DUMMYFUNCTION("GOOGLETRANSLATE(F:F,""en"", ""te"")"),"ఏరోబాటిక్స్ విమానం")</f>
        <v>ఏరోబాటిక్స్ విమానం</v>
      </c>
      <c r="R51" s="1">
        <v>1.0</v>
      </c>
      <c r="S51" s="1" t="s">
        <v>1086</v>
      </c>
      <c r="U51" s="1" t="s">
        <v>1087</v>
      </c>
      <c r="V51" s="1" t="s">
        <v>1088</v>
      </c>
      <c r="W51" s="1" t="s">
        <v>1089</v>
      </c>
      <c r="X51" s="1" t="s">
        <v>1090</v>
      </c>
      <c r="Y51" s="1" t="s">
        <v>1091</v>
      </c>
      <c r="AA51" s="1" t="s">
        <v>1092</v>
      </c>
      <c r="AB51" s="1" t="s">
        <v>1093</v>
      </c>
      <c r="AD51" s="1" t="s">
        <v>1094</v>
      </c>
      <c r="AH51" s="1" t="s">
        <v>409</v>
      </c>
      <c r="AM51" s="1" t="s">
        <v>881</v>
      </c>
      <c r="AN51" s="1" t="s">
        <v>882</v>
      </c>
      <c r="AO51" s="1">
        <v>1980.0</v>
      </c>
      <c r="AQ51" s="1" t="s">
        <v>1095</v>
      </c>
      <c r="BD51" s="1">
        <v>3.9</v>
      </c>
    </row>
    <row r="52">
      <c r="A52" s="1" t="s">
        <v>1096</v>
      </c>
      <c r="B52" s="1" t="str">
        <f>IFERROR(__xludf.DUMMYFUNCTION("GOOGLETRANSLATE(A:A,""en"", ""te"")"),"బార్డ్మోర్ W.B.II")</f>
        <v>బార్డ్మోర్ W.B.II</v>
      </c>
      <c r="C52" s="1" t="s">
        <v>1097</v>
      </c>
      <c r="D52" s="1" t="str">
        <f>IFERROR(__xludf.DUMMYFUNCTION("GOOGLETRANSLATE(C:C,""en"", ""te"")"),"బార్డ్మోర్ W.B.II 1910 ల యొక్క బ్రిటిష్ బిప్లేన్ ఫైటర్ ప్రోటోటైప్. చెక్క నిర్మాణం యొక్క రెండు-సీట్ల ఫైటర్, W.B.II ను విలియం బార్డ్మోర్ మరియు సంస్థ ప్రైవేట్ వెంచర్‌గా నిర్మించారు. రాయల్ ఎయిర్క్రాఫ్ట్ ఫ్యాక్టరీ యొక్క అభివృద్ధి B.E.2C దీనిని 1916 లో జి. టిల్"&amp;"గ్మాన్ రిచర్డ్స్ రూపొందించారు. 200 హెచ్‌పి (150 కిలోవాట్ మొదటి నమూనా. [1] W.B.II మొదట 30 ఆగస్టు 1917 న ఎగురవేయబడింది మరియు పనితీరు మంచిదని నిరూపించబడింది. ఏదేమైనా, 8 బిడి ఇంజిన్, ఆ సమయంలో తక్కువ సరఫరాలో, ఆ సమయంలో S.E.5A ఫైటర్‌లో ఉపయోగం కోసం మరింత అత్యవసరం"&amp;"గా అవసరమని వైమానిక మంత్రిత్వ శాఖ భావించింది. మొదటి ప్రపంచ యుద్ధంలో రాయల్ ఫ్లయింగ్ కార్ప్స్ తో కలిసి పనిచేస్తోంది. [1] అందుకని, W.B.II యొక్క తదుపరి ఉత్పత్తి జరగలేదు, అయితే 1920 లో రెండు పౌర ఉదాహరణలు ఉత్పత్తి చేయబడ్డాయి, దీనికి W.B.IIB అని పేరు పెట్టారు. [2"&amp;"] జేన్ యొక్క అన్ని ప్రపంచ విమానాల నుండి డేటా 1919 [3] సాధారణ లక్షణాలు పనితీరు ఆయుధాలు")</f>
        <v>బార్డ్మోర్ W.B.II 1910 ల యొక్క బ్రిటిష్ బిప్లేన్ ఫైటర్ ప్రోటోటైప్. చెక్క నిర్మాణం యొక్క రెండు-సీట్ల ఫైటర్, W.B.II ను విలియం బార్డ్మోర్ మరియు సంస్థ ప్రైవేట్ వెంచర్‌గా నిర్మించారు. రాయల్ ఎయిర్క్రాఫ్ట్ ఫ్యాక్టరీ యొక్క అభివృద్ధి B.E.2C దీనిని 1916 లో జి. టిల్గ్మాన్ రిచర్డ్స్ రూపొందించారు. 200 హెచ్‌పి (150 కిలోవాట్ మొదటి నమూనా. [1] W.B.II మొదట 30 ఆగస్టు 1917 న ఎగురవేయబడింది మరియు పనితీరు మంచిదని నిరూపించబడింది. ఏదేమైనా, 8 బిడి ఇంజిన్, ఆ సమయంలో తక్కువ సరఫరాలో, ఆ సమయంలో S.E.5A ఫైటర్‌లో ఉపయోగం కోసం మరింత అత్యవసరంగా అవసరమని వైమానిక మంత్రిత్వ శాఖ భావించింది. మొదటి ప్రపంచ యుద్ధంలో రాయల్ ఫ్లయింగ్ కార్ప్స్ తో కలిసి పనిచేస్తోంది. [1] అందుకని, W.B.II యొక్క తదుపరి ఉత్పత్తి జరగలేదు, అయితే 1920 లో రెండు పౌర ఉదాహరణలు ఉత్పత్తి చేయబడ్డాయి, దీనికి W.B.IIB అని పేరు పెట్టారు. [2] జేన్ యొక్క అన్ని ప్రపంచ విమానాల నుండి డేటా 1919 [3] సాధారణ లక్షణాలు పనితీరు ఆయుధాలు</v>
      </c>
      <c r="F52" s="1" t="s">
        <v>1098</v>
      </c>
      <c r="G52" s="1" t="str">
        <f>IFERROR(__xludf.DUMMYFUNCTION("GOOGLETRANSLATE(F:F,""en"", ""te"")"),"యుద్ధ")</f>
        <v>యుద్ధ</v>
      </c>
      <c r="H52" s="2" t="s">
        <v>1099</v>
      </c>
      <c r="I52" s="1" t="s">
        <v>480</v>
      </c>
      <c r="J52" s="1" t="str">
        <f>IFERROR(__xludf.DUMMYFUNCTION("GOOGLETRANSLATE(I:I,""en"", ""te"")"),"యునైటెడ్ కింగ్‌డమ్")</f>
        <v>యునైటెడ్ కింగ్‌డమ్</v>
      </c>
      <c r="K52" s="1" t="s">
        <v>481</v>
      </c>
      <c r="L52" s="1" t="s">
        <v>1100</v>
      </c>
      <c r="M52" s="1" t="str">
        <f>IFERROR(__xludf.DUMMYFUNCTION("GOOGLETRANSLATE(L:L,""en"", ""te"")"),"విలియం బార్డ్మోర్ మరియు సంస్థ")</f>
        <v>విలియం బార్డ్మోర్ మరియు సంస్థ</v>
      </c>
      <c r="N52" s="1" t="s">
        <v>1101</v>
      </c>
      <c r="R52" s="1">
        <v>3.0</v>
      </c>
      <c r="S52" s="1">
        <v>2.0</v>
      </c>
      <c r="U52" s="1" t="s">
        <v>1102</v>
      </c>
      <c r="V52" s="1" t="s">
        <v>1103</v>
      </c>
      <c r="W52" s="1" t="s">
        <v>1104</v>
      </c>
      <c r="X52" s="1" t="s">
        <v>1105</v>
      </c>
      <c r="Y52" s="1" t="s">
        <v>1106</v>
      </c>
      <c r="Z52" s="1" t="s">
        <v>1107</v>
      </c>
      <c r="AA52" s="1" t="s">
        <v>1108</v>
      </c>
      <c r="AE52" s="1" t="s">
        <v>1109</v>
      </c>
      <c r="AF52" s="1" t="s">
        <v>1110</v>
      </c>
      <c r="AG52" s="1" t="s">
        <v>208</v>
      </c>
      <c r="AH52" s="1" t="s">
        <v>1111</v>
      </c>
      <c r="AM52" s="1" t="s">
        <v>1112</v>
      </c>
      <c r="AO52" s="4">
        <v>6452.0</v>
      </c>
      <c r="AQ52" s="1" t="s">
        <v>1113</v>
      </c>
      <c r="AZ52" s="1" t="s">
        <v>1114</v>
      </c>
      <c r="BH52" s="1" t="s">
        <v>1115</v>
      </c>
      <c r="CC52" s="1" t="s">
        <v>1116</v>
      </c>
    </row>
    <row r="53">
      <c r="A53" s="1" t="s">
        <v>1117</v>
      </c>
      <c r="B53" s="1" t="str">
        <f>IFERROR(__xludf.DUMMYFUNCTION("GOOGLETRANSLATE(A:A,""en"", ""te"")"),"బీచ్‌క్రాఫ్ట్ డచెస్")</f>
        <v>బీచ్‌క్రాఫ్ట్ డచెస్</v>
      </c>
      <c r="C53" s="1" t="s">
        <v>1118</v>
      </c>
      <c r="D53" s="1" t="str">
        <f>IFERROR(__xludf.DUMMYFUNCTION("GOOGLETRANSLATE(C:C,""en"", ""te"")"),"బీచ్‌క్రాఫ్ట్ మోడల్ 76 డచెస్ అనేది బీచ్‌క్రాఫ్ట్ నిర్మించిన ఒక అమెరికన్ ట్విన్-ఇంజిన్ మోనోప్లేన్, ఇది ట్విన్-ఇంజిన్ విమానాలకు తక్కువ ఖర్చుతో కూడిన పరిచయంగా ఉద్దేశించబడింది. [1] [2] మోడల్ PD289 (ప్రిలిమినరీ డిజైన్ 289) గా అభివృద్ధి చేయబడిన, ఈ నమూనా నవంబర్ "&amp;"4, 1974 న ఆవిష్కరించబడింది, అయినప్పటికీ ఇది మొదట సెప్టెంబర్ 1974 లో ఎగిరింది. [1] [3]: 409–410 మోడల్ 76 ఆర్థిక జంట-ఇంజిన్ గా రూపొందించబడింది బీచ్ ఏరో సెంటర్లకు శిక్షకుడు మరియు ఇలాంటి గల్ఫ్‌స్ట్రీమ్ కౌగర్ అలాగే సెస్నా 310 తో పోటీ పడటానికి. [1] [4] మొదటి ఉత"&amp;"్పత్తి వెర్షన్ 24 మే 1977 న ప్రయాణించింది, మరియు ""డచెస్"" అనే పేరు కంపెనీ పోటీ ద్వారా ఎంపిక చేయబడింది. [1] [3] లిబరల్ డివిజన్ వద్ద నిర్మించిన కొత్త కర్మాగారం కోసం డచెస్ నిర్మాణం సెట్ చేయబడింది, [5] 1978 ప్రారంభంలో డెలివరీలతో. [3]: 473 డచెస్ యొక్క ఉత్పత్త"&amp;"ి 1983 వరకు కొనసాగింది, గణనీయమైన మార్పులు లేవు. [6] ఒక ఉదాహరణ 1979 లో టర్బోచార్జ్డ్ ఇంజిన్‌లతో పరీక్షించబడింది, కానీ ఉత్పత్తికి వెళ్ళలేదు. [7]: 56 డచెస్ అనేది ఆల్-మెటల్ లో-వింగ్ మోనోప్లేన్, ఇది ముడుచుకునే ట్రైసైకిల్ ల్యాండింగ్ గేర్ మరియు టి-టెయిల్‌తో. ఇది"&amp;" నాలుగు కూర్చుంటుంది. [8] డిజైన్ బీచ్‌క్రాఫ్ట్ యొక్క సింగిల్-ఇంజిన్ మస్కటీర్ లైన్ నుండి భాగాలు మరియు బంధిత వింగ్ నిర్మాణాన్ని ఉపయోగించింది. ఇంజిన్ల యొక్క అదనపు బరువుకు మద్దతుగా పున es రూపకల్పన చేయబడింది. [9] A36 బొనాంజా నుండి ముక్కు ల్యాండింగ్ గేర్ ఉపయోగి"&amp;"ంచబడింది. [9] మోడల్ 76 సింగిల్ ఇంజిన్ ఆపరేషన్ సమయంలో క్లిష్టమైన ఇంజిన్‌ను తొలగించడానికి ప్రత్యర్థి దిశలలో తిరిగే కుడి మరియు ఎడమ ""చేతితో"" లైమింగ్ O-360 ఇంజిన్‌లను కలిగి ఉంటుంది. [10] 1979 లో, ఇంజిన్ యొక్క టర్బోచార్జ్డ్ వెర్షన్లను పరీక్షించడానికి ఒకే ఉదాహ"&amp;"రణ మార్చబడింది. కౌడింగ్‌లు పున hap రూపకల్పన చేయబడ్డాయి మరియు ఎగ్జాస్ట్-మౌంటెడ్ టర్బోచార్జర్‌లకు అనుగుణంగా ఎగ్జాస్ట్ కదిలింది. మోడల్ 76 లో టి-టెయిల్ వాడకం విమానం ప్రవేశపెట్టినప్పుడు మిశ్రమ క్లిష్టమైన రిసెప్షన్‌తో కలుసుకుంది. విమానం &amp; పైలట్ ఉచ్ఛరిస్తారు: """&amp;"కొత్త డచెస్ యొక్క అత్యుత్తమ రూపకల్పన లక్షణాలు ఏరోడైనమిక్‌గా ప్రయోజనకరమైన టి-తోకను కలిగి ఉంటాయి, ఇది మంచి స్థిరత్వం మరియు నిర్వహణ కోసం ప్రొపెల్లర్ స్లిప్‌స్ట్రీమ్ పైన ఉన్న క్షితిజ సమాంతర ఉపరితలాలను ఉంచుతుంది."", [10] టి-టెయిల్స్‌పై ఆసక్తి బహుశా జెట్ విమానయ"&amp;"ాన సంస్థలపై విస్తృతంగా ఉపయోగించడం ద్వారా ప్రేరేపించబడిన ప్రభావం "". [11] విమాన పరీక్షల తరువాత బీచ్‌క్రాఫ్ట్ టి-తోకను అవలంబించిందని అవ్వేబ్ పేర్కొంది, ప్రారంభంలో ఉపయోగించిన సాంప్రదాయిక క్షితిజ సమాంతర స్టెబిలైజర్ చాలా చిన్నదని మరియు బఫేంగ్ సమస్యలతో బాధపడుతు"&amp;"ందని, విమానంలో శబ్దం మరియు కంపనాన్ని పెంచుతుంది; ప్రొపెల్లర్ స్లిప్‌స్ట్రీమ్ నుండి క్షితిజ సమాంతర స్టెబిలైజర్‌ను తరలించడం బఫేటింగ్ మరియు విస్తరణ యొక్క అవసరాన్ని 15 పౌండ్ల (6.8 కిలోల) బరువును మాత్రమే జోడించింది. [9] అదనంగా, టి-టెయిల్ డిజైన్ స్టెబిలైజర్ వెన"&amp;"ుక వైపుకు కదిలింది, దాని ప్రభావాన్ని పెంచుతుంది మరియు విమానానికి గురుత్వాకర్షణ పరిధి యొక్క విస్తృత కేంద్రాన్ని ఇస్తుంది. [9] తరువాత పైపర్ సెమినోల్ కూడా టి-తోకను అవలంబించింది. [9] విమాన శిక్షణా పాఠశాలల్లో ఈ విమానం ప్రాచుర్యం పొందింది. జేన్ యొక్క అన్ని ప్రప"&amp;"ంచ విమానాల నుండి డేటా 1980–81. [17] సాధారణ లక్షణాలు పనితీరు సంబంధిత అభివృద్ధి విమానం పోల్చదగిన పాత్ర, కాన్ఫిగరేషన్ మరియు ERA")</f>
        <v>బీచ్‌క్రాఫ్ట్ మోడల్ 76 డచెస్ అనేది బీచ్‌క్రాఫ్ట్ నిర్మించిన ఒక అమెరికన్ ట్విన్-ఇంజిన్ మోనోప్లేన్, ఇది ట్విన్-ఇంజిన్ విమానాలకు తక్కువ ఖర్చుతో కూడిన పరిచయంగా ఉద్దేశించబడింది. [1] [2] మోడల్ PD289 (ప్రిలిమినరీ డిజైన్ 289) గా అభివృద్ధి చేయబడిన, ఈ నమూనా నవంబర్ 4, 1974 న ఆవిష్కరించబడింది, అయినప్పటికీ ఇది మొదట సెప్టెంబర్ 1974 లో ఎగిరింది. [1] [3]: 409–410 మోడల్ 76 ఆర్థిక జంట-ఇంజిన్ గా రూపొందించబడింది బీచ్ ఏరో సెంటర్లకు శిక్షకుడు మరియు ఇలాంటి గల్ఫ్‌స్ట్రీమ్ కౌగర్ అలాగే సెస్నా 310 తో పోటీ పడటానికి. [1] [4] మొదటి ఉత్పత్తి వెర్షన్ 24 మే 1977 న ప్రయాణించింది, మరియు "డచెస్" అనే పేరు కంపెనీ పోటీ ద్వారా ఎంపిక చేయబడింది. [1] [3] లిబరల్ డివిజన్ వద్ద నిర్మించిన కొత్త కర్మాగారం కోసం డచెస్ నిర్మాణం సెట్ చేయబడింది, [5] 1978 ప్రారంభంలో డెలివరీలతో. [3]: 473 డచెస్ యొక్క ఉత్పత్తి 1983 వరకు కొనసాగింది, గణనీయమైన మార్పులు లేవు. [6] ఒక ఉదాహరణ 1979 లో టర్బోచార్జ్డ్ ఇంజిన్‌లతో పరీక్షించబడింది, కానీ ఉత్పత్తికి వెళ్ళలేదు. [7]: 56 డచెస్ అనేది ఆల్-మెటల్ లో-వింగ్ మోనోప్లేన్, ఇది ముడుచుకునే ట్రైసైకిల్ ల్యాండింగ్ గేర్ మరియు టి-టెయిల్‌తో. ఇది నాలుగు కూర్చుంటుంది. [8] డిజైన్ బీచ్‌క్రాఫ్ట్ యొక్క సింగిల్-ఇంజిన్ మస్కటీర్ లైన్ నుండి భాగాలు మరియు బంధిత వింగ్ నిర్మాణాన్ని ఉపయోగించింది. ఇంజిన్ల యొక్క అదనపు బరువుకు మద్దతుగా పున es రూపకల్పన చేయబడింది. [9] A36 బొనాంజా నుండి ముక్కు ల్యాండింగ్ గేర్ ఉపయోగించబడింది. [9] మోడల్ 76 సింగిల్ ఇంజిన్ ఆపరేషన్ సమయంలో క్లిష్టమైన ఇంజిన్‌ను తొలగించడానికి ప్రత్యర్థి దిశలలో తిరిగే కుడి మరియు ఎడమ "చేతితో" లైమింగ్ O-360 ఇంజిన్‌లను కలిగి ఉంటుంది. [10] 1979 లో, ఇంజిన్ యొక్క టర్బోచార్జ్డ్ వెర్షన్లను పరీక్షించడానికి ఒకే ఉదాహరణ మార్చబడింది. కౌడింగ్‌లు పున hap రూపకల్పన చేయబడ్డాయి మరియు ఎగ్జాస్ట్-మౌంటెడ్ టర్బోచార్జర్‌లకు అనుగుణంగా ఎగ్జాస్ట్ కదిలింది. మోడల్ 76 లో టి-టెయిల్ వాడకం విమానం ప్రవేశపెట్టినప్పుడు మిశ్రమ క్లిష్టమైన రిసెప్షన్‌తో కలుసుకుంది. విమానం &amp; పైలట్ ఉచ్ఛరిస్తారు: "కొత్త డచెస్ యొక్క అత్యుత్తమ రూపకల్పన లక్షణాలు ఏరోడైనమిక్‌గా ప్రయోజనకరమైన టి-తోకను కలిగి ఉంటాయి, ఇది మంచి స్థిరత్వం మరియు నిర్వహణ కోసం ప్రొపెల్లర్ స్లిప్‌స్ట్రీమ్ పైన ఉన్న క్షితిజ సమాంతర ఉపరితలాలను ఉంచుతుంది.", [10] టి-టెయిల్స్‌పై ఆసక్తి బహుశా జెట్ విమానయాన సంస్థలపై విస్తృతంగా ఉపయోగించడం ద్వారా ప్రేరేపించబడిన ప్రభావం ". [11] విమాన పరీక్షల తరువాత బీచ్‌క్రాఫ్ట్ టి-తోకను అవలంబించిందని అవ్వేబ్ పేర్కొంది, ప్రారంభంలో ఉపయోగించిన సాంప్రదాయిక క్షితిజ సమాంతర స్టెబిలైజర్ చాలా చిన్నదని మరియు బఫేంగ్ సమస్యలతో బాధపడుతుందని, విమానంలో శబ్దం మరియు కంపనాన్ని పెంచుతుంది; ప్రొపెల్లర్ స్లిప్‌స్ట్రీమ్ నుండి క్షితిజ సమాంతర స్టెబిలైజర్‌ను తరలించడం బఫేటింగ్ మరియు విస్తరణ యొక్క అవసరాన్ని 15 పౌండ్ల (6.8 కిలోల) బరువును మాత్రమే జోడించింది. [9] అదనంగా, టి-టెయిల్ డిజైన్ స్టెబిలైజర్ వెనుక వైపుకు కదిలింది, దాని ప్రభావాన్ని పెంచుతుంది మరియు విమానానికి గురుత్వాకర్షణ పరిధి యొక్క విస్తృత కేంద్రాన్ని ఇస్తుంది. [9] తరువాత పైపర్ సెమినోల్ కూడా టి-తోకను అవలంబించింది. [9] విమాన శిక్షణా పాఠశాలల్లో ఈ విమానం ప్రాచుర్యం పొందింది. జేన్ యొక్క అన్ని ప్రపంచ విమానాల నుండి డేటా 1980–81. [17] సాధారణ లక్షణాలు పనితీరు సంబంధిత అభివృద్ధి విమానం పోల్చదగిన పాత్ర, కాన్ఫిగరేషన్ మరియు ERA</v>
      </c>
      <c r="E53" s="1" t="s">
        <v>1119</v>
      </c>
      <c r="F53" s="1" t="s">
        <v>1120</v>
      </c>
      <c r="G53" s="1" t="str">
        <f>IFERROR(__xludf.DUMMYFUNCTION("GOOGLETRANSLATE(F:F,""en"", ""te"")"),"నాలుగు-సీట్ల క్యాబిన్ మోనోప్లేన్")</f>
        <v>నాలుగు-సీట్ల క్యాబిన్ మోనోప్లేన్</v>
      </c>
      <c r="L53" s="1" t="s">
        <v>1032</v>
      </c>
      <c r="M53" s="1" t="str">
        <f>IFERROR(__xludf.DUMMYFUNCTION("GOOGLETRANSLATE(L:L,""en"", ""te"")"),"బీచ్‌క్రాఫ్ట్")</f>
        <v>బీచ్‌క్రాఫ్ట్</v>
      </c>
      <c r="N53" s="2" t="s">
        <v>1033</v>
      </c>
      <c r="O53" s="1" t="s">
        <v>1121</v>
      </c>
      <c r="R53" s="1">
        <v>437.0</v>
      </c>
      <c r="S53" s="1">
        <v>1.0</v>
      </c>
      <c r="T53" s="1" t="s">
        <v>847</v>
      </c>
      <c r="U53" s="1" t="s">
        <v>1122</v>
      </c>
      <c r="V53" s="1" t="s">
        <v>1123</v>
      </c>
      <c r="W53" s="1" t="s">
        <v>1124</v>
      </c>
      <c r="X53" s="1" t="s">
        <v>1125</v>
      </c>
      <c r="Z53" s="1" t="s">
        <v>1126</v>
      </c>
      <c r="AA53" s="1" t="s">
        <v>1127</v>
      </c>
      <c r="AB53" s="1" t="s">
        <v>1128</v>
      </c>
      <c r="AD53" s="1" t="s">
        <v>1129</v>
      </c>
      <c r="AE53" s="1" t="s">
        <v>1130</v>
      </c>
      <c r="AG53" s="1" t="s">
        <v>208</v>
      </c>
      <c r="AH53" s="1" t="s">
        <v>1131</v>
      </c>
      <c r="AI53" s="1" t="s">
        <v>1132</v>
      </c>
      <c r="AJ53" s="1" t="s">
        <v>1133</v>
      </c>
      <c r="AK53" s="1" t="s">
        <v>1134</v>
      </c>
      <c r="AL53" s="1" t="s">
        <v>1135</v>
      </c>
      <c r="AO53" s="1" t="s">
        <v>1136</v>
      </c>
      <c r="AR53" s="1" t="s">
        <v>1137</v>
      </c>
      <c r="AT53" s="1" t="s">
        <v>1138</v>
      </c>
      <c r="AU53" s="1" t="s">
        <v>1139</v>
      </c>
      <c r="AV53" s="1" t="s">
        <v>1140</v>
      </c>
      <c r="AW53" s="1" t="s">
        <v>1141</v>
      </c>
      <c r="BD53" s="1">
        <v>7.973</v>
      </c>
      <c r="BG53" s="1" t="s">
        <v>1142</v>
      </c>
    </row>
    <row r="54">
      <c r="A54" s="1" t="s">
        <v>1143</v>
      </c>
      <c r="B54" s="1" t="str">
        <f>IFERROR(__xludf.DUMMYFUNCTION("GOOGLETRANSLATE(A:A,""en"", ""te"")"),"బెల్లాంకా విమానాలు")</f>
        <v>బెల్లాంకా విమానాలు</v>
      </c>
      <c r="C54" s="1" t="s">
        <v>1144</v>
      </c>
      <c r="D54" s="1" t="str">
        <f>IFERROR(__xludf.DUMMYFUNCTION("GOOGLETRANSLATE(C:C,""en"", ""te"")"),"బెల్లాంకా విమానాలు మరియు ఎయిర్‌బస్ బెల్లాంకా ఎయిర్‌క్రాఫ్ట్ కార్పొరేషన్ ఆఫ్ న్యూ కాజిల్, డెలావేర్ నిర్మించిన సింగిల్-ఇంజిన్ విమానాలు అధిక-వింగ్, సింగిల్-ఇంజిన్ విమానాలు. ఈ విమానం ప్రయాణీకుడు లేదా కార్గో విమానంగా ఉపయోగించడానికి ఉద్దేశించిన ""వర్క్‌హోర్స్"""&amp;" గా నిర్మించబడింది. ఇది చక్రాలు, ఫ్లోట్లు లేదా స్కిస్‌తో లభించింది. ఈ విమానం రైట్ సైక్లోన్ లేదా ప్రాట్ మరియు విట్నీ హార్నెట్ ఇంజిన్ చేత శక్తిని పొందింది. ఎయిర్ బస్ మరియు విమానాలు వాణిజ్య మరియు సైనిక రవాణాగా పనిచేశాయి. [1] మొట్టమొదటి బెల్లాంకా ఎయిర్‌బస్ 19"&amp;"30 లో పి -100 గా నిర్మించబడింది. సమర్థవంతమైన డిజైన్, ఇది క్యాబిన్ ఇంటీరియర్ కాన్ఫిగరేషన్‌ను బట్టి 12 నుండి 14 మంది ప్రయాణీకులను మోసుకెళ్ళే సామర్థ్యం కలిగి ఉంది, తరువాతి వెర్షన్లు 15 వరకు ఉన్నాయి. 35 గంటలు. సమర్థవంతంగా ఉన్నప్పటికీ, ఆ ఫ్లైట్ కోసం లెక్కించిన"&amp;" మైలుకు ఎనిమిది సెంట్ల మైలు ఖర్చుతో, మొదటి ఎయిర్‌బస్ దాని నీటి-చల్లబడిన ఇంజిన్ కారణంగా విక్రయించబడలేదు. తదుపరి మోడల్, పి -200 ఎయిర్‌బస్, పెద్ద, మరింత నమ్మదగిన ఎయిర్-కూల్డ్ ఇంజిన్‌తో శక్తిని పొందింది. ఒక వెర్షన్ (పి -200-ఎ) ఫ్లోట్లతో వచ్చి న్యూయార్క్ నగరంల"&amp;"ో ఫెర్రీ సేవగా పనిచేసింది, వాల్ స్ట్రీట్ మరియు ఈస్ట్ రివర్ మధ్య ఎగురుతుంది. ఇతర సంస్కరణల్లో పి -200 డీలక్స్ మోడల్ ఉన్నాయి, కస్టమ్ ఇంటీరియర్‌లు మరియు తొమ్మిదికి సీటింగ్ ఉన్నాయి. పి -300 15 మంది ప్రయాణీకులను తీసుకువెళ్ళడానికి రూపొందించబడింది. చివరి మోడల్, "&amp;"""ఎయిర్క్యుజర్"", దాని రోజులో అత్యంత సమర్థవంతమైన విమానం, మరియు అన్ని విమానాల డిజైన్లలో అధిక ర్యాంక్ ఇస్తుంది. 715 హెచ్‌పి వద్ద రేట్ చేయబడిన రైట్ సైక్లోన్ ఎయిర్-కూల్డ్ సూపర్ఛార్జ్డ్ రేడియల్ ఇంజిన్‌తో, విమానంలో దాని ఖాళీ బరువు కంటే ఎక్కువ ఉపయోగకరమైన భారాన్న"&amp;"ి మోయగలదు. 1930 ల మధ్యలో, ఈ విమానం 145 మరియు 155 mph మధ్య వేగంతో 4,000 ఎల్బి పేలోడ్లను మోయగలదు, ఈ పనితీరు మల్టీ-ఇంజిన్ ఫోకర్లు మరియు ఫోర్డ్ ట్రిమోటర్లు సరిపోలికకు దగ్గరగా రాలేదు. [1] 1934 లో, యునైటెడ్ స్టేట్స్ ఫెడరల్ నిబంధనలు యునైటెడ్ స్టేట్స్ విమానయాన సం"&amp;"స్థలలో సింగిల్-ఇంజిన్ రవాణాను నిషేధించాయి, విమానంలో భవిష్యత్ మార్కెట్లను వాస్తవంగా తొలగించాయి. విమానాల వర్క్‌హోర్స్ సామర్థ్యాలు కెనడాలో ఉన్న చోట. అనేక ""ది ఫ్లయింగ్ WS"", ఇది సాధారణంగా కెనడాలో డబ్ చేయబడినట్లుగా, ఉత్తర మైనింగ్ కార్యకలాపాలలో, ధాతువు, సామాగ్"&amp;"రి మరియు అప్పుడప్పుడు ప్రయాణీకులను 1970 లలో ఉపయోగించారు. మానిటోబాలో పనిచేసిన తరువాత 1938 మోడల్ అయిన ""సిఎఫ్-బిటిడబ్ల్యు"" చివరి ఎగిరే విమానాలు ఇప్పుడు ఒరెగాన్లోని మద్రాస్ లోని ఎరిక్సన్ ఎయిర్క్రాఫ్ట్ కలెక్షన్‌లో ప్రదర్శించబడుతున్నాయి. [3] [4] 1935 లో నిర్మ"&amp;"ించిన ""ఎల్డోరాడో రేడియం సిల్వర్ ఎక్స్‌ప్రెస్"" అనే ""సిఎఫ్-ఎఎవ్ఆర్"" అనే మరో బెల్లాంకా విమానం, మానిటోబాలోని విన్నిపెగ్‌లోని వెస్ట్రన్ కెనడా ఏవియేషన్ మ్యూజియంలో పునరుద్ధరణలో ఉంది. [5] సాధారణ లక్షణాలు పనితీరు సంబంధిత జాబితాలు")</f>
        <v>బెల్లాంకా విమానాలు మరియు ఎయిర్‌బస్ బెల్లాంకా ఎయిర్‌క్రాఫ్ట్ కార్పొరేషన్ ఆఫ్ న్యూ కాజిల్, డెలావేర్ నిర్మించిన సింగిల్-ఇంజిన్ విమానాలు అధిక-వింగ్, సింగిల్-ఇంజిన్ విమానాలు. ఈ విమానం ప్రయాణీకుడు లేదా కార్గో విమానంగా ఉపయోగించడానికి ఉద్దేశించిన "వర్క్‌హోర్స్" గా నిర్మించబడింది. ఇది చక్రాలు, ఫ్లోట్లు లేదా స్కిస్‌తో లభించింది. ఈ విమానం రైట్ సైక్లోన్ లేదా ప్రాట్ మరియు విట్నీ హార్నెట్ ఇంజిన్ చేత శక్తిని పొందింది. ఎయిర్ బస్ మరియు విమానాలు వాణిజ్య మరియు సైనిక రవాణాగా పనిచేశాయి. [1] మొట్టమొదటి బెల్లాంకా ఎయిర్‌బస్ 1930 లో పి -100 గా నిర్మించబడింది. సమర్థవంతమైన డిజైన్, ఇది క్యాబిన్ ఇంటీరియర్ కాన్ఫిగరేషన్‌ను బట్టి 12 నుండి 14 మంది ప్రయాణీకులను మోసుకెళ్ళే సామర్థ్యం కలిగి ఉంది, తరువాతి వెర్షన్లు 15 వరకు ఉన్నాయి. 35 గంటలు. సమర్థవంతంగా ఉన్నప్పటికీ, ఆ ఫ్లైట్ కోసం లెక్కించిన మైలుకు ఎనిమిది సెంట్ల మైలు ఖర్చుతో, మొదటి ఎయిర్‌బస్ దాని నీటి-చల్లబడిన ఇంజిన్ కారణంగా విక్రయించబడలేదు. తదుపరి మోడల్, పి -200 ఎయిర్‌బస్, పెద్ద, మరింత నమ్మదగిన ఎయిర్-కూల్డ్ ఇంజిన్‌తో శక్తిని పొందింది. ఒక వెర్షన్ (పి -200-ఎ) ఫ్లోట్లతో వచ్చి న్యూయార్క్ నగరంలో ఫెర్రీ సేవగా పనిచేసింది, వాల్ స్ట్రీట్ మరియు ఈస్ట్ రివర్ మధ్య ఎగురుతుంది. ఇతర సంస్కరణల్లో పి -200 డీలక్స్ మోడల్ ఉన్నాయి, కస్టమ్ ఇంటీరియర్‌లు మరియు తొమ్మిదికి సీటింగ్ ఉన్నాయి. పి -300 15 మంది ప్రయాణీకులను తీసుకువెళ్ళడానికి రూపొందించబడింది. చివరి మోడల్, "ఎయిర్క్యుజర్", దాని రోజులో అత్యంత సమర్థవంతమైన విమానం, మరియు అన్ని విమానాల డిజైన్లలో అధిక ర్యాంక్ ఇస్తుంది. 715 హెచ్‌పి వద్ద రేట్ చేయబడిన రైట్ సైక్లోన్ ఎయిర్-కూల్డ్ సూపర్ఛార్జ్డ్ రేడియల్ ఇంజిన్‌తో, విమానంలో దాని ఖాళీ బరువు కంటే ఎక్కువ ఉపయోగకరమైన భారాన్ని మోయగలదు. 1930 ల మధ్యలో, ఈ విమానం 145 మరియు 155 mph మధ్య వేగంతో 4,000 ఎల్బి పేలోడ్లను మోయగలదు, ఈ పనితీరు మల్టీ-ఇంజిన్ ఫోకర్లు మరియు ఫోర్డ్ ట్రిమోటర్లు సరిపోలికకు దగ్గరగా రాలేదు. [1] 1934 లో, యునైటెడ్ స్టేట్స్ ఫెడరల్ నిబంధనలు యునైటెడ్ స్టేట్స్ విమానయాన సంస్థలలో సింగిల్-ఇంజిన్ రవాణాను నిషేధించాయి, విమానంలో భవిష్యత్ మార్కెట్లను వాస్తవంగా తొలగించాయి. విమానాల వర్క్‌హోర్స్ సామర్థ్యాలు కెనడాలో ఉన్న చోట. అనేక "ది ఫ్లయింగ్ WS", ఇది సాధారణంగా కెనడాలో డబ్ చేయబడినట్లుగా, ఉత్తర మైనింగ్ కార్యకలాపాలలో, ధాతువు, సామాగ్రి మరియు అప్పుడప్పుడు ప్రయాణీకులను 1970 లలో ఉపయోగించారు. మానిటోబాలో పనిచేసిన తరువాత 1938 మోడల్ అయిన "సిఎఫ్-బిటిడబ్ల్యు" చివరి ఎగిరే విమానాలు ఇప్పుడు ఒరెగాన్లోని మద్రాస్ లోని ఎరిక్సన్ ఎయిర్క్రాఫ్ట్ కలెక్షన్‌లో ప్రదర్శించబడుతున్నాయి. [3] [4] 1935 లో నిర్మించిన "ఎల్డోరాడో రేడియం సిల్వర్ ఎక్స్‌ప్రెస్" అనే "సిఎఫ్-ఎఎవ్ఆర్" అనే మరో బెల్లాంకా విమానం, మానిటోబాలోని విన్నిపెగ్‌లోని వెస్ట్రన్ కెనడా ఏవియేషన్ మ్యూజియంలో పునరుద్ధరణలో ఉంది. [5] సాధారణ లక్షణాలు పనితీరు సంబంధిత జాబితాలు</v>
      </c>
      <c r="E54" s="1" t="s">
        <v>1145</v>
      </c>
      <c r="F54" s="1" t="s">
        <v>1146</v>
      </c>
      <c r="G54" s="1" t="str">
        <f>IFERROR(__xludf.DUMMYFUNCTION("GOOGLETRANSLATE(F:F,""en"", ""te"")"),"ప్రయాణీకుడు/కార్గో విమానం")</f>
        <v>ప్రయాణీకుడు/కార్గో విమానం</v>
      </c>
      <c r="L54" s="1" t="s">
        <v>1147</v>
      </c>
      <c r="M54" s="1" t="str">
        <f>IFERROR(__xludf.DUMMYFUNCTION("GOOGLETRANSLATE(L:L,""en"", ""te"")"),"బెల్లాంకా ఎయిర్క్రాఫ్ట్ కార్పొరేషన్")</f>
        <v>బెల్లాంకా ఎయిర్క్రాఫ్ట్ కార్పొరేషన్</v>
      </c>
      <c r="N54" s="1" t="s">
        <v>1148</v>
      </c>
      <c r="R54" s="1">
        <v>23.0</v>
      </c>
      <c r="S54" s="1" t="s">
        <v>1149</v>
      </c>
      <c r="T54" s="1" t="s">
        <v>1150</v>
      </c>
      <c r="U54" s="1" t="s">
        <v>1151</v>
      </c>
      <c r="V54" s="1" t="s">
        <v>390</v>
      </c>
      <c r="W54" s="1" t="s">
        <v>1152</v>
      </c>
      <c r="X54" s="1" t="s">
        <v>1153</v>
      </c>
      <c r="Y54" s="1" t="s">
        <v>1154</v>
      </c>
      <c r="AA54" s="1" t="s">
        <v>1155</v>
      </c>
      <c r="AH54" s="1" t="s">
        <v>1156</v>
      </c>
      <c r="AK54" s="1" t="s">
        <v>1157</v>
      </c>
      <c r="AL54" s="1" t="s">
        <v>1158</v>
      </c>
      <c r="AM54" s="1" t="s">
        <v>1159</v>
      </c>
      <c r="AN54" s="1" t="s">
        <v>1160</v>
      </c>
      <c r="AO54" s="1">
        <v>1930.0</v>
      </c>
      <c r="AQ54" s="1" t="s">
        <v>1161</v>
      </c>
      <c r="AR54" s="1" t="s">
        <v>1162</v>
      </c>
    </row>
    <row r="55">
      <c r="A55" s="1" t="s">
        <v>1163</v>
      </c>
      <c r="B55" s="1" t="str">
        <f>IFERROR(__xludf.DUMMYFUNCTION("GOOGLETRANSLATE(A:A,""en"", ""te"")"),"బెస్ట్ ఆఫ్ నైన్జా")</f>
        <v>బెస్ట్ ఆఫ్ నైన్జా</v>
      </c>
      <c r="C55" s="1" t="s">
        <v>1164</v>
      </c>
      <c r="D55" s="1" t="str">
        <f>IFERROR(__xludf.DUMMYFUNCTION("GOOGLETRANSLATE(C:C,""en"", ""te"")"),"ది బెస్ట్ ఆఫ్ నైన్జా (ఇంగ్లీష్: నింజా) అనేది ఒక ఫ్రెంచ్ అల్ట్రాలైట్ విమానం, ఇది వారి బ్రిటిష్ దిగుమతిదారు, ఫ్లైలైట్, మరియు ఫ్రాన్స్‌లో ఉత్తమంగా నిర్మించిన ఉత్తమంగా రూపొందించబడింది. ఈ విమానం te త్సాహిక నిర్మాణానికి కిట్‌గా సరఫరా చేయబడుతుంది. [1] [2] ఈ విమా"&amp;"నం మునుపటి ఉత్తమమైన స్కైరాంజర్ యొక్క అభివృద్ధి మరియు ఇది ఫెడెరేషన్ ఏరోనటిక్ ఇంటర్నేషనల్ మైక్రోలైట్ నిబంధనలకు అనుగుణంగా రూపొందించబడింది. ఇది స్ట్రట్-బ్రేస్డ్ హై-వింగ్ రెండు-సీట్ల-సైడ్-సైడ్ కాన్ఫిగరేషన్ పరివేష్టిత కాక్‌పిట్, స్థిర ట్రైసైకిల్ ల్యాండింగ్ గేర్"&amp;" మరియు ట్రాక్టర్ కాన్ఫిగరేషన్‌లో ఒకే ఇంజిన్ కలిగి ఉంది. [1] [2] ఈ విమానం అల్యూమినియం గొట్టాల నుండి తయారవుతుంది, దాని ఎగిరే ఉపరితలాలు డాక్రాన్ సెయిల్‌క్లాత్‌లో కప్పబడి ఉంటాయి, కాని ఫ్యూజ్‌లేజ్ మిశ్రమ ప్యానెల్స్‌తో కప్పబడి ఉంటుంది. దాని 8.7 మీ (28.5 అడుగులు"&amp;") స్పాన్ వింగ్ వి-స్ట్రట్స్ మరియు జ్యూరీ స్ట్రట్‌లను ఉపయోగిస్తుంది. అందుబాటులో ఉన్న ప్రామాణిక ఇంజిన్ 80 HP (60 kW) రోటాక్స్ 912UL ఫోర్-స్ట్రోక్ పవర్‌ప్లాంట్. [1] [2] బేయర్ల్ నుండి డేటా [1] సాధారణ లక్షణాల పనితీరు")</f>
        <v>ది బెస్ట్ ఆఫ్ నైన్జా (ఇంగ్లీష్: నింజా) అనేది ఒక ఫ్రెంచ్ అల్ట్రాలైట్ విమానం, ఇది వారి బ్రిటిష్ దిగుమతిదారు, ఫ్లైలైట్, మరియు ఫ్రాన్స్‌లో ఉత్తమంగా నిర్మించిన ఉత్తమంగా రూపొందించబడింది. ఈ విమానం te త్సాహిక నిర్మాణానికి కిట్‌గా సరఫరా చేయబడుతుంది. [1] [2] ఈ విమానం మునుపటి ఉత్తమమైన స్కైరాంజర్ యొక్క అభివృద్ధి మరియు ఇది ఫెడెరేషన్ ఏరోనటిక్ ఇంటర్నేషనల్ మైక్రోలైట్ నిబంధనలకు అనుగుణంగా రూపొందించబడింది. ఇది స్ట్రట్-బ్రేస్డ్ హై-వింగ్ రెండు-సీట్ల-సైడ్-సైడ్ కాన్ఫిగరేషన్ పరివేష్టిత కాక్‌పిట్, స్థిర ట్రైసైకిల్ ల్యాండింగ్ గేర్ మరియు ట్రాక్టర్ కాన్ఫిగరేషన్‌లో ఒకే ఇంజిన్ కలిగి ఉంది. [1] [2] ఈ విమానం అల్యూమినియం గొట్టాల నుండి తయారవుతుంది, దాని ఎగిరే ఉపరితలాలు డాక్రాన్ సెయిల్‌క్లాత్‌లో కప్పబడి ఉంటాయి, కాని ఫ్యూజ్‌లేజ్ మిశ్రమ ప్యానెల్స్‌తో కప్పబడి ఉంటుంది. దాని 8.7 మీ (28.5 అడుగులు) స్పాన్ వింగ్ వి-స్ట్రట్స్ మరియు జ్యూరీ స్ట్రట్‌లను ఉపయోగిస్తుంది. అందుబాటులో ఉన్న ప్రామాణిక ఇంజిన్ 80 HP (60 kW) రోటాక్స్ 912UL ఫోర్-స్ట్రోక్ పవర్‌ప్లాంట్. [1] [2] బేయర్ల్ నుండి డేటా [1] సాధారణ లక్షణాల పనితీరు</v>
      </c>
      <c r="E55" s="1" t="s">
        <v>1165</v>
      </c>
      <c r="F55" s="1" t="s">
        <v>459</v>
      </c>
      <c r="G55" s="1" t="str">
        <f>IFERROR(__xludf.DUMMYFUNCTION("GOOGLETRANSLATE(F:F,""en"", ""te"")"),"అల్ట్రాలైట్ విమానం")</f>
        <v>అల్ట్రాలైట్ విమానం</v>
      </c>
      <c r="H55" s="1" t="s">
        <v>460</v>
      </c>
      <c r="I55" s="1" t="s">
        <v>798</v>
      </c>
      <c r="J55" s="1" t="str">
        <f>IFERROR(__xludf.DUMMYFUNCTION("GOOGLETRANSLATE(I:I,""en"", ""te"")"),"ఫ్రాన్స్")</f>
        <v>ఫ్రాన్స్</v>
      </c>
      <c r="K55" s="2" t="s">
        <v>1166</v>
      </c>
      <c r="L55" s="1" t="s">
        <v>1167</v>
      </c>
      <c r="M55" s="1" t="str">
        <f>IFERROR(__xludf.DUMMYFUNCTION("GOOGLETRANSLATE(L:L,""en"", ""te"")"),"బెస్ట్ ఆఫ్")</f>
        <v>బెస్ట్ ఆఫ్</v>
      </c>
      <c r="N55" s="1" t="s">
        <v>1168</v>
      </c>
      <c r="P55" s="1" t="s">
        <v>162</v>
      </c>
      <c r="Q55" s="1"/>
      <c r="S55" s="1" t="s">
        <v>164</v>
      </c>
      <c r="T55" s="1" t="s">
        <v>165</v>
      </c>
      <c r="W55" s="1" t="s">
        <v>1169</v>
      </c>
      <c r="X55" s="1" t="s">
        <v>1170</v>
      </c>
      <c r="Y55" s="1" t="s">
        <v>1171</v>
      </c>
      <c r="Z55" s="1" t="s">
        <v>1172</v>
      </c>
      <c r="AA55" s="1" t="s">
        <v>1173</v>
      </c>
      <c r="AB55" s="1" t="s">
        <v>1174</v>
      </c>
      <c r="AF55" s="1" t="s">
        <v>1175</v>
      </c>
      <c r="AH55" s="1" t="s">
        <v>1176</v>
      </c>
      <c r="AI55" s="1" t="s">
        <v>1177</v>
      </c>
      <c r="AQ55" s="1" t="s">
        <v>1178</v>
      </c>
      <c r="AU55" s="1" t="s">
        <v>1179</v>
      </c>
      <c r="AV55" s="1" t="s">
        <v>1180</v>
      </c>
    </row>
    <row r="56">
      <c r="A56" s="1" t="s">
        <v>1181</v>
      </c>
      <c r="B56" s="1" t="str">
        <f>IFERROR(__xludf.DUMMYFUNCTION("GOOGLETRANSLATE(A:A,""en"", ""te"")"),"బేడే BD-17 నగ్గెట్")</f>
        <v>బేడే BD-17 నగ్గెట్</v>
      </c>
      <c r="C56" s="1" t="s">
        <v>1182</v>
      </c>
      <c r="D56" s="1" t="str">
        <f>IFERROR(__xludf.DUMMYFUNCTION("GOOGLETRANSLATE(C:C,""en"", ""te"")"),"బేడే BD-17 నగ్గెట్ ఒక అమెరికన్ సింగిల్-సీట్ మోనోప్లేన్. కిట్ నుండి te త్సాహిక నిర్మాణం కోసం బెడ్‌కార్ప్ రూపొందించినది. [1] [2] నగ్గెట్ జూన్ 2000 లో ప్రకటించబడింది మరియు గరిష్టంగా 100 భాగాలతో నిర్మించడం సులభం అని రూపొందించబడింది. [1] ట్రైసైకిల్ ల్యాండింగ్ "&amp;"గేర్ ప్రోటోటైప్ యొక్క మొదటి ఫ్లైట్ 11 ఫిబ్రవరి 2001 న జరిగింది. [1] ఇది ఆల్-మెటల్ లో-వింగ్ మోనోప్లేన్, ఇది ఐచ్ఛిక మడత రెక్కలను కలిగి ఉంది మరియు స్థిర సాంప్రదాయ ల్యాండింగ్ గేర్‌తో టెయిల్‌వీల్ లేదా ట్రైసైకిల్ ల్యాండింగ్ గేర్‌తో లభిస్తుంది. [1] దీనిని 45 మరి"&amp;"యు 80 హెచ్‌పి (33.6 నుండి 59.7 కిలోవాట్) మధ్య ఇంజిన్‌తో అమర్చవచ్చు. ప్రోటోటైప్‌లో 60 హెచ్‌పి (45 కిలోవాట్) హెచ్‌కెఎస్ 700 ఇ రెండు సిలిండర్ ఫోర్-స్ట్రోక్ ఇంజన్ ఉంది. [1] పైలట్ వెనుక భాగంలో-స్లైడింగ్ పందిరితో పరివేష్టిత కాక్‌పిట్‌ను కలిగి ఉంది. [1] [2] జేన్"&amp;" యొక్క అన్ని ప్రపంచ విమానాల నుండి డేటా 2003-04 [1] సాధారణ లక్షణాల పనితీరు 2000 ల విమానంలో ఈ వ్యాసం ఒక స్టబ్. వికీపీడియా విస్తరించడం ద్వారా మీరు సహాయపడవచ్చు.")</f>
        <v>బేడే BD-17 నగ్గెట్ ఒక అమెరికన్ సింగిల్-సీట్ మోనోప్లేన్. కిట్ నుండి te త్సాహిక నిర్మాణం కోసం బెడ్‌కార్ప్ రూపొందించినది. [1] [2] నగ్గెట్ జూన్ 2000 లో ప్రకటించబడింది మరియు గరిష్టంగా 100 భాగాలతో నిర్మించడం సులభం అని రూపొందించబడింది. [1] ట్రైసైకిల్ ల్యాండింగ్ గేర్ ప్రోటోటైప్ యొక్క మొదటి ఫ్లైట్ 11 ఫిబ్రవరి 2001 న జరిగింది. [1] ఇది ఆల్-మెటల్ లో-వింగ్ మోనోప్లేన్, ఇది ఐచ్ఛిక మడత రెక్కలను కలిగి ఉంది మరియు స్థిర సాంప్రదాయ ల్యాండింగ్ గేర్‌తో టెయిల్‌వీల్ లేదా ట్రైసైకిల్ ల్యాండింగ్ గేర్‌తో లభిస్తుంది. [1] దీనిని 45 మరియు 80 హెచ్‌పి (33.6 నుండి 59.7 కిలోవాట్) మధ్య ఇంజిన్‌తో అమర్చవచ్చు. ప్రోటోటైప్‌లో 60 హెచ్‌పి (45 కిలోవాట్) హెచ్‌కెఎస్ 700 ఇ రెండు సిలిండర్ ఫోర్-స్ట్రోక్ ఇంజన్ ఉంది. [1] పైలట్ వెనుక భాగంలో-స్లైడింగ్ పందిరితో పరివేష్టిత కాక్‌పిట్‌ను కలిగి ఉంది. [1] [2] జేన్ యొక్క అన్ని ప్రపంచ విమానాల నుండి డేటా 2003-04 [1] సాధారణ లక్షణాల పనితీరు 2000 ల విమానంలో ఈ వ్యాసం ఒక స్టబ్. వికీపీడియా విస్తరించడం ద్వారా మీరు సహాయపడవచ్చు.</v>
      </c>
      <c r="E56" s="1" t="s">
        <v>1183</v>
      </c>
      <c r="F56" s="1" t="s">
        <v>1184</v>
      </c>
      <c r="G56" s="1" t="str">
        <f>IFERROR(__xludf.DUMMYFUNCTION("GOOGLETRANSLATE(F:F,""en"", ""te"")"),"సింగిల్-సీట్ హోమ్‌బిల్ట్ మోనోప్లేన్")</f>
        <v>సింగిల్-సీట్ హోమ్‌బిల్ట్ మోనోప్లేన్</v>
      </c>
      <c r="H56" s="1" t="s">
        <v>1185</v>
      </c>
      <c r="I56" s="1" t="s">
        <v>158</v>
      </c>
      <c r="J56" s="1" t="str">
        <f>IFERROR(__xludf.DUMMYFUNCTION("GOOGLETRANSLATE(I:I,""en"", ""te"")"),"అమెరికా")</f>
        <v>అమెరికా</v>
      </c>
      <c r="L56" s="1" t="s">
        <v>1186</v>
      </c>
      <c r="M56" s="1" t="str">
        <f>IFERROR(__xludf.DUMMYFUNCTION("GOOGLETRANSLATE(L:L,""en"", ""te"")"),"బెటెకోర్ప్")</f>
        <v>బెటెకోర్ప్</v>
      </c>
      <c r="N56" s="2" t="s">
        <v>1187</v>
      </c>
      <c r="S56" s="1" t="s">
        <v>164</v>
      </c>
      <c r="U56" s="1" t="s">
        <v>1188</v>
      </c>
      <c r="V56" s="1" t="s">
        <v>1189</v>
      </c>
      <c r="W56" s="1" t="s">
        <v>1190</v>
      </c>
      <c r="X56" s="1" t="s">
        <v>1191</v>
      </c>
      <c r="Y56" s="1" t="s">
        <v>1192</v>
      </c>
      <c r="AA56" s="1" t="s">
        <v>1193</v>
      </c>
      <c r="AB56" s="1" t="s">
        <v>1194</v>
      </c>
      <c r="AD56" s="1" t="s">
        <v>1195</v>
      </c>
      <c r="AH56" s="1" t="s">
        <v>523</v>
      </c>
      <c r="AI56" s="1" t="s">
        <v>1196</v>
      </c>
      <c r="AK56" s="1" t="s">
        <v>1197</v>
      </c>
      <c r="AO56" s="4">
        <v>36933.0</v>
      </c>
      <c r="AQ56" s="1" t="s">
        <v>1198</v>
      </c>
      <c r="BG56" s="1" t="s">
        <v>1199</v>
      </c>
    </row>
    <row r="57">
      <c r="A57" s="1" t="s">
        <v>1200</v>
      </c>
      <c r="B57" s="1" t="str">
        <f>IFERROR(__xludf.DUMMYFUNCTION("GOOGLETRANSLATE(A:A,""en"", ""te"")"),"మిత్సుబిషి 1 ఎంఎఫ్ 10")</f>
        <v>మిత్సుబిషి 1 ఎంఎఫ్ 10</v>
      </c>
      <c r="C57" s="1" t="s">
        <v>1201</v>
      </c>
      <c r="D57" s="1" t="str">
        <f>IFERROR(__xludf.DUMMYFUNCTION("GOOGLETRANSLATE(C:C,""en"", ""te"")"),"మిత్సుబిషి 1 ఎంఎఫ్ 10 లేదా మిత్సుబిషి ప్రయోగాత్మక 7-షి క్యారియర్ ఫైటర్ (七 上 戦闘 戦闘 機 機 機) అనేది 1930 లలో జపనీస్ మోనోప్లేన్ సింగిల్-సీట్ క్యారియర్-ఆధారిత ఫైటర్ విమానం. రెండు ఇంపీరియల్ జపనీస్ నేవీ కోసం నిర్మించబడ్డాయి, కాని రెండూ క్రాష్లలో పోయాయి, ఉత్పత్తి త"&amp;"రువాత లేదు. ఏప్రిల్ 1932 లో, ఇంపీరియల్ జపనీస్ నావికాదళం ప్రస్తుత క్యారియర్-ఆధారిత ఫైటర్ నకాజిమా A2N ను భర్తీ చేయడానికి ఒక స్పెసిఫికేషన్ జారీ చేసింది, మిత్సుబిషి మరియు నకాజిమా రెండింటి నుండి డిజైన్లను కోరింది. భర్తీ చేయబోయే బిప్‌లేన్ మాదిరిగా కాకుండా, పోటీ"&amp;"దారులు ఇద్దరూ మోనోప్లేన్‌లను సమర్పించారు, నకాజిమా తన టైప్ 91 పారాసోల్-వింగ్ ఫైటర్ యొక్క సంస్కరణను అందిస్తోంది, ఇప్పటికే జపనీస్ సైన్యం కోసం ఉత్పత్తిలో ఉంది. జిరో హోరికోషి నేతృత్వంలోని ఒక బృందానికి మిత్సుబిషి తన పోటీదారుడి రూపకల్పనను కేటాయించింది, ఇది జపాన్"&amp;"లో రూపొందించిన మొదటి తక్కువ-వింగ్ కాంటిలివర్ మోనోప్లేన్‌ను సృష్టించింది, మిత్సుబిషి 1MF10. [1] [2] 1MF10 ఆల్-మెటల్ నిర్మాణంలో ఉంది, మోనోకోక్ డ్యూరాలిమిన్ ఫ్యూజ్‌లేజ్‌తో, డ్యూరాలిమిన్ వింగ్ నిర్మాణంతో ఫాబ్రిక్‌తో కప్పబడి ఉంటుంది, పైలట్‌తో ఓపెన్ కాక్‌పిట్‌ల"&amp;"ో ఉంచబడింది. ఈ విమానం మిత్సుబిషి ఎ 4 రెండు-వరుస 14-సిలిండర్ రేడియల్ ఇంజిన్ రెండు-బ్లేడెడ్ ప్రొపెల్లర్‌ను నడుపుతుంది. దీనికి స్థిర టెయిల్‌వీల్ అండర్ క్యారేజ్ ఉంది. [1] [2] మొదటి ప్రోటోటైప్ 1MF10, నేవీ హోదా ప్రయోగాత్మక 7-షి క్యారియర్ ఫైటర్ [A] మార్చి 1933 ల"&amp;"ో దాని తొలి విమానంలో చేసింది. [1] జూలై 1933 లో డైవింగ్ పరీక్షల సమయంలో తోక విడిపోయినప్పుడు ఇది నాశనం చేయబడింది, అయినప్పటికీ పైలట్ పారాచూట్ చేత తప్పించుకున్నాడు. రెండవ నమూనా సవరించిన అండర్ క్యారేజీని కలిగి ఉంది, ప్రధాన చక్రాలు మరియు అండర్ క్యారేజ్ కాళ్ళు క్"&amp;"రమబద్ధీకరించిన స్పాట్స్‌లోకి వచ్చాయి. జూన్ 1934 లో పైలట్ మోటోహారు ఒకామురా చేత ఫ్లాట్ స్పిన్ నుండి తిరిగి పొందలేనప్పుడు ఇది క్రాష్‌లో కూడా నాశనం చేయబడింది. [1] [2] డిజైన్ అభివృద్ధి చెందినప్పటికీ, దీనిని జపనీస్ నావికాదళం తిరస్కరించింది, పేలవమైన నిర్వహణను కల"&amp;"ిగి ఉంది [1] మరియు స్పెసిఫికేషన్ యొక్క పనితీరు అవసరాలను తీర్చలేదు. [2] ఇది మరింత అధునాతన డిజైన్లకు ఆధారం చేసింది, అయినప్పటికీ, హొరికోషి దాని యొక్క అంశాలను బాక్స్-స్పార్ వంటి అంశాలను ఉపయోగించడం తరువాత విజయవంతమైన మిత్సుబిషి A5M ఫైటర్‌లో ఇలాంటి లేఅవుట్. [4] "&amp;"జపనీస్ విమానం నుండి డేటా 1910-1941 [5] సాధారణ లక్షణాలు పనితీరు ఆయుధాల సంబంధిత అభివృద్ధి విమానం మీడియాలో పోల్చదగిన పాత్ర, కాన్ఫిగరేషన్ మరియు యుగం ప్రదర్శనలు")</f>
        <v>మిత్సుబిషి 1 ఎంఎఫ్ 10 లేదా మిత్సుబిషి ప్రయోగాత్మక 7-షి క్యారియర్ ఫైటర్ (七 上 戦闘 戦闘 機 機 機) అనేది 1930 లలో జపనీస్ మోనోప్లేన్ సింగిల్-సీట్ క్యారియర్-ఆధారిత ఫైటర్ విమానం. రెండు ఇంపీరియల్ జపనీస్ నేవీ కోసం నిర్మించబడ్డాయి, కాని రెండూ క్రాష్లలో పోయాయి, ఉత్పత్తి తరువాత లేదు. ఏప్రిల్ 1932 లో, ఇంపీరియల్ జపనీస్ నావికాదళం ప్రస్తుత క్యారియర్-ఆధారిత ఫైటర్ నకాజిమా A2N ను భర్తీ చేయడానికి ఒక స్పెసిఫికేషన్ జారీ చేసింది, మిత్సుబిషి మరియు నకాజిమా రెండింటి నుండి డిజైన్లను కోరింది. భర్తీ చేయబోయే బిప్‌లేన్ మాదిరిగా కాకుండా, పోటీదారులు ఇద్దరూ మోనోప్లేన్‌లను సమర్పించారు, నకాజిమా తన టైప్ 91 పారాసోల్-వింగ్ ఫైటర్ యొక్క సంస్కరణను అందిస్తోంది, ఇప్పటికే జపనీస్ సైన్యం కోసం ఉత్పత్తిలో ఉంది. జిరో హోరికోషి నేతృత్వంలోని ఒక బృందానికి మిత్సుబిషి తన పోటీదారుడి రూపకల్పనను కేటాయించింది, ఇది జపాన్లో రూపొందించిన మొదటి తక్కువ-వింగ్ కాంటిలివర్ మోనోప్లేన్‌ను సృష్టించింది, మిత్సుబిషి 1MF10. [1] [2] 1MF10 ఆల్-మెటల్ నిర్మాణంలో ఉంది, మోనోకోక్ డ్యూరాలిమిన్ ఫ్యూజ్‌లేజ్‌తో, డ్యూరాలిమిన్ వింగ్ నిర్మాణంతో ఫాబ్రిక్‌తో కప్పబడి ఉంటుంది, పైలట్‌తో ఓపెన్ కాక్‌పిట్‌లో ఉంచబడింది. ఈ విమానం మిత్సుబిషి ఎ 4 రెండు-వరుస 14-సిలిండర్ రేడియల్ ఇంజిన్ రెండు-బ్లేడెడ్ ప్రొపెల్లర్‌ను నడుపుతుంది. దీనికి స్థిర టెయిల్‌వీల్ అండర్ క్యారేజ్ ఉంది. [1] [2] మొదటి ప్రోటోటైప్ 1MF10, నేవీ హోదా ప్రయోగాత్మక 7-షి క్యారియర్ ఫైటర్ [A] మార్చి 1933 లో దాని తొలి విమానంలో చేసింది. [1] జూలై 1933 లో డైవింగ్ పరీక్షల సమయంలో తోక విడిపోయినప్పుడు ఇది నాశనం చేయబడింది, అయినప్పటికీ పైలట్ పారాచూట్ చేత తప్పించుకున్నాడు. రెండవ నమూనా సవరించిన అండర్ క్యారేజీని కలిగి ఉంది, ప్రధాన చక్రాలు మరియు అండర్ క్యారేజ్ కాళ్ళు క్రమబద్ధీకరించిన స్పాట్స్‌లోకి వచ్చాయి. జూన్ 1934 లో పైలట్ మోటోహారు ఒకామురా చేత ఫ్లాట్ స్పిన్ నుండి తిరిగి పొందలేనప్పుడు ఇది క్రాష్‌లో కూడా నాశనం చేయబడింది. [1] [2] డిజైన్ అభివృద్ధి చెందినప్పటికీ, దీనిని జపనీస్ నావికాదళం తిరస్కరించింది, పేలవమైన నిర్వహణను కలిగి ఉంది [1] మరియు స్పెసిఫికేషన్ యొక్క పనితీరు అవసరాలను తీర్చలేదు. [2] ఇది మరింత అధునాతన డిజైన్లకు ఆధారం చేసింది, అయినప్పటికీ, హొరికోషి దాని యొక్క అంశాలను బాక్స్-స్పార్ వంటి అంశాలను ఉపయోగించడం తరువాత విజయవంతమైన మిత్సుబిషి A5M ఫైటర్‌లో ఇలాంటి లేఅవుట్. [4] జపనీస్ విమానం నుండి డేటా 1910-1941 [5] సాధారణ లక్షణాలు పనితీరు ఆయుధాల సంబంధిత అభివృద్ధి విమానం మీడియాలో పోల్చదగిన పాత్ర, కాన్ఫిగరేషన్ మరియు యుగం ప్రదర్శనలు</v>
      </c>
      <c r="E57" s="1" t="s">
        <v>1202</v>
      </c>
      <c r="F57" s="1" t="s">
        <v>1203</v>
      </c>
      <c r="G57" s="1" t="str">
        <f>IFERROR(__xludf.DUMMYFUNCTION("GOOGLETRANSLATE(F:F,""en"", ""te"")"),"ఫైటర్ విమానం")</f>
        <v>ఫైటర్ విమానం</v>
      </c>
      <c r="I57" s="1" t="s">
        <v>1204</v>
      </c>
      <c r="J57" s="1" t="str">
        <f>IFERROR(__xludf.DUMMYFUNCTION("GOOGLETRANSLATE(I:I,""en"", ""te"")"),"జపాన్")</f>
        <v>జపాన్</v>
      </c>
      <c r="K57" s="2" t="s">
        <v>1205</v>
      </c>
      <c r="L57" s="1" t="s">
        <v>1206</v>
      </c>
      <c r="M57" s="1" t="str">
        <f>IFERROR(__xludf.DUMMYFUNCTION("GOOGLETRANSLATE(L:L,""en"", ""te"")"),"మిత్సుబిషి కోకుకి కెకె")</f>
        <v>మిత్సుబిషి కోకుకి కెకె</v>
      </c>
      <c r="N57" s="1" t="s">
        <v>1207</v>
      </c>
      <c r="P57" s="1" t="s">
        <v>935</v>
      </c>
      <c r="Q57" s="1"/>
      <c r="R57" s="1">
        <v>2.0</v>
      </c>
      <c r="S57" s="1">
        <v>1.0</v>
      </c>
      <c r="U57" s="1" t="s">
        <v>1208</v>
      </c>
      <c r="V57" s="1" t="s">
        <v>1209</v>
      </c>
      <c r="W57" s="1" t="s">
        <v>1210</v>
      </c>
      <c r="X57" s="1" t="s">
        <v>1211</v>
      </c>
      <c r="Y57" s="1" t="s">
        <v>1212</v>
      </c>
      <c r="AA57" s="1" t="s">
        <v>1213</v>
      </c>
      <c r="AH57" s="1" t="s">
        <v>1214</v>
      </c>
      <c r="AM57" s="1" t="s">
        <v>1215</v>
      </c>
      <c r="AN57" s="1" t="s">
        <v>1216</v>
      </c>
      <c r="AO57" s="3">
        <v>12114.0</v>
      </c>
      <c r="AQ57" s="1" t="s">
        <v>1217</v>
      </c>
      <c r="AZ57" s="1" t="s">
        <v>1218</v>
      </c>
      <c r="BR57" s="1" t="s">
        <v>1219</v>
      </c>
    </row>
    <row r="58">
      <c r="A58" s="1" t="s">
        <v>1220</v>
      </c>
      <c r="B58" s="1" t="str">
        <f>IFERROR(__xludf.DUMMYFUNCTION("GOOGLETRANSLATE(A:A,""en"", ""te"")"),"జెప్పెలిన్ LZ 102")</f>
        <v>జెప్పెలిన్ LZ 102</v>
      </c>
      <c r="C58" s="1" t="s">
        <v>1221</v>
      </c>
      <c r="D58" s="1" t="str">
        <f>IFERROR(__xludf.DUMMYFUNCTION("GOOGLETRANSLATE(C:C,""en"", ""te"")"),"జెప్పెలిన్ ఎల్జెడ్ 102 (నియమించబడిన ఎల్ 57) జర్మన్ ఇంపీరియల్ నేవీ యొక్క ఎయిర్‌షిప్. ఇది ఆఫ్రికాకు ఒక మిషన్ ప్రయత్నిస్తుందని ప్రణాళిక చేయబడింది, కానీ అది నాశనం చేయబడింది మరియు దాని సోదరి ఓడ LZ 104 (ఎల్ 59), దాస్ ఆఫ్రికా-షీఫ్ (""ఆఫ్రికా షిప్"") అనే మారుపేరు"&amp;", సుదూర పున up పంపిణీ మిషన్ వద్ద ఒక ప్రసిద్ధ ప్రయత్నం చేసింది జర్మనీ యొక్క తూర్పు ఆఫ్రికా కాలనీ యొక్క ఇబ్బందులకు గురైన దండుకు. [1] ఆఫ్రికాకు ఎగరగల ఓడను ధరించాలనే ఆశతో ఇంపీరియల్ జర్మన్ నావికాదళ కార్యాలయం ఎల్జెడ్ 102 కట్ సగానికి మరియు మరో రెండు విభాగాలను జో"&amp;"డించింది - 30 మీటర్లు (98 అడుగులు) పొడవు. ఈ అదనపు రెండు విభాగాలలోని వాయువు ఎయిర్‌షిప్ గ్యాస్ వాల్యూమ్‌ను 13,300 మీ 3 (470,000 క్యూ అడుగులు) పెంచింది. ఈ అదనపు వాల్యూమ్ ప్రారంభ జెప్పెలిన్ LZ 3 యొక్క మొత్తం వాల్యూమ్ కంటే ఎక్కువ ఇది సుమారు 7,620 మీ (25,000 అడ"&amp;"ుగులు) ఎత్తుకు చేరుకోవడానికి రూపొందించబడింది. [3] కొత్త ఎయిర్‌షిప్ యొక్క మొదటి ఫ్లైట్ 26 సెప్టెంబర్ 1917 న ఫ్రెడరిచ్‌షాఫెన్ బేస్ వద్ద జరిగింది. [4] ఆఫ్రికాకు ఫ్లైట్ ఒక దిశలో మాత్రమే ఉంటుంది; ఫ్లైట్ సమయంలో హైడ్రోజన్ లిఫ్టింగ్ గ్యాస్ కోల్పోవడం వల్ల ఎయిర్‌షి"&amp;"ప్ జర్మనీకి తిరిగి రాదు. ఇంపీరియల్ జర్మన్ నావికాదళ ఆదేశం సాపేక్షంగా అనుభవం లేని కోర్వెటెన్కాపిటాన్ (""లెఫ్టినెంట్-కమాండర్"") లుడ్విగ్ బోక్‌హోల్ట్‌ను ఎన్నుకుంది, ఎందుకంటే వారు అనుభవజ్ఞుడైన కమాండర్‌ను కోల్పోవటానికి ఇష్టపడలేదు. బోక్హోల్ట్ ప్రకారం, LZ 102 (L "&amp;"57) ను నియంత్రించడం చాలా కష్టం మరియు తగినంత ఇంజిన్ శక్తిని కలిగి లేదు, అయితే ఇది ఉన్నప్పటికీ ఇది ఆఫ్రికా మిషన్‌లో పంపబడుతుందని నిర్ణయించారు. రెండు అదనపు పరీక్షా విమానాల తరువాత, L.57 జోటెర్బాగ్‌లోని బేస్కు ఎగిరింది, అక్కడ ఆఫ్రికా కోసం ఉద్దేశించిన కార్గో దా"&amp;"ని డెక్‌పై లోడ్ చేయబడింది, వీటిలో 85 బాక్స్‌లు వివిధ రకాల వైద్య సామాగ్రి ఉన్నాయి. అక్టోబర్ 6 న లోడింగ్ పూర్తయింది. [4] మునుపటి విమానాల సమయంలో, పూర్తి ఇంజిన్ శక్తితో ఎటువంటి పరీక్షలు జరగలేదు మరియు సరుకును లోడ్ చేసిన తర్వాతే బోక్‌హోల్ట్ అదే సాయంత్రం పరీక్షల"&amp;"ు చేయాలని నిర్ణయించుకున్నాడు. పెరుగుతున్న గాలి ఉన్నప్పటికీ, బోక్‌హోల్ట్ ఎయిర్‌షిప్‌ను హ్యాంగర్ నుండి తొలగించమని ఆదేశించాడు, ఇది గాలి యొక్క బలమైన వాయువుల కారణంగా దాదాపు ఎల్లప్పుడూ విపత్తులో ముగిసింది. బోక్‌హోల్ట్ గాలిలో రాబోయే తుఫాను కోసం వేచి ఉండాలని నిర్"&amp;"ణయించుకున్నాడు, కాని అతను ఆహారం మరియు వెచ్చని బట్టలు ఎయిర్‌షిప్‌లోకి పంపబడే వరకు వేచి ఉండటాన్ని ఆలస్యం చేశాడు. అర్ధరాత్రికి ముందే, గాలి యొక్క బలమైన గస్ట్ ఎయిర్‌షిప్‌ను తాకింది, దానిని దెబ్బతీస్తుంది. అర్ధరాత్రి తరువాత 40 నిమిషాల తరువాత, గాలి తగినంతగా తగ్గ"&amp;"ింది, ఎయిర్‌షిప్‌ను తిరిగి హ్యాంగర్‌లో ఉంచడం సాధ్యమని నిర్ణయించారు. ఏదేమైనా, హ్యాంగర్ తలుపు ముందు, ఎయిర్‌షిప్ అకస్మాత్తుగా 20 మీ (66 అడుగులు) గాలిలోకి పెరిగింది మరియు గ్రౌండ్ హ్యాండ్లర్‌ల ప్రయత్నాలు ఉన్నప్పటికీ బలమైన గాలి గాలిని మైదానంలో లాగడం ప్రారంభించి"&amp;"ంది. బోక్‌హోల్ట్ ఎయిర్‌షిప్ గ్యాస్ గదుల నుండి గ్యాస్‌ను విడుదల చేశాడు మరియు గ్యాస్ డంపింగ్ వేగవంతం చేయడానికి సైనికులను కొన్ని గదుల్లో రంధ్రాలు వేయమని ఆదేశించాడు. అన్ని ప్రయత్నాలు ఉన్నప్పటికీ, గాలి మళ్లీ దెబ్బతిన్న బ్లింప్‌ను తీసుకుంది, ఇది రెండు గంటలకు మం"&amp;"టలు చెలరేగింది. ఇంధనం మరియు మందుగుండు సామగ్రిని లోడ్ చేసి, ఉదయం వరకు మంటలు కాలిపోయాయి మరియు విలువైన వైద్య సామాగ్రి విమానంలో కాలిపోయాయి. [2] [5] జెప్పెలిన్ నుండి డేటా: దృ g మైన ఎయిర్‌షిప్‌లు, 1893-1940 [6] సాధారణ లక్షణాల పనితీరు")</f>
        <v>జెప్పెలిన్ ఎల్జెడ్ 102 (నియమించబడిన ఎల్ 57) జర్మన్ ఇంపీరియల్ నేవీ యొక్క ఎయిర్‌షిప్. ఇది ఆఫ్రికాకు ఒక మిషన్ ప్రయత్నిస్తుందని ప్రణాళిక చేయబడింది, కానీ అది నాశనం చేయబడింది మరియు దాని సోదరి ఓడ LZ 104 (ఎల్ 59), దాస్ ఆఫ్రికా-షీఫ్ ("ఆఫ్రికా షిప్") అనే మారుపేరు, సుదూర పున up పంపిణీ మిషన్ వద్ద ఒక ప్రసిద్ధ ప్రయత్నం చేసింది జర్మనీ యొక్క తూర్పు ఆఫ్రికా కాలనీ యొక్క ఇబ్బందులకు గురైన దండుకు. [1] ఆఫ్రికాకు ఎగరగల ఓడను ధరించాలనే ఆశతో ఇంపీరియల్ జర్మన్ నావికాదళ కార్యాలయం ఎల్జెడ్ 102 కట్ సగానికి మరియు మరో రెండు విభాగాలను జోడించింది - 30 మీటర్లు (98 అడుగులు) పొడవు. ఈ అదనపు రెండు విభాగాలలోని వాయువు ఎయిర్‌షిప్ గ్యాస్ వాల్యూమ్‌ను 13,300 మీ 3 (470,000 క్యూ అడుగులు) పెంచింది. ఈ అదనపు వాల్యూమ్ ప్రారంభ జెప్పెలిన్ LZ 3 యొక్క మొత్తం వాల్యూమ్ కంటే ఎక్కువ ఇది సుమారు 7,620 మీ (25,000 అడుగులు) ఎత్తుకు చేరుకోవడానికి రూపొందించబడింది. [3] కొత్త ఎయిర్‌షిప్ యొక్క మొదటి ఫ్లైట్ 26 సెప్టెంబర్ 1917 న ఫ్రెడరిచ్‌షాఫెన్ బేస్ వద్ద జరిగింది. [4] ఆఫ్రికాకు ఫ్లైట్ ఒక దిశలో మాత్రమే ఉంటుంది; ఫ్లైట్ సమయంలో హైడ్రోజన్ లిఫ్టింగ్ గ్యాస్ కోల్పోవడం వల్ల ఎయిర్‌షిప్ జర్మనీకి తిరిగి రాదు. ఇంపీరియల్ జర్మన్ నావికాదళ ఆదేశం సాపేక్షంగా అనుభవం లేని కోర్వెటెన్కాపిటాన్ ("లెఫ్టినెంట్-కమాండర్") లుడ్విగ్ బోక్‌హోల్ట్‌ను ఎన్నుకుంది, ఎందుకంటే వారు అనుభవజ్ఞుడైన కమాండర్‌ను కోల్పోవటానికి ఇష్టపడలేదు. బోక్హోల్ట్ ప్రకారం, LZ 102 (L 57) ను నియంత్రించడం చాలా కష్టం మరియు తగినంత ఇంజిన్ శక్తిని కలిగి లేదు, అయితే ఇది ఉన్నప్పటికీ ఇది ఆఫ్రికా మిషన్‌లో పంపబడుతుందని నిర్ణయించారు. రెండు అదనపు పరీక్షా విమానాల తరువాత, L.57 జోటెర్బాగ్‌లోని బేస్కు ఎగిరింది, అక్కడ ఆఫ్రికా కోసం ఉద్దేశించిన కార్గో దాని డెక్‌పై లోడ్ చేయబడింది, వీటిలో 85 బాక్స్‌లు వివిధ రకాల వైద్య సామాగ్రి ఉన్నాయి. అక్టోబర్ 6 న లోడింగ్ పూర్తయింది. [4] మునుపటి విమానాల సమయంలో, పూర్తి ఇంజిన్ శక్తితో ఎటువంటి పరీక్షలు జరగలేదు మరియు సరుకును లోడ్ చేసిన తర్వాతే బోక్‌హోల్ట్ అదే సాయంత్రం పరీక్షలు చేయాలని నిర్ణయించుకున్నాడు. పెరుగుతున్న గాలి ఉన్నప్పటికీ, బోక్‌హోల్ట్ ఎయిర్‌షిప్‌ను హ్యాంగర్ నుండి తొలగించమని ఆదేశించాడు, ఇది గాలి యొక్క బలమైన వాయువుల కారణంగా దాదాపు ఎల్లప్పుడూ విపత్తులో ముగిసింది. బోక్‌హోల్ట్ గాలిలో రాబోయే తుఫాను కోసం వేచి ఉండాలని నిర్ణయించుకున్నాడు, కాని అతను ఆహారం మరియు వెచ్చని బట్టలు ఎయిర్‌షిప్‌లోకి పంపబడే వరకు వేచి ఉండటాన్ని ఆలస్యం చేశాడు. అర్ధరాత్రికి ముందే, గాలి యొక్క బలమైన గస్ట్ ఎయిర్‌షిప్‌ను తాకింది, దానిని దెబ్బతీస్తుంది. అర్ధరాత్రి తరువాత 40 నిమిషాల తరువాత, గాలి తగినంతగా తగ్గింది, ఎయిర్‌షిప్‌ను తిరిగి హ్యాంగర్‌లో ఉంచడం సాధ్యమని నిర్ణయించారు. ఏదేమైనా, హ్యాంగర్ తలుపు ముందు, ఎయిర్‌షిప్ అకస్మాత్తుగా 20 మీ (66 అడుగులు) గాలిలోకి పెరిగింది మరియు గ్రౌండ్ హ్యాండ్లర్‌ల ప్రయత్నాలు ఉన్నప్పటికీ బలమైన గాలి గాలిని మైదానంలో లాగడం ప్రారంభించింది. బోక్‌హోల్ట్ ఎయిర్‌షిప్ గ్యాస్ గదుల నుండి గ్యాస్‌ను విడుదల చేశాడు మరియు గ్యాస్ డంపింగ్ వేగవంతం చేయడానికి సైనికులను కొన్ని గదుల్లో రంధ్రాలు వేయమని ఆదేశించాడు. అన్ని ప్రయత్నాలు ఉన్నప్పటికీ, గాలి మళ్లీ దెబ్బతిన్న బ్లింప్‌ను తీసుకుంది, ఇది రెండు గంటలకు మంటలు చెలరేగింది. ఇంధనం మరియు మందుగుండు సామగ్రిని లోడ్ చేసి, ఉదయం వరకు మంటలు కాలిపోయాయి మరియు విలువైన వైద్య సామాగ్రి విమానంలో కాలిపోయాయి. [2] [5] జెప్పెలిన్ నుండి డేటా: దృ g మైన ఎయిర్‌షిప్‌లు, 1893-1940 [6] సాధారణ లక్షణాల పనితీరు</v>
      </c>
      <c r="E58" s="1" t="s">
        <v>1222</v>
      </c>
      <c r="G58" s="1" t="str">
        <f>IFERROR(__xludf.DUMMYFUNCTION("GOOGLETRANSLATE(F:F,""en"", ""te"")"),"#VALUE!")</f>
        <v>#VALUE!</v>
      </c>
      <c r="L58" s="1" t="s">
        <v>1223</v>
      </c>
      <c r="M58" s="1" t="str">
        <f>IFERROR(__xludf.DUMMYFUNCTION("GOOGLETRANSLATE(L:L,""en"", ""te"")"),"లుఫ్ట్‌చిఫ్బావు జెప్పెలిన్, స్టెకెన్")</f>
        <v>లుఫ్ట్‌చిఫ్బావు జెప్పెలిన్, స్టెకెన్</v>
      </c>
      <c r="N58" s="1" t="s">
        <v>1224</v>
      </c>
      <c r="S58" s="1">
        <v>22.0</v>
      </c>
      <c r="T58" s="1" t="s">
        <v>1225</v>
      </c>
      <c r="U58" s="1" t="s">
        <v>1226</v>
      </c>
      <c r="X58" s="1" t="s">
        <v>1227</v>
      </c>
      <c r="Z58" s="1" t="s">
        <v>1228</v>
      </c>
      <c r="AA58" s="1" t="s">
        <v>1229</v>
      </c>
      <c r="AB58" s="1" t="s">
        <v>1230</v>
      </c>
      <c r="AK58" s="1" t="s">
        <v>1231</v>
      </c>
      <c r="AL58" s="1" t="s">
        <v>1232</v>
      </c>
      <c r="AO58" s="4">
        <v>6479.0</v>
      </c>
      <c r="AQ58" s="1" t="s">
        <v>1233</v>
      </c>
      <c r="BV58" s="1" t="s">
        <v>1234</v>
      </c>
      <c r="BY58" s="1" t="s">
        <v>1235</v>
      </c>
      <c r="BZ58" s="1" t="s">
        <v>1236</v>
      </c>
      <c r="CB58" s="1" t="s">
        <v>1237</v>
      </c>
      <c r="CG58" s="1" t="s">
        <v>1238</v>
      </c>
      <c r="CH58" s="1">
        <v>9.52</v>
      </c>
      <c r="CI58" s="1" t="s">
        <v>1239</v>
      </c>
      <c r="CJ58" s="1" t="s">
        <v>1240</v>
      </c>
    </row>
    <row r="59">
      <c r="A59" s="1" t="s">
        <v>1241</v>
      </c>
      <c r="B59" s="1" t="str">
        <f>IFERROR(__xludf.DUMMYFUNCTION("GOOGLETRANSLATE(A:A,""en"", ""te"")"),"ఓరెన్కో IL-1")</f>
        <v>ఓరెన్కో IL-1</v>
      </c>
      <c r="C59" s="1" t="s">
        <v>1242</v>
      </c>
      <c r="D59" s="1" t="str">
        <f>IFERROR(__xludf.DUMMYFUNCTION("GOOGLETRANSLATE(C:C,""en"", ""te"")"),"ఓర్నెకో IL-1 అనేది ఒక అమెరికన్ రెండు-సీట్ల అనుసంధాన బైప్‌లేన్, ఇది యునైటెడ్ స్టేట్స్ ఆర్మీ కోసం ఆర్డినెన్స్ ఇంజనీరింగ్ కార్పొరేషన్ (ఓరెన్కో) చేత నిర్మించబడింది. [1] మోడల్ E-2 అనేది సాంప్రదాయిక బైప్‌లేన్, ఇది 400 హెచ్‌పి (298 కిలోవాట్ మొట్టమొదట 1919 లో ఎగి"&amp;"రింది, రెండు విమానాలను మెక్‌కూక్ ఫీల్డ్‌లోని సైన్యం పి -147 మరియు పి -168 గా నిర్మించింది మరియు అంచనా వేసింది, కాని ఈ రకం ఉత్పత్తిలోకి ప్రవేశించలేదు. [1] [1] సాధారణ లక్షణాల పనితీరు నుండి డేటా")</f>
        <v>ఓర్నెకో IL-1 అనేది ఒక అమెరికన్ రెండు-సీట్ల అనుసంధాన బైప్‌లేన్, ఇది యునైటెడ్ స్టేట్స్ ఆర్మీ కోసం ఆర్డినెన్స్ ఇంజనీరింగ్ కార్పొరేషన్ (ఓరెన్కో) చేత నిర్మించబడింది. [1] మోడల్ E-2 అనేది సాంప్రదాయిక బైప్‌లేన్, ఇది 400 హెచ్‌పి (298 కిలోవాట్ మొట్టమొదట 1919 లో ఎగిరింది, రెండు విమానాలను మెక్‌కూక్ ఫీల్డ్‌లోని సైన్యం పి -147 మరియు పి -168 గా నిర్మించింది మరియు అంచనా వేసింది, కాని ఈ రకం ఉత్పత్తిలోకి ప్రవేశించలేదు. [1] [1] సాధారణ లక్షణాల పనితీరు నుండి డేటా</v>
      </c>
      <c r="F59" s="1" t="s">
        <v>1243</v>
      </c>
      <c r="G59" s="1" t="str">
        <f>IFERROR(__xludf.DUMMYFUNCTION("GOOGLETRANSLATE(F:F,""en"", ""te"")"),"అనుసంధాన బిప్లేన్")</f>
        <v>అనుసంధాన బిప్లేన్</v>
      </c>
      <c r="I59" s="1" t="s">
        <v>158</v>
      </c>
      <c r="J59" s="1" t="str">
        <f>IFERROR(__xludf.DUMMYFUNCTION("GOOGLETRANSLATE(I:I,""en"", ""te"")"),"అమెరికా")</f>
        <v>అమెరికా</v>
      </c>
      <c r="L59" s="1" t="s">
        <v>1244</v>
      </c>
      <c r="M59" s="1" t="str">
        <f>IFERROR(__xludf.DUMMYFUNCTION("GOOGLETRANSLATE(L:L,""en"", ""te"")"),"ఓరెన్కో")</f>
        <v>ఓరెన్కో</v>
      </c>
      <c r="N59" s="2" t="s">
        <v>1245</v>
      </c>
      <c r="R59" s="1">
        <v>2.0</v>
      </c>
      <c r="S59" s="1">
        <v>2.0</v>
      </c>
      <c r="U59" s="1" t="s">
        <v>470</v>
      </c>
      <c r="V59" s="1" t="s">
        <v>1246</v>
      </c>
      <c r="W59" s="1" t="s">
        <v>1247</v>
      </c>
      <c r="X59" s="1" t="s">
        <v>1248</v>
      </c>
      <c r="Y59" s="1" t="s">
        <v>1249</v>
      </c>
      <c r="AA59" s="1" t="s">
        <v>1250</v>
      </c>
      <c r="AH59" s="1" t="s">
        <v>339</v>
      </c>
      <c r="AK59" s="1" t="s">
        <v>1251</v>
      </c>
      <c r="AO59" s="1">
        <v>1919.0</v>
      </c>
      <c r="AQ59" s="1" t="s">
        <v>1252</v>
      </c>
      <c r="AR59" s="1" t="s">
        <v>1253</v>
      </c>
      <c r="CC59" s="1" t="s">
        <v>1254</v>
      </c>
    </row>
    <row r="60">
      <c r="A60" s="1" t="s">
        <v>1255</v>
      </c>
      <c r="B60" s="1" t="str">
        <f>IFERROR(__xludf.DUMMYFUNCTION("GOOGLETRANSLATE(A:A,""en"", ""te"")"),"మర్ఫీ రెబెల్")</f>
        <v>మర్ఫీ రెబెల్</v>
      </c>
      <c r="C60" s="1" t="s">
        <v>1256</v>
      </c>
      <c r="D60" s="1" t="str">
        <f>IFERROR(__xludf.DUMMYFUNCTION("GOOGLETRANSLATE(C:C,""en"", ""te"")"),"మర్ఫీ తిరుగుబాటుదారుడు రెండు లేదా మూడు-సీట్ల, స్ట్రట్ బ్రేస్డ్, హై వింగ్, టెయిల్‌డ్రాగర్ మోనోప్లేన్, దీనిని కిట్ రూపంలో చిల్లివాక్, బ్రిటిష్ కొలంబియా, కెనడాలోని మర్ఫీ విమానాల ద్వారా విక్రయిస్తారు. [2] [3] [4] [5] [ 6] ఈ తిరుగుబాటును మర్ఫీ ఎయిర్క్రాఫ్ట్ ప్"&amp;"రెసిడెంట్ డారిల్ మర్ఫీ మరియు డిక్ హిస్కాక్ రూపొందించారు, అతను డి హవిలాండ్ కెనడా DHC-2 బీవర్ యొక్క డిజైనర్లలో ఒకడు. రెబెల్ ఒక స్టోల్ విమానం మరియు ఇది వ్యక్తిగత వినియోగ బుష్ విమానం గా రూపొందించబడింది. ఇది చిన్న, ఆకట్టుకోని ఎయిర్‌స్ట్రిప్స్ నుండి పనిచేస్తుంద"&amp;"ి మరియు 750 పౌండ్ల వరకు ఉపయోగకరమైన భారాన్ని కలిగి ఉంటుంది. [4] [7] ఈ విమానంలో స్ట్రట్-బ్రెస్డ్ హై-వింగ్, రెండు లేదా మూడు సీట్ల పరివేష్టిత క్యాబిన్ యాక్సెస్ తలుపులు, స్థిర సాంప్రదాయ ల్యాండింగ్ గేర్ మరియు ట్రాక్టర్ కాన్ఫిగరేషన్‌లో ఒకే ఇంజిన్ ఉన్నాయి. ఈ విమా"&amp;"నం షీట్ అల్యూమినియం నుండి తయారు చేయబడింది. దీని 30.0 అడుగుల (9.1 మీ) స్పాన్ వింగ్ NACA 4415 మోడ్ ఎయిర్‌ఫాయిల్‌ను ఉపయోగిస్తుంది, ఇది 149 చదరపు అడుగుల (13.8 మీ 2) విస్తీర్ణంలో ఉంది మరియు ఫ్లాప్‌లతో అమర్చబడి ఉంటుంది. [5] [6] [8] తిరుగుబాటుదారులకు సిఫార్సు చే"&amp;"యబడిన ఇంజన్లు 160 హెచ్‌పి (120 కిలోవాట్ల) లైమింగ్ ఓ -320, 116 హెచ్‌పి (87 కిలోవాట్) లైమింగ్ ఓ -235 మరియు 80 హెచ్‌పి (60 కిలోవాట్) రోటాక్స్ 912, అయితే బేయర్ల్ మరియు ఇతరులు. విమానం 100 హెచ్‌పి (75 కిలోవాట్) కన్నా తక్కువ పని చేయదని గమనించండి. [5] [6] [7] మర్"&amp;"ఫీ రెబెల్ వెబ్‌సైట్ నుండి డేటా సాధారణ లక్షణాల పనితీరు")</f>
        <v>మర్ఫీ తిరుగుబాటుదారుడు రెండు లేదా మూడు-సీట్ల, స్ట్రట్ బ్రేస్డ్, హై వింగ్, టెయిల్‌డ్రాగర్ మోనోప్లేన్, దీనిని కిట్ రూపంలో చిల్లివాక్, బ్రిటిష్ కొలంబియా, కెనడాలోని మర్ఫీ విమానాల ద్వారా విక్రయిస్తారు. [2] [3] [4] [5] [ 6] ఈ తిరుగుబాటును మర్ఫీ ఎయిర్క్రాఫ్ట్ ప్రెసిడెంట్ డారిల్ మర్ఫీ మరియు డిక్ హిస్కాక్ రూపొందించారు, అతను డి హవిలాండ్ కెనడా DHC-2 బీవర్ యొక్క డిజైనర్లలో ఒకడు. రెబెల్ ఒక స్టోల్ విమానం మరియు ఇది వ్యక్తిగత వినియోగ బుష్ విమానం గా రూపొందించబడింది. ఇది చిన్న, ఆకట్టుకోని ఎయిర్‌స్ట్రిప్స్ నుండి పనిచేస్తుంది మరియు 750 పౌండ్ల వరకు ఉపయోగకరమైన భారాన్ని కలిగి ఉంటుంది. [4] [7] ఈ విమానంలో స్ట్రట్-బ్రెస్డ్ హై-వింగ్, రెండు లేదా మూడు సీట్ల పరివేష్టిత క్యాబిన్ యాక్సెస్ తలుపులు, స్థిర సాంప్రదాయ ల్యాండింగ్ గేర్ మరియు ట్రాక్టర్ కాన్ఫిగరేషన్‌లో ఒకే ఇంజిన్ ఉన్నాయి. ఈ విమానం షీట్ అల్యూమినియం నుండి తయారు చేయబడింది. దీని 30.0 అడుగుల (9.1 మీ) స్పాన్ వింగ్ NACA 4415 మోడ్ ఎయిర్‌ఫాయిల్‌ను ఉపయోగిస్తుంది, ఇది 149 చదరపు అడుగుల (13.8 మీ 2) విస్తీర్ణంలో ఉంది మరియు ఫ్లాప్‌లతో అమర్చబడి ఉంటుంది. [5] [6] [8] తిరుగుబాటుదారులకు సిఫార్సు చేయబడిన ఇంజన్లు 160 హెచ్‌పి (120 కిలోవాట్ల) లైమింగ్ ఓ -320, 116 హెచ్‌పి (87 కిలోవాట్) లైమింగ్ ఓ -235 మరియు 80 హెచ్‌పి (60 కిలోవాట్) రోటాక్స్ 912, అయితే బేయర్ల్ మరియు ఇతరులు. విమానం 100 హెచ్‌పి (75 కిలోవాట్) కన్నా తక్కువ పని చేయదని గమనించండి. [5] [6] [7] మర్ఫీ రెబెల్ వెబ్‌సైట్ నుండి డేటా సాధారణ లక్షణాల పనితీరు</v>
      </c>
      <c r="E60" s="1" t="s">
        <v>1257</v>
      </c>
      <c r="F60" s="1" t="s">
        <v>1258</v>
      </c>
      <c r="G60" s="1" t="str">
        <f>IFERROR(__xludf.DUMMYFUNCTION("GOOGLETRANSLATE(F:F,""en"", ""te"")"),"te త్సాహిక నిర్మించిన విమానం")</f>
        <v>te త్సాహిక నిర్మించిన విమానం</v>
      </c>
      <c r="H60" s="1" t="s">
        <v>1259</v>
      </c>
      <c r="L60" s="1" t="s">
        <v>1260</v>
      </c>
      <c r="M60" s="1" t="str">
        <f>IFERROR(__xludf.DUMMYFUNCTION("GOOGLETRANSLATE(L:L,""en"", ""te"")"),"మర్ఫీ విమానం")</f>
        <v>మర్ఫీ విమానం</v>
      </c>
      <c r="N60" s="1" t="s">
        <v>1261</v>
      </c>
      <c r="P60" s="1" t="s">
        <v>1262</v>
      </c>
      <c r="Q60" s="1"/>
      <c r="R60" s="1" t="s">
        <v>1263</v>
      </c>
      <c r="S60" s="1" t="s">
        <v>685</v>
      </c>
      <c r="T60" s="1" t="s">
        <v>1264</v>
      </c>
      <c r="U60" s="1" t="s">
        <v>1265</v>
      </c>
      <c r="W60" s="1" t="s">
        <v>1266</v>
      </c>
      <c r="X60" s="1" t="s">
        <v>1267</v>
      </c>
      <c r="Y60" s="1" t="s">
        <v>255</v>
      </c>
      <c r="AA60" s="1" t="s">
        <v>1268</v>
      </c>
      <c r="AB60" s="1" t="s">
        <v>1269</v>
      </c>
      <c r="AG60" s="1" t="s">
        <v>1270</v>
      </c>
      <c r="AH60" s="1" t="s">
        <v>1271</v>
      </c>
      <c r="AK60" s="1" t="s">
        <v>1272</v>
      </c>
      <c r="AM60" s="1" t="s">
        <v>1273</v>
      </c>
      <c r="AN60" s="1" t="s">
        <v>1274</v>
      </c>
      <c r="AO60" s="1" t="s">
        <v>1275</v>
      </c>
      <c r="AQ60" s="1" t="s">
        <v>1276</v>
      </c>
      <c r="AS60" s="1" t="s">
        <v>1277</v>
      </c>
      <c r="AW60" s="1" t="s">
        <v>1278</v>
      </c>
      <c r="AZ60" s="1" t="s">
        <v>1279</v>
      </c>
    </row>
    <row r="61">
      <c r="A61" s="1" t="s">
        <v>1280</v>
      </c>
      <c r="B61" s="1" t="str">
        <f>IFERROR(__xludf.DUMMYFUNCTION("GOOGLETRANSLATE(A:A,""en"", ""te"")"),"న్యూపోర్ట్ ట్రిప్లేన్")</f>
        <v>న్యూపోర్ట్ ట్రిప్లేన్</v>
      </c>
      <c r="C61" s="1" t="s">
        <v>1281</v>
      </c>
      <c r="D61" s="1" t="str">
        <f>IFERROR(__xludf.DUMMYFUNCTION("GOOGLETRANSLATE(C:C,""en"", ""te"")"),"న్యూపోర్ట్ ట్రిప్లేన్ న్యూపోర్ట్ 10/17 ఆధారిత ట్రిప్లేన్ల శ్రేణి. [1] 1915 లో, గుస్టావ్ ఆలస్యం ఒక న్యూపోర్ట్ 10 ను ట్రిప్లేన్ రెక్కల సమితితో అసాధారణమైన ఫోర్-అస్-ఫోర్ స్ట్రాగర్‌తో సవరించింది, ఈ డిజైన్ తరువాత 1916 లో పేటెంట్ చేయబడింది. [1] రెండు న్యూపోర్ట్ "&amp;"17 లు, ఎగువ మెయిన్‌ప్లేన్‌పై రివర్స్డ్ అస్థిరంగా సవరించబడ్డాయి మరియు ఒక లూయిస్ మెషిన్ గన్‌తో సాయుధమయ్యాయి) రాయల్ నావల్ ఎయిర్ సర్వీస్ (RNA లు) చేత పరీక్షించబడ్డాయి. [2] నీర్‌పోర్ట్ 17 బిస్ నుండి సవరించబడిన మరో ట్రిప్లేన్‌ను కూడా పరీక్షించారు మరియు జూన్ 191"&amp;"7 వరకు 11 వ స్క్వాడ్రన్ ఆర్‌ఎన్‌ఎలకు కేటాయించారు. [1] ఉత్పత్తిలోకి ఎప్పుడూ ఆదేశించబడలేదు, దీనికి ఎప్పుడూ అధికారిక హోదా ఇవ్వబడలేదు.")</f>
        <v>న్యూపోర్ట్ ట్రిప్లేన్ న్యూపోర్ట్ 10/17 ఆధారిత ట్రిప్లేన్ల శ్రేణి. [1] 1915 లో, గుస్టావ్ ఆలస్యం ఒక న్యూపోర్ట్ 10 ను ట్రిప్లేన్ రెక్కల సమితితో అసాధారణమైన ఫోర్-అస్-ఫోర్ స్ట్రాగర్‌తో సవరించింది, ఈ డిజైన్ తరువాత 1916 లో పేటెంట్ చేయబడింది. [1] రెండు న్యూపోర్ట్ 17 లు, ఎగువ మెయిన్‌ప్లేన్‌పై రివర్స్డ్ అస్థిరంగా సవరించబడ్డాయి మరియు ఒక లూయిస్ మెషిన్ గన్‌తో సాయుధమయ్యాయి) రాయల్ నావల్ ఎయిర్ సర్వీస్ (RNA లు) చేత పరీక్షించబడ్డాయి. [2] నీర్‌పోర్ట్ 17 బిస్ నుండి సవరించబడిన మరో ట్రిప్లేన్‌ను కూడా పరీక్షించారు మరియు జూన్ 1917 వరకు 11 వ స్క్వాడ్రన్ ఆర్‌ఎన్‌ఎలకు కేటాయించారు. [1] ఉత్పత్తిలోకి ఎప్పుడూ ఆదేశించబడలేదు, దీనికి ఎప్పుడూ అధికారిక హోదా ఇవ్వబడలేదు.</v>
      </c>
      <c r="E61" s="1" t="s">
        <v>1282</v>
      </c>
      <c r="F61" s="1" t="s">
        <v>1283</v>
      </c>
      <c r="G61" s="1" t="str">
        <f>IFERROR(__xludf.DUMMYFUNCTION("GOOGLETRANSLATE(F:F,""en"", ""te"")"),"ప్రయోగాత్మక")</f>
        <v>ప్రయోగాత్మక</v>
      </c>
      <c r="I61" s="1" t="s">
        <v>798</v>
      </c>
      <c r="J61" s="1" t="str">
        <f>IFERROR(__xludf.DUMMYFUNCTION("GOOGLETRANSLATE(I:I,""en"", ""te"")"),"ఫ్రాన్స్")</f>
        <v>ఫ్రాన్స్</v>
      </c>
      <c r="K61" s="2" t="s">
        <v>1166</v>
      </c>
      <c r="L61" s="1" t="s">
        <v>1284</v>
      </c>
      <c r="M61" s="1" t="str">
        <f>IFERROR(__xludf.DUMMYFUNCTION("GOOGLETRANSLATE(L:L,""en"", ""te"")"),"Nieuport")</f>
        <v>Nieuport</v>
      </c>
      <c r="N61" s="2" t="s">
        <v>1285</v>
      </c>
      <c r="R61" s="1">
        <v>4.0</v>
      </c>
    </row>
    <row r="62">
      <c r="A62" s="1" t="s">
        <v>1286</v>
      </c>
      <c r="B62" s="1" t="str">
        <f>IFERROR(__xludf.DUMMYFUNCTION("GOOGLETRANSLATE(A:A,""en"", ""te"")"),"నార్త్రోప్ M2-F3")</f>
        <v>నార్త్రోప్ M2-F3</v>
      </c>
      <c r="C62" s="1" t="s">
        <v>1287</v>
      </c>
      <c r="D62" s="1" t="str">
        <f>IFERROR(__xludf.DUMMYFUNCTION("GOOGLETRANSLATE(C:C,""en"", ""te"")"),"నార్త్రోప్ M2 -F3 అనేది 1967 లో డ్రైడెన్ ఫ్లైట్ రీసెర్చ్ సెంటర్‌లో క్రాష్ అయిన తరువాత నార్త్రోప్ M2 -F2 నుండి పునర్నిర్మించిన హెవీవెయిట్ లిఫ్టింగ్ బాడీ. ఇది నియంత్రణ లక్షణాలను మెరుగుపరచడానికి అదనపు మూడవ నిలువు FIN - చిట్కా రెక్కల మధ్య కేంద్రీకృతమై ఉంది - "&amp;"ఇది సవరించబడింది. ""M"" అనేది ""మనుషులు"" మరియు ""F"" ను ""ఫ్లైట్"" సంస్కరణను సూచిస్తుంది. M2-F1 మరియు M2-F2 లిఫ్టింగ్ బాడీ రీఎంట్రీ కాన్ఫిగరేషన్ల యొక్క ప్రారంభ విమాన పరీక్ష పైలట్డ్ లిఫ్టింగ్ బాడీ రీఎంట్రీ యొక్క భావనను అంతరిక్షం నుండి ధృవీకరించింది. మే 10"&amp;", 1967 న M2-F2 క్రాష్ అయినప్పుడు, విలువైన సమాచారం ఇప్పటికే పొందబడింది మరియు కొత్త డిజైన్లకు దోహదం చేస్తుంది. నాసా పైలట్లు M2-F2 కు పార్శ్వ నియంత్రణ సమస్యలు ఉన్నాయని చెప్పారు, కాబట్టి M2-F2 ను నార్త్రోప్ వద్ద పునర్నిర్మించినప్పుడు మరియు M2-F3 ను పున es రూప"&amp;"కల్పన చేసినప్పుడు, నియంత్రణ లక్షణాలను మెరుగుపరచడానికి చిట్కా రెక్కల మధ్య కేంద్రీకృతమై ఉన్న అదనపు మూడవ నిలువు ఫిన్ తో ఇది సవరించబడింది. మూడేళ్ల పున es రూపకల్పన మరియు పునర్నిర్మాణ ప్రయత్నం తరువాత, M2-F3 ఎగరడానికి సిద్ధంగా ఉంది. మే 1967 M2-F2 యొక్క క్రాష్ ఎడ"&amp;"మ ఫిన్ మరియు ల్యాండింగ్ గేర్‌ను చించివేసింది. ఇది బాహ్య చర్మం మరియు అంతర్గత నిర్మాణాన్ని కూడా దెబ్బతీసింది. ఫ్లైట్ రీసెర్చ్ సెంటర్ ఇంజనీర్లు ఎక్కువ స్థిరత్వాన్ని అందించడానికి సెంటర్ ఫిన్ తో వాహనాన్ని పున es రూపకల్పన చేయడంలో అమెస్ రీసెర్చ్ సెంటర్ మరియు వైమ"&amp;"ానిక దళంతో కలిసి పనిచేశారు. మొదట, వాహనం కోలుకోలేని విధంగా దెబ్బతిన్నట్లు అనిపించింది, కాని అసలు తయారీదారు నార్త్రోప్ మరమ్మతు పని చేసాడు మరియు ఎఫ్‌ఆర్‌సికి స్థిరత్వం కోసం సెంటర్ ఫిన్‌తో పున es రూపకల్పన చేసిన M2-F3 ను తిరిగి ఇచ్చాడు. M2-F3 ఇంకా ఎగరాలని డిమా"&amp;"ండ్ చేస్తున్నప్పటికీ, సెంటర్ ఫిన్ M2-F2 యొక్క లక్షణం అయిన పైలట్-ప్రేరిత డోలనం (PIO) యొక్క అధిక ప్రమాదాన్ని తొలగించింది. M2-F3 యొక్క మొదటి ఫ్లైట్, నాసా పైలట్ బిల్ డానాతో నియంత్రణలో ఉంది, జూన్ 2, 1970. సవరించిన వాహనం మునుపటి కంటే మెరుగైన పార్శ్వ స్థిరత్వం మ"&amp;"రియు నియంత్రణ లక్షణాలను ప్రదర్శించింది మరియు మొదటి శక్తితో కూడిన విమానానికి ముందు మూడు గ్లైడ్ విమానాలు మాత్రమే అవసరం నవంబర్ 25, 1970. హెవీ-వెయిట్ లిఫ్టింగ్ బాడీల యొక్క 100 వ ఫ్లైట్ అక్టోబర్ 5, 1972 న పూర్తయింది, పైలట్ బిల్ డానా 66,300 అడుగుల (20,200 మీ) మ"&amp;"రియు మాక్ సంఖ్య 1.370 (గంటకు 904 మైళ్ళు సుమారు 904 మైళ్ళు (గంటకు 1,455 కిమీ)) M2-F3 లో. దాని 27 మిషన్లలో, M2-F3 1,064 mph (1,712 కిమీ/గం) (మాక్ 1.6) వేగంతో చేరుకుంది. ఈ వాహనం చేరుకున్న అత్యధిక ఎత్తు 71,500 అడుగులు (20,790 మీ) డిసెంబర్ 20, 1972 న, దాని చివ"&amp;"రి విమాన తేదీ, నాసా పైలట్ జాన్ మాంకే నియంత్రణలో ఉంది. వాహన నియంత్రణ కోసం వాటి ప్రభావం గురించి పరిశోధన డేటాను పొందటానికి స్పేస్‌క్రాఫ్ట్ కక్ష్యలో కక్ష్యలో ఉన్నట్లుగానే రియాక్షన్ కంట్రోల్ థ్రస్టర్ (RCT) వ్యవస్థ కూడా వ్యవస్థాపించబడింది. లిఫ్టింగ్ బాడీ ప్రోగ్"&amp;"రామ్ యొక్క M2-F3 యొక్క భాగం ముగింపుకు దగ్గరగా ఉన్నందున, ఇది రేటు కమాండ్ ఆగ్మెంటేషన్ కంట్రోల్ సిస్టమ్‌ను అంచనా వేసింది మరియు ఇప్పుడు అనేక ఆధునిక విమానాలలో ఉపయోగించిన సైడ్-స్టిక్ కంట్రోలర్‌ల మాదిరిగానే సైడ్ కంట్రోల్ స్టిక్. నాసా M2-F3 వాహనాన్ని డిసెంబర్ 197"&amp;"3 లో స్మిత్సోనియన్ సంస్థకు విరాళంగా ఇచ్చింది. ఇది ప్రస్తుతం నేషనల్ ఎయిర్ అండ్ స్పేస్ మ్యూజియంలో X-15 విమాన నంబర్ 1 తో వేలాడుతోంది, ఇది 1965 నుండి 1969 వరకు డ్రైడెన్‌లో దాని హ్యాంగర్ భాగస్వామి. [సైటేషన్ అవసరం] సాధారణ లక్షణాలు పనితీరు పోల్చదగిన విమానం:")</f>
        <v>నార్త్రోప్ M2 -F3 అనేది 1967 లో డ్రైడెన్ ఫ్లైట్ రీసెర్చ్ సెంటర్‌లో క్రాష్ అయిన తరువాత నార్త్రోప్ M2 -F2 నుండి పునర్నిర్మించిన హెవీవెయిట్ లిఫ్టింగ్ బాడీ. ఇది నియంత్రణ లక్షణాలను మెరుగుపరచడానికి అదనపు మూడవ నిలువు FIN - చిట్కా రెక్కల మధ్య కేంద్రీకృతమై ఉంది - ఇది సవరించబడింది. "M" అనేది "మనుషులు" మరియు "F" ను "ఫ్లైట్" సంస్కరణను సూచిస్తుంది. M2-F1 మరియు M2-F2 లిఫ్టింగ్ బాడీ రీఎంట్రీ కాన్ఫిగరేషన్ల యొక్క ప్రారంభ విమాన పరీక్ష పైలట్డ్ లిఫ్టింగ్ బాడీ రీఎంట్రీ యొక్క భావనను అంతరిక్షం నుండి ధృవీకరించింది. మే 10, 1967 న M2-F2 క్రాష్ అయినప్పుడు, విలువైన సమాచారం ఇప్పటికే పొందబడింది మరియు కొత్త డిజైన్లకు దోహదం చేస్తుంది. నాసా పైలట్లు M2-F2 కు పార్శ్వ నియంత్రణ సమస్యలు ఉన్నాయని చెప్పారు, కాబట్టి M2-F2 ను నార్త్రోప్ వద్ద పునర్నిర్మించినప్పుడు మరియు M2-F3 ను పున es రూపకల్పన చేసినప్పుడు, నియంత్రణ లక్షణాలను మెరుగుపరచడానికి చిట్కా రెక్కల మధ్య కేంద్రీకృతమై ఉన్న అదనపు మూడవ నిలువు ఫిన్ తో ఇది సవరించబడింది. మూడేళ్ల పున es రూపకల్పన మరియు పునర్నిర్మాణ ప్రయత్నం తరువాత, M2-F3 ఎగరడానికి సిద్ధంగా ఉంది. మే 1967 M2-F2 యొక్క క్రాష్ ఎడమ ఫిన్ మరియు ల్యాండింగ్ గేర్‌ను చించివేసింది. ఇది బాహ్య చర్మం మరియు అంతర్గత నిర్మాణాన్ని కూడా దెబ్బతీసింది. ఫ్లైట్ రీసెర్చ్ సెంటర్ ఇంజనీర్లు ఎక్కువ స్థిరత్వాన్ని అందించడానికి సెంటర్ ఫిన్ తో వాహనాన్ని పున es రూపకల్పన చేయడంలో అమెస్ రీసెర్చ్ సెంటర్ మరియు వైమానిక దళంతో కలిసి పనిచేశారు. మొదట, వాహనం కోలుకోలేని విధంగా దెబ్బతిన్నట్లు అనిపించింది, కాని అసలు తయారీదారు నార్త్రోప్ మరమ్మతు పని చేసాడు మరియు ఎఫ్‌ఆర్‌సికి స్థిరత్వం కోసం సెంటర్ ఫిన్‌తో పున es రూపకల్పన చేసిన M2-F3 ను తిరిగి ఇచ్చాడు. M2-F3 ఇంకా ఎగరాలని డిమాండ్ చేస్తున్నప్పటికీ, సెంటర్ ఫిన్ M2-F2 యొక్క లక్షణం అయిన పైలట్-ప్రేరిత డోలనం (PIO) యొక్క అధిక ప్రమాదాన్ని తొలగించింది. M2-F3 యొక్క మొదటి ఫ్లైట్, నాసా పైలట్ బిల్ డానాతో నియంత్రణలో ఉంది, జూన్ 2, 1970. సవరించిన వాహనం మునుపటి కంటే మెరుగైన పార్శ్వ స్థిరత్వం మరియు నియంత్రణ లక్షణాలను ప్రదర్శించింది మరియు మొదటి శక్తితో కూడిన విమానానికి ముందు మూడు గ్లైడ్ విమానాలు మాత్రమే అవసరం నవంబర్ 25, 1970. హెవీ-వెయిట్ లిఫ్టింగ్ బాడీల యొక్క 100 వ ఫ్లైట్ అక్టోబర్ 5, 1972 న పూర్తయింది, పైలట్ బిల్ డానా 66,300 అడుగుల (20,200 మీ) మరియు మాక్ సంఖ్య 1.370 (గంటకు 904 మైళ్ళు సుమారు 904 మైళ్ళు (గంటకు 1,455 కిమీ)) M2-F3 లో. దాని 27 మిషన్లలో, M2-F3 1,064 mph (1,712 కిమీ/గం) (మాక్ 1.6) వేగంతో చేరుకుంది. ఈ వాహనం చేరుకున్న అత్యధిక ఎత్తు 71,500 అడుగులు (20,790 మీ) డిసెంబర్ 20, 1972 న, దాని చివరి విమాన తేదీ, నాసా పైలట్ జాన్ మాంకే నియంత్రణలో ఉంది. వాహన నియంత్రణ కోసం వాటి ప్రభావం గురించి పరిశోధన డేటాను పొందటానికి స్పేస్‌క్రాఫ్ట్ కక్ష్యలో కక్ష్యలో ఉన్నట్లుగానే రియాక్షన్ కంట్రోల్ థ్రస్టర్ (RCT) వ్యవస్థ కూడా వ్యవస్థాపించబడింది. లిఫ్టింగ్ బాడీ ప్రోగ్రామ్ యొక్క M2-F3 యొక్క భాగం ముగింపుకు దగ్గరగా ఉన్నందున, ఇది రేటు కమాండ్ ఆగ్మెంటేషన్ కంట్రోల్ సిస్టమ్‌ను అంచనా వేసింది మరియు ఇప్పుడు అనేక ఆధునిక విమానాలలో ఉపయోగించిన సైడ్-స్టిక్ కంట్రోలర్‌ల మాదిరిగానే సైడ్ కంట్రోల్ స్టిక్. నాసా M2-F3 వాహనాన్ని డిసెంబర్ 1973 లో స్మిత్సోనియన్ సంస్థకు విరాళంగా ఇచ్చింది. ఇది ప్రస్తుతం నేషనల్ ఎయిర్ అండ్ స్పేస్ మ్యూజియంలో X-15 విమాన నంబర్ 1 తో వేలాడుతోంది, ఇది 1965 నుండి 1969 వరకు డ్రైడెన్‌లో దాని హ్యాంగర్ భాగస్వామి. [సైటేషన్ అవసరం] సాధారణ లక్షణాలు పనితీరు పోల్చదగిన విమానం:</v>
      </c>
      <c r="E62" s="1" t="s">
        <v>1288</v>
      </c>
      <c r="F62" s="1" t="s">
        <v>1289</v>
      </c>
      <c r="G62" s="1" t="str">
        <f>IFERROR(__xludf.DUMMYFUNCTION("GOOGLETRANSLATE(F:F,""en"", ""te"")"),"లిఫ్టింగ్ బాడీ టెక్నాలజీ ప్రదర్శనకారుడు")</f>
        <v>లిఫ్టింగ్ బాడీ టెక్నాలజీ ప్రదర్శనకారుడు</v>
      </c>
      <c r="H62" s="1" t="s">
        <v>1290</v>
      </c>
      <c r="L62" s="1" t="s">
        <v>1291</v>
      </c>
      <c r="M62" s="1" t="str">
        <f>IFERROR(__xludf.DUMMYFUNCTION("GOOGLETRANSLATE(L:L,""en"", ""te"")"),"నార్త్రోప్")</f>
        <v>నార్త్రోప్</v>
      </c>
      <c r="N62" s="2" t="s">
        <v>1292</v>
      </c>
      <c r="P62" s="1" t="s">
        <v>1293</v>
      </c>
      <c r="Q62" s="1"/>
      <c r="S62" s="1">
        <v>1.0</v>
      </c>
      <c r="U62" s="1" t="s">
        <v>1294</v>
      </c>
      <c r="V62" s="1" t="s">
        <v>1123</v>
      </c>
      <c r="W62" s="1" t="s">
        <v>1295</v>
      </c>
      <c r="X62" s="1" t="s">
        <v>1296</v>
      </c>
      <c r="Y62" s="1" t="s">
        <v>1297</v>
      </c>
      <c r="AA62" s="1" t="s">
        <v>1298</v>
      </c>
      <c r="AF62" s="1" t="s">
        <v>1299</v>
      </c>
      <c r="AH62" s="1" t="s">
        <v>1300</v>
      </c>
      <c r="AK62" s="1" t="s">
        <v>1301</v>
      </c>
      <c r="AL62" s="1" t="s">
        <v>1302</v>
      </c>
      <c r="AO62" s="4">
        <v>25721.0</v>
      </c>
      <c r="AQ62" s="1" t="s">
        <v>1303</v>
      </c>
      <c r="AR62" s="1" t="s">
        <v>1304</v>
      </c>
      <c r="AT62" s="1" t="s">
        <v>1305</v>
      </c>
      <c r="AU62" s="1" t="s">
        <v>1306</v>
      </c>
      <c r="AV62" s="1" t="s">
        <v>1307</v>
      </c>
      <c r="BA62" s="2" t="s">
        <v>1308</v>
      </c>
      <c r="BC62" s="4">
        <v>26653.0</v>
      </c>
      <c r="CK62" s="1" t="s">
        <v>1309</v>
      </c>
      <c r="CL62" s="1">
        <v>1.3</v>
      </c>
    </row>
    <row r="63">
      <c r="A63" s="1" t="s">
        <v>1310</v>
      </c>
      <c r="B63" s="1" t="str">
        <f>IFERROR(__xludf.DUMMYFUNCTION("GOOGLETRANSLATE(A:A,""en"", ""te"")"),"కైషికి నెం .1")</f>
        <v>కైషికి నెం .1</v>
      </c>
      <c r="C63" s="1" t="s">
        <v>1311</v>
      </c>
      <c r="D63" s="1" t="str">
        <f>IFERROR(__xludf.DUMMYFUNCTION("GOOGLETRANSLATE(C:C,""en"", ""te"")"),"会式 一 一 号機 (కైషికి నెం .1, కైషికిచిగౌకి) మొదటి విజయవంతమైన [ఎ] జపనీస్ రూపొందించిన మరియు నిర్మించిన విమానం. దీనిని కెప్టెన్ యోషితోషి తోకుగావా రూపొందించారు మరియు అక్టోబర్ 13, 1911 న సైతామా ప్రిఫెక్చర్‌లోని టోకోరోజావాలో ఆయనను మొదట ఎగురవేశారు. [2] విమానం యొక్క "&amp;"మొదటి ఫ్లైట్ జరిగిన ప్రదేశానికి సమీపంలో ఉన్న టోకోరోజావా ఏవియేషన్ మ్యూజియంలో ప్రతిరూపం ప్రదర్శించబడుతుంది. [3] జపనీస్ విమానం నుండి డేటా 1910-1941 [1] సాధారణ లక్షణాల పనితీరు")</f>
        <v>会式 一 一 号機 (కైషికి నెం .1, కైషికిచిగౌకి) మొదటి విజయవంతమైన [ఎ] జపనీస్ రూపొందించిన మరియు నిర్మించిన విమానం. దీనిని కెప్టెన్ యోషితోషి తోకుగావా రూపొందించారు మరియు అక్టోబర్ 13, 1911 న సైతామా ప్రిఫెక్చర్‌లోని టోకోరోజావాలో ఆయనను మొదట ఎగురవేశారు. [2] విమానం యొక్క మొదటి ఫ్లైట్ జరిగిన ప్రదేశానికి సమీపంలో ఉన్న టోకోరోజావా ఏవియేషన్ మ్యూజియంలో ప్రతిరూపం ప్రదర్శించబడుతుంది. [3] జపనీస్ విమానం నుండి డేటా 1910-1941 [1] సాధారణ లక్షణాల పనితీరు</v>
      </c>
      <c r="E63" s="1" t="s">
        <v>1312</v>
      </c>
      <c r="F63" s="1" t="s">
        <v>1313</v>
      </c>
      <c r="G63" s="1" t="str">
        <f>IFERROR(__xludf.DUMMYFUNCTION("GOOGLETRANSLATE(F:F,""en"", ""te"")"),"మొదటి సైనిక విమానం జపాన్‌లో రూపొందించబడింది మరియు విరిగింది")</f>
        <v>మొదటి సైనిక విమానం జపాన్‌లో రూపొందించబడింది మరియు విరిగింది</v>
      </c>
      <c r="H63" s="1" t="s">
        <v>1314</v>
      </c>
      <c r="I63" s="1" t="s">
        <v>1204</v>
      </c>
      <c r="J63" s="1" t="str">
        <f>IFERROR(__xludf.DUMMYFUNCTION("GOOGLETRANSLATE(I:I,""en"", ""te"")"),"జపాన్")</f>
        <v>జపాన్</v>
      </c>
      <c r="R63" s="1">
        <v>1.0</v>
      </c>
      <c r="S63" s="1">
        <v>2.0</v>
      </c>
      <c r="U63" s="1" t="s">
        <v>1315</v>
      </c>
      <c r="V63" s="1" t="s">
        <v>1316</v>
      </c>
      <c r="W63" s="1" t="s">
        <v>1317</v>
      </c>
      <c r="X63" s="1" t="s">
        <v>1318</v>
      </c>
      <c r="Y63" s="1" t="s">
        <v>1319</v>
      </c>
      <c r="AA63" s="1" t="s">
        <v>1320</v>
      </c>
      <c r="AE63" s="1" t="s">
        <v>1321</v>
      </c>
      <c r="AM63" s="1" t="s">
        <v>1322</v>
      </c>
      <c r="AN63" s="1" t="s">
        <v>1323</v>
      </c>
      <c r="AO63" s="5">
        <v>4304.0</v>
      </c>
      <c r="AQ63" s="1" t="s">
        <v>1324</v>
      </c>
      <c r="AU63" s="1" t="s">
        <v>1325</v>
      </c>
      <c r="AV63" s="1" t="s">
        <v>1326</v>
      </c>
      <c r="AX63" s="1" t="s">
        <v>1327</v>
      </c>
      <c r="AZ63" s="1" t="s">
        <v>1218</v>
      </c>
      <c r="BM63" s="1" t="s">
        <v>1328</v>
      </c>
      <c r="BN63" s="1" t="s">
        <v>1329</v>
      </c>
      <c r="BU63" s="1" t="s">
        <v>1330</v>
      </c>
      <c r="BV63" s="1" t="s">
        <v>1331</v>
      </c>
      <c r="BW63" s="1" t="s">
        <v>1332</v>
      </c>
    </row>
    <row r="64">
      <c r="A64" s="1" t="s">
        <v>1333</v>
      </c>
      <c r="B64" s="1" t="str">
        <f>IFERROR(__xludf.DUMMYFUNCTION("GOOGLETRANSLATE(A:A,""en"", ""te"")"),"మర్ఫీ మూస్")</f>
        <v>మర్ఫీ మూస్</v>
      </c>
      <c r="C64" s="1" t="s">
        <v>1334</v>
      </c>
      <c r="D64" s="1" t="str">
        <f>IFERROR(__xludf.DUMMYFUNCTION("GOOGLETRANSLATE(C:C,""en"", ""te"")"),"మర్ఫీ మూస్ అనేది కెనడియన్ హై-వింగ్ యుటిలిటీ లైట్ విమానం, ఇది కిట్ రూపంలో ఉత్పత్తి చేయబడిన మర్ఫీ ఎయిర్క్రాఫ్ట్ ఆఫ్ చిల్లివాక్, బ్రిటిష్ కొలంబియా, te త్సాహిక నిర్మాణం. మూస్‌ను ""క్విక్-బిల్డ్"" కిట్‌గా కొనుగోలు చేయవచ్చు, ఇది పాక్షికంగా ముందే సమావేశమవుతుంది."&amp;" [1] [2] [3] బిల్డర్లు తమ విమానాలను 269 కిలోవాట్ల (360 హెచ్‌పి) రష్యాతో నిర్మించిన వేదెన్యెవ్ ఎం 14 పి తొమ్మిది-సిలిండర్ రేడియల్ లేదా అడ్డంగా వ్యతిరేక 187 కిలోవాట్ (250 హెచ్‌పి) లైమింగ్ ఓ -540 తో ఎంచుకోవచ్చు. [1] రెండు ఇంజన్లు మూస్ సుమారు 180 మీ (600 అడుగ"&amp;"ులు) లో బయలుదేరడానికి అనుమతిస్తాయి. కనీసం ఒక యజమాని తమ విమానాన్ని ప్రాట్ &amp; విట్నీ కెనడా PT6A-20 టర్బోప్రాప్ ఇంజన్ [2] [3] [4] తో అమర్చారు మరియు మరొక బిల్డర్ 460 HP (343 kW) జనరల్ మోటార్స్ LS3 V-8 ఇంజిన్‌ను వ్యవస్థాపించారు. [5 ] జేన్ యొక్క అన్ని ప్రపంచ విమ"&amp;"ానాల నుండి డేటా 2003-2004 [6] సాధారణ లక్షణాలు పనితీరు సంబంధిత అభివృద్ధి విమానం పోల్చదగిన పాత్ర, కాన్ఫిగరేషన్ మరియు ERA")</f>
        <v>మర్ఫీ మూస్ అనేది కెనడియన్ హై-వింగ్ యుటిలిటీ లైట్ విమానం, ఇది కిట్ రూపంలో ఉత్పత్తి చేయబడిన మర్ఫీ ఎయిర్క్రాఫ్ట్ ఆఫ్ చిల్లివాక్, బ్రిటిష్ కొలంబియా, te త్సాహిక నిర్మాణం. మూస్‌ను "క్విక్-బిల్డ్" కిట్‌గా కొనుగోలు చేయవచ్చు, ఇది పాక్షికంగా ముందే సమావేశమవుతుంది. [1] [2] [3] బిల్డర్లు తమ విమానాలను 269 కిలోవాట్ల (360 హెచ్‌పి) రష్యాతో నిర్మించిన వేదెన్యెవ్ ఎం 14 పి తొమ్మిది-సిలిండర్ రేడియల్ లేదా అడ్డంగా వ్యతిరేక 187 కిలోవాట్ (250 హెచ్‌పి) లైమింగ్ ఓ -540 తో ఎంచుకోవచ్చు. [1] రెండు ఇంజన్లు మూస్ సుమారు 180 మీ (600 అడుగులు) లో బయలుదేరడానికి అనుమతిస్తాయి. కనీసం ఒక యజమాని తమ విమానాన్ని ప్రాట్ &amp; విట్నీ కెనడా PT6A-20 టర్బోప్రాప్ ఇంజన్ [2] [3] [4] తో అమర్చారు మరియు మరొక బిల్డర్ 460 HP (343 kW) జనరల్ మోటార్స్ LS3 V-8 ఇంజిన్‌ను వ్యవస్థాపించారు. [5 ] జేన్ యొక్క అన్ని ప్రపంచ విమానాల నుండి డేటా 2003-2004 [6] సాధారణ లక్షణాలు పనితీరు సంబంధిత అభివృద్ధి విమానం పోల్చదగిన పాత్ర, కాన్ఫిగరేషన్ మరియు ERA</v>
      </c>
      <c r="E64" s="1" t="s">
        <v>1335</v>
      </c>
      <c r="F64" s="1" t="s">
        <v>1336</v>
      </c>
      <c r="G64" s="1" t="str">
        <f>IFERROR(__xludf.DUMMYFUNCTION("GOOGLETRANSLATE(F:F,""en"", ""te"")"),"కిట్ విమానం")</f>
        <v>కిట్ విమానం</v>
      </c>
      <c r="H64" s="1" t="s">
        <v>1337</v>
      </c>
      <c r="I64" s="1" t="s">
        <v>1338</v>
      </c>
      <c r="J64" s="1" t="str">
        <f>IFERROR(__xludf.DUMMYFUNCTION("GOOGLETRANSLATE(I:I,""en"", ""te"")"),"కెనడా")</f>
        <v>కెనడా</v>
      </c>
      <c r="K64" s="2" t="s">
        <v>1339</v>
      </c>
      <c r="L64" s="1" t="s">
        <v>1260</v>
      </c>
      <c r="M64" s="1" t="str">
        <f>IFERROR(__xludf.DUMMYFUNCTION("GOOGLETRANSLATE(L:L,""en"", ""te"")"),"మర్ఫీ విమానం")</f>
        <v>మర్ఫీ విమానం</v>
      </c>
      <c r="N64" s="1" t="s">
        <v>1261</v>
      </c>
      <c r="P64" s="1" t="s">
        <v>1262</v>
      </c>
      <c r="Q64" s="1"/>
      <c r="R64" s="1" t="s">
        <v>1340</v>
      </c>
      <c r="S64" s="1" t="s">
        <v>164</v>
      </c>
      <c r="T64" s="1" t="s">
        <v>1341</v>
      </c>
      <c r="U64" s="1" t="s">
        <v>1342</v>
      </c>
      <c r="V64" s="1" t="s">
        <v>1343</v>
      </c>
      <c r="W64" s="1" t="s">
        <v>1344</v>
      </c>
      <c r="X64" s="1" t="s">
        <v>1345</v>
      </c>
      <c r="Y64" s="1" t="s">
        <v>1346</v>
      </c>
      <c r="AA64" s="1" t="s">
        <v>1347</v>
      </c>
      <c r="AB64" s="1" t="s">
        <v>1348</v>
      </c>
      <c r="AD64" s="1" t="s">
        <v>1349</v>
      </c>
      <c r="AH64" s="1" t="s">
        <v>1350</v>
      </c>
      <c r="AI64" s="1" t="s">
        <v>1351</v>
      </c>
      <c r="AJ64" s="1" t="s">
        <v>1352</v>
      </c>
      <c r="AK64" s="1" t="s">
        <v>1353</v>
      </c>
      <c r="AL64" s="1" t="s">
        <v>1354</v>
      </c>
      <c r="AQ64" s="1" t="s">
        <v>1355</v>
      </c>
      <c r="AU64" s="1" t="s">
        <v>1356</v>
      </c>
      <c r="AV64" s="1" t="s">
        <v>1357</v>
      </c>
    </row>
    <row r="65">
      <c r="A65" s="1" t="s">
        <v>1358</v>
      </c>
      <c r="B65" s="1" t="str">
        <f>IFERROR(__xludf.DUMMYFUNCTION("GOOGLETRANSLATE(A:A,""en"", ""te"")"),"ఇండోనేషియా ఏరోస్పేస్ N-245")</f>
        <v>ఇండోనేషియా ఏరోస్పేస్ N-245</v>
      </c>
      <c r="C65" s="1" t="s">
        <v>1359</v>
      </c>
      <c r="D65" s="1" t="str">
        <f>IFERROR(__xludf.DUMMYFUNCTION("GOOGLETRANSLATE(C:C,""en"", ""te"")"),"ఇండోనేషియా ఏరోస్పేస్ N-245 ఇండోనేషియా టర్బోప్రాప్ విమానాలు, ఇండోనేషియా ఏరోస్పేస్ చేత అభివృద్ధి చేయబడుతున్నాయి. CASA/IPTN CN-235 యొక్క శుద్ధీకరణ, N-245 CN-235 కంటే ఎక్కువ ప్రయాణీకుల సామర్థ్యం మరియు తక్కువ నిర్వహణ వ్యయాల కోసం రూపొందించబడింది. N-245 లో పొడవై"&amp;"న శరీరం, మరియు కొత్త ఇంజిన్ రకం, టి-టెయిల్ మరియు రాంప్ డోర్ లేదు. [1] అధ్యక్షుడు జోకో విడోడో 20 అక్టోబర్ 2014 న అధికారం చేపట్టినప్పుడు, ఇండోనేషియా ఆర్థిక వ్యవస్థను పెంచడానికి అనేక ఇండోనేషియా విమానాల పునరుజ్జీవనాన్ని ఆయన ఆదేశించారు, ఇది 1997 లో ప్రపంచ దృష్"&amp;"టిని ఆకర్షించిన N-250 తో సహా. N-219 విమానాల విజయవంతమైన పునరుజ్జీవనం తరువాత, ఇండోనేషియా ఏరోస్పేస్ మెరుగైన మరియు పెద్ద విమానాలను తయారు చేయాలని నిర్ణయించుకుంది మరియు N-245 ను 50-సీట్ల టర్బోప్రాప్ వైమానిక సంస్థను N-219 వారసుడిగా ఎంచుకుంది. 1945 యొక్క ఇండోనేషి"&amp;"యా స్వాతంత్ర్యం తరువాత, ""ది స్పిరిట్ ఆఫ్ 45"" కొరకు ఈ విమానాల N-245 గా పేరు పెట్టబడింది. N-245 ను ఉత్పత్తి చేసే కార్యక్రమం 2016 లో ప్రారంభమైంది. ఇండోనేషియా ఏరోస్పేస్ కూడా N-270, 70 ను ఉత్పత్తి చేయాలనే ఉద్దేశ్యాన్ని పేర్కొంది. -ఒక N-245 మరియు N-219 యొక్క "&amp;"సీట్ వెర్షన్. [2] డిజైన్ దశ 2017 లో ప్రారంభం కానుంది మరియు మొదటి N-245 2020 నాటికి చేయవలసి ఉంది. ఇండోనేషియా ప్రభుత్వం ఈ విమానం అభివృద్ధి చేయడానికి మొత్తం million 44 మిలియన్లను అందిస్తామని ప్రతిజ్ఞ చేసింది. [3] 8 డిసెంబర్ 2016 న, ఇండోనేషియా పరిశ్రమల మంత్రి"&amp;"త్వ శాఖ N-245 మరియు RAI R-80 [ID] (N-250 నుండి అభివృద్ధి చేయబడిన ఇండోనేషియా ఏరోస్పేస్ చేత నిర్మించబడే మరొక టర్బోప్రాప్ విమానం) వ్యూహాత్మకంగా నియమించబడాలని అభిప్రాయపడ్డారు. జాతీయ ప్రాజెక్టులు. [4] 10 ఫిబ్రవరి 2017 న, N-245 మరియు R-80 ను ప్రాజెక్ట్ జాబితాలో"&amp;" చేర్చారు. ఈ నిర్ణయం కారణంగా, ప్రభుత్వం రెండు విమానాల అభివృద్ధికి ప్రాధాన్యత ఇవ్వడం మరియు ఉత్పత్తి టైమ్‌టేబుల్‌ను వేగవంతం చేయడం, రెండు విమానాలు 2019 నాటికి మొదటి విమానంలో చేయగలవని చెప్పారు. [5] జూలై 2017 లో, ఇండోనేషియా ఏరోస్పేస్ N-245 మరియు N-219 అభివృద్ధ"&amp;"ిలో సహకరించడానికి టర్కిష్ ఏరోస్పేస్ ఇండస్ట్రీస్ (TAI) తో ఒప్పందం కుదుర్చుకున్నట్లు ప్రకటించింది. ఒక ఫ్రేమ్‌వర్క్ ఒప్పందం ప్రకారం, రెండు సంస్థలు సాంకేతిక అంశాలతో పాటు మార్కెటింగ్ కార్యక్రమాలపై కలిసి పనిచేస్తాయి. [6] తాయ్ యొక్క పోర్ట్‌ఫోలియోలో జనరల్ డైనమిక్"&amp;"స్ ఎఫ్ -16 ఫైటింగ్ ఫాల్కన్ జెట్‌లు, సియాయి-మౌచెట్టి ఎస్ఎఫ్. తేలికపాటి రవాణా కోసం ఖర్చుతో కూడుకున్న ప్రయాణికుల విమానంగా రూపొందించిన విమానం నుండి N-245 ను మార్చడానికి ఈ సహకారం సులభతరం చేస్తుందని భావిస్తున్నారు. ప్రారంభ నివేదిక N-245 యొక్క సంభావిత రూపకల్పన క"&amp;"ార్యకలాపాల్లో తాయ్ యొక్క ప్రమేయాన్ని ఉదహరించింది. [7] N-245 ను పక్కన పెడితే, ఈ ఒప్పందం కొత్త మధ్యస్థ-ఎత్తు, సుదూర (మగ) మానవరహిత వైమానిక వాహనం (యుఎవి) యొక్క ఉమ్మడి అభివృద్ధిని కూడా కవర్ చేసింది, ఇది 40,000 అడుగుల ఎత్తులో పనిచేసే సామర్థ్యాన్ని కలిగి ఉంటుంది"&amp;". [8]")</f>
        <v>ఇండోనేషియా ఏరోస్పేస్ N-245 ఇండోనేషియా టర్బోప్రాప్ విమానాలు, ఇండోనేషియా ఏరోస్పేస్ చేత అభివృద్ధి చేయబడుతున్నాయి. CASA/IPTN CN-235 యొక్క శుద్ధీకరణ, N-245 CN-235 కంటే ఎక్కువ ప్రయాణీకుల సామర్థ్యం మరియు తక్కువ నిర్వహణ వ్యయాల కోసం రూపొందించబడింది. N-245 లో పొడవైన శరీరం, మరియు కొత్త ఇంజిన్ రకం, టి-టెయిల్ మరియు రాంప్ డోర్ లేదు. [1] అధ్యక్షుడు జోకో విడోడో 20 అక్టోబర్ 2014 న అధికారం చేపట్టినప్పుడు, ఇండోనేషియా ఆర్థిక వ్యవస్థను పెంచడానికి అనేక ఇండోనేషియా విమానాల పునరుజ్జీవనాన్ని ఆయన ఆదేశించారు, ఇది 1997 లో ప్రపంచ దృష్టిని ఆకర్షించిన N-250 తో సహా. N-219 విమానాల విజయవంతమైన పునరుజ్జీవనం తరువాత, ఇండోనేషియా ఏరోస్పేస్ మెరుగైన మరియు పెద్ద విమానాలను తయారు చేయాలని నిర్ణయించుకుంది మరియు N-245 ను 50-సీట్ల టర్బోప్రాప్ వైమానిక సంస్థను N-219 వారసుడిగా ఎంచుకుంది. 1945 యొక్క ఇండోనేషియా స్వాతంత్ర్యం తరువాత, "ది స్పిరిట్ ఆఫ్ 45" కొరకు ఈ విమానాల N-245 గా పేరు పెట్టబడింది. N-245 ను ఉత్పత్తి చేసే కార్యక్రమం 2016 లో ప్రారంభమైంది. ఇండోనేషియా ఏరోస్పేస్ కూడా N-270, 70 ను ఉత్పత్తి చేయాలనే ఉద్దేశ్యాన్ని పేర్కొంది. -ఒక N-245 మరియు N-219 యొక్క సీట్ వెర్షన్. [2] డిజైన్ దశ 2017 లో ప్రారంభం కానుంది మరియు మొదటి N-245 2020 నాటికి చేయవలసి ఉంది. ఇండోనేషియా ప్రభుత్వం ఈ విమానం అభివృద్ధి చేయడానికి మొత్తం million 44 మిలియన్లను అందిస్తామని ప్రతిజ్ఞ చేసింది. [3] 8 డిసెంబర్ 2016 న, ఇండోనేషియా పరిశ్రమల మంత్రిత్వ శాఖ N-245 మరియు RAI R-80 [ID] (N-250 నుండి అభివృద్ధి చేయబడిన ఇండోనేషియా ఏరోస్పేస్ చేత నిర్మించబడే మరొక టర్బోప్రాప్ విమానం) వ్యూహాత్మకంగా నియమించబడాలని అభిప్రాయపడ్డారు. జాతీయ ప్రాజెక్టులు. [4] 10 ఫిబ్రవరి 2017 న, N-245 మరియు R-80 ను ప్రాజెక్ట్ జాబితాలో చేర్చారు. ఈ నిర్ణయం కారణంగా, ప్రభుత్వం రెండు విమానాల అభివృద్ధికి ప్రాధాన్యత ఇవ్వడం మరియు ఉత్పత్తి టైమ్‌టేబుల్‌ను వేగవంతం చేయడం, రెండు విమానాలు 2019 నాటికి మొదటి విమానంలో చేయగలవని చెప్పారు. [5] జూలై 2017 లో, ఇండోనేషియా ఏరోస్పేస్ N-245 మరియు N-219 అభివృద్ధిలో సహకరించడానికి టర్కిష్ ఏరోస్పేస్ ఇండస్ట్రీస్ (TAI) తో ఒప్పందం కుదుర్చుకున్నట్లు ప్రకటించింది. ఒక ఫ్రేమ్‌వర్క్ ఒప్పందం ప్రకారం, రెండు సంస్థలు సాంకేతిక అంశాలతో పాటు మార్కెటింగ్ కార్యక్రమాలపై కలిసి పనిచేస్తాయి. [6] తాయ్ యొక్క పోర్ట్‌ఫోలియోలో జనరల్ డైనమిక్స్ ఎఫ్ -16 ఫైటింగ్ ఫాల్కన్ జెట్‌లు, సియాయి-మౌచెట్టి ఎస్ఎఫ్. తేలికపాటి రవాణా కోసం ఖర్చుతో కూడుకున్న ప్రయాణికుల విమానంగా రూపొందించిన విమానం నుండి N-245 ను మార్చడానికి ఈ సహకారం సులభతరం చేస్తుందని భావిస్తున్నారు. ప్రారంభ నివేదిక N-245 యొక్క సంభావిత రూపకల్పన కార్యకలాపాల్లో తాయ్ యొక్క ప్రమేయాన్ని ఉదహరించింది. [7] N-245 ను పక్కన పెడితే, ఈ ఒప్పందం కొత్త మధ్యస్థ-ఎత్తు, సుదూర (మగ) మానవరహిత వైమానిక వాహనం (యుఎవి) యొక్క ఉమ్మడి అభివృద్ధిని కూడా కవర్ చేసింది, ఇది 40,000 అడుగుల ఎత్తులో పనిచేసే సామర్థ్యాన్ని కలిగి ఉంటుంది. [8]</v>
      </c>
      <c r="E65" s="1" t="s">
        <v>1360</v>
      </c>
      <c r="F65" s="1" t="s">
        <v>1361</v>
      </c>
      <c r="G65" s="1" t="str">
        <f>IFERROR(__xludf.DUMMYFUNCTION("GOOGLETRANSLATE(F:F,""en"", ""te"")"),"లైట్ యుటిలిటీ రవాణా")</f>
        <v>లైట్ యుటిలిటీ రవాణా</v>
      </c>
      <c r="H65" s="1" t="s">
        <v>1362</v>
      </c>
      <c r="L65" s="1" t="s">
        <v>1363</v>
      </c>
      <c r="M65" s="1" t="str">
        <f>IFERROR(__xludf.DUMMYFUNCTION("GOOGLETRANSLATE(L:L,""en"", ""te"")"),"ఇండోనేషియా ఏరోస్పేస్")</f>
        <v>ఇండోనేషియా ఏరోస్పేస్</v>
      </c>
      <c r="N65" s="1" t="s">
        <v>1364</v>
      </c>
      <c r="P65" s="1" t="s">
        <v>1365</v>
      </c>
      <c r="Q65" s="1"/>
      <c r="AU65" s="1" t="s">
        <v>1366</v>
      </c>
      <c r="AV65" s="1" t="s">
        <v>1367</v>
      </c>
    </row>
    <row r="66">
      <c r="A66" s="1" t="s">
        <v>1368</v>
      </c>
      <c r="B66" s="1" t="str">
        <f>IFERROR(__xludf.DUMMYFUNCTION("GOOGLETRANSLATE(A:A,""en"", ""te"")"),"హీంకెల్ HD 19")</f>
        <v>హీంకెల్ HD 19</v>
      </c>
      <c r="C66" s="1" t="s">
        <v>1369</v>
      </c>
      <c r="D66" s="1" t="str">
        <f>IFERROR(__xludf.DUMMYFUNCTION("GOOGLETRANSLATE(C:C,""en"", ""te"")"),"హీంకెల్ HD 19 W (లేదా స్వెన్స్కా ఏరో J 4) ఎర్నెస్ట్ హీంకెల్ ఫ్లూగ్జ్యూగ్వెర్కే అభివృద్ధి చేసిన బిప్‌లేన్ సీప్లేన్ ఫైటర్. స్వెన్స్కా ఫ్లైగ్వాప్నెట్కు పంపిణీ చేసిన ఏకైక నావికాదళ పోరాట యోధుడు హీంకెల్ HD 19 W. 1926 లో ఏర్పడిన, స్వెన్స్కా ఫ్లైగ్వాప్నెట్ 1927 ల"&amp;"ో తీరప్రాంత కోటలు మరియు నావికాదళం యొక్క నౌకల రక్షణ కోసం ఒక విమానం ఉపయోగించటానికి ఒక అవసరాన్ని జారీ చేసింది. స్పెసిఫికేషన్ ఇంజిన్ (బ్రిస్టల్ బృహస్పతి VI) మరియు విమానం యొక్క ఆకృతీకరణను నిర్ణయించింది, ఇది బూట్లతో కూడిన సీప్లేన్ అయి ఉండాలి. ఈ విమానం J 4 (ఎక్ర"&amp;"ోనిం అనే ఎక్రోనిం స్వీడిష్ పదం ""జాగ్ట్"", ఫైటర్) మరియు రెండు విమానాలను సెప్టెంబర్ 1927 లో హీంకెల్ ఆదేశించారు. ఇంతలో, హీంకెల్ యొక్క స్వీడిష్ శాఖ, లిడింగ్ (ఒక ద్వీపంలో ఉన్న స్వెన్స్కా ఏరో అబ్ స్టాక్‌హోమ్ ద్వీపసమూహంలో), స్వీడిష్ వైమానిక దళం కోసం ఆఫర్ ఇచ్చిం"&amp;"ది మరియు అక్టోబర్ 1928 లో నాలుగు అదనపు విమానాల కోసం (సీరియల్ నంబర్లు 282-285) ఒక ఉత్తర్వు ఇవ్వబడింది. మొదటి డెలివరీ మే 1929 లో జరిగింది, తరువాతి సెప్టెంబరులో చివరిది. ఈ విమానం 2 మందిని కలిగి ఉంది మరియు రెండు ksp m / 22 క్యాలిబర్ 8 మిమీ ఫ్రంట్ ఫిక్స్‌డ్ మె"&amp;"షిన్ గన్స్ మరియు మరో 8 మిమీ కెఎస్పి ఎం / 22 క్యాలిబర్‌తో సాయుధమైంది, వీటిని వెనుక సీటు ప్రయాణీకుడు వంగి ఉండవచ్చు. మొట్టమొదటి HD 19 జూలై 1928 లో వార్నెమాండే వద్ద పరీక్షలు చేసి, కొన్ని నెలల తరువాత హాగెర్నాస్‌లోని వింగ్ ఎఫ్ 2 వద్ద సేవలోకి ప్రవేశించింది. పరిమ"&amp;"ిత పనితీరును బట్టి, సీప్లేన్ల రోజులు నిర్ణయించబడ్డాయి, కాబట్టి విమానాలు వాస్తవానికి నిఘా మరియు అగ్ని నిర్వహణ కోసం ఉపయోగించబడ్డాయి. ప్రత్యేకించి, HD 19 మొదట్లో ప్రత్యామ్నాయ ల్యాండింగ్ గేర్‌తో రూపొందించబడినప్పటికీ, ఈ కేసును బట్టి చక్రాలు లేదా స్కిస్‌ను మౌంట"&amp;"్ చేయగల ప్రత్యామ్నాయ ల్యాండింగ్ గేర్‌తో ఫ్లోట్లు చాలా ఆపరేషన్ మరియు పనితీరును పరిమితం చేశాయి. 1934 లో, మిగిలి ఉన్న మూడు J4 లను విస్టెర్స్‌లో వింగ్ ఎఫ్ 1 కు బదిలీ చేసి రిజర్వ్‌లో ఉంచారు. చివరి J 4 (సంఖ్య 281) ఆగస్టు 31, 1937 న 812 విమాన గంటల ఆపరేటింగ్ లైఫ్"&amp;" తరువాత ఉపసంహరించబడింది. [1] సాధారణ లక్షణాల పనితీరు నుండి డేటా")</f>
        <v>హీంకెల్ HD 19 W (లేదా స్వెన్స్కా ఏరో J 4) ఎర్నెస్ట్ హీంకెల్ ఫ్లూగ్జ్యూగ్వెర్కే అభివృద్ధి చేసిన బిప్‌లేన్ సీప్లేన్ ఫైటర్. స్వెన్స్కా ఫ్లైగ్వాప్నెట్కు పంపిణీ చేసిన ఏకైక నావికాదళ పోరాట యోధుడు హీంకెల్ HD 19 W. 1926 లో ఏర్పడిన, స్వెన్స్కా ఫ్లైగ్వాప్నెట్ 1927 లో తీరప్రాంత కోటలు మరియు నావికాదళం యొక్క నౌకల రక్షణ కోసం ఒక విమానం ఉపయోగించటానికి ఒక అవసరాన్ని జారీ చేసింది. స్పెసిఫికేషన్ ఇంజిన్ (బ్రిస్టల్ బృహస్పతి VI) మరియు విమానం యొక్క ఆకృతీకరణను నిర్ణయించింది, ఇది బూట్లతో కూడిన సీప్లేన్ అయి ఉండాలి. ఈ విమానం J 4 (ఎక్రోనిం అనే ఎక్రోనిం స్వీడిష్ పదం "జాగ్ట్", ఫైటర్) మరియు రెండు విమానాలను సెప్టెంబర్ 1927 లో హీంకెల్ ఆదేశించారు. ఇంతలో, హీంకెల్ యొక్క స్వీడిష్ శాఖ, లిడింగ్ (ఒక ద్వీపంలో ఉన్న స్వెన్స్కా ఏరో అబ్ స్టాక్‌హోమ్ ద్వీపసమూహంలో), స్వీడిష్ వైమానిక దళం కోసం ఆఫర్ ఇచ్చింది మరియు అక్టోబర్ 1928 లో నాలుగు అదనపు విమానాల కోసం (సీరియల్ నంబర్లు 282-285) ఒక ఉత్తర్వు ఇవ్వబడింది. మొదటి డెలివరీ మే 1929 లో జరిగింది, తరువాతి సెప్టెంబరులో చివరిది. ఈ విమానం 2 మందిని కలిగి ఉంది మరియు రెండు ksp m / 22 క్యాలిబర్ 8 మిమీ ఫ్రంట్ ఫిక్స్‌డ్ మెషిన్ గన్స్ మరియు మరో 8 మిమీ కెఎస్పి ఎం / 22 క్యాలిబర్‌తో సాయుధమైంది, వీటిని వెనుక సీటు ప్రయాణీకుడు వంగి ఉండవచ్చు. మొట్టమొదటి HD 19 జూలై 1928 లో వార్నెమాండే వద్ద పరీక్షలు చేసి, కొన్ని నెలల తరువాత హాగెర్నాస్‌లోని వింగ్ ఎఫ్ 2 వద్ద సేవలోకి ప్రవేశించింది. పరిమిత పనితీరును బట్టి, సీప్లేన్ల రోజులు నిర్ణయించబడ్డాయి, కాబట్టి విమానాలు వాస్తవానికి నిఘా మరియు అగ్ని నిర్వహణ కోసం ఉపయోగించబడ్డాయి. ప్రత్యేకించి, HD 19 మొదట్లో ప్రత్యామ్నాయ ల్యాండింగ్ గేర్‌తో రూపొందించబడినప్పటికీ, ఈ కేసును బట్టి చక్రాలు లేదా స్కిస్‌ను మౌంట్ చేయగల ప్రత్యామ్నాయ ల్యాండింగ్ గేర్‌తో ఫ్లోట్లు చాలా ఆపరేషన్ మరియు పనితీరును పరిమితం చేశాయి. 1934 లో, మిగిలి ఉన్న మూడు J4 లను విస్టెర్స్‌లో వింగ్ ఎఫ్ 1 కు బదిలీ చేసి రిజర్వ్‌లో ఉంచారు. చివరి J 4 (సంఖ్య 281) ఆగస్టు 31, 1937 న 812 విమాన గంటల ఆపరేటింగ్ లైఫ్ తరువాత ఉపసంహరించబడింది. [1] సాధారణ లక్షణాల పనితీరు నుండి డేటా</v>
      </c>
      <c r="F66" s="1" t="s">
        <v>1370</v>
      </c>
      <c r="G66" s="1" t="str">
        <f>IFERROR(__xludf.DUMMYFUNCTION("GOOGLETRANSLATE(F:F,""en"", ""te"")"),"సీప్లేన్ ఫైటర్")</f>
        <v>సీప్లేన్ ఫైటర్</v>
      </c>
      <c r="I66" s="1" t="s">
        <v>1371</v>
      </c>
      <c r="J66" s="1" t="str">
        <f>IFERROR(__xludf.DUMMYFUNCTION("GOOGLETRANSLATE(I:I,""en"", ""te"")"),"జర్మన్ స్వీడిష్")</f>
        <v>జర్మన్ స్వీడిష్</v>
      </c>
      <c r="L66" s="1" t="s">
        <v>1372</v>
      </c>
      <c r="M66" s="1" t="str">
        <f>IFERROR(__xludf.DUMMYFUNCTION("GOOGLETRANSLATE(L:L,""en"", ""te"")"),"స్వెన్స్కా ఏరో ఎబి")</f>
        <v>స్వెన్స్కా ఏరో ఎబి</v>
      </c>
      <c r="N66" s="1" t="s">
        <v>1373</v>
      </c>
      <c r="O66" s="1">
        <v>1928.0</v>
      </c>
      <c r="R66" s="1">
        <v>6.0</v>
      </c>
      <c r="S66" s="1" t="s">
        <v>553</v>
      </c>
      <c r="U66" s="1" t="s">
        <v>1374</v>
      </c>
      <c r="V66" s="1" t="s">
        <v>1375</v>
      </c>
      <c r="W66" s="1" t="s">
        <v>1376</v>
      </c>
      <c r="X66" s="1" t="s">
        <v>1377</v>
      </c>
      <c r="AA66" s="1" t="s">
        <v>1378</v>
      </c>
      <c r="AB66" s="1" t="s">
        <v>1379</v>
      </c>
      <c r="AE66" s="1" t="s">
        <v>375</v>
      </c>
      <c r="AF66" s="1" t="s">
        <v>1380</v>
      </c>
      <c r="AH66" s="1" t="s">
        <v>1381</v>
      </c>
      <c r="AL66" s="1" t="s">
        <v>1382</v>
      </c>
      <c r="AM66" s="1" t="s">
        <v>1383</v>
      </c>
      <c r="AN66" s="1" t="s">
        <v>1384</v>
      </c>
      <c r="AO66" s="3">
        <v>10410.0</v>
      </c>
      <c r="AQ66" s="1" t="s">
        <v>1385</v>
      </c>
      <c r="AR66" s="1" t="s">
        <v>1386</v>
      </c>
      <c r="BA66" s="1" t="s">
        <v>1387</v>
      </c>
      <c r="BC66" s="1">
        <v>1937.0</v>
      </c>
    </row>
    <row r="67">
      <c r="A67" s="1" t="s">
        <v>1388</v>
      </c>
      <c r="B67" s="1" t="str">
        <f>IFERROR(__xludf.DUMMYFUNCTION("GOOGLETRANSLATE(A:A,""en"", ""te"")"),"ఏరోవిరాన్మెంట్ RQ-20 PUMA")</f>
        <v>ఏరోవిరాన్మెంట్ RQ-20 PUMA</v>
      </c>
      <c r="C67" s="1" t="s">
        <v>1389</v>
      </c>
      <c r="D67" s="1" t="str">
        <f>IFERROR(__xludf.DUMMYFUNCTION("GOOGLETRANSLATE(C:C,""en"", ""te"")"),"ఏరోవిరాన్మెంట్ RQ-20 PUMA అనేది కాలిఫోర్నియాలో ఉన్న ఏరోవిరోన్మెంట్ చేత ఉత్పత్తి చేయబడిన ఒక చిన్న, బ్యాటరీతో నడిచే, అమెరికన్, చేతితో ప్రారంభించిన మానవరహిత విమాన వ్యవస్థ. ప్రాధమిక లక్ష్యం ఎలక్ట్రో-ఆప్టికల్ మరియు ఇన్ఫ్రారెడ్ కెమెరాను ఉపయోగించి నిఘా మరియు ఇంట"&amp;"ెలిజెన్స్ సేకరణ. గతంలో 2008 లో యునైటెడ్ స్టేట్స్ స్పెషల్ ఆపరేషన్స్ కమాండ్ కోసం ఎంపిక చేయబడింది, మార్చి 2012 లో యునైటెడ్ స్టేట్స్ ఆర్మీ ప్యూమా ఆల్ ఎన్విరాన్మెంట్ (AE) ను ఆదేశించింది మరియు దీనిని RQ-20A గా నియమించింది. [3] ఏప్రిల్‌లో, యునైటెడ్ స్టేట్స్ మెరై"&amp;"న్ కార్ప్స్ మరియు యునైటెడ్ స్టేట్స్ వైమానిక దళం RQ-20A కోసం ఇలాంటి క్రమాన్ని ఉంచారు. [4] [5] ప్రతి మిలిటరీ RQ-20A వ్యవస్థలో మూడు ఎయిర్ వాహనాలు మరియు రెండు గ్రౌండ్ స్టేషన్లు ఉన్నాయి. [3] ప్యూమా AE −20 నుండి 120 ° F (−29 నుండి 49 ° C) వరకు ఉన్న ఉష్ణోగ్రతలు,"&amp;" గాలి వేగం 25 నాట్లు (29 mph; 46 కిమీ/గం), మరియు ఒక అంగుళం వర్షం ప్రతి ఒక్కటి తీవ్రమైన వాతావరణ పరిస్థితులలో పనిచేయగలదు, మరియు ఒక అంగుళం వర్షం ప్రతి గంట. [6] 26 జూలై 2013 న, ఫెడరల్ ఏవియేషన్ అడ్మినిస్ట్రేషన్ వాణిజ్య ప్రయోజనాల కోసం యు.ఎస్. గగనతలంలో ఎగురుతున్"&amp;"న ఫెడరల్ ఏవియేషన్ అడ్మినిస్ట్రేషన్ చేత ధృవీకరణ మంజూరు చేసిన మొట్టమొదటి మానవరహిత వైమానిక వాహనాల్లో ప్యూమా ఒకటిగా నిలిచింది. చమురు స్పిల్ ప్రతిస్పందన సిబ్బందికి మద్దతు ఇవ్వడానికి మరియు వన్యప్రాణులను లెక్కించడానికి అలాస్కాకు ఒకదాన్ని మోహరించాలని ఏరోవిరాన్మెం"&amp;"ట్ ఆశిస్తోంది. ప్యూమా ప్రమాదకర ఆర్కిటిక్ ప్రదేశాలలో పరిశీలన కార్యకలాపాలను సురక్షితంగా సాధించగలదు, ఇది మనుషుల విమానాలను ఉపయోగించడం కంటే సురక్షితమైన, చౌకైన మరియు పర్యావరణ అనుకూలమైనది. వాణిజ్య ధృవీకరణ అనేది మునుపటి సైనిక ధృవీకరణ మరియు అలస్కాలో చాలా చిన్న UAV"&amp;" లకు గగనతలం ప్రారంభించడం యొక్క ఫలితం. [7] FAA బోయింగ్ ఇన్సిటు స్కానేగ్‌ను కూడా ధృవీకరించింది, దీనిని అలాస్కాకు మోహరించాలని కూడా ప్రణాళిక వేసింది. మూడు వ్యక్తిగత పుమాస్ మాత్రమే కఠినమైన అవసరాలతో ధృవీకరించబడ్డాయి: ఈ రకం యొక్క ఒక విమానం మాత్రమే ఏ సమయంలోనైనా గ"&amp;"ాలిలో అనుమతించబడుతుంది, అవి మేఘాలు లేదా ఐసింగ్ పరిస్థితుల ద్వారా ఎగరలేరు మరియు కొన్ని గస్ట్ మరియు విండ్ పరిస్థితులలో అవి టేకాఫ్ లేదా భూమిని తీసుకోలేరు. ధృవపత్రాలు లైన్-ఆఫ్-దృష్టి నియంత్రణ గురించి ప్రస్తావించలేదు. [8] 8 జూన్ 2014 న, ప్యూమా AE అలాస్కాలోని ప"&amp;"్రుధో బేలో బిపి కోసం మొదటి విమానంలో చేసింది, ఇది భూమిపై మొదటి మానవరహిత వాణిజ్య విమానంగా నిలిచింది. [9] UK ISR ప్యాకేజీలను ప్యూమా AE కి అనుకూలంగా పరీక్షించింది. 20 జనవరి 2016 న, అనేక RQ-20 ను పికెకె నుండి టర్కిష్ సైన్యం స్వాధీనం చేసుకుంది. కుర్దిష్ ఉగ్రవాద"&amp;"ులు తమ సిరియన్ అనుబంధ సంస్థల నుండి ఈ డ్రోన్లను పొందగలిగారు అని అనుమానిస్తున్నారు. [11] ఆగష్టు 2016 లో, ఏరోవిరాన్‌మెంట్ యు.ఎస్. నేవీ ఫ్లైట్ I లోకి RQ-20B ప్యూమాను పరీక్షించి, మోహరించిన క్షిపణి డిస్ట్రాయర్‌ను నియమించిందని ప్రకటించింది, ఇందులో ఓడలో ఉన్న విమా"&amp;"నం స్వయంచాలకంగా తిరిగి పొందటానికి కంపెనీ ఖచ్చితమైన రికవరీ వ్యవస్థను కలిగి ఉంది. పెర్షియన్ గల్ఫ్‌లో నేవీ పెట్రోల్ క్రాఫ్ట్‌లో కూడా ప్యూమా ఉపయోగించబడుతోంది. [1] డిసెంబర్ 2021 లో, యునైటెడ్ స్టేట్స్ ఇరాక్‌లోని కుర్దిష్ పెష్మెర్గా కోసం ప్యూమా డ్రోన్ కోసం milli"&amp;"on 5 మిలియన్లను కేటాయించింది. [12] [40] ప్యూమా AE డేటా షీట్ జనరల్ లక్షణాల పనితీరు నుండి డేటా")</f>
        <v>ఏరోవిరాన్మెంట్ RQ-20 PUMA అనేది కాలిఫోర్నియాలో ఉన్న ఏరోవిరోన్మెంట్ చేత ఉత్పత్తి చేయబడిన ఒక చిన్న, బ్యాటరీతో నడిచే, అమెరికన్, చేతితో ప్రారంభించిన మానవరహిత విమాన వ్యవస్థ. ప్రాధమిక లక్ష్యం ఎలక్ట్రో-ఆప్టికల్ మరియు ఇన్ఫ్రారెడ్ కెమెరాను ఉపయోగించి నిఘా మరియు ఇంటెలిజెన్స్ సేకరణ. గతంలో 2008 లో యునైటెడ్ స్టేట్స్ స్పెషల్ ఆపరేషన్స్ కమాండ్ కోసం ఎంపిక చేయబడింది, మార్చి 2012 లో యునైటెడ్ స్టేట్స్ ఆర్మీ ప్యూమా ఆల్ ఎన్విరాన్మెంట్ (AE) ను ఆదేశించింది మరియు దీనిని RQ-20A గా నియమించింది. [3] ఏప్రిల్‌లో, యునైటెడ్ స్టేట్స్ మెరైన్ కార్ప్స్ మరియు యునైటెడ్ స్టేట్స్ వైమానిక దళం RQ-20A కోసం ఇలాంటి క్రమాన్ని ఉంచారు. [4] [5] ప్రతి మిలిటరీ RQ-20A వ్యవస్థలో మూడు ఎయిర్ వాహనాలు మరియు రెండు గ్రౌండ్ స్టేషన్లు ఉన్నాయి. [3] ప్యూమా AE −20 నుండి 120 ° F (−29 నుండి 49 ° C) వరకు ఉన్న ఉష్ణోగ్రతలు, గాలి వేగం 25 నాట్లు (29 mph; 46 కిమీ/గం), మరియు ఒక అంగుళం వర్షం ప్రతి ఒక్కటి తీవ్రమైన వాతావరణ పరిస్థితులలో పనిచేయగలదు, మరియు ఒక అంగుళం వర్షం ప్రతి గంట. [6] 26 జూలై 2013 న, ఫెడరల్ ఏవియేషన్ అడ్మినిస్ట్రేషన్ వాణిజ్య ప్రయోజనాల కోసం యు.ఎస్. గగనతలంలో ఎగురుతున్న ఫెడరల్ ఏవియేషన్ అడ్మినిస్ట్రేషన్ చేత ధృవీకరణ మంజూరు చేసిన మొట్టమొదటి మానవరహిత వైమానిక వాహనాల్లో ప్యూమా ఒకటిగా నిలిచింది. చమురు స్పిల్ ప్రతిస్పందన సిబ్బందికి మద్దతు ఇవ్వడానికి మరియు వన్యప్రాణులను లెక్కించడానికి అలాస్కాకు ఒకదాన్ని మోహరించాలని ఏరోవిరాన్మెంట్ ఆశిస్తోంది. ప్యూమా ప్రమాదకర ఆర్కిటిక్ ప్రదేశాలలో పరిశీలన కార్యకలాపాలను సురక్షితంగా సాధించగలదు, ఇది మనుషుల విమానాలను ఉపయోగించడం కంటే సురక్షితమైన, చౌకైన మరియు పర్యావరణ అనుకూలమైనది. వాణిజ్య ధృవీకరణ అనేది మునుపటి సైనిక ధృవీకరణ మరియు అలస్కాలో చాలా చిన్న UAV లకు గగనతలం ప్రారంభించడం యొక్క ఫలితం. [7] FAA బోయింగ్ ఇన్సిటు స్కానేగ్‌ను కూడా ధృవీకరించింది, దీనిని అలాస్కాకు మోహరించాలని కూడా ప్రణాళిక వేసింది. మూడు వ్యక్తిగత పుమాస్ మాత్రమే కఠినమైన అవసరాలతో ధృవీకరించబడ్డాయి: ఈ రకం యొక్క ఒక విమానం మాత్రమే ఏ సమయంలోనైనా గాలిలో అనుమతించబడుతుంది, అవి మేఘాలు లేదా ఐసింగ్ పరిస్థితుల ద్వారా ఎగరలేరు మరియు కొన్ని గస్ట్ మరియు విండ్ పరిస్థితులలో అవి టేకాఫ్ లేదా భూమిని తీసుకోలేరు. ధృవపత్రాలు లైన్-ఆఫ్-దృష్టి నియంత్రణ గురించి ప్రస్తావించలేదు. [8] 8 జూన్ 2014 న, ప్యూమా AE అలాస్కాలోని ప్రుధో బేలో బిపి కోసం మొదటి విమానంలో చేసింది, ఇది భూమిపై మొదటి మానవరహిత వాణిజ్య విమానంగా నిలిచింది. [9] UK ISR ప్యాకేజీలను ప్యూమా AE కి అనుకూలంగా పరీక్షించింది. 20 జనవరి 2016 న, అనేక RQ-20 ను పికెకె నుండి టర్కిష్ సైన్యం స్వాధీనం చేసుకుంది. కుర్దిష్ ఉగ్రవాదులు తమ సిరియన్ అనుబంధ సంస్థల నుండి ఈ డ్రోన్లను పొందగలిగారు అని అనుమానిస్తున్నారు. [11] ఆగష్టు 2016 లో, ఏరోవిరాన్‌మెంట్ యు.ఎస్. నేవీ ఫ్లైట్ I లోకి RQ-20B ప్యూమాను పరీక్షించి, మోహరించిన క్షిపణి డిస్ట్రాయర్‌ను నియమించిందని ప్రకటించింది, ఇందులో ఓడలో ఉన్న విమానం స్వయంచాలకంగా తిరిగి పొందటానికి కంపెనీ ఖచ్చితమైన రికవరీ వ్యవస్థను కలిగి ఉంది. పెర్షియన్ గల్ఫ్‌లో నేవీ పెట్రోల్ క్రాఫ్ట్‌లో కూడా ప్యూమా ఉపయోగించబడుతోంది. [1] డిసెంబర్ 2021 లో, యునైటెడ్ స్టేట్స్ ఇరాక్‌లోని కుర్దిష్ పెష్మెర్గా కోసం ప్యూమా డ్రోన్ కోసం million 5 మిలియన్లను కేటాయించింది. [12] [40] ప్యూమా AE డేటా షీట్ జనరల్ లక్షణాల పనితీరు నుండి డేటా</v>
      </c>
      <c r="E67" s="1" t="s">
        <v>1390</v>
      </c>
      <c r="F67" s="1" t="s">
        <v>1391</v>
      </c>
      <c r="G67" s="1" t="str">
        <f>IFERROR(__xludf.DUMMYFUNCTION("GOOGLETRANSLATE(F:F,""en"", ""te"")"),"రిమోట్ కంట్రోల్డ్ UAS")</f>
        <v>రిమోట్ కంట్రోల్డ్ UAS</v>
      </c>
      <c r="L67" s="1" t="s">
        <v>1392</v>
      </c>
      <c r="M67" s="1" t="str">
        <f>IFERROR(__xludf.DUMMYFUNCTION("GOOGLETRANSLATE(L:L,""en"", ""te"")"),"ఏరోవిరాన్మెంట్")</f>
        <v>ఏరోవిరాన్మెంట్</v>
      </c>
      <c r="N67" s="2" t="s">
        <v>1393</v>
      </c>
      <c r="O67" s="1" t="s">
        <v>1394</v>
      </c>
      <c r="R67" s="1" t="s">
        <v>1395</v>
      </c>
      <c r="U67" s="1" t="s">
        <v>1396</v>
      </c>
      <c r="AG67" s="1" t="s">
        <v>1397</v>
      </c>
      <c r="AH67" s="1" t="s">
        <v>1398</v>
      </c>
      <c r="AK67" s="1" t="s">
        <v>1399</v>
      </c>
      <c r="AO67" s="1">
        <v>2007.0</v>
      </c>
      <c r="AQ67" s="1" t="s">
        <v>1400</v>
      </c>
      <c r="AT67" s="1" t="s">
        <v>1401</v>
      </c>
      <c r="AZ67" s="1" t="s">
        <v>364</v>
      </c>
      <c r="CM67" s="1" t="s">
        <v>1402</v>
      </c>
      <c r="CN67" s="1" t="s">
        <v>1403</v>
      </c>
      <c r="CO67" s="1" t="s">
        <v>1404</v>
      </c>
    </row>
    <row r="68">
      <c r="A68" s="1" t="s">
        <v>1405</v>
      </c>
      <c r="B68" s="1" t="str">
        <f>IFERROR(__xludf.DUMMYFUNCTION("GOOGLETRANSLATE(A:A,""en"", ""te"")"),"గాలి సృష్టి సరదా")</f>
        <v>గాలి సృష్టి సరదా</v>
      </c>
      <c r="C68" s="1" t="s">
        <v>1406</v>
      </c>
      <c r="D68" s="1" t="str">
        <f>IFERROR(__xludf.DUMMYFUNCTION("GOOGLETRANSLATE(C:C,""en"", ""te"")"),"ఎయిర్ క్రియేషన్ ఫన్ అనేది ఫ్రెంచ్ సింగిల్-ఉపరితల అల్ట్రాలైట్ ట్రైక్ వింగ్స్, ఇది ఆబెనాస్ యొక్క ఎయిర్ క్రెషన్ చేత రూపొందించబడింది మరియు ఉత్పత్తి చేయబడింది. రెక్కను గాలి సృష్టి ట్రైక్‌లతో పాటు ఇతర అల్ట్రాలైట్ విమాన తయారీదారులు విస్తృతంగా ఉపయోగిస్తున్నారు. ["&amp;"1] ఈ ధారావాహిక కేబుల్-బ్రేస్డ్, కింగ్ పోస్ట్-అమర్చిన హాంగ్ గ్లైడర్-స్టైల్ రెక్కలు సింగిల్ మరియు రెండు-ప్లేస్ ట్రైక్‌ల కోసం నిశ్శబ్ద బిగినర్స్ మరియు ఫ్లైట్ ట్రైనింగ్ రెక్కలుగా రూపొందించబడింది. అవి రెండు పరిమాణాలలో వస్తాయి, సరదా 450, కిలోగ్రాములలో స్థూల బరు"&amp;"వుకు పేరు పెట్టబడింది మరియు సరదా 14, దాని మెట్రిక్ వింగ్ ప్రాంతానికి పేరు పెట్టబడింది. [1] [2] [3] రెక్కలు బోల్ట్-టుగెథర్ అల్యూమినియం గొట్టాల నుండి తయారవుతాయి, దాని సింగిల్ ఉపరితల వింగ్ ట్రిలాం డాక్రాన్ సెయిల్‌క్లాత్‌లో కప్పబడి ఉంటుంది, మైలార్ ప్రముఖ అంచు"&amp;"తో. వింగ్ యొక్క క్రాస్‌స్ట్యూబ్ బహిర్గతమవుతుంది మరియు ఇది తేలియాడే రూపకల్పనలో ఉంది. సరదా 14 లో 10.0 మీ (32.8 అడుగులు) స్పాన్ ఉంది, ఇది 7.4: 1 యొక్క కారక నిష్పత్తి మరియు ""ఫ్రేమ్ వెయిట్-షిఫ్ట్ కంట్రోల్ బార్‌ను ఉపయోగిస్తుంది. డబుల్ ఉపరితల భాగం 40% మరియు ""గ"&amp;"ొడుగు"" వ్యవస్థను ఉపయోగించి రెక్క మడతలు. [1] [2] [3] [4] బేయర్ల్ మరియు గాలి సృష్టి నుండి డేటా [1] [3] [4] సాధారణ లక్షణాల పనితీరు")</f>
        <v>ఎయిర్ క్రియేషన్ ఫన్ అనేది ఫ్రెంచ్ సింగిల్-ఉపరితల అల్ట్రాలైట్ ట్రైక్ వింగ్స్, ఇది ఆబెనాస్ యొక్క ఎయిర్ క్రెషన్ చేత రూపొందించబడింది మరియు ఉత్పత్తి చేయబడింది. రెక్కను గాలి సృష్టి ట్రైక్‌లతో పాటు ఇతర అల్ట్రాలైట్ విమాన తయారీదారులు విస్తృతంగా ఉపయోగిస్తున్నారు. [1] ఈ ధారావాహిక కేబుల్-బ్రేస్డ్, కింగ్ పోస్ట్-అమర్చిన హాంగ్ గ్లైడర్-స్టైల్ రెక్కలు సింగిల్ మరియు రెండు-ప్లేస్ ట్రైక్‌ల కోసం నిశ్శబ్ద బిగినర్స్ మరియు ఫ్లైట్ ట్రైనింగ్ రెక్కలుగా రూపొందించబడింది. అవి రెండు పరిమాణాలలో వస్తాయి, సరదా 450, కిలోగ్రాములలో స్థూల బరువుకు పేరు పెట్టబడింది మరియు సరదా 14, దాని మెట్రిక్ వింగ్ ప్రాంతానికి పేరు పెట్టబడింది. [1] [2] [3] రెక్కలు బోల్ట్-టుగెథర్ అల్యూమినియం గొట్టాల నుండి తయారవుతాయి, దాని సింగిల్ ఉపరితల వింగ్ ట్రిలాం డాక్రాన్ సెయిల్‌క్లాత్‌లో కప్పబడి ఉంటుంది, మైలార్ ప్రముఖ అంచుతో. వింగ్ యొక్క క్రాస్‌స్ట్యూబ్ బహిర్గతమవుతుంది మరియు ఇది తేలియాడే రూపకల్పనలో ఉంది. సరదా 14 లో 10.0 మీ (32.8 అడుగులు) స్పాన్ ఉంది, ఇది 7.4: 1 యొక్క కారక నిష్పత్తి మరియు "ఫ్రేమ్ వెయిట్-షిఫ్ట్ కంట్రోల్ బార్‌ను ఉపయోగిస్తుంది. డబుల్ ఉపరితల భాగం 40% మరియు "గొడుగు" వ్యవస్థను ఉపయోగించి రెక్క మడతలు. [1] [2] [3] [4] బేయర్ల్ మరియు గాలి సృష్టి నుండి డేటా [1] [3] [4] సాధారణ లక్షణాల పనితీరు</v>
      </c>
      <c r="F68" s="1" t="s">
        <v>1407</v>
      </c>
      <c r="G68" s="1" t="str">
        <f>IFERROR(__xludf.DUMMYFUNCTION("GOOGLETRANSLATE(F:F,""en"", ""te"")"),"అల్ట్రాలైట్ ట్రైక్ వింగ్")</f>
        <v>అల్ట్రాలైట్ ట్రైక్ వింగ్</v>
      </c>
      <c r="H68" s="1" t="s">
        <v>1408</v>
      </c>
      <c r="I68" s="1" t="s">
        <v>798</v>
      </c>
      <c r="J68" s="1" t="str">
        <f>IFERROR(__xludf.DUMMYFUNCTION("GOOGLETRANSLATE(I:I,""en"", ""te"")"),"ఫ్రాన్స్")</f>
        <v>ఫ్రాన్స్</v>
      </c>
      <c r="K68" s="2" t="s">
        <v>1166</v>
      </c>
      <c r="L68" s="1" t="s">
        <v>1409</v>
      </c>
      <c r="M68" s="1" t="str">
        <f>IFERROR(__xludf.DUMMYFUNCTION("GOOGLETRANSLATE(L:L,""en"", ""te"")"),"గాలి సృష్టి")</f>
        <v>గాలి సృష్టి</v>
      </c>
      <c r="N68" s="1" t="s">
        <v>1410</v>
      </c>
      <c r="P68" s="1" t="s">
        <v>1411</v>
      </c>
      <c r="Q68" s="1"/>
      <c r="U68" s="1" t="s">
        <v>1412</v>
      </c>
      <c r="X68" s="1" t="s">
        <v>1413</v>
      </c>
      <c r="Y68" s="1" t="s">
        <v>1414</v>
      </c>
      <c r="AB68" s="1" t="s">
        <v>1415</v>
      </c>
      <c r="AF68" s="1" t="s">
        <v>1416</v>
      </c>
      <c r="AG68" s="1" t="s">
        <v>208</v>
      </c>
      <c r="AH68" s="1" t="s">
        <v>1417</v>
      </c>
      <c r="AI68" s="1" t="s">
        <v>1418</v>
      </c>
      <c r="AJ68" s="1" t="s">
        <v>913</v>
      </c>
      <c r="BB68" s="1" t="s">
        <v>1419</v>
      </c>
      <c r="BD68" s="1">
        <v>7.4</v>
      </c>
      <c r="BE68" s="1" t="s">
        <v>1420</v>
      </c>
    </row>
    <row r="69">
      <c r="A69" s="1" t="s">
        <v>1421</v>
      </c>
      <c r="B69" s="1" t="str">
        <f>IFERROR(__xludf.DUMMYFUNCTION("GOOGLETRANSLATE(A:A,""en"", ""te"")"),"సికోర్స్కీ ఎస్ -18")</f>
        <v>సికోర్స్కీ ఎస్ -18</v>
      </c>
      <c r="C69" s="1" t="s">
        <v>1422</v>
      </c>
      <c r="D69" s="1" t="str">
        <f>IFERROR(__xludf.DUMMYFUNCTION("GOOGLETRANSLATE(C:C,""en"", ""te"")"),"సికోర్స్కీ ఎస్ -18 అనేది రష్యన్ ట్విన్ ఇంజిన్ విమానం, ఇది ఇగోర్ సికోర్స్కీ చేత రూపొందించబడింది మరియు ప్రపంచ యుద్ధం. HP (112 kW) సన్‌బీమ్ క్రూసేడర్ V-8 వాటర్-కూల్డ్ ఇంజన్లు పషర్ కాన్ఫిగరేషన్‌లో దిగువ రెక్కపై అమర్చబడి ఉంటాయి. ఈ విమానం ముక్కులో కూర్చున్న గన్"&amp;"నర్/పరిశీలకుడితో ఇద్దరు సిబ్బందికి కవచ రక్షణ ఉంది మరియు ఒకే మెషిన్ గన్‌తో సాయుధమైంది. విమానం చాలా భారీగా ఉంది మరియు నమ్మదగిన సన్‌బీమ్ ఇంజిన్ల కంటే తక్కువగా ఉంది, ఉదాహరణ నిర్మించిన ఉదాహరణ భూమిని విడిచిపెట్టలేకపోయింది. [1] [2] [3] రష్యన్ ఏవియేషన్ మ్యూజియం న"&amp;"ుండి డేటా [3] సాధారణ లక్షణాల పనితీరు")</f>
        <v>సికోర్స్కీ ఎస్ -18 అనేది రష్యన్ ట్విన్ ఇంజిన్ విమానం, ఇది ఇగోర్ సికోర్స్కీ చేత రూపొందించబడింది మరియు ప్రపంచ యుద్ధం. HP (112 kW) సన్‌బీమ్ క్రూసేడర్ V-8 వాటర్-కూల్డ్ ఇంజన్లు పషర్ కాన్ఫిగరేషన్‌లో దిగువ రెక్కపై అమర్చబడి ఉంటాయి. ఈ విమానం ముక్కులో కూర్చున్న గన్నర్/పరిశీలకుడితో ఇద్దరు సిబ్బందికి కవచ రక్షణ ఉంది మరియు ఒకే మెషిన్ గన్‌తో సాయుధమైంది. విమానం చాలా భారీగా ఉంది మరియు నమ్మదగిన సన్‌బీమ్ ఇంజిన్ల కంటే తక్కువగా ఉంది, ఉదాహరణ నిర్మించిన ఉదాహరణ భూమిని విడిచిపెట్టలేకపోయింది. [1] [2] [3] రష్యన్ ఏవియేషన్ మ్యూజియం నుండి డేటా [3] సాధారణ లక్షణాల పనితీరు</v>
      </c>
      <c r="E69" s="1" t="s">
        <v>1423</v>
      </c>
      <c r="F69" s="1" t="s">
        <v>1098</v>
      </c>
      <c r="G69" s="1" t="str">
        <f>IFERROR(__xludf.DUMMYFUNCTION("GOOGLETRANSLATE(F:F,""en"", ""te"")"),"యుద్ధ")</f>
        <v>యుద్ధ</v>
      </c>
      <c r="I69" s="1" t="s">
        <v>1424</v>
      </c>
      <c r="J69" s="1" t="str">
        <f>IFERROR(__xludf.DUMMYFUNCTION("GOOGLETRANSLATE(I:I,""en"", ""te"")"),"రష్యన్ సామ్రాజ్యం")</f>
        <v>రష్యన్ సామ్రాజ్యం</v>
      </c>
      <c r="K69" s="1" t="s">
        <v>1425</v>
      </c>
      <c r="L69" s="1" t="s">
        <v>1426</v>
      </c>
      <c r="M69" s="1" t="str">
        <f>IFERROR(__xludf.DUMMYFUNCTION("GOOGLETRANSLATE(L:L,""en"", ""te"")"),"రష్యన్ బాల్టిక్ రైల్‌రోడ్ కార్ వర్క్స్")</f>
        <v>రష్యన్ బాల్టిక్ రైల్‌రోడ్ కార్ వర్క్స్</v>
      </c>
      <c r="N69" s="1" t="s">
        <v>1427</v>
      </c>
      <c r="R69" s="1">
        <v>2.0</v>
      </c>
      <c r="S69" s="1" t="s">
        <v>553</v>
      </c>
      <c r="U69" s="1" t="s">
        <v>1428</v>
      </c>
      <c r="W69" s="1" t="s">
        <v>1429</v>
      </c>
      <c r="X69" s="1" t="s">
        <v>1430</v>
      </c>
      <c r="Y69" s="1" t="s">
        <v>1431</v>
      </c>
      <c r="AA69" s="1" t="s">
        <v>1432</v>
      </c>
      <c r="AF69" s="1" t="s">
        <v>1433</v>
      </c>
      <c r="AM69" s="1" t="s">
        <v>1434</v>
      </c>
      <c r="BM69" s="1" t="s">
        <v>1435</v>
      </c>
      <c r="BN69" s="1" t="s">
        <v>1436</v>
      </c>
    </row>
    <row r="70">
      <c r="A70" s="1" t="s">
        <v>1437</v>
      </c>
      <c r="B70" s="1" t="str">
        <f>IFERROR(__xludf.DUMMYFUNCTION("GOOGLETRANSLATE(A:A,""en"", ""te"")"),"మిత్సుబిషి కా -8")</f>
        <v>మిత్సుబిషి కా -8</v>
      </c>
      <c r="C70" s="1" t="s">
        <v>1438</v>
      </c>
      <c r="D70" s="1" t="str">
        <f>IFERROR(__xludf.DUMMYFUNCTION("GOOGLETRANSLATE(C:C,""en"", ""te"")"),"మిత్సుబిషి కా -8 లేదా మిత్సుబిషి ప్రయోగాత్మక 8-షి రెండు-సీట్ల ఫైటర్ 1930 లలో జపనీస్ రెండు-సీట్ల క్యారియర్-ఆధారిత పోరాట యోధుడు. రెండు నిర్మించబడ్డాయి, కాని ఉత్పత్తి తరువాత లేదు. 1930 ల ప్రారంభంలో, ఇంపీరియల్ జపనీస్ నావికాదళం రెండు-సీట్ల యోధుల భావనపై ఆసక్తి "&amp;"చూపింది, విదేశీ గాలి-ఆయుధాలతో ప్రాచుర్యం పొందింది, 1931 లో నకాజిమా నాఫ్ -1 6-షి రెండు-సీ ఫైటర్ యొక్క నమూనాను ఆదేశించింది. [1] NAF-1 విజయవంతం కానప్పటికీ, [1] రెండు సీట్ల యోధులపై నావికాదళం యొక్క ఆసక్తి కొనసాగుతుంది, మరియు 1933 లో, ఇది మిత్సుబిషి మరియు నకాజి"&amp;"మా నుండి కొత్త రెండు-సీట్ల క్యారియర్-ఆధారిత ఫైటర్ డిజైన్లను అభ్యర్థించింది. [2] మిత్సుబిషి యొక్క రూపకల్పన, సంస్థ చేత KA-8 ను మరియు నావికాదళం ద్వారా మిత్సుబిషి ప్రయోగాత్మక 8-షి రెండు-సీట్ల ఫైటర్, [A] కలప మరియు లోహ నిర్మాణాన్ని కలపడం యొక్క సింగిల్-ఇంజిన్ బై"&amp;"ప్లేన్. దాని సింగిల్-బే ఈక్వల్-స్పాన్ అస్థిర రెక్కలు డ్యూరాలిమిన్ స్పార్స్‌ను కలిగి ఉన్నాయి, చెక్క పక్కటెముకలు మరియు ఫాబ్రిక్ కవరింగ్ ఉన్నాయి. ఫ్యూజ్‌లేజ్ నిర్మాణం వెల్డెడ్ స్టీల్ ట్యూబ్‌తో ఫాబ్రిక్ కవరింగ్‌తో తయారు చేయబడింది, పైలట్ మరియు గన్నర్ ఓపెన్ కాక"&amp;"్‌పిట్స్‌లో కలిసి కూర్చున్నారు. రెండు స్థిర ఫార్వర్డ్-ఫైరింగ్ మెషిన్ గన్స్ పైలట్ చేత నిర్వహించబడుతున్నాయి, వెనుక కాక్‌పిట్‌లో ఒకే సరళమైన మౌంటెడ్ మెషిన్ గన్. ఒక జంట తోక అమర్చబడింది, మరియు విమానంలో స్థిర టెయిల్‌వీల్ అండర్ క్యారేజ్ ఉంది. పవర్‌ప్లాంట్ అనేది స"&amp;"ింగిల్ నకాజిమా కోటోబుకి, లైసెన్స్ నిర్మించిన బ్రిస్టల్ బృహస్పతి రేడియల్ ఇంజిన్, రెండు-బ్లేడ్ ప్రొపెల్లర్‌ను నడుపుతుంది. [2] [4] రెండు ప్రోటోటైప్‌లలో మొదటిది జనవరి 1931 లో పూర్తయింది, ఈ రెండు ప్రోటోటైప్‌లు ఈ సంవత్సరం తరువాత అధికారిక పరీక్ష కోసం నేవీకి పంపి"&amp;"ణీ చేయబడ్డాయి. 16 సెప్టెంబర్ 1934 న యోకోసుకాలో డైవింగ్ పరీక్షల సందర్భంగా రెండవ నమూనా విడిపోయింది. పైలట్ పారాచూట్ చేత తప్పించుకున్నాడు, వెనుక సీటులో పరిశీలకుడు చంపబడ్డాడు. ఈ ప్రమాదం మిగిలి ఉన్న ప్రోటోటైప్ యొక్క పరీక్షను వదిలివేసింది, నకాజిమా పోటీదారు, NAF-"&amp;"2 కూడా తిరస్కరించబడింది, నావికాదళం రెండు-సీట్ల క్యారియర్ ఫైటర్ వర్గాన్ని వదిలివేసింది. [2] [4] జపనీస్ విమానం నుండి డేటా 1910-1941 [2] సాధారణ లక్షణాలు పనితీరు ఆయుధాలు")</f>
        <v>మిత్సుబిషి కా -8 లేదా మిత్సుబిషి ప్రయోగాత్మక 8-షి రెండు-సీట్ల ఫైటర్ 1930 లలో జపనీస్ రెండు-సీట్ల క్యారియర్-ఆధారిత పోరాట యోధుడు. రెండు నిర్మించబడ్డాయి, కాని ఉత్పత్తి తరువాత లేదు. 1930 ల ప్రారంభంలో, ఇంపీరియల్ జపనీస్ నావికాదళం రెండు-సీట్ల యోధుల భావనపై ఆసక్తి చూపింది, విదేశీ గాలి-ఆయుధాలతో ప్రాచుర్యం పొందింది, 1931 లో నకాజిమా నాఫ్ -1 6-షి రెండు-సీ ఫైటర్ యొక్క నమూనాను ఆదేశించింది. [1] NAF-1 విజయవంతం కానప్పటికీ, [1] రెండు సీట్ల యోధులపై నావికాదళం యొక్క ఆసక్తి కొనసాగుతుంది, మరియు 1933 లో, ఇది మిత్సుబిషి మరియు నకాజిమా నుండి కొత్త రెండు-సీట్ల క్యారియర్-ఆధారిత ఫైటర్ డిజైన్లను అభ్యర్థించింది. [2] మిత్సుబిషి యొక్క రూపకల్పన, సంస్థ చేత KA-8 ను మరియు నావికాదళం ద్వారా మిత్సుబిషి ప్రయోగాత్మక 8-షి రెండు-సీట్ల ఫైటర్, [A] కలప మరియు లోహ నిర్మాణాన్ని కలపడం యొక్క సింగిల్-ఇంజిన్ బైప్లేన్. దాని సింగిల్-బే ఈక్వల్-స్పాన్ అస్థిర రెక్కలు డ్యూరాలిమిన్ స్పార్స్‌ను కలిగి ఉన్నాయి, చెక్క పక్కటెముకలు మరియు ఫాబ్రిక్ కవరింగ్ ఉన్నాయి. ఫ్యూజ్‌లేజ్ నిర్మాణం వెల్డెడ్ స్టీల్ ట్యూబ్‌తో ఫాబ్రిక్ కవరింగ్‌తో తయారు చేయబడింది, పైలట్ మరియు గన్నర్ ఓపెన్ కాక్‌పిట్స్‌లో కలిసి కూర్చున్నారు. రెండు స్థిర ఫార్వర్డ్-ఫైరింగ్ మెషిన్ గన్స్ పైలట్ చేత నిర్వహించబడుతున్నాయి, వెనుక కాక్‌పిట్‌లో ఒకే సరళమైన మౌంటెడ్ మెషిన్ గన్. ఒక జంట తోక అమర్చబడింది, మరియు విమానంలో స్థిర టెయిల్‌వీల్ అండర్ క్యారేజ్ ఉంది. పవర్‌ప్లాంట్ అనేది సింగిల్ నకాజిమా కోటోబుకి, లైసెన్స్ నిర్మించిన బ్రిస్టల్ బృహస్పతి రేడియల్ ఇంజిన్, రెండు-బ్లేడ్ ప్రొపెల్లర్‌ను నడుపుతుంది. [2] [4] రెండు ప్రోటోటైప్‌లలో మొదటిది జనవరి 1931 లో పూర్తయింది, ఈ రెండు ప్రోటోటైప్‌లు ఈ సంవత్సరం తరువాత అధికారిక పరీక్ష కోసం నేవీకి పంపిణీ చేయబడ్డాయి. 16 సెప్టెంబర్ 1934 న యోకోసుకాలో డైవింగ్ పరీక్షల సందర్భంగా రెండవ నమూనా విడిపోయింది. పైలట్ పారాచూట్ చేత తప్పించుకున్నాడు, వెనుక సీటులో పరిశీలకుడు చంపబడ్డాడు. ఈ ప్రమాదం మిగిలి ఉన్న ప్రోటోటైప్ యొక్క పరీక్షను వదిలివేసింది, నకాజిమా పోటీదారు, NAF-2 కూడా తిరస్కరించబడింది, నావికాదళం రెండు-సీట్ల క్యారియర్ ఫైటర్ వర్గాన్ని వదిలివేసింది. [2] [4] జపనీస్ విమానం నుండి డేటా 1910-1941 [2] సాధారణ లక్షణాలు పనితీరు ఆయుధాలు</v>
      </c>
      <c r="F70" s="1" t="s">
        <v>1203</v>
      </c>
      <c r="G70" s="1" t="str">
        <f>IFERROR(__xludf.DUMMYFUNCTION("GOOGLETRANSLATE(F:F,""en"", ""te"")"),"ఫైటర్ విమానం")</f>
        <v>ఫైటర్ విమానం</v>
      </c>
      <c r="I70" s="1" t="s">
        <v>1204</v>
      </c>
      <c r="J70" s="1" t="str">
        <f>IFERROR(__xludf.DUMMYFUNCTION("GOOGLETRANSLATE(I:I,""en"", ""te"")"),"జపాన్")</f>
        <v>జపాన్</v>
      </c>
      <c r="K70" s="2" t="s">
        <v>1205</v>
      </c>
      <c r="L70" s="1" t="s">
        <v>1206</v>
      </c>
      <c r="M70" s="1" t="str">
        <f>IFERROR(__xludf.DUMMYFUNCTION("GOOGLETRANSLATE(L:L,""en"", ""te"")"),"మిత్సుబిషి కోకుకి కెకె")</f>
        <v>మిత్సుబిషి కోకుకి కెకె</v>
      </c>
      <c r="N70" s="1" t="s">
        <v>1207</v>
      </c>
      <c r="P70" s="1" t="s">
        <v>935</v>
      </c>
      <c r="Q70" s="1"/>
      <c r="S70" s="1">
        <v>2.0</v>
      </c>
      <c r="U70" s="1" t="s">
        <v>1439</v>
      </c>
      <c r="V70" s="1" t="s">
        <v>1440</v>
      </c>
      <c r="W70" s="1" t="s">
        <v>1441</v>
      </c>
      <c r="X70" s="1" t="s">
        <v>1442</v>
      </c>
      <c r="Y70" s="1" t="s">
        <v>1443</v>
      </c>
      <c r="AA70" s="1" t="s">
        <v>1444</v>
      </c>
      <c r="AH70" s="1" t="s">
        <v>1417</v>
      </c>
      <c r="AO70" s="1">
        <v>1934.0</v>
      </c>
      <c r="AQ70" s="1" t="s">
        <v>1445</v>
      </c>
      <c r="AW70" s="1" t="s">
        <v>1446</v>
      </c>
      <c r="BG70" s="1">
        <v>2.0</v>
      </c>
      <c r="BR70" s="1" t="s">
        <v>1447</v>
      </c>
    </row>
    <row r="71">
      <c r="A71" s="1" t="s">
        <v>1448</v>
      </c>
      <c r="B71" s="1" t="str">
        <f>IFERROR(__xludf.DUMMYFUNCTION("GOOGLETRANSLATE(A:A,""en"", ""te"")"),"గాలి సృష్టి తానార్గ్")</f>
        <v>గాలి సృష్టి తానార్గ్</v>
      </c>
      <c r="C71" s="1" t="s">
        <v>1449</v>
      </c>
      <c r="D71" s="1" t="str">
        <f>IFERROR(__xludf.DUMMYFUNCTION("GOOGLETRANSLATE(C:C,""en"", ""te"")"),"ఎయిర్ క్రియేషన్ టానార్గ్ ఒక ఫ్రెంచ్ అల్ట్రాలైట్ ట్రైక్, ఇది ఆబెనాస్ యొక్క గాలి సృష్టి ద్వారా రూపొందించబడింది మరియు ఉత్పత్తి చేయబడింది. విమానం పూర్తి రెడీ-టు-ఫ్లై-ఎయిర్‌క్రాఫ్ట్‌గా సరఫరా చేయబడుతుంది. [1] యునైటెడ్ కింగ్‌డమ్‌లో తానార్గ్ వాయు సృష్టి ద్వారా సర"&amp;"ఫరా చేయబడిన కిట్ల నుండి te త్సాహిక నిర్మించబడింది. [2] టానార్గ్ ఫెడెరేషన్ ఏరోనటిక్ ఇంటర్నేషనల్ మైక్రోలైట్ వర్గానికి అనుగుణంగా సుదూర క్రూజింగ్ ట్రైక్‌గా రూపొందించబడింది, ఇందులో వర్గం యొక్క గరిష్ట స్థూల బరువు 472.5 కిలోల (1,042 పౌండ్లు) బాలిస్టిక్ పారాచూట్‌"&amp;"తో ఉంది. ఇది యునైటెడ్ స్టేట్స్లో అంగీకరించబడిన ప్రత్యేక లైట్-స్పోర్ట్ విమానం. టానార్గ్ కేబుల్-బ్రేస్డ్ హాంగ్ గ్లైడర్-స్టైల్ హై-వింగ్, వెయిట్-షిఫ్ట్ కంట్రోల్స్, రెండు-సీట్ల తేమ, ఓపెన్ కాక్‌పిట్, వీల్ ప్యాంటుతో ట్రైసైకిల్ ల్యాండింగ్ గేర్ మరియు పషర్ కాన్ఫిగర"&amp;"ేషన్‌లో ఒకే ఇంజిన్ ఉన్నాయి. [1] [ 3] [4] [5] ఈ విమానం మిశ్రమ సంకోచం నుండి తయారవుతుంది, బోల్ట్-టుగెథర్ అల్యూమినియం గొట్టాలు, మిశ్రమాలు మరియు కార్బన్ ఫైబర్ ప్యానెల్లు, దాని డబుల్ ఉపరితల వింగ్ డాక్రాన్ సెయిల్‌క్లాత్‌లో కప్పబడి ఉంటుంది. బయోనిక్స్ వింగ్‌తో ఇది"&amp;" 9.85 మీ (32.3 అడుగులు) స్పాన్ కలిగి ఉంది, ఇది ఒకే ట్యూబ్-రకం కింగ్‌పోస్ట్‌కు మద్దతు ఇస్తుంది మరియు ""ఎ"" ఫ్రేమ్ వెయిట్-షిఫ్ట్ కంట్రోల్ బార్‌ను ఉపయోగిస్తుంది. పవర్‌ప్లాంట్ ఎంపికలలో ట్విన్ సిలిండర్, లిక్విడ్-కూల్డ్, టూ-స్ట్రోక్, డ్యూయల్-ఇగ్నిషన్ 64 హెచ్‌పి"&amp;" (48 కిలోవాట్ kW) రోటాక్స్ 912UL మరియు 100 HP (75 kW) రోటాక్స్ 912లు ఇంజన్లు. 912 ఇంజిన్‌తో ఈ విమానం ఖాళీ బరువు 249 కిలోలు (549 పౌండ్లు) మరియు స్థూల బరువు 472.5 కిలోలు (1,042 పౌండ్లు), ఇది 223.5 కిలోల (493 ఎల్బి) ఉపయోగకరమైన లోడ్‌ను ఇస్తుంది. 70 లీటర్ల పూర"&amp;"్తి ఇంధనంతో (15 ఇంప్ గల్; 18 యుఎస్ గాల్) పేలోడ్ 183 కిలోలు (403 ఎల్బి). [1] [3] [4] ఎయిర్ క్రియేషన్ ఇక్సెస్, ఎయిర్ క్రియేషన్ నువిక్స్, ఎయిర్ క్రియేషన్ ఫన్ మరియు ఎయిర్ క్రియేషన్ బయోనిక్స్ సహా ప్రాథమిక ట్రైక్‌కు అనేక విభిన్న రెక్కలను అమర్చవచ్చు. [1] [4] బేయ"&amp;"ర్ల్ మరియు గాలి సృష్టి నుండి డేటా [1] [6] సాధారణ లక్షణాల పనితీరు")</f>
        <v>ఎయిర్ క్రియేషన్ టానార్గ్ ఒక ఫ్రెంచ్ అల్ట్రాలైట్ ట్రైక్, ఇది ఆబెనాస్ యొక్క గాలి సృష్టి ద్వారా రూపొందించబడింది మరియు ఉత్పత్తి చేయబడింది. విమానం పూర్తి రెడీ-టు-ఫ్లై-ఎయిర్‌క్రాఫ్ట్‌గా సరఫరా చేయబడుతుంది. [1] యునైటెడ్ కింగ్‌డమ్‌లో తానార్గ్ వాయు సృష్టి ద్వారా సరఫరా చేయబడిన కిట్ల నుండి te త్సాహిక నిర్మించబడింది. [2] టానార్గ్ ఫెడెరేషన్ ఏరోనటిక్ ఇంటర్నేషనల్ మైక్రోలైట్ వర్గానికి అనుగుణంగా సుదూర క్రూజింగ్ ట్రైక్‌గా రూపొందించబడింది, ఇందులో వర్గం యొక్క గరిష్ట స్థూల బరువు 472.5 కిలోల (1,042 పౌండ్లు) బాలిస్టిక్ పారాచూట్‌తో ఉంది. ఇది యునైటెడ్ స్టేట్స్లో అంగీకరించబడిన ప్రత్యేక లైట్-స్పోర్ట్ విమానం. టానార్గ్ కేబుల్-బ్రేస్డ్ హాంగ్ గ్లైడర్-స్టైల్ హై-వింగ్, వెయిట్-షిఫ్ట్ కంట్రోల్స్, రెండు-సీట్ల తేమ, ఓపెన్ కాక్‌పిట్, వీల్ ప్యాంటుతో ట్రైసైకిల్ ల్యాండింగ్ గేర్ మరియు పషర్ కాన్ఫిగరేషన్‌లో ఒకే ఇంజిన్ ఉన్నాయి. [1] [ 3] [4] [5] ఈ విమానం మిశ్రమ సంకోచం నుండి తయారవుతుంది, బోల్ట్-టుగెథర్ అల్యూమినియం గొట్టాలు, మిశ్రమాలు మరియు కార్బన్ ఫైబర్ ప్యానెల్లు, దాని డబుల్ ఉపరితల వింగ్ డాక్రాన్ సెయిల్‌క్లాత్‌లో కప్పబడి ఉంటుంది. బయోనిక్స్ వింగ్‌తో ఇది 9.85 మీ (32.3 అడుగులు) స్పాన్ కలిగి ఉంది, ఇది ఒకే ట్యూబ్-రకం కింగ్‌పోస్ట్‌కు మద్దతు ఇస్తుంది మరియు "ఎ" ఫ్రేమ్ వెయిట్-షిఫ్ట్ కంట్రోల్ బార్‌ను ఉపయోగిస్తుంది. పవర్‌ప్లాంట్ ఎంపికలలో ట్విన్ సిలిండర్, లిక్విడ్-కూల్డ్, టూ-స్ట్రోక్, డ్యూయల్-ఇగ్నిషన్ 64 హెచ్‌పి (48 కిలోవాట్ kW) రోటాక్స్ 912UL మరియు 100 HP (75 kW) రోటాక్స్ 912లు ఇంజన్లు. 912 ఇంజిన్‌తో ఈ విమానం ఖాళీ బరువు 249 కిలోలు (549 పౌండ్లు) మరియు స్థూల బరువు 472.5 కిలోలు (1,042 పౌండ్లు), ఇది 223.5 కిలోల (493 ఎల్బి) ఉపయోగకరమైన లోడ్‌ను ఇస్తుంది. 70 లీటర్ల పూర్తి ఇంధనంతో (15 ఇంప్ గల్; 18 యుఎస్ గాల్) పేలోడ్ 183 కిలోలు (403 ఎల్బి). [1] [3] [4] ఎయిర్ క్రియేషన్ ఇక్సెస్, ఎయిర్ క్రియేషన్ నువిక్స్, ఎయిర్ క్రియేషన్ ఫన్ మరియు ఎయిర్ క్రియేషన్ బయోనిక్స్ సహా ప్రాథమిక ట్రైక్‌కు అనేక విభిన్న రెక్కలను అమర్చవచ్చు. [1] [4] బేయర్ల్ మరియు గాలి సృష్టి నుండి డేటా [1] [6] సాధారణ లక్షణాల పనితీరు</v>
      </c>
      <c r="E71" s="1" t="s">
        <v>1450</v>
      </c>
      <c r="F71" s="1" t="s">
        <v>1451</v>
      </c>
      <c r="G71" s="1" t="str">
        <f>IFERROR(__xludf.DUMMYFUNCTION("GOOGLETRANSLATE(F:F,""en"", ""te"")"),"అల్ట్రాలైట్ ట్రైక్ మరియు లైట్-స్పోర్ట్ విమానం")</f>
        <v>అల్ట్రాలైట్ ట్రైక్ మరియు లైట్-స్పోర్ట్ విమానం</v>
      </c>
      <c r="H71" s="1" t="s">
        <v>1452</v>
      </c>
      <c r="I71" s="1" t="s">
        <v>798</v>
      </c>
      <c r="J71" s="1" t="str">
        <f>IFERROR(__xludf.DUMMYFUNCTION("GOOGLETRANSLATE(I:I,""en"", ""te"")"),"ఫ్రాన్స్")</f>
        <v>ఫ్రాన్స్</v>
      </c>
      <c r="K71" s="2" t="s">
        <v>1166</v>
      </c>
      <c r="L71" s="1" t="s">
        <v>1409</v>
      </c>
      <c r="M71" s="1" t="str">
        <f>IFERROR(__xludf.DUMMYFUNCTION("GOOGLETRANSLATE(L:L,""en"", ""te"")"),"గాలి సృష్టి")</f>
        <v>గాలి సృష్టి</v>
      </c>
      <c r="N71" s="1" t="s">
        <v>1410</v>
      </c>
      <c r="P71" s="1" t="s">
        <v>1411</v>
      </c>
      <c r="Q71" s="1"/>
      <c r="S71" s="1" t="s">
        <v>164</v>
      </c>
      <c r="T71" s="1" t="s">
        <v>165</v>
      </c>
      <c r="V71" s="1" t="s">
        <v>1453</v>
      </c>
      <c r="W71" s="1" t="s">
        <v>1454</v>
      </c>
      <c r="X71" s="1" t="s">
        <v>1455</v>
      </c>
      <c r="Y71" s="1" t="s">
        <v>1171</v>
      </c>
      <c r="Z71" s="1" t="s">
        <v>1456</v>
      </c>
      <c r="AA71" s="1" t="s">
        <v>204</v>
      </c>
      <c r="AB71" s="1" t="s">
        <v>1457</v>
      </c>
      <c r="AD71" s="1" t="s">
        <v>1458</v>
      </c>
      <c r="AE71" s="1" t="s">
        <v>1459</v>
      </c>
      <c r="AF71" s="1" t="s">
        <v>1460</v>
      </c>
      <c r="AH71" s="1" t="s">
        <v>1461</v>
      </c>
      <c r="AI71" s="1" t="s">
        <v>1462</v>
      </c>
      <c r="AQ71" s="1" t="s">
        <v>1463</v>
      </c>
      <c r="BD71" s="1">
        <v>6.4</v>
      </c>
    </row>
    <row r="72">
      <c r="A72" s="1" t="s">
        <v>1464</v>
      </c>
      <c r="B72" s="1" t="str">
        <f>IFERROR(__xludf.DUMMYFUNCTION("GOOGLETRANSLATE(A:A,""en"", ""te"")"),"మిస్ పిట్స్బర్గ్")</f>
        <v>మిస్ పిట్స్బర్గ్</v>
      </c>
      <c r="C72" s="1" t="s">
        <v>1465</v>
      </c>
      <c r="D72" s="1" t="str">
        <f>IFERROR(__xludf.DUMMYFUNCTION("GOOGLETRANSLATE(C:C,""en"", ""te"")"),"మిస్ పిట్స్బర్గ్ ఒక చారిత్రాత్మక వాకో 9 విమానం, ఇది కర్టిస్ ఆక్స్ -5 ఇంజిన్ చేత శక్తినిస్తుంది, ఇది పిట్స్బర్గ్, పెన్సిల్వేనియా నుండి ఒహియోలోని క్లీవ్‌ల్యాండ్‌కు మొట్టమొదటి ఎయిర్‌మెయిల్ ఫ్లైట్ చేసినందుకు ప్రసిద్ది చెందింది. [A] [1] మిస్ పిట్స్బర్గ్ తిరిగి"&amp;" కనుగొనబడింది మరియు పునరుద్ధరించబడింది OX 5 ఏవియేషన్ మార్గదర్శకులచే, మరియు ఇప్పుడు పిట్స్బర్గ్ అంతర్జాతీయ విమానాశ్రయ ల్యాండ్‌సైడ్ టెర్మినల్‌లో ప్రదర్శించబడుతుంది. మిస్ పిట్స్బర్గ్ ఒక వాకో 9, ఇది అడ్వాన్స్ ఎయిర్క్రాఫ్ట్ కంపెనీ చేత నిర్మించబడింది, తరువాత దీ"&amp;"నిని వాకో అని పిలుస్తారు, దీనిని కర్టిస్ ఆక్స్ -5 ఇంజిన్ ద్వారా నడిపిస్తుంది. మిస్ పిట్స్బర్గ్ యొక్క ఫ్యూజ్‌లేజ్ పత్తి వస్త్రంతో కప్పబడిన లోహ గొట్టాల నుండి నిర్మించబడింది మరియు రెక్కలు స్ప్రూస్‌తో తయారు చేయబడ్డాయి. [2] [3] మిస్ పిట్స్బర్గ్ గంటకు 100 మైళ్ళ"&amp;" వేగంతో 800 పౌండ్ల వరకు రవాణా చేయగలదు, సాధారణంగా 1,000–5,000 అడుగుల (300–1,520 మీ) మధ్య ఎత్తులో. [2] మిస్ పిట్స్బర్గ్ యొక్క మొదటి యజమాని క్లిఫోర్డ్ ఎ. బాల్, గతంలో ఆటో-మొబైల్ డీలర్, అతను మెక్‌కీస్పోర్ట్ సమీపంలోని విమానాశ్రయం అయిన బెట్టిస్ ఫీల్డ్‌లో చెల్లిం"&amp;"చని నిల్వ ఛార్జీలకు పరిహారంగా అనేక విమానాలను కొనుగోలు చేశాడు, దీనిలో అతనికి నియంత్రణ ఆసక్తి ఉంది. [3] మొట్టమొదటి ఎయిర్‌మెయిల్ ఫ్లైట్ 21 ఏప్రిల్ 1927 మధ్యాహ్నం, పిట్స్బర్గ్, పెన్సిల్వేనియా నుండి క్లీవ్‌ల్యాండ్, ఒహియోకు 121 MI (105 NMI; 195 కి.మీ) మార్గంలో "&amp;"బయలుదేరింది. [3] ఈ మార్గం కోసం యుఎస్ పోస్ట్ ఆఫీస్ విభాగం బాల్ కాంట్రాక్ట్ ఎయిర్ మెయిల్ నంబర్ 11 ను ప్రదానం చేసింది, మరియు అతను మరో రెండు వాకో 9 లను (మిస్ యంగ్స్టౌన్ మరియు మిస్ మెక్‌కీస్పోర్ట్) కొనుగోలు చేయడం ద్వారా స్కైలైన్ రవాణా సంస్థను విస్తరించాడు. [3]"&amp;" [4] [5] స్కైలైన్ రవాణా సంస్థ మరింత విమానాలను కొనుగోలు చేసింది, క్లిఫ్ బాల్ మెయిల్ లైన్‌గా మార్చబడింది మరియు తరువాత పెన్సిల్వేనియా ఎయిర్‌లైన్స్, పెన్సిల్వేనియా సెంట్రల్ ఎయిర్‌లైన్స్, క్యాపిటల్ ఎయిర్‌లైన్స్ అని పేరు మార్చబడింది మరియు చివరకు యునైటెడ్ ఎయిర్‌"&amp;"లైన్స్‌లో భాగమైంది. [3] [4] [5] వాకో 9 లు వాడుకలో లేనందున, మిస్ పిట్స్బర్గ్ ఫ్లోరిడాకు వెళ్ళింది, ఇక్కడ ఈ విమానం 1960 లలో ప్రకటనల కోసం ఉపయోగించబడింది, చివరికి న్యూయార్క్‌లో విడదీయబడింది. [2] 1993 లో, OX 5 మార్గదర్శకులు ఈ విమానం రైన్‌బెక్ న్యూయార్క్ ఏరోడ్ర"&amp;"ోమ్ వద్ద ఉన్నారు. [2] పిట్స్బర్గ్ ఇన్స్టిట్యూట్ ఆఫ్ ఏరోనాటిక్స్ మద్దతుతో, విమానం పిట్స్బర్గ్కు తిరిగి రావడానికి ఈ బృందం డబ్బును సేకరించింది మరియు పునరుద్ధరణ తరువాత దీనిని పిట్స్బర్గ్ అంతర్జాతీయ విమానాశ్రయం ల్యాండ్‌సైడ్ టెర్మినల్‌లో ప్రదర్శించారు. [2] [2] "&amp;"[6] సాధారణ లక్షణాల పనితీరు నుండి డేటా .mw- పార్సర్-అవుట్పుట్ .సిటేషన్. }^ స్పష్టంగా చెప్పాలంటే, పిట్స్బర్గ్ మరియు క్లీవ్‌ల్యాండ్ ప్రాంతంలో ఎయిర్‌మెయిల్‌ను అందించే మొదటి విమానం మిస్ పిట్స్బర్గ్, కానీ ప్రపంచంలో మొదటిది కాదు, లేదా యునైటెడ్ స్టేట్స్లో మొదటిది"&amp;" కాదు.")</f>
        <v>మిస్ పిట్స్బర్గ్ ఒక చారిత్రాత్మక వాకో 9 విమానం, ఇది కర్టిస్ ఆక్స్ -5 ఇంజిన్ చేత శక్తినిస్తుంది, ఇది పిట్స్బర్గ్, పెన్సిల్వేనియా నుండి ఒహియోలోని క్లీవ్‌ల్యాండ్‌కు మొట్టమొదటి ఎయిర్‌మెయిల్ ఫ్లైట్ చేసినందుకు ప్రసిద్ది చెందింది. [A] [1] మిస్ పిట్స్బర్గ్ తిరిగి కనుగొనబడింది మరియు పునరుద్ధరించబడింది OX 5 ఏవియేషన్ మార్గదర్శకులచే, మరియు ఇప్పుడు పిట్స్బర్గ్ అంతర్జాతీయ విమానాశ్రయ ల్యాండ్‌సైడ్ టెర్మినల్‌లో ప్రదర్శించబడుతుంది. మిస్ పిట్స్బర్గ్ ఒక వాకో 9, ఇది అడ్వాన్స్ ఎయిర్క్రాఫ్ట్ కంపెనీ చేత నిర్మించబడింది, తరువాత దీనిని వాకో అని పిలుస్తారు, దీనిని కర్టిస్ ఆక్స్ -5 ఇంజిన్ ద్వారా నడిపిస్తుంది. మిస్ పిట్స్బర్గ్ యొక్క ఫ్యూజ్‌లేజ్ పత్తి వస్త్రంతో కప్పబడిన లోహ గొట్టాల నుండి నిర్మించబడింది మరియు రెక్కలు స్ప్రూస్‌తో తయారు చేయబడ్డాయి. [2] [3] మిస్ పిట్స్బర్గ్ గంటకు 100 మైళ్ళ వేగంతో 800 పౌండ్ల వరకు రవాణా చేయగలదు, సాధారణంగా 1,000–5,000 అడుగుల (300–1,520 మీ) మధ్య ఎత్తులో. [2] మిస్ పిట్స్బర్గ్ యొక్క మొదటి యజమాని క్లిఫోర్డ్ ఎ. బాల్, గతంలో ఆటో-మొబైల్ డీలర్, అతను మెక్‌కీస్పోర్ట్ సమీపంలోని విమానాశ్రయం అయిన బెట్టిస్ ఫీల్డ్‌లో చెల్లించని నిల్వ ఛార్జీలకు పరిహారంగా అనేక విమానాలను కొనుగోలు చేశాడు, దీనిలో అతనికి నియంత్రణ ఆసక్తి ఉంది. [3] మొట్టమొదటి ఎయిర్‌మెయిల్ ఫ్లైట్ 21 ఏప్రిల్ 1927 మధ్యాహ్నం, పిట్స్బర్గ్, పెన్సిల్వేనియా నుండి క్లీవ్‌ల్యాండ్, ఒహియోకు 121 MI (105 NMI; 195 కి.మీ) మార్గంలో బయలుదేరింది. [3] ఈ మార్గం కోసం యుఎస్ పోస్ట్ ఆఫీస్ విభాగం బాల్ కాంట్రాక్ట్ ఎయిర్ మెయిల్ నంబర్ 11 ను ప్రదానం చేసింది, మరియు అతను మరో రెండు వాకో 9 లను (మిస్ యంగ్స్టౌన్ మరియు మిస్ మెక్‌కీస్పోర్ట్) కొనుగోలు చేయడం ద్వారా స్కైలైన్ రవాణా సంస్థను విస్తరించాడు. [3] [4] [5] స్కైలైన్ రవాణా సంస్థ మరింత విమానాలను కొనుగోలు చేసింది, క్లిఫ్ బాల్ మెయిల్ లైన్‌గా మార్చబడింది మరియు తరువాత పెన్సిల్వేనియా ఎయిర్‌లైన్స్, పెన్సిల్వేనియా సెంట్రల్ ఎయిర్‌లైన్స్, క్యాపిటల్ ఎయిర్‌లైన్స్ అని పేరు మార్చబడింది మరియు చివరకు యునైటెడ్ ఎయిర్‌లైన్స్‌లో భాగమైంది. [3] [4] [5] వాకో 9 లు వాడుకలో లేనందున, మిస్ పిట్స్బర్గ్ ఫ్లోరిడాకు వెళ్ళింది, ఇక్కడ ఈ విమానం 1960 లలో ప్రకటనల కోసం ఉపయోగించబడింది, చివరికి న్యూయార్క్‌లో విడదీయబడింది. [2] 1993 లో, OX 5 మార్గదర్శకులు ఈ విమానం రైన్‌బెక్ న్యూయార్క్ ఏరోడ్రోమ్ వద్ద ఉన్నారు. [2] పిట్స్బర్గ్ ఇన్స్టిట్యూట్ ఆఫ్ ఏరోనాటిక్స్ మద్దతుతో, విమానం పిట్స్బర్గ్కు తిరిగి రావడానికి ఈ బృందం డబ్బును సేకరించింది మరియు పునరుద్ధరణ తరువాత దీనిని పిట్స్బర్గ్ అంతర్జాతీయ విమానాశ్రయం ల్యాండ్‌సైడ్ టెర్మినల్‌లో ప్రదర్శించారు. [2] [2] [6] సాధారణ లక్షణాల పనితీరు నుండి డేటా .mw- పార్సర్-అవుట్పుట్ .సిటేషన్. }^ స్పష్టంగా చెప్పాలంటే, పిట్స్బర్గ్ మరియు క్లీవ్‌ల్యాండ్ ప్రాంతంలో ఎయిర్‌మెయిల్‌ను అందించే మొదటి విమానం మిస్ పిట్స్బర్గ్, కానీ ప్రపంచంలో మొదటిది కాదు, లేదా యునైటెడ్ స్టేట్స్లో మొదటిది కాదు.</v>
      </c>
      <c r="E72" s="1" t="s">
        <v>1466</v>
      </c>
      <c r="G72" s="1" t="str">
        <f>IFERROR(__xludf.DUMMYFUNCTION("GOOGLETRANSLATE(F:F,""en"", ""te"")"),"#VALUE!")</f>
        <v>#VALUE!</v>
      </c>
      <c r="L72" s="1" t="s">
        <v>1467</v>
      </c>
      <c r="M72" s="1" t="str">
        <f>IFERROR(__xludf.DUMMYFUNCTION("GOOGLETRANSLATE(L:L,""en"", ""te"")"),"అడ్వాన్స్ ఎయిర్క్రాఫ్ట్ కంపెనీ")</f>
        <v>అడ్వాన్స్ ఎయిర్క్రాఫ్ట్ కంపెనీ</v>
      </c>
      <c r="N72" s="1" t="s">
        <v>1468</v>
      </c>
      <c r="S72" s="1">
        <v>1.0</v>
      </c>
      <c r="T72" s="1" t="s">
        <v>1469</v>
      </c>
      <c r="U72" s="1" t="s">
        <v>1470</v>
      </c>
      <c r="AA72" s="1" t="s">
        <v>1471</v>
      </c>
      <c r="AB72" s="1" t="s">
        <v>1472</v>
      </c>
      <c r="AH72" s="1" t="s">
        <v>1473</v>
      </c>
      <c r="AI72" s="1" t="s">
        <v>1474</v>
      </c>
      <c r="AK72" s="1" t="s">
        <v>757</v>
      </c>
      <c r="AQ72" s="1" t="s">
        <v>1475</v>
      </c>
      <c r="BV72" s="1" t="s">
        <v>1476</v>
      </c>
      <c r="BW72" s="1" t="s">
        <v>1477</v>
      </c>
      <c r="CP72" s="1" t="s">
        <v>1478</v>
      </c>
      <c r="CQ72" s="1" t="s">
        <v>1479</v>
      </c>
    </row>
    <row r="73">
      <c r="A73" s="1" t="s">
        <v>1480</v>
      </c>
      <c r="B73" s="1" t="str">
        <f>IFERROR(__xludf.DUMMYFUNCTION("GOOGLETRANSLATE(A:A,""en"", ""te"")"),"ఆస్టర్ ఆటోకార్")</f>
        <v>ఆస్టర్ ఆటోకార్</v>
      </c>
      <c r="C73" s="1" t="s">
        <v>1481</v>
      </c>
      <c r="D73" s="1" t="str">
        <f>IFERROR(__xludf.DUMMYFUNCTION("GOOGLETRANSLATE(C:C,""en"", ""te"")"),"ఆస్టర్ J/5 ఆటోకార్ 1940 ల చివరలో బ్రిటిష్ సింగిల్-ఇంజిన్ నాలుగు-సీట్ల హై-వింగ్ టూరింగ్ మోనోప్లేన్, లీసెస్టర్షైర్లోని రియర్స్బై వద్ద ఆస్టర్ ఎయిర్క్రాఫ్ట్ లిమిటెడ్ నిర్మించబడింది. మూడు సీట్ల ఆస్టర్ జె/1 ఆటోక్రాట్‌ను పూర్తి చేయడానికి నాలుగు సీట్ల టూరింగ్ విమ"&amp;"ానాల అవసరాన్ని కంపెనీ గుర్తించింది. J/5 ఆటోకార్ ఆటోక్రాట్ మాదిరిగానే కనిపించింది, కానీ వింగ్-రూట్ ఇంధన ట్యాంకులు మరియు విస్తరించిన క్యాబిన్ కలిగి ఉన్న కొత్త మోడల్. ఆటోకార్ కోసం J/5 యొక్క హోదా దాని పూర్వీకుడు, యుద్ధకాల మోడల్ J నుండి జరిగింది, దీనిని రాయల్ "&amp;"వైమానిక దళం ఆస్టర్ AOP.V గా నియమించారు. J మోడల్ నుండి పొందిన యుద్ధానంతర నమూనాలు J/1 ఆటోక్రాట్‌తో ప్రారంభమయ్యాయి - J/1 వాడకాన్ని గమనించండి, J -1 కాదు. [1] [2] ప్రోటోటైప్ ఆటోకార్ జి-అజిక్, మోడల్ J/5B, మొదట ఆగస్టు 1949 లో ప్రయాణించింది మరియు సెప్టెంబరులో ఫర్"&amp;"న్‌బరో ఎయిర్ షోలో ప్రదర్శించబడింది. [3] 1950 లో ఉత్పత్తి చేయబడిన ఉష్ణమండల కోసం మరింత శక్తివంతమైన సంస్కరణ కోసం డిమాండ్ 155 హెచ్‌పి (116 కిలోవాట్) బ్లాక్బర్న్ సిర్రస్ మేజర్ ఇంజిన్ చేత శక్తినిస్తుంది. ఇది J/5G గా మరింత అభివృద్ధి చేయబడింది, ఇది మొట్టమొదట 1951"&amp;" లో ఎగురవేయబడింది మరియు దీనిని సిరస్ ఆటోకార్ అని కూడా పిలుస్తారు. [4] తరువాతి J/5P మరింత శక్తివంతమైన డి హవిలాండ్ జిప్సీ మేజర్ ఇంజిన్‌కు తిరిగి వచ్చింది. [5] ఇతర వేరియంట్లు వన్-ఆఫ్ డెవలప్‌మెంట్ విమానంగా నిర్మించబడ్డాయి మరియు కొన్ని ఆస్ట్రేలియాలో ఎక్కువ మోర"&amp;"్డెర్న్ ఇంజిన్లతో మార్చబడ్డాయి. ఐల్ ఆఫ్ వైట్ యొక్క సాండర్స్-రో, ఐల్ ఆఫ్ వైట్, J/5G ఆటోకార్ను సంపాదించింది మరియు దానిని ప్రయోగాత్మక హైడ్రో-స్కీ అండర్ క్యారేజ్ మరియు అత్యవసర అండర్-వింగ్ ఫ్లోట్లతో అమర్చారు. ఈ పరికరాలతో, విమానం నీటిపై దాదాపు స్థిరంగా ఉంటుంది."&amp;" ఉత్పత్తి ఆటోకార్లలో ఎక్కువ భాగం పదహారు దేశాలకు ఎగుమతి చేయబడ్డాయి మరియు తరువాత మరో ఐదు భూభాగాల్లో తిరిగి అమ్ముడయ్యాయి. [3] ఆటోకార్‌ను ప్రధానంగా ప్రైవేట్ పైలట్ యజమానులు మరియు ఏరో క్లబ్‌లు నిర్వహిస్తున్నాయి, కాని కొన్నింటిని UK మరియు ఇతర చోట్ల చిన్న చార్టర్"&amp;" సంస్థలు టాక్సీ మరియు ఫోటోగ్రాఫిక్ విమానాలుగా ఉపయోగించాయి. పెస్ట్ కంట్రోల్ లిమిటెడ్ సుడాన్లో పంట స్ప్రేయింగ్ కార్యకలాపాల కోసం 1952 లో ఐదు జె/5 జి ఆటోకార్ల డెలివరీని తీసుకుంది. జేన్ యొక్క ఆల్ ది వరల్డ్ విమానాల నుండి యునైటెడ్ కింగ్‌డమ్ డేటా 1953–54 [9] వికీ"&amp;"మీడియా కామన్స్ వద్ద ఆస్టర్ ఆటోకార్‌కు సంబంధించిన సాధారణ లక్షణాల పనితీరు మీడియా")</f>
        <v>ఆస్టర్ J/5 ఆటోకార్ 1940 ల చివరలో బ్రిటిష్ సింగిల్-ఇంజిన్ నాలుగు-సీట్ల హై-వింగ్ టూరింగ్ మోనోప్లేన్, లీసెస్టర్షైర్లోని రియర్స్బై వద్ద ఆస్టర్ ఎయిర్క్రాఫ్ట్ లిమిటెడ్ నిర్మించబడింది. మూడు సీట్ల ఆస్టర్ జె/1 ఆటోక్రాట్‌ను పూర్తి చేయడానికి నాలుగు సీట్ల టూరింగ్ విమానాల అవసరాన్ని కంపెనీ గుర్తించింది. J/5 ఆటోకార్ ఆటోక్రాట్ మాదిరిగానే కనిపించింది, కానీ వింగ్-రూట్ ఇంధన ట్యాంకులు మరియు విస్తరించిన క్యాబిన్ కలిగి ఉన్న కొత్త మోడల్. ఆటోకార్ కోసం J/5 యొక్క హోదా దాని పూర్వీకుడు, యుద్ధకాల మోడల్ J నుండి జరిగింది, దీనిని రాయల్ వైమానిక దళం ఆస్టర్ AOP.V గా నియమించారు. J మోడల్ నుండి పొందిన యుద్ధానంతర నమూనాలు J/1 ఆటోక్రాట్‌తో ప్రారంభమయ్యాయి - J/1 వాడకాన్ని గమనించండి, J -1 కాదు. [1] [2] ప్రోటోటైప్ ఆటోకార్ జి-అజిక్, మోడల్ J/5B, మొదట ఆగస్టు 1949 లో ప్రయాణించింది మరియు సెప్టెంబరులో ఫర్న్‌బరో ఎయిర్ షోలో ప్రదర్శించబడింది. [3] 1950 లో ఉత్పత్తి చేయబడిన ఉష్ణమండల కోసం మరింత శక్తివంతమైన సంస్కరణ కోసం డిమాండ్ 155 హెచ్‌పి (116 కిలోవాట్) బ్లాక్బర్న్ సిర్రస్ మేజర్ ఇంజిన్ చేత శక్తినిస్తుంది. ఇది J/5G గా మరింత అభివృద్ధి చేయబడింది, ఇది మొట్టమొదట 1951 లో ఎగురవేయబడింది మరియు దీనిని సిరస్ ఆటోకార్ అని కూడా పిలుస్తారు. [4] తరువాతి J/5P మరింత శక్తివంతమైన డి హవిలాండ్ జిప్సీ మేజర్ ఇంజిన్‌కు తిరిగి వచ్చింది. [5] ఇతర వేరియంట్లు వన్-ఆఫ్ డెవలప్‌మెంట్ విమానంగా నిర్మించబడ్డాయి మరియు కొన్ని ఆస్ట్రేలియాలో ఎక్కువ మోర్డెర్న్ ఇంజిన్లతో మార్చబడ్డాయి. ఐల్ ఆఫ్ వైట్ యొక్క సాండర్స్-రో, ఐల్ ఆఫ్ వైట్, J/5G ఆటోకార్ను సంపాదించింది మరియు దానిని ప్రయోగాత్మక హైడ్రో-స్కీ అండర్ క్యారేజ్ మరియు అత్యవసర అండర్-వింగ్ ఫ్లోట్లతో అమర్చారు. ఈ పరికరాలతో, విమానం నీటిపై దాదాపు స్థిరంగా ఉంటుంది. ఉత్పత్తి ఆటోకార్లలో ఎక్కువ భాగం పదహారు దేశాలకు ఎగుమతి చేయబడ్డాయి మరియు తరువాత మరో ఐదు భూభాగాల్లో తిరిగి అమ్ముడయ్యాయి. [3] ఆటోకార్‌ను ప్రధానంగా ప్రైవేట్ పైలట్ యజమానులు మరియు ఏరో క్లబ్‌లు నిర్వహిస్తున్నాయి, కాని కొన్నింటిని UK మరియు ఇతర చోట్ల చిన్న చార్టర్ సంస్థలు టాక్సీ మరియు ఫోటోగ్రాఫిక్ విమానాలుగా ఉపయోగించాయి. పెస్ట్ కంట్రోల్ లిమిటెడ్ సుడాన్లో పంట స్ప్రేయింగ్ కార్యకలాపాల కోసం 1952 లో ఐదు జె/5 జి ఆటోకార్ల డెలివరీని తీసుకుంది. జేన్ యొక్క ఆల్ ది వరల్డ్ విమానాల నుండి యునైటెడ్ కింగ్‌డమ్ డేటా 1953–54 [9] వికీమీడియా కామన్స్ వద్ద ఆస్టర్ ఆటోకార్‌కు సంబంధించిన సాధారణ లక్షణాల పనితీరు మీడియా</v>
      </c>
      <c r="E73" s="1" t="s">
        <v>1482</v>
      </c>
      <c r="F73" s="1" t="s">
        <v>1483</v>
      </c>
      <c r="G73" s="1" t="str">
        <f>IFERROR(__xludf.DUMMYFUNCTION("GOOGLETRANSLATE(F:F,""en"", ""te"")"),"పర్యటన విమానం")</f>
        <v>పర్యటన విమానం</v>
      </c>
      <c r="L73" s="1" t="s">
        <v>1484</v>
      </c>
      <c r="M73" s="1" t="str">
        <f>IFERROR(__xludf.DUMMYFUNCTION("GOOGLETRANSLATE(L:L,""en"", ""te"")"),"ఆస్టర్ ఎయిర్క్రాఫ్ట్ లిమిటెడ్")</f>
        <v>ఆస్టర్ ఎయిర్క్రాఫ్ట్ లిమిటెడ్</v>
      </c>
      <c r="N73" s="1" t="s">
        <v>1485</v>
      </c>
      <c r="O73" s="1">
        <v>1950.0</v>
      </c>
      <c r="P73" s="1" t="s">
        <v>1486</v>
      </c>
      <c r="Q73" s="1"/>
      <c r="R73" s="1">
        <v>202.0</v>
      </c>
      <c r="S73" s="1">
        <v>1.0</v>
      </c>
      <c r="T73" s="1" t="s">
        <v>847</v>
      </c>
      <c r="U73" s="1" t="s">
        <v>1487</v>
      </c>
      <c r="V73" s="1" t="s">
        <v>1488</v>
      </c>
      <c r="W73" s="1" t="s">
        <v>850</v>
      </c>
      <c r="X73" s="1" t="s">
        <v>1489</v>
      </c>
      <c r="Y73" s="1" t="s">
        <v>1490</v>
      </c>
      <c r="Z73" s="1" t="s">
        <v>1491</v>
      </c>
      <c r="AA73" s="1" t="s">
        <v>1492</v>
      </c>
      <c r="AB73" s="1" t="s">
        <v>1493</v>
      </c>
      <c r="AD73" s="1" t="s">
        <v>1494</v>
      </c>
      <c r="AG73" s="1" t="s">
        <v>1495</v>
      </c>
      <c r="AH73" s="1" t="s">
        <v>1496</v>
      </c>
      <c r="AI73" s="1" t="s">
        <v>1497</v>
      </c>
      <c r="AK73" s="1" t="s">
        <v>602</v>
      </c>
      <c r="AL73" s="1" t="s">
        <v>1498</v>
      </c>
      <c r="AO73" s="3">
        <v>18111.0</v>
      </c>
      <c r="AQ73" s="1" t="s">
        <v>1499</v>
      </c>
      <c r="AR73" s="1" t="s">
        <v>1500</v>
      </c>
      <c r="BG73" s="1" t="s">
        <v>1501</v>
      </c>
      <c r="BJ73" s="1" t="s">
        <v>1502</v>
      </c>
      <c r="BK73" s="1" t="s">
        <v>1503</v>
      </c>
    </row>
    <row r="74">
      <c r="A74" s="1" t="s">
        <v>1504</v>
      </c>
      <c r="B74" s="1" t="str">
        <f>IFERROR(__xludf.DUMMYFUNCTION("GOOGLETRANSLATE(A:A,""en"", ""te"")"),"MIP స్మిక్")</f>
        <v>MIP స్మిక్</v>
      </c>
      <c r="C74" s="1" t="s">
        <v>1505</v>
      </c>
      <c r="D74" s="1" t="str">
        <f>IFERROR(__xludf.DUMMYFUNCTION("GOOGLETRANSLATE(C:C,""en"", ""te"")"),"MIP స్మిక్, దాని పోలిష్ డిజైనర్ల అక్షరాల నుండి MIP, SMYK తో బ్రాట్ లేదా పిల్లవాడిని అర్ధం, ఇది 1935 నుండి వార్సా టెక్నికల్ విశ్వవిద్యాలయంలో రూపొందించిన మరియు నిర్మించిన ఏరోడైనమిక్‌గా శుద్ధి చేసిన మోటారు గ్లైడర్. SMYK ని వార్సా టెక్నికల్ యూనివర్శిటీ, లుడ్వ"&amp;"ిగ్ మోజార్స్కి యొక్క ముగ్గురు విద్యార్థులు రూపొందించారు , జాన్ ఇడోవ్స్కీ మరియు జెర్జీ ప్లోస్జాజ్స్కి, డిప్లొమా ప్రాజెక్టుగా. వారి లక్ష్యం తక్కువ-శక్తి మోటారు గ్లైడర్, సాధ్యమైనంత తక్కువ డ్రాగ్‌తో ఉంటుంది. [1] [2] ఫలితం ఒక చెక్క, భుజం వింగ్ కాంటిలివర్ మోనోప"&amp;"్లేన్, ముడుచుకునే అండర్ క్యారేజీతో, 12–18 కిలోవాట్ల (16–24 హెచ్‌పి) స్కాట్ ఫ్లయింగ్ స్క్విరెల్ ఎఎస్ -2 విలోమ, ఎయిర్-కూల్డ్, ట్విన్-సిలిండర్, టూ-స్ట్రోక్ ఇంజిన్. 1]. టోర్షన్ బాక్స్ వెనుక రెక్క ఫాబ్రిక్ కప్పబడి ఉంది. సహాయక వెనుక స్పార్ దీర్ఘకాలం, దెబ్బతిన్న"&amp;" ఐలెరాన్‌లను కలిగి ఉంది. రెక్క యొక్క లోతైన, పూర్తిగా ప్లై-కప్పబడిన సెంటర్-సెక్షన్ రెక్కల మూలాలను ఎగువ ఫ్యూజ్‌లేజ్‌లోకి మిళితం చేసింది. [1] [2] స్మిక్ యొక్క కాక్‌పిట్ టోర్షన్ బాక్స్‌లో రీన్ఫోర్స్డ్ కటౌట్ లోపల వింగ్ మెయిన్ స్పార్ కంటే వెంటనే ముందుంది, దాని "&amp;"వెనుక-హింగ్డ్ పారదర్శకత వింగ్ ప్రొఫైల్‌ను దగ్గరగా దగ్గరగా ఉంది. స్క్విరెల్ ఇంజిన్ సాంప్రదాయకంగా ముక్కులో కౌల్డ్ చేయబడింది, ప్రధాన స్పార్ వెనుక రెక్క మధ్యలో ఇంధన ట్యాంక్ ఉంది. ఫ్యూజ్‌లేజ్ యొక్క కేంద్ర భాగం ఓవల్ విభాగం, ప్లైవుడ్-కప్పబడిన, సెమీ-మోనోకోక్ నిర్"&amp;"మాణం, అయితే వెనుక నియంత్రణ ఉపరితల కేబులింగ్‌ను సులభంగా తనిఖీ చేయడానికి వెనుక ఫ్యూజ్‌లేజ్ అల్యూమినియం-కప్పబడి ఉంది. దీని ఫిన్ ఫ్యూజ్‌లేజ్ యొక్క ప్లై-కప్పబడిన సమగ్ర భాగం మరియు ఒక ఫాబ్రిక్ కప్పబడిన చుక్కానిని తీసుకువెళ్ళింది; దెబ్బతిన్న, మొద్దుబారిన, మొద్దుబ"&amp;"ారిన, కాంటిలివర్ క్షితిజ సమాంతర తోకను ఇన్సెట్ ఎలివేటర్లతో మిడ్-ఫ్యూజ్‌లేజ్ వద్ద అమర్చారు. [1] [2] స్మిక్ యొక్క అసాధారణమైన ముడుచుకునే అండర్ క్యారేజ్ రెండు స్వతంత్ర చిన్న, నిలువు కాళ్ళను కలిగి ఉంది, సంపీడన రబ్బరు షాక్ అబ్జార్బర్స్ మరియు పెద్ద, తక్కువ పీడన ట"&amp;"ైర్లతో. ప్రతి లెగ్ టాప్ ఒక V- స్ట్రట్ మీద కఠినంగా అమర్చబడి, బల్క్‌హెడ్-మౌంటెడ్ అంతర్గత చట్రంలో ఫ్యూజ్‌లేజ్ యొక్క రేఖాంశ మరియు నిలువు అక్షాలకు స్వల్ప కోణాల వద్ద ఉంటుంది. కాళ్ళను గొలుసు వ్యవస్థతో ఎత్తివేసినప్పుడు కీలు జ్యామితి, మడత గట్టిపడే స్ట్రట్‌తో కలిపి"&amp;", చక్రాలను ఫ్యూజ్‌లేజ్ లోపల ఉంచి, దాని వైపులా సమాంతరంగా ఉంటుంది. రెండు జతల అండర్ క్యారేజ్ తలుపులు ఉన్నాయి, కాళ్ళు కదలికలో ఉన్నప్పుడు వెనుక ఒకటి మాత్రమే తెరిచి ఉంది. టెయిల్‌స్కిడ్ స్థిరమైన, లామినేటెడ్ స్ప్రింగ్. [2] స్మిక్ యొక్క మొదటి ఫ్లైట్ 1 అక్టోబర్ 193"&amp;"7 న, అలెక్సాండర్ ఒనోస్కియో చేత పైలట్ చేయబడింది మరియు పరీక్ష 1938-9 వరకు కొనసాగింది. స్క్విరెల్ ఇంజిన్ పేర్కొన్న దానికంటే భారీగా ఉంది, అయితే విమానం బాగా నిర్వహించబడుతుంది మరియు గరిష్టంగా 135 కిమీ/గం (84 mph; 73 kn) వేగం కలిగి ఉంది. అవకలన ఎలివేటర్ అనుసంధానం"&amp;" ఖచ్చితమైన నియంత్రణ ఇన్పుట్ను ఉత్పత్తి చేసింది మరియు రోల్ కాకుండా ఏరోబాటిక్ విన్యాసాల యొక్క సాధారణ పరిధి అందుబాటులో ఉంది. ఈ అభివృద్ధి విమానాల ఫలితంగా కొన్ని చిన్న మార్పులు చేయబడ్డాయి, బహుశా అధిక నాణ్యత గల పెయింట్, ఇది గరిష్ట వేగాన్ని 20 కిమీ/గం (12 mph; 1"&amp;"1 kn) పెంచింది. ఖరీదైన మరియు భారీ ముడుచుకునే అండర్ క్యారేజ్ గరిష్ట వేగాన్ని 11 కిమీ/గం (7 mph) మాత్రమే పెంచింది కాబట్టి, రెండవ, రెండు-సీట్ల స్మిక్, స్పాన్ తగ్గింపుతో మరియు 22-24 kW (30–32 HP) సరోలియా ఆల్బాట్రోస్ ఫ్లాట్-ట్విన్ ఇంజిన్, స్థిరమైన అండర్ క్యారే"&amp;"జ్ కలిగి ఉండాలి. 1939 లో జర్మన్ పోలాండ్పై జర్మన్ దండయాత్రలో దాని పాక్షికంగా పూర్తి ఎయిర్ఫ్రేమ్ నాశనం చేయబడింది. జనరల్ జె.సింక్, (1974) [1] నుండి డేటా గుర్తించబడిన చోట తప్ప. సాధారణ లక్షణాల పనితీరు")</f>
        <v>MIP స్మిక్, దాని పోలిష్ డిజైనర్ల అక్షరాల నుండి MIP, SMYK తో బ్రాట్ లేదా పిల్లవాడిని అర్ధం, ఇది 1935 నుండి వార్సా టెక్నికల్ విశ్వవిద్యాలయంలో రూపొందించిన మరియు నిర్మించిన ఏరోడైనమిక్‌గా శుద్ధి చేసిన మోటారు గ్లైడర్. SMYK ని వార్సా టెక్నికల్ యూనివర్శిటీ, లుడ్విగ్ మోజార్స్కి యొక్క ముగ్గురు విద్యార్థులు రూపొందించారు , జాన్ ఇడోవ్స్కీ మరియు జెర్జీ ప్లోస్జాజ్స్కి, డిప్లొమా ప్రాజెక్టుగా. వారి లక్ష్యం తక్కువ-శక్తి మోటారు గ్లైడర్, సాధ్యమైనంత తక్కువ డ్రాగ్‌తో ఉంటుంది. [1] [2] ఫలితం ఒక చెక్క, భుజం వింగ్ కాంటిలివర్ మోనోప్లేన్, ముడుచుకునే అండర్ క్యారేజీతో, 12–18 కిలోవాట్ల (16–24 హెచ్‌పి) స్కాట్ ఫ్లయింగ్ స్క్విరెల్ ఎఎస్ -2 విలోమ, ఎయిర్-కూల్డ్, ట్విన్-సిలిండర్, టూ-స్ట్రోక్ ఇంజిన్. 1]. టోర్షన్ బాక్స్ వెనుక రెక్క ఫాబ్రిక్ కప్పబడి ఉంది. సహాయక వెనుక స్పార్ దీర్ఘకాలం, దెబ్బతిన్న ఐలెరాన్‌లను కలిగి ఉంది. రెక్క యొక్క లోతైన, పూర్తిగా ప్లై-కప్పబడిన సెంటర్-సెక్షన్ రెక్కల మూలాలను ఎగువ ఫ్యూజ్‌లేజ్‌లోకి మిళితం చేసింది. [1] [2] స్మిక్ యొక్క కాక్‌పిట్ టోర్షన్ బాక్స్‌లో రీన్ఫోర్స్డ్ కటౌట్ లోపల వింగ్ మెయిన్ స్పార్ కంటే వెంటనే ముందుంది, దాని వెనుక-హింగ్డ్ పారదర్శకత వింగ్ ప్రొఫైల్‌ను దగ్గరగా దగ్గరగా ఉంది. స్క్విరెల్ ఇంజిన్ సాంప్రదాయకంగా ముక్కులో కౌల్డ్ చేయబడింది, ప్రధాన స్పార్ వెనుక రెక్క మధ్యలో ఇంధన ట్యాంక్ ఉంది. ఫ్యూజ్‌లేజ్ యొక్క కేంద్ర భాగం ఓవల్ విభాగం, ప్లైవుడ్-కప్పబడిన, సెమీ-మోనోకోక్ నిర్మాణం, అయితే వెనుక నియంత్రణ ఉపరితల కేబులింగ్‌ను సులభంగా తనిఖీ చేయడానికి వెనుక ఫ్యూజ్‌లేజ్ అల్యూమినియం-కప్పబడి ఉంది. దీని ఫిన్ ఫ్యూజ్‌లేజ్ యొక్క ప్లై-కప్పబడిన సమగ్ర భాగం మరియు ఒక ఫాబ్రిక్ కప్పబడిన చుక్కానిని తీసుకువెళ్ళింది; దెబ్బతిన్న, మొద్దుబారిన, మొద్దుబారిన, కాంటిలివర్ క్షితిజ సమాంతర తోకను ఇన్సెట్ ఎలివేటర్లతో మిడ్-ఫ్యూజ్‌లేజ్ వద్ద అమర్చారు. [1] [2] స్మిక్ యొక్క అసాధారణమైన ముడుచుకునే అండర్ క్యారేజ్ రెండు స్వతంత్ర చిన్న, నిలువు కాళ్ళను కలిగి ఉంది, సంపీడన రబ్బరు షాక్ అబ్జార్బర్స్ మరియు పెద్ద, తక్కువ పీడన టైర్లతో. ప్రతి లెగ్ టాప్ ఒక V- స్ట్రట్ మీద కఠినంగా అమర్చబడి, బల్క్‌హెడ్-మౌంటెడ్ అంతర్గత చట్రంలో ఫ్యూజ్‌లేజ్ యొక్క రేఖాంశ మరియు నిలువు అక్షాలకు స్వల్ప కోణాల వద్ద ఉంటుంది. కాళ్ళను గొలుసు వ్యవస్థతో ఎత్తివేసినప్పుడు కీలు జ్యామితి, మడత గట్టిపడే స్ట్రట్‌తో కలిపి, చక్రాలను ఫ్యూజ్‌లేజ్ లోపల ఉంచి, దాని వైపులా సమాంతరంగా ఉంటుంది. రెండు జతల అండర్ క్యారేజ్ తలుపులు ఉన్నాయి, కాళ్ళు కదలికలో ఉన్నప్పుడు వెనుక ఒకటి మాత్రమే తెరిచి ఉంది. టెయిల్‌స్కిడ్ స్థిరమైన, లామినేటెడ్ స్ప్రింగ్. [2] స్మిక్ యొక్క మొదటి ఫ్లైట్ 1 అక్టోబర్ 1937 న, అలెక్సాండర్ ఒనోస్కియో చేత పైలట్ చేయబడింది మరియు పరీక్ష 1938-9 వరకు కొనసాగింది. స్క్విరెల్ ఇంజిన్ పేర్కొన్న దానికంటే భారీగా ఉంది, అయితే విమానం బాగా నిర్వహించబడుతుంది మరియు గరిష్టంగా 135 కిమీ/గం (84 mph; 73 kn) వేగం కలిగి ఉంది. అవకలన ఎలివేటర్ అనుసంధానం ఖచ్చితమైన నియంత్రణ ఇన్పుట్ను ఉత్పత్తి చేసింది మరియు రోల్ కాకుండా ఏరోబాటిక్ విన్యాసాల యొక్క సాధారణ పరిధి అందుబాటులో ఉంది. ఈ అభివృద్ధి విమానాల ఫలితంగా కొన్ని చిన్న మార్పులు చేయబడ్డాయి, బహుశా అధిక నాణ్యత గల పెయింట్, ఇది గరిష్ట వేగాన్ని 20 కిమీ/గం (12 mph; 11 kn) పెంచింది. ఖరీదైన మరియు భారీ ముడుచుకునే అండర్ క్యారేజ్ గరిష్ట వేగాన్ని 11 కిమీ/గం (7 mph) మాత్రమే పెంచింది కాబట్టి, రెండవ, రెండు-సీట్ల స్మిక్, స్పాన్ తగ్గింపుతో మరియు 22-24 kW (30–32 HP) సరోలియా ఆల్బాట్రోస్ ఫ్లాట్-ట్విన్ ఇంజిన్, స్థిరమైన అండర్ క్యారేజ్ కలిగి ఉండాలి. 1939 లో జర్మన్ పోలాండ్పై జర్మన్ దండయాత్రలో దాని పాక్షికంగా పూర్తి ఎయిర్ఫ్రేమ్ నాశనం చేయబడింది. జనరల్ జె.సింక్, (1974) [1] నుండి డేటా గుర్తించబడిన చోట తప్ప. సాధారణ లక్షణాల పనితీరు</v>
      </c>
      <c r="F74" s="1" t="s">
        <v>1506</v>
      </c>
      <c r="G74" s="1" t="str">
        <f>IFERROR(__xludf.DUMMYFUNCTION("GOOGLETRANSLATE(F:F,""en"", ""te"")"),"మోటార్ గ్లైడర్")</f>
        <v>మోటార్ గ్లైడర్</v>
      </c>
      <c r="H74" s="1" t="s">
        <v>1507</v>
      </c>
      <c r="I74" s="1" t="s">
        <v>1508</v>
      </c>
      <c r="J74" s="1" t="str">
        <f>IFERROR(__xludf.DUMMYFUNCTION("GOOGLETRANSLATE(I:I,""en"", ""te"")"),"పోలాండ్")</f>
        <v>పోలాండ్</v>
      </c>
      <c r="K74" s="2" t="s">
        <v>1509</v>
      </c>
      <c r="L74" s="1" t="s">
        <v>1510</v>
      </c>
      <c r="M74" s="1" t="str">
        <f>IFERROR(__xludf.DUMMYFUNCTION("GOOGLETRANSLATE(L:L,""en"", ""te"")"),"వార్సా టెక్నికల్ యూనివర్శిటీ")</f>
        <v>వార్సా టెక్నికల్ యూనివర్శిటీ</v>
      </c>
      <c r="N74" s="1" t="s">
        <v>1511</v>
      </c>
      <c r="R74" s="1" t="s">
        <v>685</v>
      </c>
      <c r="S74" s="1" t="s">
        <v>685</v>
      </c>
      <c r="U74" s="1" t="s">
        <v>1512</v>
      </c>
      <c r="V74" s="1" t="s">
        <v>1513</v>
      </c>
      <c r="W74" s="1" t="s">
        <v>1514</v>
      </c>
      <c r="X74" s="1" t="s">
        <v>1515</v>
      </c>
      <c r="Y74" s="1" t="s">
        <v>1516</v>
      </c>
      <c r="AA74" s="1" t="s">
        <v>1517</v>
      </c>
      <c r="AB74" s="1" t="s">
        <v>1518</v>
      </c>
      <c r="AD74" s="1" t="s">
        <v>1519</v>
      </c>
      <c r="AE74" s="1" t="s">
        <v>1520</v>
      </c>
      <c r="AH74" s="1" t="s">
        <v>1521</v>
      </c>
      <c r="AK74" s="1" t="s">
        <v>1522</v>
      </c>
      <c r="AL74" s="1" t="s">
        <v>1523</v>
      </c>
      <c r="AM74" s="1" t="s">
        <v>1524</v>
      </c>
      <c r="AO74" s="4">
        <v>13789.0</v>
      </c>
      <c r="AQ74" s="1" t="s">
        <v>1525</v>
      </c>
      <c r="AW74" s="1" t="s">
        <v>1526</v>
      </c>
      <c r="BD74" s="1">
        <v>7.7</v>
      </c>
      <c r="CE74" s="1" t="s">
        <v>1007</v>
      </c>
    </row>
    <row r="75">
      <c r="A75" s="1" t="s">
        <v>1527</v>
      </c>
      <c r="B75" s="1" t="str">
        <f>IFERROR(__xludf.DUMMYFUNCTION("GOOGLETRANSLATE(A:A,""en"", ""te"")"),"ఫ్లైటాలియా MD3 రైడర్")</f>
        <v>ఫ్లైటాలియా MD3 రైడర్</v>
      </c>
      <c r="C75" s="1" t="s">
        <v>1528</v>
      </c>
      <c r="D75" s="1" t="str">
        <f>IFERROR(__xludf.DUMMYFUNCTION("GOOGLETRANSLATE(C:C,""en"", ""te"")"),"ఫ్లైటాలియా MD3 రైడర్ ఒక ఇటాలియన్ అల్ట్రాలైట్ మరియు లైట్-స్పోర్ట్ విమానం, దీనిని చెక్ రిపబ్లిక్లో జారో డ్రోస్టల్ రూపొందించారు మరియు ఇటలీలోని డోవెరా యొక్క ఫ్లైటాలియా చేత నిర్మించబడింది. ఈ విమానం ఫ్లైటాలియా పూర్తి మరియు రెడీ-టు-ఫ్లై చేత సరఫరా చేయబడింది. [1] "&amp;"[2] సంస్థ వ్యాపారం నుండి బయలుదేరింది మరియు ఉత్పత్తి 2011 లో ముగిసింది, కాని ఉత్పత్తిని 2013 లో రివానాజానో యొక్క తదుపరి విమానం ఒక కొత్త సంస్థ తిరిగి ప్రారంభించింది, వారు దానిని ఫ్లై చేయడానికి సిద్ధంగా ఉన్నారు. [2] [3] ఈ విమానం ఫెడెరేషన్ ఏరోనటిక్ ఇంటర్నేషనల"&amp;"్ మైక్రోలైట్ రూల్స్ మరియు యుఎస్ లైట్-స్పోర్ట్ ఎయిర్క్రాఫ్ట్ నిబంధనలకు అనుగుణంగా రూపొందించబడింది. ఇది స్ట్రట్-బ్రేస్డ్ హై-వింగ్, రెండు-సీట్ల-సైడ్-సైడ్ కాన్ఫిగరేషన్ పరివేష్టిత కాక్‌పిట్, స్థిర ట్రైసైకిల్ ల్యాండింగ్ గేర్ మరియు ట్రాక్టర్ కాన్ఫిగరేషన్‌లో ఒకే ఇ"&amp;"ంజిన్ కలిగి ఉంది. [1] [2] ఈ విమానం రివర్టెడ్ మరియు బంధిత అల్యూమినియం షీట్ సెమీ-మోనోకోక్ నిర్మాణంతో తయారు చేయబడింది, వెల్డెడ్ స్టీల్ కాక్‌పిట్ కేజ్‌తో. ఇంజిన్ కౌలింగ్ మరియు ఫెయిరింగ్‌లు మిశ్రమాల నుండి తయారవుతాయి, కాక్‌పిట్ తలుపులు కార్బన్-ఫైబ్రే నుండి రూపొ"&amp;"ందించబడ్డాయి. దాని 8.5 మీ (27.9 అడుగులు) స్పాన్ వింగ్ 9.5 మీ 2 (102 చదరపు అడుగులు), విద్యుత్-ఆపరేటెడ్ ఫ్లాప్స్, ఎలక్ట్రిక్ ఎలివేటర్ ట్రిమ్ మరియు సమగ్ర ఇంధన ట్యాంకులను కలిగి ఉంది. కాక్‌పిట్ 117 సెం.మీ (46 అంగుళాలు) వెడల్పు. నిల్వ మరియు భూ రవాణా కోసం మడత వి"&amp;"ంగ్ ఫ్యాక్టరీ ఎంపిక. సరఫరా చేయబడిన ప్రామాణిక ఇంజన్లు ఫ్యాక్టరీ 80 హెచ్‌పి (60 కిలోవాట్) రోటాక్స్ 912UL మరియు 100 హెచ్‌పి (75 కిలోవాట్ MD3 లో యూరోపియన్ మైక్రోలైట్ తరగతికి 472.5 కిలోల (1,042 పౌండ్లు) మరియు యుఎస్ ఎల్ఎస్ఎ వర్గానికి 520 కిలోలు (1,146 ఎల్బి) స్"&amp;"థూల బరువు ఉంది. [1] [2] ఫ్లోట్ వెర్షన్ 2015 లో పరిశీలనలో ఉంది. [2] బేయర్ల్ నుండి డేటా [1] సాధారణ లక్షణాల పనితీరు")</f>
        <v>ఫ్లైటాలియా MD3 రైడర్ ఒక ఇటాలియన్ అల్ట్రాలైట్ మరియు లైట్-స్పోర్ట్ విమానం, దీనిని చెక్ రిపబ్లిక్లో జారో డ్రోస్టల్ రూపొందించారు మరియు ఇటలీలోని డోవెరా యొక్క ఫ్లైటాలియా చేత నిర్మించబడింది. ఈ విమానం ఫ్లైటాలియా పూర్తి మరియు రెడీ-టు-ఫ్లై చేత సరఫరా చేయబడింది. [1] [2] సంస్థ వ్యాపారం నుండి బయలుదేరింది మరియు ఉత్పత్తి 2011 లో ముగిసింది, కాని ఉత్పత్తిని 2013 లో రివానాజానో యొక్క తదుపరి విమానం ఒక కొత్త సంస్థ తిరిగి ప్రారంభించింది, వారు దానిని ఫ్లై చేయడానికి సిద్ధంగా ఉన్నారు. [2] [3] ఈ విమానం ఫెడెరేషన్ ఏరోనటిక్ ఇంటర్నేషనల్ మైక్రోలైట్ రూల్స్ మరియు యుఎస్ లైట్-స్పోర్ట్ ఎయిర్క్రాఫ్ట్ నిబంధనలకు అనుగుణంగా రూపొందించబడింది. ఇది స్ట్రట్-బ్రేస్డ్ హై-వింగ్, రెండు-సీట్ల-సైడ్-సైడ్ కాన్ఫిగరేషన్ పరివేష్టిత కాక్‌పిట్, స్థిర ట్రైసైకిల్ ల్యాండింగ్ గేర్ మరియు ట్రాక్టర్ కాన్ఫిగరేషన్‌లో ఒకే ఇంజిన్ కలిగి ఉంది. [1] [2] ఈ విమానం రివర్టెడ్ మరియు బంధిత అల్యూమినియం షీట్ సెమీ-మోనోకోక్ నిర్మాణంతో తయారు చేయబడింది, వెల్డెడ్ స్టీల్ కాక్‌పిట్ కేజ్‌తో. ఇంజిన్ కౌలింగ్ మరియు ఫెయిరింగ్‌లు మిశ్రమాల నుండి తయారవుతాయి, కాక్‌పిట్ తలుపులు కార్బన్-ఫైబ్రే నుండి రూపొందించబడ్డాయి. దాని 8.5 మీ (27.9 అడుగులు) స్పాన్ వింగ్ 9.5 మీ 2 (102 చదరపు అడుగులు), విద్యుత్-ఆపరేటెడ్ ఫ్లాప్స్, ఎలక్ట్రిక్ ఎలివేటర్ ట్రిమ్ మరియు సమగ్ర ఇంధన ట్యాంకులను కలిగి ఉంది. కాక్‌పిట్ 117 సెం.మీ (46 అంగుళాలు) వెడల్పు. నిల్వ మరియు భూ రవాణా కోసం మడత వింగ్ ఫ్యాక్టరీ ఎంపిక. సరఫరా చేయబడిన ప్రామాణిక ఇంజన్లు ఫ్యాక్టరీ 80 హెచ్‌పి (60 కిలోవాట్) రోటాక్స్ 912UL మరియు 100 హెచ్‌పి (75 కిలోవాట్ MD3 లో యూరోపియన్ మైక్రోలైట్ తరగతికి 472.5 కిలోల (1,042 పౌండ్లు) మరియు యుఎస్ ఎల్ఎస్ఎ వర్గానికి 520 కిలోలు (1,146 ఎల్బి) స్థూల బరువు ఉంది. [1] [2] ఫ్లోట్ వెర్షన్ 2015 లో పరిశీలనలో ఉంది. [2] బేయర్ల్ నుండి డేటా [1] సాధారణ లక్షణాల పనితీరు</v>
      </c>
      <c r="E75" s="1" t="s">
        <v>1529</v>
      </c>
      <c r="F75" s="1" t="s">
        <v>1530</v>
      </c>
      <c r="G75" s="1" t="str">
        <f>IFERROR(__xludf.DUMMYFUNCTION("GOOGLETRANSLATE(F:F,""en"", ""te"")"),"అల్ట్రాలైట్ విమానం మరియు లైట్-స్పోర్ట్ విమానం")</f>
        <v>అల్ట్రాలైట్ విమానం మరియు లైట్-స్పోర్ట్ విమానం</v>
      </c>
      <c r="H75" s="1" t="s">
        <v>1531</v>
      </c>
      <c r="I75" s="1" t="s">
        <v>766</v>
      </c>
      <c r="J75" s="1" t="str">
        <f>IFERROR(__xludf.DUMMYFUNCTION("GOOGLETRANSLATE(I:I,""en"", ""te"")"),"ఇటలీ")</f>
        <v>ఇటలీ</v>
      </c>
      <c r="K75" s="2" t="s">
        <v>1532</v>
      </c>
      <c r="L75" s="1" t="s">
        <v>1533</v>
      </c>
      <c r="M75" s="1" t="str">
        <f>IFERROR(__xludf.DUMMYFUNCTION("GOOGLETRANSLATE(L:L,""en"", ""te"")"),"ఫ్లైటాలయన్క్ట్ విమానం")</f>
        <v>ఫ్లైటాలయన్క్ట్ విమానం</v>
      </c>
      <c r="N75" s="1" t="s">
        <v>1534</v>
      </c>
      <c r="P75" s="1" t="s">
        <v>1411</v>
      </c>
      <c r="Q75" s="1"/>
      <c r="S75" s="1" t="s">
        <v>164</v>
      </c>
      <c r="T75" s="1" t="s">
        <v>165</v>
      </c>
      <c r="W75" s="1" t="s">
        <v>1535</v>
      </c>
      <c r="X75" s="1" t="s">
        <v>1536</v>
      </c>
      <c r="Y75" s="1" t="s">
        <v>1171</v>
      </c>
      <c r="Z75" s="1" t="s">
        <v>1456</v>
      </c>
      <c r="AA75" s="1" t="s">
        <v>204</v>
      </c>
      <c r="AB75" s="1" t="s">
        <v>1537</v>
      </c>
      <c r="AD75" s="1" t="s">
        <v>1538</v>
      </c>
      <c r="AF75" s="1" t="s">
        <v>1539</v>
      </c>
      <c r="AH75" s="1" t="s">
        <v>1540</v>
      </c>
      <c r="AI75" s="1" t="s">
        <v>1541</v>
      </c>
      <c r="AM75" s="1" t="s">
        <v>1542</v>
      </c>
      <c r="AQ75" s="1" t="s">
        <v>1178</v>
      </c>
    </row>
    <row r="76">
      <c r="A76" s="1" t="s">
        <v>1543</v>
      </c>
      <c r="B76" s="1" t="str">
        <f>IFERROR(__xludf.DUMMYFUNCTION("GOOGLETRANSLATE(A:A,""en"", ""te"")"),"లాయిడ్ 40.15")</f>
        <v>లాయిడ్ 40.15</v>
      </c>
      <c r="C76" s="1" t="s">
        <v>1544</v>
      </c>
      <c r="D76" s="1" t="str">
        <f>IFERROR(__xludf.DUMMYFUNCTION("GOOGLETRANSLATE(C:C,""en"", ""te"")"),"లాయిడ్ 40.15 ఒక ప్రయోగాత్మక ట్రిప్లేన్ ఫైటర్, ఇది మొదటి ప్రపంచ యుద్ధంలో ఆస్ట్రో-హంగేరియన్ సామ్రాజ్యంలో రూపొందించబడింది మరియు నిర్మించబడింది. [1] [1] సాధారణ లక్షణాల నుండి డేటా పనితీరు ఆయుధాలు")</f>
        <v>లాయిడ్ 40.15 ఒక ప్రయోగాత్మక ట్రిప్లేన్ ఫైటర్, ఇది మొదటి ప్రపంచ యుద్ధంలో ఆస్ట్రో-హంగేరియన్ సామ్రాజ్యంలో రూపొందించబడింది మరియు నిర్మించబడింది. [1] [1] సాధారణ లక్షణాల నుండి డేటా పనితీరు ఆయుధాలు</v>
      </c>
      <c r="F76" s="1" t="s">
        <v>1098</v>
      </c>
      <c r="G76" s="1" t="str">
        <f>IFERROR(__xludf.DUMMYFUNCTION("GOOGLETRANSLATE(F:F,""en"", ""te"")"),"యుద్ధ")</f>
        <v>యుద్ధ</v>
      </c>
      <c r="H76" s="2" t="s">
        <v>1099</v>
      </c>
      <c r="L76" s="1" t="s">
        <v>1545</v>
      </c>
      <c r="M76" s="1" t="str">
        <f>IFERROR(__xludf.DUMMYFUNCTION("GOOGLETRANSLATE(L:L,""en"", ""te"")"),"అన్‌గారిస్చే లాయిడ్ ఫ్లూగ్జ్యూగ్ అన్‌టెన్‌ఫాబ్రిక్")</f>
        <v>అన్‌గారిస్చే లాయిడ్ ఫ్లూగ్జ్యూగ్ అన్‌టెన్‌ఫాబ్రిక్</v>
      </c>
      <c r="N76" s="1" t="s">
        <v>1546</v>
      </c>
      <c r="P76" s="1" t="s">
        <v>935</v>
      </c>
      <c r="Q76" s="1"/>
      <c r="R76" s="1">
        <v>1.0</v>
      </c>
      <c r="S76" s="1">
        <v>1.0</v>
      </c>
      <c r="U76" s="1" t="s">
        <v>1547</v>
      </c>
      <c r="V76" s="1" t="s">
        <v>1548</v>
      </c>
      <c r="W76" s="1" t="s">
        <v>1549</v>
      </c>
      <c r="Y76" s="1" t="s">
        <v>1550</v>
      </c>
      <c r="AA76" s="1" t="s">
        <v>1551</v>
      </c>
      <c r="AO76" s="3">
        <v>6545.0</v>
      </c>
      <c r="AQ76" s="1" t="s">
        <v>1552</v>
      </c>
      <c r="AR76" s="1" t="s">
        <v>1553</v>
      </c>
      <c r="BM76" s="1" t="s">
        <v>1554</v>
      </c>
      <c r="BN76" s="1" t="s">
        <v>1555</v>
      </c>
      <c r="BR76" s="1" t="s">
        <v>1556</v>
      </c>
      <c r="CR76" s="1" t="s">
        <v>1557</v>
      </c>
    </row>
    <row r="77">
      <c r="A77" s="1" t="s">
        <v>1558</v>
      </c>
      <c r="B77" s="1" t="str">
        <f>IFERROR(__xludf.DUMMYFUNCTION("GOOGLETRANSLATE(A:A,""en"", ""te"")"),"యాకోవ్లెవ్ యుటి -3")</f>
        <v>యాకోవ్లెవ్ యుటి -3</v>
      </c>
      <c r="C77" s="1" t="s">
        <v>1559</v>
      </c>
      <c r="D77" s="1" t="str">
        <f>IFERROR(__xludf.DUMMYFUNCTION("GOOGLETRANSLATE(C:C,""en"", ""te"")"),"ప్రారంభంలో ఎయిర్ -17 మరియు తరువాత యా -17 అని పిలువబడే యాకోవ్లెవ్ యుటి -3, సోవియట్ వైమానిక దళం (వివిఎస్) కోసం అలెగ్జాండర్ సెర్గీవిచ్ యాకోవ్లెవ్ రూపొందించిన ట్విన్-ఇంజిన్ లో-వింగ్ మోనోప్లేన్ విమానం. యుటి -3 మల్టీ-ఇంజిన్ విమానాల పైలట్లకు మరియు ఎయిర్ గన్నర్స్"&amp;", బాంబ్ ఐమర్స్, నావిగేటర్లు మరియు రేడియో ఆపరేటర్లకు శిక్షణ ఇవ్వడానికి శిక్షణా విమానంగా పనిచేయడం. ఎయిర్‌ఫ్రేమ్ ఎక్కువగా కలప మరియు ఫాబ్రిక్ కప్పబడిన తేలికపాటి ఉక్కు గొట్టాలతో నిర్మించబడింది. ఈ నమూనాను దిగుమతి చేసుకున్న ఫ్రెంచ్ రెనాల్ట్ 6 క్యూ -01 220 హెచ్‌ప"&amp;"ి (160 కిలోవాట్) ఆరు-సిలిండర్ ఇన్లైన్ ఇంజన్లు నడిపించాయి, అయితే ఉత్పత్తి విమానం వోరోనెజ్ ఎంవి -6 (సోవియట్ నిర్మించిన బెంగాలీ 6 కాపీ) ను ఉపయోగించి ఉండవచ్చు. 1938 లో పరీక్ష జరిగింది మరియు ఈ విమానం యుటి -3 గా నిర్మాణానికి ఆమోదించబడింది. ప్రోటోటైప్‌ను నాలుగు "&amp;"ఫాబ్ 50 బాంబుల కోసం 2x 7.62 మిమీ (0.300 అంగుళాలు) ష్కాస్ మెషిన్ గన్స్ మరియు రాక్‌లతో అమర్చినప్పటికీ, ఉత్పత్తి నమూనా నిరాయుధంగా మరియు మరింత కఠినంగా ఉంది. ఉత్పత్తి 1940 లో రెండు కర్మాగారాల్లో, లెనిన్గ్రాడ్లో 135 మరియు కజాన్లో 272 వ స్థానంలో నిలిచింది. VVS హ"&amp;"ై కమాండ్ అంకితమైన శిక్షణా రకాల స్థానంలో ద్వంద్వ నియంత్రణ కోసం సవరించబడిన బహుళ-ఇంజిన్ పోరాట విమానాలను ఉపయోగించాలని నిర్ణయించినందున ఆర్డర్లు రద్దు చేయడానికి ముందు ముప్పై విమానాలను మాత్రమే నిర్మించారు. ఉజ్వలమైన భవిష్యత్తు ఉన్నప్పటికీ, UT-3 నెమ్మదిగా అభివృద్ధ"&amp;"ి మరియు MV-6 మరియు కోసోవ్ MG-31F ఇంజిన్ ఉత్పత్తి యొక్క విరమణ కారణంగా పరిమిత సంఖ్యలో మాత్రమే ఉత్పత్తి చేయబడింది. 1924 నుండి OKB యాకోవ్లెవ్, [1] యాకోవ్లెవ్ విమానం నుండి డేటా [2] సాధారణ లక్షణాల పనితీరు")</f>
        <v>ప్రారంభంలో ఎయిర్ -17 మరియు తరువాత యా -17 అని పిలువబడే యాకోవ్లెవ్ యుటి -3, సోవియట్ వైమానిక దళం (వివిఎస్) కోసం అలెగ్జాండర్ సెర్గీవిచ్ యాకోవ్లెవ్ రూపొందించిన ట్విన్-ఇంజిన్ లో-వింగ్ మోనోప్లేన్ విమానం. యుటి -3 మల్టీ-ఇంజిన్ విమానాల పైలట్లకు మరియు ఎయిర్ గన్నర్స్, బాంబ్ ఐమర్స్, నావిగేటర్లు మరియు రేడియో ఆపరేటర్లకు శిక్షణ ఇవ్వడానికి శిక్షణా విమానంగా పనిచేయడం. ఎయిర్‌ఫ్రేమ్ ఎక్కువగా కలప మరియు ఫాబ్రిక్ కప్పబడిన తేలికపాటి ఉక్కు గొట్టాలతో నిర్మించబడింది. ఈ నమూనాను దిగుమతి చేసుకున్న ఫ్రెంచ్ రెనాల్ట్ 6 క్యూ -01 220 హెచ్‌పి (160 కిలోవాట్) ఆరు-సిలిండర్ ఇన్లైన్ ఇంజన్లు నడిపించాయి, అయితే ఉత్పత్తి విమానం వోరోనెజ్ ఎంవి -6 (సోవియట్ నిర్మించిన బెంగాలీ 6 కాపీ) ను ఉపయోగించి ఉండవచ్చు. 1938 లో పరీక్ష జరిగింది మరియు ఈ విమానం యుటి -3 గా నిర్మాణానికి ఆమోదించబడింది. ప్రోటోటైప్‌ను నాలుగు ఫాబ్ 50 బాంబుల కోసం 2x 7.62 మిమీ (0.300 అంగుళాలు) ష్కాస్ మెషిన్ గన్స్ మరియు రాక్‌లతో అమర్చినప్పటికీ, ఉత్పత్తి నమూనా నిరాయుధంగా మరియు మరింత కఠినంగా ఉంది. ఉత్పత్తి 1940 లో రెండు కర్మాగారాల్లో, లెనిన్గ్రాడ్లో 135 మరియు కజాన్లో 272 వ స్థానంలో నిలిచింది. VVS హై కమాండ్ అంకితమైన శిక్షణా రకాల స్థానంలో ద్వంద్వ నియంత్రణ కోసం సవరించబడిన బహుళ-ఇంజిన్ పోరాట విమానాలను ఉపయోగించాలని నిర్ణయించినందున ఆర్డర్లు రద్దు చేయడానికి ముందు ముప్పై విమానాలను మాత్రమే నిర్మించారు. ఉజ్వలమైన భవిష్యత్తు ఉన్నప్పటికీ, UT-3 నెమ్మదిగా అభివృద్ధి మరియు MV-6 మరియు కోసోవ్ MG-31F ఇంజిన్ ఉత్పత్తి యొక్క విరమణ కారణంగా పరిమిత సంఖ్యలో మాత్రమే ఉత్పత్తి చేయబడింది. 1924 నుండి OKB యాకోవ్లెవ్, [1] యాకోవ్లెవ్ విమానం నుండి డేటా [2] సాధారణ లక్షణాల పనితీరు</v>
      </c>
      <c r="F77" s="1" t="s">
        <v>1560</v>
      </c>
      <c r="G77" s="1" t="str">
        <f>IFERROR(__xludf.DUMMYFUNCTION("GOOGLETRANSLATE(F:F,""en"", ""te"")"),"ట్విన్-ఇంజిన్ ట్రైనర్")</f>
        <v>ట్విన్-ఇంజిన్ ట్రైనర్</v>
      </c>
      <c r="I77" s="1" t="s">
        <v>1561</v>
      </c>
      <c r="J77" s="1" t="str">
        <f>IFERROR(__xludf.DUMMYFUNCTION("GOOGLETRANSLATE(I:I,""en"", ""te"")"),"USSR")</f>
        <v>USSR</v>
      </c>
      <c r="K77" s="2" t="s">
        <v>1562</v>
      </c>
      <c r="L77" s="1" t="s">
        <v>1563</v>
      </c>
      <c r="M77" s="1" t="str">
        <f>IFERROR(__xludf.DUMMYFUNCTION("GOOGLETRANSLATE(L:L,""en"", ""te"")"),"OKB YAKOVLEV")</f>
        <v>OKB YAKOVLEV</v>
      </c>
      <c r="N77" s="1" t="s">
        <v>1564</v>
      </c>
      <c r="R77" s="1" t="s">
        <v>1565</v>
      </c>
      <c r="S77" s="1">
        <v>2.0</v>
      </c>
      <c r="U77" s="1" t="s">
        <v>1566</v>
      </c>
      <c r="W77" s="1" t="s">
        <v>1567</v>
      </c>
      <c r="X77" s="1" t="s">
        <v>1568</v>
      </c>
      <c r="Z77" s="1" t="s">
        <v>1569</v>
      </c>
      <c r="AA77" s="1" t="s">
        <v>1570</v>
      </c>
      <c r="AE77" s="1" t="s">
        <v>1571</v>
      </c>
      <c r="AG77" s="1" t="s">
        <v>1572</v>
      </c>
      <c r="AH77" s="1" t="s">
        <v>1573</v>
      </c>
      <c r="AK77" s="1" t="s">
        <v>1574</v>
      </c>
      <c r="AL77" s="1" t="s">
        <v>1575</v>
      </c>
      <c r="AM77" s="1" t="s">
        <v>1576</v>
      </c>
      <c r="AN77" s="1" t="s">
        <v>1577</v>
      </c>
      <c r="AQ77" s="1" t="s">
        <v>1578</v>
      </c>
      <c r="AR77" s="1" t="s">
        <v>1579</v>
      </c>
      <c r="AS77" s="1" t="s">
        <v>1580</v>
      </c>
      <c r="AT77" s="1" t="s">
        <v>1581</v>
      </c>
      <c r="BA77" s="2" t="s">
        <v>1582</v>
      </c>
      <c r="BI77" s="1" t="s">
        <v>1583</v>
      </c>
      <c r="BK77" s="1" t="s">
        <v>1584</v>
      </c>
    </row>
    <row r="78">
      <c r="A78" s="1" t="s">
        <v>1585</v>
      </c>
      <c r="B78" s="1" t="str">
        <f>IFERROR(__xludf.DUMMYFUNCTION("GOOGLETRANSLATE(A:A,""en"", ""te"")"),"ఎయిర్ క్రియేషన్ స్కైప్పర్")</f>
        <v>ఎయిర్ క్రియేషన్ స్కైప్పర్</v>
      </c>
      <c r="C78" s="1" t="s">
        <v>1586</v>
      </c>
      <c r="D78" s="1" t="str">
        <f>IFERROR(__xludf.DUMMYFUNCTION("GOOGLETRANSLATE(C:C,""en"", ""te"")"),"ఎయిర్ క్రియేషన్ స్కిప్పర్ ఒక ఫ్రెంచ్ అల్ట్రాలైట్ ట్రైక్, ఇది ఆబెనాస్ యొక్క గాలి సృష్టి ద్వారా రూపొందించబడింది మరియు ఉత్పత్తి చేయబడింది. ఈ విమానం 2011 లో ప్రవేశపెట్టబడింది మరియు ఇది పూర్తి మరియు సిద్ధంగా ఉండటానికి సిద్ధంగా ఉంది. [1] ఉత్పత్తిలో ఎయిర్ క్రియే"&amp;"షన్ జిటి సిరీస్‌ను భర్తీ చేయడానికి, స్కైపర్ టాప్-ఆఫ్-ది లైన్ ఎయిర్ క్రియేషన్ టానార్గ్ కంటే సరళమైన, తేలికైన మరియు తక్కువ ఖరీదైన క్యారేజీగా రూపొందించబడింది. ఇది ఫెడెరేషన్ Aéronautique ఇంటర్నేషనల్ మైక్రోలైట్ వర్గానికి అనుగుణంగా ఉండటానికి ఉద్దేశించబడింది. ఇది"&amp;" కేబుల్-బ్రేస్డ్ హాంగ్ గ్లైడర్-స్టైల్ హై-వింగ్, వెయిట్-షిఫ్ట్ కంట్రోల్స్, రెండు-సీట్ల-రుచిని, ఓపెన్ కాక్‌పిట్, వీల్ ప్యాంటుతో ట్రైసైకిల్ ల్యాండింగ్ గేర్ మరియు పషర్ కాన్ఫిగరేషన్‌లో ఒకే ఇంజిన్ కలిగి ఉంది. [1] ఈ విమానం బోల్ట్-టుగెథర్ అల్యూమినియం గొట్టాల నుండ"&amp;"ి తయారవుతుంది, దాని డబుల్ ఉపరితల వింగ్ డాక్రాన్ సెయిల్‌క్లాత్‌లో కప్పబడి ఉంటుంది. రెక్కకు ఒకే ట్యూబ్-రకం కింగ్‌పోస్ట్ మద్దతు ఇస్తుంది మరియు ""ఎ"" ఫ్రేమ్ వెయిట్-షిఫ్ట్ కంట్రోల్ బార్‌ను ఉపయోగిస్తుంది. అందుబాటులో ఉన్న పవర్‌ప్లాంట్లలో ఎ ట్విన్ సిలిండర్, లిక్వ"&amp;"ిడ్-కూల్డ్, టూ-స్ట్రోక్, డ్యూయల్-ఇగ్నిషన్ 64 హెచ్‌పి (48 కిలోవాట్ kW) రోటాక్స్ 912UL లేదా 100 HP (75 kW) రోటాక్స్ 912లు ఇంజిన్ మరియు ట్విన్ సిలిండర్, ఎయిర్-కూల్డ్, ఫోర్-స్ట్రోక్, డ్యూయల్-ఇగ్నిషన్ 60 హెచ్‌పి (45 kW) HKS 700E. [1] రోటాక్స్ 582 తో, ఈ విమానం "&amp;"ఖాళీ బరువు 201 కిలోల (443 పౌండ్లు) మరియు స్థూల బరువు 462 కిలోలు (1,019 ఎల్బి), ఇది 261 కిలోల (575 పౌండ్లు) ఉపయోగకరమైన లోడ్ ఇస్తుంది. 55 లీటర్ల పూర్తి ఇంధనంతో (12 ఇంప్ గల్; 15 యుఎస్ గాల్) పేలోడ్ 221 కిలోలు (487 ఎల్బి). [1] ఎయిర్ క్రియేషన్ నువిక్స్, ఫన్ 450"&amp;", ఇఫున్ 16, ఇక్సెస్ 13 మరియు బయోనిక్స్ వంటి ప్రాథమిక క్యారేజీకి అనేక విభిన్న రెక్కలను అమర్చవచ్చు. [1] [2] [3] బయోనిక్స్ వింగ్ మరియు రోటాక్స్ 912 ఇంజిన్‌తో అమర్చినప్పుడు, 2011 లో అదే ఇంజిన్ మరియు వింగ్‌తో మరింత అధునాతన గాలి సృష్టి టానార్గ్ కంటే స్కైప్పర్, "&amp;"3 6,300 చౌకగా ఉంటుంది. [1] బేయర్ల్ మరియు గాలి సృష్టి నుండి డేటా [1] [2] సాధారణ లక్షణాల పనితీరు")</f>
        <v>ఎయిర్ క్రియేషన్ స్కిప్పర్ ఒక ఫ్రెంచ్ అల్ట్రాలైట్ ట్రైక్, ఇది ఆబెనాస్ యొక్క గాలి సృష్టి ద్వారా రూపొందించబడింది మరియు ఉత్పత్తి చేయబడింది. ఈ విమానం 2011 లో ప్రవేశపెట్టబడింది మరియు ఇది పూర్తి మరియు సిద్ధంగా ఉండటానికి సిద్ధంగా ఉంది. [1] ఉత్పత్తిలో ఎయిర్ క్రియేషన్ జిటి సిరీస్‌ను భర్తీ చేయడానికి, స్కైపర్ టాప్-ఆఫ్-ది లైన్ ఎయిర్ క్రియేషన్ టానార్గ్ కంటే సరళమైన, తేలికైన మరియు తక్కువ ఖరీదైన క్యారేజీగా రూపొందించబడింది. ఇది ఫెడెరేషన్ Aéronautique ఇంటర్నేషనల్ మైక్రోలైట్ వర్గానికి అనుగుణంగా ఉండటానికి ఉద్దేశించబడింది. ఇది కేబుల్-బ్రేస్డ్ హాంగ్ గ్లైడర్-స్టైల్ హై-వింగ్, వెయిట్-షిఫ్ట్ కంట్రోల్స్, రెండు-సీట్ల-రుచిని, ఓపెన్ కాక్‌పిట్, వీల్ ప్యాంటుతో ట్రైసైకిల్ ల్యాండింగ్ గేర్ మరియు పషర్ కాన్ఫిగరేషన్‌లో ఒకే ఇంజిన్ కలిగి ఉంది. [1] ఈ విమానం బోల్ట్-టుగెథర్ అల్యూమినియం గొట్టాల నుండి తయారవుతుంది, దాని డబుల్ ఉపరితల వింగ్ డాక్రాన్ సెయిల్‌క్లాత్‌లో కప్పబడి ఉంటుంది. రెక్కకు ఒకే ట్యూబ్-రకం కింగ్‌పోస్ట్ మద్దతు ఇస్తుంది మరియు "ఎ" ఫ్రేమ్ వెయిట్-షిఫ్ట్ కంట్రోల్ బార్‌ను ఉపయోగిస్తుంది. అందుబాటులో ఉన్న పవర్‌ప్లాంట్లలో ఎ ట్విన్ సిలిండర్, లిక్విడ్-కూల్డ్, టూ-స్ట్రోక్, డ్యూయల్-ఇగ్నిషన్ 64 హెచ్‌పి (48 కిలోవాట్ kW) రోటాక్స్ 912UL లేదా 100 HP (75 kW) రోటాక్స్ 912లు ఇంజిన్ మరియు ట్విన్ సిలిండర్, ఎయిర్-కూల్డ్, ఫోర్-స్ట్రోక్, డ్యూయల్-ఇగ్నిషన్ 60 హెచ్‌పి (45 kW) HKS 700E. [1] రోటాక్స్ 582 తో, ఈ విమానం ఖాళీ బరువు 201 కిలోల (443 పౌండ్లు) మరియు స్థూల బరువు 462 కిలోలు (1,019 ఎల్బి), ఇది 261 కిలోల (575 పౌండ్లు) ఉపయోగకరమైన లోడ్ ఇస్తుంది. 55 లీటర్ల పూర్తి ఇంధనంతో (12 ఇంప్ గల్; 15 యుఎస్ గాల్) పేలోడ్ 221 కిలోలు (487 ఎల్బి). [1] ఎయిర్ క్రియేషన్ నువిక్స్, ఫన్ 450, ఇఫున్ 16, ఇక్సెస్ 13 మరియు బయోనిక్స్ వంటి ప్రాథమిక క్యారేజీకి అనేక విభిన్న రెక్కలను అమర్చవచ్చు. [1] [2] [3] బయోనిక్స్ వింగ్ మరియు రోటాక్స్ 912 ఇంజిన్‌తో అమర్చినప్పుడు, 2011 లో అదే ఇంజిన్ మరియు వింగ్‌తో మరింత అధునాతన గాలి సృష్టి టానార్గ్ కంటే స్కైప్పర్, 3 6,300 చౌకగా ఉంటుంది. [1] బేయర్ల్ మరియు గాలి సృష్టి నుండి డేటా [1] [2] సాధారణ లక్షణాల పనితీరు</v>
      </c>
      <c r="E78" s="1" t="s">
        <v>1587</v>
      </c>
      <c r="F78" s="1" t="s">
        <v>1588</v>
      </c>
      <c r="G78" s="1" t="str">
        <f>IFERROR(__xludf.DUMMYFUNCTION("GOOGLETRANSLATE(F:F,""en"", ""te"")"),"అల్ట్రాలైట్ ట్రైక్")</f>
        <v>అల్ట్రాలైట్ ట్రైక్</v>
      </c>
      <c r="H78" s="1" t="s">
        <v>1589</v>
      </c>
      <c r="I78" s="1" t="s">
        <v>798</v>
      </c>
      <c r="J78" s="1" t="str">
        <f>IFERROR(__xludf.DUMMYFUNCTION("GOOGLETRANSLATE(I:I,""en"", ""te"")"),"ఫ్రాన్స్")</f>
        <v>ఫ్రాన్స్</v>
      </c>
      <c r="K78" s="2" t="s">
        <v>1166</v>
      </c>
      <c r="L78" s="1" t="s">
        <v>1409</v>
      </c>
      <c r="M78" s="1" t="str">
        <f>IFERROR(__xludf.DUMMYFUNCTION("GOOGLETRANSLATE(L:L,""en"", ""te"")"),"గాలి సృష్టి")</f>
        <v>గాలి సృష్టి</v>
      </c>
      <c r="N78" s="1" t="s">
        <v>1410</v>
      </c>
      <c r="O78" s="1">
        <v>2011.0</v>
      </c>
      <c r="P78" s="1" t="s">
        <v>1411</v>
      </c>
      <c r="Q78" s="1"/>
      <c r="S78" s="1" t="s">
        <v>164</v>
      </c>
      <c r="T78" s="1" t="s">
        <v>165</v>
      </c>
      <c r="V78" s="1" t="s">
        <v>1453</v>
      </c>
      <c r="W78" s="1" t="s">
        <v>1590</v>
      </c>
      <c r="X78" s="1" t="s">
        <v>1591</v>
      </c>
      <c r="Y78" s="1" t="s">
        <v>1592</v>
      </c>
      <c r="Z78" s="1" t="s">
        <v>1593</v>
      </c>
      <c r="AA78" s="1" t="s">
        <v>1594</v>
      </c>
      <c r="AD78" s="1" t="s">
        <v>1595</v>
      </c>
      <c r="AE78" s="1" t="s">
        <v>1596</v>
      </c>
      <c r="AF78" s="1" t="s">
        <v>1597</v>
      </c>
      <c r="AH78" s="1" t="s">
        <v>1598</v>
      </c>
      <c r="AI78" s="1" t="s">
        <v>1599</v>
      </c>
      <c r="AQ78" s="1" t="s">
        <v>1600</v>
      </c>
      <c r="BD78" s="1">
        <v>6.0</v>
      </c>
    </row>
    <row r="79">
      <c r="A79" s="1" t="s">
        <v>1601</v>
      </c>
      <c r="B79" s="1" t="str">
        <f>IFERROR(__xludf.DUMMYFUNCTION("GOOGLETRANSLATE(A:A,""en"", ""te"")"),"బ్లెరియోట్ vii")</f>
        <v>బ్లెరియోట్ vii</v>
      </c>
      <c r="C79" s="1" t="s">
        <v>1602</v>
      </c>
      <c r="D79" s="1" t="str">
        <f>IFERROR(__xludf.DUMMYFUNCTION("GOOGLETRANSLATE(C:C,""en"", ""te"")"),"బ్లెరియోట్ VII లూయిస్ బ్లెరియోట్ నిర్మించిన ప్రారంభ ఫ్రెంచ్ విమానం. బ్లెరియోట్ VI యొక్క టెన్డం వింగ్ కాన్ఫిగరేషన్‌తో విజయం సాధించిన తరువాత, అతను ఈ అభివృద్ధిని కొనసాగించాడు. అతని కొత్త డిజైన్ యొక్క వెనుక వింగ్ ఫార్వర్డ్ వింగ్ యొక్క సగం వ్యవధిలో ఉంది, ఇది క"&amp;"ాన్ఫిగరేషన్ వైపు ఒక అడుగు, తరువాత ఇది చాలావరకు విమానాలకు ఆధారం. తోక ఉపరితలాలు కలిసి కదిలించవచ్చు, ఎలివేటర్లుగా పనిచేయడానికి లేదా స్వతంత్రంగా ఐలెరాన్‌లుగా పనిచేయడానికి: తరువాత ఎలివన్స్ అని పిలవబడే మొదటి తెలిసిన ఉదాహరణలలో ఒకటి. అక్టోబర్ 5 న బ్లెరియోట్ ఇస్సీ"&amp;"-లెస్-మౌలినాక్స్ వద్ద ట్రయల్స్ టాక్సీయింగ్ ప్రారంభించాడు. విమానం భూమిపై నియంత్రించడం చాలా కష్టం, మరియు అండర్ క్యారేజ్ కూలిపోయినప్పుడు పరీక్షలు ముగిశాయి. అండర్ క్యారేజీని పున es రూపకల్పన చేయడం ద్వారా బ్లెరియోట్ ఈ సమస్యను పరిష్కరించాడు, అతని తరువాతి విమాన డ"&amp;"ిజైన్లలో ఉపయోగించిన అమరికతో ముందుకు వచ్చాడు. ప్రతి చక్రం ఒక కాస్టరింగ్ వెనుకంజలో ఉన్న చేయిపై అమర్చబడింది, ఇది స్థిరమైన, నాలుగు-వైపుల ""బెడ్‌స్టెడ్"" ఫ్రేమ్ యొక్క రౌండ్ క్రాస్-సెక్షన్ నిలువు సభ్యుల వెంట పైకి క్రిందికి జారిపోతుంది, ఈ కదలిక బంగీ త్రాడుల ద్వా"&amp;"రా పుట్టుకొచ్చింది. [1] ఈ విమానం మొట్టమొదట నవంబర్ 16 న ఎగురవేయబడింది, బ్లెరియోట్ సుమారు 500 మీ (1,600 అడుగులు), [2] విమానంలో ప్రయాణించారు మరియు నవంబర్లో మరిన్ని విమానాలు జరిగాయి. నవంబర్ చివరలో మరింత మార్పులు చేయబడ్డాయి: రెక్కను దాని స్థానం నుండి దిగువ లాం"&amp;"గన్స్ పైన వెంటనే ఫ్యూజ్‌లేజ్ పైకి మూడో మూడింట రెండు వంతుల వరకు తరలించారు, మరియు రెక్క యొక్క బ్రేసింగ్ వైర్లు తీసుకోవడానికి ఒక గొట్టపు స్టీల్ క్యాబన్ నిర్మాణం జోడించబడింది. ఈ కాన్ఫిగరేషన్‌లో ఈ విమానం డిసెంబర్ 6 న బ్లెరియోట్ చేత ఎగురవేయబడింది. ఈ సందర్భంగా అ"&amp;"తను గాలిలో యు-టర్న్ తయారు చేయడంలో విజయం సాధించాడు, మరియు విమానం యొక్క పనితీరు పాట్రిక్ అలెగ్జాండర్ ""బ్లెరియోట్ ఇప్పుడు దారి తీస్తున్నట్లు నేను భావిస్తున్నాను"" అని వ్రాయడానికి తగినంతగా ఆకట్టుకుంది. [3] ఏదేమైనా, తదుపరి విమాన పరీక్షలు, డిసెంబర్ 18 న, క్రాష"&amp;"్‌తో ముగిశాయి: ఎడమ చక్రం కూలిపోయింది, దీనివల్ల రెక్కను త్రవ్వటానికి మరియు విమానం తిరగడానికి కారణమైంది, దీని ఫలితంగా దాని నాశనానికి దారితీసింది. తీవ్రమైన గాయం లేకుండా బ్లెరియోట్ తప్పించుకున్నాడు, అతని జీవితం కాబేన్ నిర్మాణం ద్వారా రక్షించబడింది, ఇది రోల్ బ"&amp;"ార్‌గా పనిచేసింది. Opdycke 1990, p.49 జనరల్ లక్షణాల నుండి డేటా")</f>
        <v>బ్లెరియోట్ VII లూయిస్ బ్లెరియోట్ నిర్మించిన ప్రారంభ ఫ్రెంచ్ విమానం. బ్లెరియోట్ VI యొక్క టెన్డం వింగ్ కాన్ఫిగరేషన్‌తో విజయం సాధించిన తరువాత, అతను ఈ అభివృద్ధిని కొనసాగించాడు. అతని కొత్త డిజైన్ యొక్క వెనుక వింగ్ ఫార్వర్డ్ వింగ్ యొక్క సగం వ్యవధిలో ఉంది, ఇది కాన్ఫిగరేషన్ వైపు ఒక అడుగు, తరువాత ఇది చాలావరకు విమానాలకు ఆధారం. తోక ఉపరితలాలు కలిసి కదిలించవచ్చు, ఎలివేటర్లుగా పనిచేయడానికి లేదా స్వతంత్రంగా ఐలెరాన్‌లుగా పనిచేయడానికి: తరువాత ఎలివన్స్ అని పిలవబడే మొదటి తెలిసిన ఉదాహరణలలో ఒకటి. అక్టోబర్ 5 న బ్లెరియోట్ ఇస్సీ-లెస్-మౌలినాక్స్ వద్ద ట్రయల్స్ టాక్సీయింగ్ ప్రారంభించాడు. విమానం భూమిపై నియంత్రించడం చాలా కష్టం, మరియు అండర్ క్యారేజ్ కూలిపోయినప్పుడు పరీక్షలు ముగిశాయి. అండర్ క్యారేజీని పున es రూపకల్పన చేయడం ద్వారా బ్లెరియోట్ ఈ సమస్యను పరిష్కరించాడు, అతని తరువాతి విమాన డిజైన్లలో ఉపయోగించిన అమరికతో ముందుకు వచ్చాడు. ప్రతి చక్రం ఒక కాస్టరింగ్ వెనుకంజలో ఉన్న చేయిపై అమర్చబడింది, ఇది స్థిరమైన, నాలుగు-వైపుల "బెడ్‌స్టెడ్" ఫ్రేమ్ యొక్క రౌండ్ క్రాస్-సెక్షన్ నిలువు సభ్యుల వెంట పైకి క్రిందికి జారిపోతుంది, ఈ కదలిక బంగీ త్రాడుల ద్వారా పుట్టుకొచ్చింది. [1] ఈ విమానం మొట్టమొదట నవంబర్ 16 న ఎగురవేయబడింది, బ్లెరియోట్ సుమారు 500 మీ (1,600 అడుగులు), [2] విమానంలో ప్రయాణించారు మరియు నవంబర్లో మరిన్ని విమానాలు జరిగాయి. నవంబర్ చివరలో మరింత మార్పులు చేయబడ్డాయి: రెక్కను దాని స్థానం నుండి దిగువ లాంగన్స్ పైన వెంటనే ఫ్యూజ్‌లేజ్ పైకి మూడో మూడింట రెండు వంతుల వరకు తరలించారు, మరియు రెక్క యొక్క బ్రేసింగ్ వైర్లు తీసుకోవడానికి ఒక గొట్టపు స్టీల్ క్యాబన్ నిర్మాణం జోడించబడింది. ఈ కాన్ఫిగరేషన్‌లో ఈ విమానం డిసెంబర్ 6 న బ్లెరియోట్ చేత ఎగురవేయబడింది. ఈ సందర్భంగా అతను గాలిలో యు-టర్న్ తయారు చేయడంలో విజయం సాధించాడు, మరియు విమానం యొక్క పనితీరు పాట్రిక్ అలెగ్జాండర్ "బ్లెరియోట్ ఇప్పుడు దారి తీస్తున్నట్లు నేను భావిస్తున్నాను" అని వ్రాయడానికి తగినంతగా ఆకట్టుకుంది. [3] ఏదేమైనా, తదుపరి విమాన పరీక్షలు, డిసెంబర్ 18 న, క్రాష్‌తో ముగిశాయి: ఎడమ చక్రం కూలిపోయింది, దీనివల్ల రెక్కను త్రవ్వటానికి మరియు విమానం తిరగడానికి కారణమైంది, దీని ఫలితంగా దాని నాశనానికి దారితీసింది. తీవ్రమైన గాయం లేకుండా బ్లెరియోట్ తప్పించుకున్నాడు, అతని జీవితం కాబేన్ నిర్మాణం ద్వారా రక్షించబడింది, ఇది రోల్ బార్‌గా పనిచేసింది. Opdycke 1990, p.49 జనరల్ లక్షణాల నుండి డేటా</v>
      </c>
      <c r="E79" s="1" t="s">
        <v>1603</v>
      </c>
      <c r="F79" s="1" t="s">
        <v>1604</v>
      </c>
      <c r="G79" s="1" t="str">
        <f>IFERROR(__xludf.DUMMYFUNCTION("GOOGLETRANSLATE(F:F,""en"", ""te"")"),"ప్రయోగాత్మక విమానం")</f>
        <v>ప్రయోగాత్మక విమానం</v>
      </c>
      <c r="L79" s="1" t="s">
        <v>1605</v>
      </c>
      <c r="M79" s="1" t="str">
        <f>IFERROR(__xludf.DUMMYFUNCTION("GOOGLETRANSLATE(L:L,""en"", ""te"")"),"లూయిస్ బ్లెరియోట్")</f>
        <v>లూయిస్ బ్లెరియోట్</v>
      </c>
      <c r="N79" s="1" t="s">
        <v>1606</v>
      </c>
      <c r="R79" s="1">
        <v>1.0</v>
      </c>
      <c r="S79" s="1">
        <v>1.0</v>
      </c>
      <c r="U79" s="1" t="s">
        <v>1607</v>
      </c>
      <c r="W79" s="1" t="s">
        <v>908</v>
      </c>
      <c r="Y79" s="1" t="s">
        <v>1608</v>
      </c>
      <c r="AA79" s="1" t="s">
        <v>1609</v>
      </c>
      <c r="AE79" s="1" t="s">
        <v>375</v>
      </c>
      <c r="AH79" s="1" t="s">
        <v>1381</v>
      </c>
      <c r="AO79" s="1">
        <v>1907.0</v>
      </c>
      <c r="CD79" s="2" t="s">
        <v>1610</v>
      </c>
    </row>
    <row r="80">
      <c r="A80" s="1" t="s">
        <v>1611</v>
      </c>
      <c r="B80" s="1" t="str">
        <f>IFERROR(__xludf.DUMMYFUNCTION("GOOGLETRANSLATE(A:A,""en"", ""te"")"),"బ్లోచ్ MB.81")</f>
        <v>బ్లోచ్ MB.81</v>
      </c>
      <c r="C80" s="1" t="s">
        <v>1612</v>
      </c>
      <c r="D80" s="1" t="str">
        <f>IFERROR(__xludf.DUMMYFUNCTION("GOOGLETRANSLATE(C:C,""en"", ""te"")"),"MB.81 అనేది ఒక ఫ్రెంచ్ సైనిక విమానం, ఇది సోషియాట్ డెస్ ఏవియన్స్ మార్సెల్ బ్లోచ్ ఒక ఫ్లయింగ్ అంబులెన్స్‌గా నిర్మించబడింది, ఎందుకంటే ఇది ఒక ప్రయాణీకుడిని, స్ట్రెచర్ లోపల లేదా వెలుపల తీసుకువెళ్ళడానికి రూపొందించబడింది. ""ఏరియల్ ప్రథమ చికిత్స"" యొక్క కొత్త సిద"&amp;"్ధాంతానికి మద్దతుగా ప్రభుత్వ-ప్రాయోజిత పోటీకి ప్రతిస్పందనగా అభివృద్ధి చేయబడిన ఇది విదేశీ కాలనీలలో, ప్రత్యేకంగా మొరాకో మరియు సిరియాలో ప్రత్యేకంగా ఉపయోగించబడింది. MB.80 ప్రోటోటైప్ మాదిరిగా కాకుండా, MB.81 లో క్లోజ్డ్ కాక్‌పిట్ మరియు కొంత పెద్ద కార్గో స్థలం ఉ"&amp;"ంది. ఉత్పత్తిని చేరుకున్న సంస్థ యొక్క మొట్టమొదటి డిజైన్ ఇది. అట్లాస్ పర్వతాల మీదుగా అప్పటి-ఫ్రెంచ్ మొరాకో వంటి పర్వత దేశాలలో సైనిక కార్యకలాపాల సమయంలో, అధిక ఎత్తులో కూడా స్కౌటింగ్ ద్వారా రోగులను లేదా ప్రాణనష్టం పొందగలిగేలా ఈ విమానం రూపొందించబడింది. ప్రధాన "&amp;"డిజైన్ లక్షణం పైలట్ మరియు ఇంజిన్ మధ్య ఉంచిన కంపార్ట్మెంట్లో, ప్రమాదకర అబద్ధం చెప్పడానికి వీలు కల్పించింది. రెక్కలు కూడా ప్రాణనష్టం చేయటానికి అనుగుణంగా ఉంటాయి, పైలట్ చూసి నిరంతరం ఉండి, ఏవియాఫోన్ కమ్యూనికేషన్ సిస్టమ్ ద్వారా అతనికి కనెక్ట్ అవుతాయి. MB.80 193"&amp;"2 వేసవి ప్రారంభంలో విల్లాకౌబ్లేలో మొదటి విమానంలో చేసింది, దీనిని జచరీ హ్యూ పైలట్ చేసింది. తక్కువ రెక్కలతో కూడిన ఆల్-మెటల్ మోనోప్లేన్, ఇది ఫ్రెంచ్ లోరైన్ 5 పిసి 89 కిలోవాట్ (120 హెచ్‌పి) కలిగి ఉంది, ఇది 6,400 మీ (21,000 అడుగులు) ఎత్తులో 190 కిమీ/గం (120 mp"&amp;"h) వేగంతో చేరుకోవడానికి అనుమతించింది ఇది 70 మీ (230 అడుగులు) మరియు 95 మీ (312 అడుగులు) లో దిగగలిగింది. 1932 పరీక్షలో, MB.80 ముప్పై ఆరు గంటల్లో 209 ల్యాండింగ్‌లను ఎటువంటి సమస్యలు లేకుండా నిర్వహించింది. ఈ విమానం ప్రభుత్వం నుండి ఎటువంటి సహాయం లేకుండా నిర్మిం"&amp;"చబడింది, కాని 20 యొక్క ప్రారంభ ఉత్తర్వును గ్రౌండ్ ఫ్రెంచ్ దళాలు ఉంచారు (ఫ్రెంచ్ ఆర్మీ డి ఎల్ ఎయిర్ 1933 లో స్థాపించబడింది), మరియు ఇది మార్సెల్ బ్లోచ్‌ను తిరిగి ప్రారంభించిన విమానంలో ఇది ఒకటి ఏరోనాటికల్ నిర్మాణ పరిశ్రమ. Mb.81 అని పిలువబడే ఉత్పత్తి నమూనాను "&amp;"ఫ్రెంచ్ సాల్మ్సన్ 9 వ 128.68 kW (175 HP) అమర్చారు. ఇది మొరాకో మరియు సిరియాలో 1930 ల ప్రారంభంలో సైనిక కార్యకలాపాలలో పాల్గొంది. MB.81 1935 లో సేవలోకి ప్రవేశించింది మరియు ఇది ఉత్తర ఆఫ్రికా మరియు మధ్యప్రాచ్యం అంతటా విస్తృతంగా ఉపయోగించబడింది. కొన్ని 1939-1940ల"&amp;"ో, ఫ్రెంచ్ లొంగిపోవడానికి ముందు, మరియు జూలై 1941 లో విచి ఫ్రెంచ్ మరియు బ్రిటిష్/ఉచిత ఫ్రెంచ్ మధ్య సిరియా కోసం జరిగిన యుద్ధంలో ఉపయోగించబడ్డాయి. సాధారణ లక్షణాలు పనితీరు సంబంధిత జాబితాలు")</f>
        <v>MB.81 అనేది ఒక ఫ్రెంచ్ సైనిక విమానం, ఇది సోషియాట్ డెస్ ఏవియన్స్ మార్సెల్ బ్లోచ్ ఒక ఫ్లయింగ్ అంబులెన్స్‌గా నిర్మించబడింది, ఎందుకంటే ఇది ఒక ప్రయాణీకుడిని, స్ట్రెచర్ లోపల లేదా వెలుపల తీసుకువెళ్ళడానికి రూపొందించబడింది. "ఏరియల్ ప్రథమ చికిత్స" యొక్క కొత్త సిద్ధాంతానికి మద్దతుగా ప్రభుత్వ-ప్రాయోజిత పోటీకి ప్రతిస్పందనగా అభివృద్ధి చేయబడిన ఇది విదేశీ కాలనీలలో, ప్రత్యేకంగా మొరాకో మరియు సిరియాలో ప్రత్యేకంగా ఉపయోగించబడింది. MB.80 ప్రోటోటైప్ మాదిరిగా కాకుండా, MB.81 లో క్లోజ్డ్ కాక్‌పిట్ మరియు కొంత పెద్ద కార్గో స్థలం ఉంది. ఉత్పత్తిని చేరుకున్న సంస్థ యొక్క మొట్టమొదటి డిజైన్ ఇది. అట్లాస్ పర్వతాల మీదుగా అప్పటి-ఫ్రెంచ్ మొరాకో వంటి పర్వత దేశాలలో సైనిక కార్యకలాపాల సమయంలో, అధిక ఎత్తులో కూడా స్కౌటింగ్ ద్వారా రోగులను లేదా ప్రాణనష్టం పొందగలిగేలా ఈ విమానం రూపొందించబడింది. ప్రధాన డిజైన్ లక్షణం పైలట్ మరియు ఇంజిన్ మధ్య ఉంచిన కంపార్ట్మెంట్లో, ప్రమాదకర అబద్ధం చెప్పడానికి వీలు కల్పించింది. రెక్కలు కూడా ప్రాణనష్టం చేయటానికి అనుగుణంగా ఉంటాయి, పైలట్ చూసి నిరంతరం ఉండి, ఏవియాఫోన్ కమ్యూనికేషన్ సిస్టమ్ ద్వారా అతనికి కనెక్ట్ అవుతాయి. MB.80 1932 వేసవి ప్రారంభంలో విల్లాకౌబ్లేలో మొదటి విమానంలో చేసింది, దీనిని జచరీ హ్యూ పైలట్ చేసింది. తక్కువ రెక్కలతో కూడిన ఆల్-మెటల్ మోనోప్లేన్, ఇది ఫ్రెంచ్ లోరైన్ 5 పిసి 89 కిలోవాట్ (120 హెచ్‌పి) కలిగి ఉంది, ఇది 6,400 మీ (21,000 అడుగులు) ఎత్తులో 190 కిమీ/గం (120 mph) వేగంతో చేరుకోవడానికి అనుమతించింది ఇది 70 మీ (230 అడుగులు) మరియు 95 మీ (312 అడుగులు) లో దిగగలిగింది. 1932 పరీక్షలో, MB.80 ముప్పై ఆరు గంటల్లో 209 ల్యాండింగ్‌లను ఎటువంటి సమస్యలు లేకుండా నిర్వహించింది. ఈ విమానం ప్రభుత్వం నుండి ఎటువంటి సహాయం లేకుండా నిర్మించబడింది, కాని 20 యొక్క ప్రారంభ ఉత్తర్వును గ్రౌండ్ ఫ్రెంచ్ దళాలు ఉంచారు (ఫ్రెంచ్ ఆర్మీ డి ఎల్ ఎయిర్ 1933 లో స్థాపించబడింది), మరియు ఇది మార్సెల్ బ్లోచ్‌ను తిరిగి ప్రారంభించిన విమానంలో ఇది ఒకటి ఏరోనాటికల్ నిర్మాణ పరిశ్రమ. Mb.81 అని పిలువబడే ఉత్పత్తి నమూనాను ఫ్రెంచ్ సాల్మ్సన్ 9 వ 128.68 kW (175 HP) అమర్చారు. ఇది మొరాకో మరియు సిరియాలో 1930 ల ప్రారంభంలో సైనిక కార్యకలాపాలలో పాల్గొంది. MB.81 1935 లో సేవలోకి ప్రవేశించింది మరియు ఇది ఉత్తర ఆఫ్రికా మరియు మధ్యప్రాచ్యం అంతటా విస్తృతంగా ఉపయోగించబడింది. కొన్ని 1939-1940లో, ఫ్రెంచ్ లొంగిపోవడానికి ముందు, మరియు జూలై 1941 లో విచి ఫ్రెంచ్ మరియు బ్రిటిష్/ఉచిత ఫ్రెంచ్ మధ్య సిరియా కోసం జరిగిన యుద్ధంలో ఉపయోగించబడ్డాయి. సాధారణ లక్షణాలు పనితీరు సంబంధిత జాబితాలు</v>
      </c>
      <c r="E80" s="1" t="s">
        <v>1613</v>
      </c>
      <c r="F80" s="1" t="s">
        <v>1614</v>
      </c>
      <c r="G80" s="1" t="str">
        <f>IFERROR(__xludf.DUMMYFUNCTION("GOOGLETRANSLATE(F:F,""en"", ""te"")"),"ఎయిర్ అంబులెన్స్")</f>
        <v>ఎయిర్ అంబులెన్స్</v>
      </c>
      <c r="L80" s="1" t="s">
        <v>1615</v>
      </c>
      <c r="M80" s="1" t="str">
        <f>IFERROR(__xludf.DUMMYFUNCTION("GOOGLETRANSLATE(L:L,""en"", ""te"")"),"బ్లోచ్")</f>
        <v>బ్లోచ్</v>
      </c>
      <c r="N80" s="2" t="s">
        <v>1616</v>
      </c>
      <c r="O80" s="1">
        <v>1935.0</v>
      </c>
      <c r="P80" s="1" t="s">
        <v>1617</v>
      </c>
      <c r="Q80" s="1"/>
      <c r="R80" s="1">
        <v>21.0</v>
      </c>
      <c r="S80" s="1">
        <v>1.0</v>
      </c>
      <c r="T80" s="1" t="s">
        <v>1618</v>
      </c>
      <c r="U80" s="1" t="s">
        <v>1619</v>
      </c>
      <c r="V80" s="1" t="s">
        <v>1620</v>
      </c>
      <c r="X80" s="1" t="s">
        <v>1621</v>
      </c>
      <c r="AA80" s="1" t="s">
        <v>1622</v>
      </c>
      <c r="AG80" s="1" t="s">
        <v>208</v>
      </c>
      <c r="AH80" s="1" t="s">
        <v>1623</v>
      </c>
      <c r="AK80" s="1" t="s">
        <v>1624</v>
      </c>
      <c r="AL80" s="1" t="s">
        <v>1382</v>
      </c>
      <c r="AM80" s="1" t="s">
        <v>1625</v>
      </c>
      <c r="AN80" s="1" t="s">
        <v>1626</v>
      </c>
      <c r="AO80" s="1" t="s">
        <v>1627</v>
      </c>
      <c r="AQ80" s="1" t="s">
        <v>1628</v>
      </c>
      <c r="AR80" s="1" t="s">
        <v>1629</v>
      </c>
      <c r="BA80" s="1" t="s">
        <v>1630</v>
      </c>
      <c r="CD80" s="2" t="s">
        <v>1631</v>
      </c>
    </row>
    <row r="81">
      <c r="A81" s="1" t="s">
        <v>1632</v>
      </c>
      <c r="B81" s="1" t="str">
        <f>IFERROR(__xludf.DUMMYFUNCTION("GOOGLETRANSLATE(A:A,""en"", ""te"")"),"బోయింగ్ XB-55")</f>
        <v>బోయింగ్ XB-55</v>
      </c>
      <c r="C81" s="1" t="s">
        <v>1633</v>
      </c>
      <c r="D81" s="1" t="str">
        <f>IFERROR(__xludf.DUMMYFUNCTION("GOOGLETRANSLATE(C:C,""en"", ""te"")"),"బోయింగ్ XB-55 (కంపెనీ హోదా మోడల్ 474) అనేది వ్యూహాత్మక బాంబర్‌గా రూపొందించబడిన ప్రతిపాదిత బోయింగ్ విమానం. XB-55 యునైటెడ్ స్టేట్స్ వైమానిక దళం (యుఎస్ఎఎఫ్) సేవలో బోయింగ్ బి -47 స్ట్రాటోజెట్ కోసం భర్తీ చేయడానికి ఉద్దేశించబడింది. XB-47 ప్రోటోటైప్ యొక్క మొదటి "&amp;"విమానానికి రెండు నెలల ముందు, అక్టోబర్ 1947 లో యునైటెడ్ స్టేట్స్ వైమానిక దళం జారీ చేసిన ప్రతిపాదన కోసం (RFP) ఒక అభ్యర్థనలో XB-55 భావన ఉంది. అనేక యునైటెడ్ స్టేట్స్ తయారీదారులు RFP కి స్పందించారు. బోయింగ్ ఈ గుంపు నుండి ఎంపిక చేయబడింది మరియు తదుపరి ఇంజనీరింగ్"&amp;" అధ్యయనాలు నిర్వహించడానికి 1 జూలై 1948 న ఒప్పందం ఇచ్చింది. బోయింగ్ యొక్క ప్రారంభ విధానం దాని B-47 మాదిరిగానే ఎయిర్‌ఫ్రేమ్‌లో నాలుగు టర్బోప్రాప్ ఇంజిన్‌లను మౌంట్ చేయడం: రెక్కకు తక్కువ స్వీప్‌బ్యాక్ ఉంటుంది; అల్లిసన్ T40-A-2 ఇంజన్లు మూడు-బ్లేడ్ కాంట్రా-రొటే"&amp;"టింగ్ ప్రొపెల్లర్లను డ్రైవ్ చేస్తాయి, అనగా, ఇంజిన్‌కు ఆరు బ్లేడ్లు; ఇంజిన్లను రెక్కల నుండి వేలాడదీసిన నాసెల్ల్స్‌లో, రెండు వైపు రెండు; ల్యాండింగ్ గేర్ B-47 యొక్క టెన్డం గేర్‌తో సమానంగా ఉంటుంది, అవుట్‌బోర్డ్ ఇంజిన్ నాసెల్ల్‌లోకి దూసుకుపోతుంది. XB-55 లో 490"&amp;" mph (790 km/h) మరియు 435 mph (700 కిమీ/గం) క్రూజింగ్ వేగం ఉంది, గరిష్టంగా 153,000 పౌండ్లు (69,000 కిలోలు) బరువు ఉంటుంది, ఇది 135 అడుగుల రెక్కలు ( 41 మీ), మరియు 118.9 అడుగుల పొడవు (36.2 మీ). [1] ఇంజిన్ తయారీదారు మరియు ప్రొపెల్లర్ తయారీదారుల మధ్య అల్లిసన్ "&amp;"టి 40-ఎ -2 డ్రైవ్‌షాఫ్ట్ ప్రొపెల్లర్ల నిమిషానికి అధిక విప్లవాల వద్ద సంభవించిన శక్తులను తీసుకునేంత బలంగా ఉందా అనే దానిపై పెద్ద విభేదాలు ఉన్నాయి. విజయవంతమైన పవర్‌ప్లాంట్ పంపిణీ చేయబడటానికి కనీసం నాలుగు సంవత్సరాల ముందు అల్లిసన్ అంచనా వేస్తున్నాడు. అక్టోబర్ 1"&amp;"948 లో, ఒహియోలోని డేటన్లో ఒక సమావేశం XB-55 యొక్క సమస్యలను పరిష్కరించారు, భోజనంలో XB-52 (బోయింగ్ మోడల్ 464), అప్పటి వరకు టర్బోప్రాప్ ఇంజిన్లతో ప్రణాళిక చేయబడినది, అమర్చబడి ఉంటుంది. రాబోయే ప్రాట్ &amp; విట్నీ J57 టర్బోజెట్ ఇంజిన్లతో. ఒక వారంలో, XB-52 XB-55 ను అ"&amp;"ధిగమించడమే కాక, XB-55 విశ్వసనీయ ఇంజన్లను కలిగి ఉంటుందని expected హించటానికి కనీసం ఒక సంవత్సరం ముందు ఇది ఎగురుతుంది. XB-55 కార్యక్రమాన్ని వదలివేయాలనే నిర్ణయాన్ని కూడా భరించడం ప్రభుత్వ నిధుల అడ్డంకులు మరియు B-47 మొదట అంచనా వేసిన దానికంటే విజయవంతం అవుతోందని "&amp;"గ్రహించడం. 29 జనవరి 1949 న, బోయింగ్ XB-55 ఒప్పందాన్ని రద్దు చేయాలని ఎయిర్ మెటీరియల్ కమాండ్ ఆదేశించబడింది. సవరించిన ఒప్పందం ప్రకారం, బోయింగ్ ప్రాజెక్ట్ 474 ను బోయింగ్ ప్రాజెక్ట్ 479 గా మార్చారు, ఇందులో టర్బోప్రాప్‌ల స్థానంలో ఆరు J40 టర్బోజెట్ ఇంజిన్‌లను ఇద"&amp;"ే విధమైన వింగ్ ప్లాట్‌ఫామ్‌లో ఉపయోగించడం అనే అధ్యయనం ఉంది, కానీ మందమైన రూట్ విభాగంతో. సంభావిత అధ్యయనాలు మరియు విండ్ టన్నెల్ పరిశోధనలను కొనసాగించడానికి బోయింగ్ ఒప్పందం కుదుర్చుకున్నప్పటికీ, వివరణాత్మక ఇంజనీరింగ్ మరియు మోకాప్ నిర్మాణంపై పని రద్దు చేయబడింది."&amp;" ఈ అధ్యయనాలు బోయింగ్ బి -52 స్ట్రాటోఫోర్ట్రెస్ అభివృద్ధిలో విలువైనవిగా నిరూపించబడ్డాయి, ఇది మొదట ఏప్రిల్ 15, 1952 న ప్రయాణించింది. XB-55 ప్రాజెక్ట్ ఒక నమూనా నిర్మాణానికి దారితీయలేదు. ఎయిర్ ఫోర్స్ మ్యూజియం ఫాక్ట్ షీట్ నుండి డేటా [2] సాధారణ లక్షణాలు పనితీరు"&amp;" ఆయుధాల సంబంధిత అభివృద్ధి విమానం పోల్చదగిన పాత్ర, కాన్ఫిగరేషన్ మరియు ERA సంబంధిత జాబితాలు")</f>
        <v>బోయింగ్ XB-55 (కంపెనీ హోదా మోడల్ 474) అనేది వ్యూహాత్మక బాంబర్‌గా రూపొందించబడిన ప్రతిపాదిత బోయింగ్ విమానం. XB-55 యునైటెడ్ స్టేట్స్ వైమానిక దళం (యుఎస్ఎఎఫ్) సేవలో బోయింగ్ బి -47 స్ట్రాటోజెట్ కోసం భర్తీ చేయడానికి ఉద్దేశించబడింది. XB-47 ప్రోటోటైప్ యొక్క మొదటి విమానానికి రెండు నెలల ముందు, అక్టోబర్ 1947 లో యునైటెడ్ స్టేట్స్ వైమానిక దళం జారీ చేసిన ప్రతిపాదన కోసం (RFP) ఒక అభ్యర్థనలో XB-55 భావన ఉంది. అనేక యునైటెడ్ స్టేట్స్ తయారీదారులు RFP కి స్పందించారు. బోయింగ్ ఈ గుంపు నుండి ఎంపిక చేయబడింది మరియు తదుపరి ఇంజనీరింగ్ అధ్యయనాలు నిర్వహించడానికి 1 జూలై 1948 న ఒప్పందం ఇచ్చింది. బోయింగ్ యొక్క ప్రారంభ విధానం దాని B-47 మాదిరిగానే ఎయిర్‌ఫ్రేమ్‌లో నాలుగు టర్బోప్రాప్ ఇంజిన్‌లను మౌంట్ చేయడం: రెక్కకు తక్కువ స్వీప్‌బ్యాక్ ఉంటుంది; అల్లిసన్ T40-A-2 ఇంజన్లు మూడు-బ్లేడ్ కాంట్రా-రొటేటింగ్ ప్రొపెల్లర్లను డ్రైవ్ చేస్తాయి, అనగా, ఇంజిన్‌కు ఆరు బ్లేడ్లు; ఇంజిన్లను రెక్కల నుండి వేలాడదీసిన నాసెల్ల్స్‌లో, రెండు వైపు రెండు; ల్యాండింగ్ గేర్ B-47 యొక్క టెన్డం గేర్‌తో సమానంగా ఉంటుంది, అవుట్‌బోర్డ్ ఇంజిన్ నాసెల్ల్‌లోకి దూసుకుపోతుంది. XB-55 లో 490 mph (790 km/h) మరియు 435 mph (700 కిమీ/గం) క్రూజింగ్ వేగం ఉంది, గరిష్టంగా 153,000 పౌండ్లు (69,000 కిలోలు) బరువు ఉంటుంది, ఇది 135 అడుగుల రెక్కలు ( 41 మీ), మరియు 118.9 అడుగుల పొడవు (36.2 మీ). [1] ఇంజిన్ తయారీదారు మరియు ప్రొపెల్లర్ తయారీదారుల మధ్య అల్లిసన్ టి 40-ఎ -2 డ్రైవ్‌షాఫ్ట్ ప్రొపెల్లర్ల నిమిషానికి అధిక విప్లవాల వద్ద సంభవించిన శక్తులను తీసుకునేంత బలంగా ఉందా అనే దానిపై పెద్ద విభేదాలు ఉన్నాయి. విజయవంతమైన పవర్‌ప్లాంట్ పంపిణీ చేయబడటానికి కనీసం నాలుగు సంవత్సరాల ముందు అల్లిసన్ అంచనా వేస్తున్నాడు. అక్టోబర్ 1948 లో, ఒహియోలోని డేటన్లో ఒక సమావేశం XB-55 యొక్క సమస్యలను పరిష్కరించారు, భోజనంలో XB-52 (బోయింగ్ మోడల్ 464), అప్పటి వరకు టర్బోప్రాప్ ఇంజిన్లతో ప్రణాళిక చేయబడినది, అమర్చబడి ఉంటుంది. రాబోయే ప్రాట్ &amp; విట్నీ J57 టర్బోజెట్ ఇంజిన్లతో. ఒక వారంలో, XB-52 XB-55 ను అధిగమించడమే కాక, XB-55 విశ్వసనీయ ఇంజన్లను కలిగి ఉంటుందని expected హించటానికి కనీసం ఒక సంవత్సరం ముందు ఇది ఎగురుతుంది. XB-55 కార్యక్రమాన్ని వదలివేయాలనే నిర్ణయాన్ని కూడా భరించడం ప్రభుత్వ నిధుల అడ్డంకులు మరియు B-47 మొదట అంచనా వేసిన దానికంటే విజయవంతం అవుతోందని గ్రహించడం. 29 జనవరి 1949 న, బోయింగ్ XB-55 ఒప్పందాన్ని రద్దు చేయాలని ఎయిర్ మెటీరియల్ కమాండ్ ఆదేశించబడింది. సవరించిన ఒప్పందం ప్రకారం, బోయింగ్ ప్రాజెక్ట్ 474 ను బోయింగ్ ప్రాజెక్ట్ 479 గా మార్చారు, ఇందులో టర్బోప్రాప్‌ల స్థానంలో ఆరు J40 టర్బోజెట్ ఇంజిన్‌లను ఇదే విధమైన వింగ్ ప్లాట్‌ఫామ్‌లో ఉపయోగించడం అనే అధ్యయనం ఉంది, కానీ మందమైన రూట్ విభాగంతో. సంభావిత అధ్యయనాలు మరియు విండ్ టన్నెల్ పరిశోధనలను కొనసాగించడానికి బోయింగ్ ఒప్పందం కుదుర్చుకున్నప్పటికీ, వివరణాత్మక ఇంజనీరింగ్ మరియు మోకాప్ నిర్మాణంపై పని రద్దు చేయబడింది. ఈ అధ్యయనాలు బోయింగ్ బి -52 స్ట్రాటోఫోర్ట్రెస్ అభివృద్ధిలో విలువైనవిగా నిరూపించబడ్డాయి, ఇది మొదట ఏప్రిల్ 15, 1952 న ప్రయాణించింది. XB-55 ప్రాజెక్ట్ ఒక నమూనా నిర్మాణానికి దారితీయలేదు. ఎయిర్ ఫోర్స్ మ్యూజియం ఫాక్ట్ షీట్ నుండి డేటా [2] సాధారణ లక్షణాలు పనితీరు ఆయుధాల సంబంధిత అభివృద్ధి విమానం పోల్చదగిన పాత్ర, కాన్ఫిగరేషన్ మరియు ERA సంబంధిత జాబితాలు</v>
      </c>
      <c r="F81" s="1" t="s">
        <v>1634</v>
      </c>
      <c r="G81" s="1" t="str">
        <f>IFERROR(__xludf.DUMMYFUNCTION("GOOGLETRANSLATE(F:F,""en"", ""te"")"),"వ్యూహాత్మక బాంబర్")</f>
        <v>వ్యూహాత్మక బాంబర్</v>
      </c>
      <c r="L81" s="1" t="s">
        <v>1635</v>
      </c>
      <c r="M81" s="1" t="str">
        <f>IFERROR(__xludf.DUMMYFUNCTION("GOOGLETRANSLATE(L:L,""en"", ""te"")"),"బోయింగ్")</f>
        <v>బోయింగ్</v>
      </c>
      <c r="N81" s="2" t="s">
        <v>1636</v>
      </c>
      <c r="P81" s="1" t="s">
        <v>1637</v>
      </c>
      <c r="Q81" s="1"/>
      <c r="R81" s="1">
        <v>0.0</v>
      </c>
      <c r="S81" s="1" t="s">
        <v>1638</v>
      </c>
      <c r="U81" s="1" t="s">
        <v>1639</v>
      </c>
      <c r="V81" s="1" t="s">
        <v>1640</v>
      </c>
      <c r="Y81" s="1" t="s">
        <v>1641</v>
      </c>
      <c r="AA81" s="1" t="s">
        <v>1642</v>
      </c>
      <c r="AB81" s="1" t="s">
        <v>1643</v>
      </c>
      <c r="AH81" s="1" t="s">
        <v>1644</v>
      </c>
      <c r="AK81" s="1" t="s">
        <v>1645</v>
      </c>
      <c r="AL81" s="1" t="s">
        <v>1646</v>
      </c>
      <c r="AQ81" s="1" t="s">
        <v>1647</v>
      </c>
      <c r="AR81" s="1" t="s">
        <v>1648</v>
      </c>
      <c r="AT81" s="1" t="s">
        <v>1649</v>
      </c>
      <c r="BA81" s="1" t="s">
        <v>1650</v>
      </c>
      <c r="BR81" s="1" t="s">
        <v>1651</v>
      </c>
      <c r="BT81" s="1" t="s">
        <v>1652</v>
      </c>
    </row>
    <row r="82">
      <c r="A82" s="1" t="s">
        <v>1653</v>
      </c>
      <c r="B82" s="1" t="str">
        <f>IFERROR(__xludf.DUMMYFUNCTION("GOOGLETRANSLATE(A:A,""en"", ""te"")"),"బ్లెరియోట్ vi")</f>
        <v>బ్లెరియోట్ vi</v>
      </c>
      <c r="C82" s="1" t="s">
        <v>1654</v>
      </c>
      <c r="D82" s="1" t="str">
        <f>IFERROR(__xludf.DUMMYFUNCTION("GOOGLETRANSLATE(C:C,""en"", ""te"")"),"బ్లెరియోట్ VI ""లిబెల్యూల్"" (""డ్రాగన్‌ఫ్లై""), 1907 లో నిర్మించబడింది మరియు ఇది లూయిస్ బ్లెరియోట్ చేత నిర్మించబడిన ప్రయోగాత్మక విమానాల శ్రేణిలో ఒకటి, చివరికి బ్లెరియోట్ జి విమానానికి దారితీసింది, దీనిలో అతను ఇంగ్లీష్ ఛానల్ అంతటా మొదటి విమానంలో చేశాడు. బ"&amp;"్లెరియోట్ V యొక్క కానార్డ్ లేఅవుట్ను వదిలివేయడం, బ్లెరియోట్ మరియు అతని చీఫ్ ఇంజనీర్ లూయిస్ పెరెట్ తరువాత ఒక టెన్డం వింగ్ కాన్ఫిగరేషన్ విమానాన్ని నిర్మించారు, బహుశా లాంగ్లీ ఏరోడ్రోమ్ చేత ప్రభావితమవుతుంది. దాని ప్రారంభ రూపంలో, ఈ విమానం రెండు జతల ఒకేలాంటి రె"&amp;"క్కలను కలిగి ఉంది, చెక్క బాక్స్ -గిర్డర్ ఫ్యూజ్‌లేజ్ యొక్క ప్రతి చివర దిగువ పొయ్యిపై ఉచ్ఛరిస్తారు, ముందు రెక్కలపై చిన్న చిట్కా -మౌంటెడ్ ఎలివేటర్లతో. త్రిభుజాకార రెక్కలు వెనుక ఫ్యూజ్‌లేజ్ పైన మరియు క్రింద అమర్చబడ్డాయి, ఒక చిన్న చుక్కాని వాటి వెనుకంజలో ఉన్న"&amp;" అంచుకు అతుక్కొని ఉన్నాయి. అండర్ క్యారేజ్ విమానం ముందు భాగంలో V- స్ట్రట్స్‌పై ఒక జత చక్రాలను కలిగి ఉంది మరియు మూడవ చక్రం ఫ్యూజ్‌లేజ్ యొక్క మధ్యస్థం వెనుక కొద్దిగా అమర్చబడింది. ఇది 24 హెచ్‌పి (18 కిలోవాట్) ఆంటోనిట్టే వి -8 ఇంజిన్ ద్వారా శక్తినిచ్చింది. జూల"&amp;"ై 7 న ఇస్సీ-లెస్-మౌలినేక్స్ వద్ద మొదటి ప్రయత్నాలు జరిగాయి, కాని విమానం ఎత్తడంలో విఫలమైంది. బ్లెరియోట్ అప్పుడు రెక్కలను కొద్దిగా విస్తరించాడు, మరియు జూలై 11 న సుమారు 25-30 మీటర్లు (84–100 అడుగులు) విజయవంతమైన ఫ్లైట్ తయారు చేయబడింది, ఇది 2 మీ (7 అడుగులు) ఎత్"&amp;"తుకు చేరుకుంది. ఎందుకంటే కొంతమంది చూపరులు బ్లెరియోట్ మార్గంలో ఉన్నారు, అప్పుడు ఇంజిన్ ఆపి దిగి దిగారు. అండర్ క్యారేజీకి స్వల్ప నష్టం కలిగించినప్పటికీ, ఇది బ్లెరియోట్ యొక్క మొట్టమొదటి నిజంగా విజయవంతమైన విమానమే. మరింత విజయవంతమైన విమానాలు ఆ నెలలో జరిగాయి, జూ"&amp;"లై 25 నాటికి అతను 150 మీ (490 అడుగులు) విమానంలో ప్రయాణించాడు. ఈ విమానాల సమయంలో బ్లెరియోట్ వివిధ మార్పులు చేశాడు: అతను వింగ్టిప్ ఐలెరాన్‌లను లాక్ చేసి స్లైడింగ్ సీటును వ్యవస్థాపించాడు, తద్వారా అతను విమానం యొక్క గురుత్వాకర్షణ కేంద్రాన్ని మార్చడం ద్వారా రేఖా"&amp;"ంశ ట్రిమ్‌ను నిర్వహించగలడు మరియు నిలువు తోక ఉపరితలాన్ని విస్తరించాడు. ఆగస్టు 6 న అతను 12 మీ (39 అడుగులు) ఎత్తుకు చేరుకోగలిగాడు, కాని ప్రొపెల్లర్ యొక్క బ్లేడ్లలో ఒకటి వదులుగా పనిచేసింది, దీని ఫలితంగా భారీ ల్యాండింగ్ విమానాన్ని దెబ్బతీసింది. [1] తరువాత అతను"&amp;" 50 హెచ్‌పి (37 కిలోవాట్) వి -16 ఆంటోనెట్ ఇంజిన్‌ను అమర్చాడు. సెప్టెంబర్ 17 న పరీక్షలు పనితీరులో ఆశ్చర్యకరమైన మెరుగుదల చూపించాయి, విమానం త్వరగా 25 మీ (82 అడుగులు) ఎత్తుకు చేరుకుంది, ఇంజిన్ అకస్మాత్తుగా కటౌట్ మరియు విమానం స్పైరలింగ్ ముక్కులోకి వెళ్ళింది. బ"&amp;"్లెరియోట్ తరువాత తన తక్షణ ఆలోచన అతను పూర్తయిందని చెప్పాడు: నిరాశతో అతను తన సీటు నుండి బయటకు వెళ్లి తనను తాను తోక వైపుకు విసిరాడు. విమానం పాక్షికంగా డైవ్ నుండి బయటకు తీసింది మరియు ఎక్కువ లేదా తక్కువ క్షితిజ సమాంతర వైఖరిలో భూమికి వచ్చింది. అతని ఏకైక గాయాలు "&amp;"ముఖం మీద కొన్ని చిన్న కోతలు, అతని విరిగిన గాగుల్స్ నుండి గాజు శకలాలు సంభవించాయి. . ఈ సంఘటన ఫ్రెంచ్ విమానయాన సమాజంలో ఎక్కువ భాగం సాక్ష్యమిచ్చింది, వీటిలో రాబర్ట్ ఎస్లాల్ట్-పెల్టెరీ, ఫెర్డినాండ్ ఫెర్బెర్ మరియు వోయిసిన్ బ్రదర్స్ ఉన్నాయి: ప్రేక్షకులలో కూడా బ్"&amp;"లెరియోట్ భార్య ఆలిస్ ఉన్నారు, ఆమె మొదటిసారి తన భర్త విమానాలలో ఒకదాన్ని చూడటానికి వచ్చారు . ఎస్లాల్ట్ పెల్టరీ విమాన పొడవును వేగవంతం చేసి, దానిని 184 మీ (604 అడుగులు) వద్ద కొలుస్తుంది. ఇది ఇప్పటి వరకు ఆ సంవత్సరం ఫ్రాన్స్‌లో సాధించిన సుదీర్ఘ విమానంగా మారింది"&amp;", మరియు ఫ్లైట్ అధికారికంగా సాక్ష్యమివ్వబడనప్పటికీ, బ్లెరియోట్‌కు ఈ ఘనత కోసం ఏరో క్లబ్ డి ఫ్రాన్స్ ప్రత్యేక పతకాన్ని అందుకుంది. [2] సాధారణ లక్షణాలు")</f>
        <v>బ్లెరియోట్ VI "లిబెల్యూల్" ("డ్రాగన్‌ఫ్లై"), 1907 లో నిర్మించబడింది మరియు ఇది లూయిస్ బ్లెరియోట్ చేత నిర్మించబడిన ప్రయోగాత్మక విమానాల శ్రేణిలో ఒకటి, చివరికి బ్లెరియోట్ జి విమానానికి దారితీసింది, దీనిలో అతను ఇంగ్లీష్ ఛానల్ అంతటా మొదటి విమానంలో చేశాడు. బ్లెరియోట్ V యొక్క కానార్డ్ లేఅవుట్ను వదిలివేయడం, బ్లెరియోట్ మరియు అతని చీఫ్ ఇంజనీర్ లూయిస్ పెరెట్ తరువాత ఒక టెన్డం వింగ్ కాన్ఫిగరేషన్ విమానాన్ని నిర్మించారు, బహుశా లాంగ్లీ ఏరోడ్రోమ్ చేత ప్రభావితమవుతుంది. దాని ప్రారంభ రూపంలో, ఈ విమానం రెండు జతల ఒకేలాంటి రెక్కలను కలిగి ఉంది, చెక్క బాక్స్ -గిర్డర్ ఫ్యూజ్‌లేజ్ యొక్క ప్రతి చివర దిగువ పొయ్యిపై ఉచ్ఛరిస్తారు, ముందు రెక్కలపై చిన్న చిట్కా -మౌంటెడ్ ఎలివేటర్లతో. త్రిభుజాకార రెక్కలు వెనుక ఫ్యూజ్‌లేజ్ పైన మరియు క్రింద అమర్చబడ్డాయి, ఒక చిన్న చుక్కాని వాటి వెనుకంజలో ఉన్న అంచుకు అతుక్కొని ఉన్నాయి. అండర్ క్యారేజ్ విమానం ముందు భాగంలో V- స్ట్రట్స్‌పై ఒక జత చక్రాలను కలిగి ఉంది మరియు మూడవ చక్రం ఫ్యూజ్‌లేజ్ యొక్క మధ్యస్థం వెనుక కొద్దిగా అమర్చబడింది. ఇది 24 హెచ్‌పి (18 కిలోవాట్) ఆంటోనిట్టే వి -8 ఇంజిన్ ద్వారా శక్తినిచ్చింది. జూలై 7 న ఇస్సీ-లెస్-మౌలినేక్స్ వద్ద మొదటి ప్రయత్నాలు జరిగాయి, కాని విమానం ఎత్తడంలో విఫలమైంది. బ్లెరియోట్ అప్పుడు రెక్కలను కొద్దిగా విస్తరించాడు, మరియు జూలై 11 న సుమారు 25-30 మీటర్లు (84–100 అడుగులు) విజయవంతమైన ఫ్లైట్ తయారు చేయబడింది, ఇది 2 మీ (7 అడుగులు) ఎత్తుకు చేరుకుంది. ఎందుకంటే కొంతమంది చూపరులు బ్లెరియోట్ మార్గంలో ఉన్నారు, అప్పుడు ఇంజిన్ ఆపి దిగి దిగారు. అండర్ క్యారేజీకి స్వల్ప నష్టం కలిగించినప్పటికీ, ఇది బ్లెరియోట్ యొక్క మొట్టమొదటి నిజంగా విజయవంతమైన విమానమే. మరింత విజయవంతమైన విమానాలు ఆ నెలలో జరిగాయి, జూలై 25 నాటికి అతను 150 మీ (490 అడుగులు) విమానంలో ప్రయాణించాడు. ఈ విమానాల సమయంలో బ్లెరియోట్ వివిధ మార్పులు చేశాడు: అతను వింగ్టిప్ ఐలెరాన్‌లను లాక్ చేసి స్లైడింగ్ సీటును వ్యవస్థాపించాడు, తద్వారా అతను విమానం యొక్క గురుత్వాకర్షణ కేంద్రాన్ని మార్చడం ద్వారా రేఖాంశ ట్రిమ్‌ను నిర్వహించగలడు మరియు నిలువు తోక ఉపరితలాన్ని విస్తరించాడు. ఆగస్టు 6 న అతను 12 మీ (39 అడుగులు) ఎత్తుకు చేరుకోగలిగాడు, కాని ప్రొపెల్లర్ యొక్క బ్లేడ్లలో ఒకటి వదులుగా పనిచేసింది, దీని ఫలితంగా భారీ ల్యాండింగ్ విమానాన్ని దెబ్బతీసింది. [1] తరువాత అతను 50 హెచ్‌పి (37 కిలోవాట్) వి -16 ఆంటోనెట్ ఇంజిన్‌ను అమర్చాడు. సెప్టెంబర్ 17 న పరీక్షలు పనితీరులో ఆశ్చర్యకరమైన మెరుగుదల చూపించాయి, విమానం త్వరగా 25 మీ (82 అడుగులు) ఎత్తుకు చేరుకుంది, ఇంజిన్ అకస్మాత్తుగా కటౌట్ మరియు విమానం స్పైరలింగ్ ముక్కులోకి వెళ్ళింది. బ్లెరియోట్ తరువాత తన తక్షణ ఆలోచన అతను పూర్తయిందని చెప్పాడు: నిరాశతో అతను తన సీటు నుండి బయటకు వెళ్లి తనను తాను తోక వైపుకు విసిరాడు. విమానం పాక్షికంగా డైవ్ నుండి బయటకు తీసింది మరియు ఎక్కువ లేదా తక్కువ క్షితిజ సమాంతర వైఖరిలో భూమికి వచ్చింది. అతని ఏకైక గాయాలు ముఖం మీద కొన్ని చిన్న కోతలు, అతని విరిగిన గాగుల్స్ నుండి గాజు శకలాలు సంభవించాయి. . ఈ సంఘటన ఫ్రెంచ్ విమానయాన సమాజంలో ఎక్కువ భాగం సాక్ష్యమిచ్చింది, వీటిలో రాబర్ట్ ఎస్లాల్ట్-పెల్టెరీ, ఫెర్డినాండ్ ఫెర్బెర్ మరియు వోయిసిన్ బ్రదర్స్ ఉన్నాయి: ప్రేక్షకులలో కూడా బ్లెరియోట్ భార్య ఆలిస్ ఉన్నారు, ఆమె మొదటిసారి తన భర్త విమానాలలో ఒకదాన్ని చూడటానికి వచ్చారు . ఎస్లాల్ట్ పెల్టరీ విమాన పొడవును వేగవంతం చేసి, దానిని 184 మీ (604 అడుగులు) వద్ద కొలుస్తుంది. ఇది ఇప్పటి వరకు ఆ సంవత్సరం ఫ్రాన్స్‌లో సాధించిన సుదీర్ఘ విమానంగా మారింది, మరియు ఫ్లైట్ అధికారికంగా సాక్ష్యమివ్వబడనప్పటికీ, బ్లెరియోట్‌కు ఈ ఘనత కోసం ఏరో క్లబ్ డి ఫ్రాన్స్ ప్రత్యేక పతకాన్ని అందుకుంది. [2] సాధారణ లక్షణాలు</v>
      </c>
      <c r="E82" s="1" t="s">
        <v>1655</v>
      </c>
      <c r="F82" s="1" t="s">
        <v>1656</v>
      </c>
      <c r="G82" s="1" t="str">
        <f>IFERROR(__xludf.DUMMYFUNCTION("GOOGLETRANSLATE(F:F,""en"", ""te"")"),"ప్రయోగాత్మక టెన్డం వింగ్ విమానం")</f>
        <v>ప్రయోగాత్మక టెన్డం వింగ్ విమానం</v>
      </c>
      <c r="H82" s="1" t="s">
        <v>1657</v>
      </c>
      <c r="L82" s="1" t="s">
        <v>1605</v>
      </c>
      <c r="M82" s="1" t="str">
        <f>IFERROR(__xludf.DUMMYFUNCTION("GOOGLETRANSLATE(L:L,""en"", ""te"")"),"లూయిస్ బ్లెరియోట్")</f>
        <v>లూయిస్ బ్లెరియోట్</v>
      </c>
      <c r="N82" s="1" t="s">
        <v>1606</v>
      </c>
      <c r="R82" s="1">
        <v>1.0</v>
      </c>
      <c r="S82" s="1">
        <v>1.0</v>
      </c>
      <c r="U82" s="1" t="s">
        <v>1658</v>
      </c>
      <c r="W82" s="1" t="s">
        <v>1659</v>
      </c>
      <c r="AA82" s="1" t="s">
        <v>1660</v>
      </c>
      <c r="AH82" s="1" t="s">
        <v>1661</v>
      </c>
      <c r="AO82" s="4">
        <v>2749.0</v>
      </c>
      <c r="CD82" s="1" t="s">
        <v>1662</v>
      </c>
    </row>
    <row r="83">
      <c r="A83" s="1" t="s">
        <v>1663</v>
      </c>
      <c r="B83" s="1" t="str">
        <f>IFERROR(__xludf.DUMMYFUNCTION("GOOGLETRANSLATE(A:A,""en"", ""te"")"),"బ్లెరియోట్-స్పాడ్ S.81")</f>
        <v>బ్లెరియోట్-స్పాడ్ S.81</v>
      </c>
      <c r="C83" s="1" t="s">
        <v>1664</v>
      </c>
      <c r="D83" s="1" t="str">
        <f>IFERROR(__xludf.DUMMYFUNCTION("GOOGLETRANSLATE(C:C,""en"", ""te"")"),"బ్లెరియోట్-స్పాడ్ S.81 (S.81 C.1) అనేది ఫ్రెంచ్ ఫైటర్ విమానం, ఇది 1923 లో ఫ్రెంచ్ వైమానిక దళం యొక్క అవసరానికి అభివృద్ధి చేయబడింది. ఇది డెవాయిటైన్ డి. S.81 అనేది I- ఆకారపు ఇంటర్‌ప్లేన్ స్ట్రట్‌లతో సాంప్రదాయిక కాన్ఫిగరేషన్ యొక్క సింగిల్-బే బైప్‌లేన్ మరియు హ"&amp;"ెర్బెమాంట్ యొక్క సాధారణ తుడిచిపెట్టిన అప్పర్ వింగ్ లేకపోవడం. ఇది మోనోకోక్ నిర్మాణం మరియు ఫాబ్రిక్‌లో చర్మం గల లోహ రెక్కల చెక్క ఫ్యూజ్‌లేజ్ కలిగి ఉంది. ఉత్పత్తి సంస్కరణలు పొడవైన ఫ్యూజ్‌లేజ్ మరియు పెద్ద టెయిల్ ఫిన్ కలిగి ఉండటంలో ప్రోటోటైప్‌ల నుండి భిన్నంగా "&amp;"ఉంటాయి. జేన్ యొక్క అన్ని ప్రపంచ విమానాల నుండి డేటా 1924, [3] ఏవియాఫ్రాన్స్: స్పాడ్ ఎస్ -81 [1] సాధారణ లక్షణాలు పనితీరు ఆయుధ సంబంధిత జాబితాలు")</f>
        <v>బ్లెరియోట్-స్పాడ్ S.81 (S.81 C.1) అనేది ఫ్రెంచ్ ఫైటర్ విమానం, ఇది 1923 లో ఫ్రెంచ్ వైమానిక దళం యొక్క అవసరానికి అభివృద్ధి చేయబడింది. ఇది డెవాయిటైన్ డి. S.81 అనేది I- ఆకారపు ఇంటర్‌ప్లేన్ స్ట్రట్‌లతో సాంప్రదాయిక కాన్ఫిగరేషన్ యొక్క సింగిల్-బే బైప్‌లేన్ మరియు హెర్బెమాంట్ యొక్క సాధారణ తుడిచిపెట్టిన అప్పర్ వింగ్ లేకపోవడం. ఇది మోనోకోక్ నిర్మాణం మరియు ఫాబ్రిక్‌లో చర్మం గల లోహ రెక్కల చెక్క ఫ్యూజ్‌లేజ్ కలిగి ఉంది. ఉత్పత్తి సంస్కరణలు పొడవైన ఫ్యూజ్‌లేజ్ మరియు పెద్ద టెయిల్ ఫిన్ కలిగి ఉండటంలో ప్రోటోటైప్‌ల నుండి భిన్నంగా ఉంటాయి. జేన్ యొక్క అన్ని ప్రపంచ విమానాల నుండి డేటా 1924, [3] ఏవియాఫ్రాన్స్: స్పాడ్ ఎస్ -81 [1] సాధారణ లక్షణాలు పనితీరు ఆయుధ సంబంధిత జాబితాలు</v>
      </c>
      <c r="F83" s="1" t="s">
        <v>1098</v>
      </c>
      <c r="G83" s="1" t="str">
        <f>IFERROR(__xludf.DUMMYFUNCTION("GOOGLETRANSLATE(F:F,""en"", ""te"")"),"యుద్ధ")</f>
        <v>యుద్ధ</v>
      </c>
      <c r="L83" s="1" t="s">
        <v>1665</v>
      </c>
      <c r="M83" s="1" t="str">
        <f>IFERROR(__xludf.DUMMYFUNCTION("GOOGLETRANSLATE(L:L,""en"", ""te"")"),"బ్లెరియోట్")</f>
        <v>బ్లెరియోట్</v>
      </c>
      <c r="N83" s="1" t="s">
        <v>1666</v>
      </c>
      <c r="R83" s="1" t="s">
        <v>1667</v>
      </c>
      <c r="S83" s="1">
        <v>1.0</v>
      </c>
      <c r="U83" s="1" t="s">
        <v>1668</v>
      </c>
      <c r="V83" s="1" t="s">
        <v>1015</v>
      </c>
      <c r="W83" s="1" t="s">
        <v>1669</v>
      </c>
      <c r="X83" s="1" t="s">
        <v>1670</v>
      </c>
      <c r="Y83" s="1" t="s">
        <v>1055</v>
      </c>
      <c r="AA83" s="1" t="s">
        <v>1671</v>
      </c>
      <c r="AD83" s="1" t="s">
        <v>1458</v>
      </c>
      <c r="AE83" s="1" t="s">
        <v>1672</v>
      </c>
      <c r="AF83" s="1" t="s">
        <v>1673</v>
      </c>
      <c r="AG83" s="1" t="s">
        <v>1674</v>
      </c>
      <c r="AK83" s="1" t="s">
        <v>1675</v>
      </c>
      <c r="AL83" s="1" t="s">
        <v>1676</v>
      </c>
      <c r="AM83" s="1" t="s">
        <v>1677</v>
      </c>
      <c r="AN83" s="1" t="s">
        <v>1678</v>
      </c>
      <c r="AO83" s="4">
        <v>8473.0</v>
      </c>
      <c r="AQ83" s="1" t="s">
        <v>1679</v>
      </c>
      <c r="AR83" s="1" t="s">
        <v>1680</v>
      </c>
      <c r="BA83" s="1" t="s">
        <v>1681</v>
      </c>
      <c r="BH83" s="1" t="s">
        <v>1682</v>
      </c>
      <c r="BM83" s="1" t="s">
        <v>1683</v>
      </c>
      <c r="BN83" s="1" t="s">
        <v>1684</v>
      </c>
      <c r="BR83" s="1" t="s">
        <v>1685</v>
      </c>
      <c r="CD83" s="1" t="s">
        <v>1686</v>
      </c>
    </row>
    <row r="84">
      <c r="A84" s="1" t="s">
        <v>1687</v>
      </c>
      <c r="B84" s="1" t="str">
        <f>IFERROR(__xludf.DUMMYFUNCTION("GOOGLETRANSLATE(A:A,""en"", ""te"")"),"బ్లోచ్ MB.110")</f>
        <v>బ్లోచ్ MB.110</v>
      </c>
      <c r="C84" s="1" t="s">
        <v>1688</v>
      </c>
      <c r="D84" s="1" t="str">
        <f>IFERROR(__xludf.DUMMYFUNCTION("GOOGLETRANSLATE(C:C,""en"", ""te"")"),"బ్లోచ్ MB.110 1930 ల ప్రారంభంలో ఫ్రాన్స్‌లో రూపొందించిన మరియు నిర్మించిన మెయిల్‌ప్లేన్. ఇది ఆల్-మెటల్ నిర్మాణం యొక్క అధిక-వింగ్ మోనోప్లేన్. [1] సాధారణ లక్షణాల పనితీరు నుండి డేటా")</f>
        <v>బ్లోచ్ MB.110 1930 ల ప్రారంభంలో ఫ్రాన్స్‌లో రూపొందించిన మరియు నిర్మించిన మెయిల్‌ప్లేన్. ఇది ఆల్-మెటల్ నిర్మాణం యొక్క అధిక-వింగ్ మోనోప్లేన్. [1] సాధారణ లక్షణాల పనితీరు నుండి డేటా</v>
      </c>
      <c r="F84" s="1" t="s">
        <v>1689</v>
      </c>
      <c r="G84" s="1" t="str">
        <f>IFERROR(__xludf.DUMMYFUNCTION("GOOGLETRANSLATE(F:F,""en"", ""te"")"),"మెయిల్‌ప్లేన్")</f>
        <v>మెయిల్‌ప్లేన్</v>
      </c>
      <c r="I84" s="1" t="s">
        <v>798</v>
      </c>
      <c r="J84" s="1" t="str">
        <f>IFERROR(__xludf.DUMMYFUNCTION("GOOGLETRANSLATE(I:I,""en"", ""te"")"),"ఫ్రాన్స్")</f>
        <v>ఫ్రాన్స్</v>
      </c>
      <c r="K84" s="2" t="s">
        <v>1166</v>
      </c>
      <c r="L84" s="1" t="s">
        <v>1690</v>
      </c>
      <c r="M84" s="1" t="str">
        <f>IFERROR(__xludf.DUMMYFUNCTION("GOOGLETRANSLATE(L:L,""en"", ""te"")"),"Société డెస్ ఏవియన్లు మార్సెల్ బ్లోచ్")</f>
        <v>Société డెస్ ఏవియన్లు మార్సెల్ బ్లోచ్</v>
      </c>
      <c r="N84" s="1" t="s">
        <v>1691</v>
      </c>
      <c r="R84" s="1">
        <v>1.0</v>
      </c>
      <c r="S84" s="1">
        <v>3.0</v>
      </c>
      <c r="U84" s="1" t="s">
        <v>1692</v>
      </c>
      <c r="V84" s="1" t="s">
        <v>1693</v>
      </c>
      <c r="X84" s="1" t="s">
        <v>1694</v>
      </c>
      <c r="Y84" s="1" t="s">
        <v>1695</v>
      </c>
      <c r="AA84" s="1" t="s">
        <v>1696</v>
      </c>
      <c r="AE84" s="1" t="s">
        <v>1697</v>
      </c>
      <c r="AF84" s="1" t="s">
        <v>1698</v>
      </c>
      <c r="AH84" s="1" t="s">
        <v>1699</v>
      </c>
      <c r="AL84" s="1" t="s">
        <v>1700</v>
      </c>
      <c r="AM84" s="1" t="s">
        <v>1701</v>
      </c>
      <c r="AO84" s="4">
        <v>12217.0</v>
      </c>
      <c r="AQ84" s="1" t="s">
        <v>1178</v>
      </c>
    </row>
    <row r="85">
      <c r="A85" s="1" t="s">
        <v>1702</v>
      </c>
      <c r="B85" s="1" t="str">
        <f>IFERROR(__xludf.DUMMYFUNCTION("GOOGLETRANSLATE(A:A,""en"", ""te"")"),"బోయింగ్ XP-15")</f>
        <v>బోయింగ్ XP-15</v>
      </c>
      <c r="C85" s="1" t="s">
        <v>1703</v>
      </c>
      <c r="D85" s="1" t="str">
        <f>IFERROR(__xludf.DUMMYFUNCTION("GOOGLETRANSLATE(C:C,""en"", ""te"")"),"బోయింగ్ XP-15 ఒక అమెరికన్ ప్రోటోటైప్ మోనోప్లేన్ ఫైటర్. ఈ విమానం తప్పనిసరిగా బోయింగ్ పి -12 యొక్క మోనోప్లేన్ వెర్షన్, దిగువ వింగ్ తొలగించబడటం మరియు ఆల్-మెటల్ నిర్మాణంతో పాటు మార్చబడిన ఐలెరాన్‌లను కలిగి ఉండటానికి భిన్నంగా ఉంటుంది. XP-15 లో స్ప్లిట్-యాక్సిల్"&amp;" అండర్ క్యారేజ్ మరియు టెయిల్ వీల్ ఉన్నాయి. [1] బోయింగ్ క్రాఫ్ట్‌ను దాని మోడల్ 202 గా లెక్కించాడు; యునైటెడ్ స్టేట్స్ ఆర్మీ దీనిని పరీక్ష కోసం అంగీకరించింది మరియు దానిని XP-15 గా నియమించింది, వారు ఎప్పుడూ దానిని ఎప్పుడూ కొనుగోలు చేయలేదు మరియు ఇది X-270V యొక"&amp;"్క సివిల్ రిజిస్ట్రేషన్‌ను నిలుపుకుంది. [1] సింగిల్ వింగ్‌ను భర్తీ చేయడానికి నిలువు స్టెబిలైజర్ (పి -12 సి రకం) పెద్దదిగా ఉండాలని కనుగొన్నప్పుడు, XP-15 మొదటి జనవరి 1930 లో ఎగిరింది. ప్రారంభ పరీక్ష 178 mph వేగంతో అగ్ర వేగంతో చూపించింది, కాని విస్తరించిన తో"&amp;"క ఉపరితలాలు మరియు టౌనెండ్ కౌలింగ్‌తో, ఇది 190 mph ని 8,000 అడుగుల వద్ద నమోదు చేసింది. ఈ విమానం పేలవంగా పనిచేసింది, పేలవమైన ఆరోహణ మరియు అధిక ల్యాండింగ్ వేగంతో. USAAC ఉత్పత్తి కోసం విమానాన్ని ఆర్డర్ చేయలేదు మరియు 7 ఫిబ్రవరి 1931 న, ప్రొపెల్లర్ బ్లేడ్ విఫలమై"&amp;"నప్పుడు మరియు ఇంజిన్ దాని మౌంట్ల నుండి వదులుగా చిరిగిపోయినప్పుడు ప్రోటోటైప్ నాశనం చేయబడింది. [1] నావికాదళానికి ఇలాంటి మోడల్ 205 ఇవ్వబడింది. ఇది మొదట ఫిబ్రవరి 1930 లో ఎగిరింది. ఒకటి యుఎస్ నేవీ XF5B-1 గా కొనుగోలు చేసింది, కాని 1932 లో విమాన పరీక్ష పూర్తయిన "&amp;"సమయానికి, బదులుగా ఇతర విమానాలను ఆదేశించారు. ఏంజెలికి 1987 నుండి డేటా, పేజీలు 81–82. [1] సాధారణ లక్షణాలు పనితీరు ఆయుధ సంబంధిత అభివృద్ధి సంబంధిత జాబితాలు")</f>
        <v>బోయింగ్ XP-15 ఒక అమెరికన్ ప్రోటోటైప్ మోనోప్లేన్ ఫైటర్. ఈ విమానం తప్పనిసరిగా బోయింగ్ పి -12 యొక్క మోనోప్లేన్ వెర్షన్, దిగువ వింగ్ తొలగించబడటం మరియు ఆల్-మెటల్ నిర్మాణంతో పాటు మార్చబడిన ఐలెరాన్‌లను కలిగి ఉండటానికి భిన్నంగా ఉంటుంది. XP-15 లో స్ప్లిట్-యాక్సిల్ అండర్ క్యారేజ్ మరియు టెయిల్ వీల్ ఉన్నాయి. [1] బోయింగ్ క్రాఫ్ట్‌ను దాని మోడల్ 202 గా లెక్కించాడు; యునైటెడ్ స్టేట్స్ ఆర్మీ దీనిని పరీక్ష కోసం అంగీకరించింది మరియు దానిని XP-15 గా నియమించింది, వారు ఎప్పుడూ దానిని ఎప్పుడూ కొనుగోలు చేయలేదు మరియు ఇది X-270V యొక్క సివిల్ రిజిస్ట్రేషన్‌ను నిలుపుకుంది. [1] సింగిల్ వింగ్‌ను భర్తీ చేయడానికి నిలువు స్టెబిలైజర్ (పి -12 సి రకం) పెద్దదిగా ఉండాలని కనుగొన్నప్పుడు, XP-15 మొదటి జనవరి 1930 లో ఎగిరింది. ప్రారంభ పరీక్ష 178 mph వేగంతో అగ్ర వేగంతో చూపించింది, కాని విస్తరించిన తోక ఉపరితలాలు మరియు టౌనెండ్ కౌలింగ్‌తో, ఇది 190 mph ని 8,000 అడుగుల వద్ద నమోదు చేసింది. ఈ విమానం పేలవంగా పనిచేసింది, పేలవమైన ఆరోహణ మరియు అధిక ల్యాండింగ్ వేగంతో. USAAC ఉత్పత్తి కోసం విమానాన్ని ఆర్డర్ చేయలేదు మరియు 7 ఫిబ్రవరి 1931 న, ప్రొపెల్లర్ బ్లేడ్ విఫలమైనప్పుడు మరియు ఇంజిన్ దాని మౌంట్ల నుండి వదులుగా చిరిగిపోయినప్పుడు ప్రోటోటైప్ నాశనం చేయబడింది. [1] నావికాదళానికి ఇలాంటి మోడల్ 205 ఇవ్వబడింది. ఇది మొదట ఫిబ్రవరి 1930 లో ఎగిరింది. ఒకటి యుఎస్ నేవీ XF5B-1 గా కొనుగోలు చేసింది, కాని 1932 లో విమాన పరీక్ష పూర్తయిన సమయానికి, బదులుగా ఇతర విమానాలను ఆదేశించారు. ఏంజెలికి 1987 నుండి డేటా, పేజీలు 81–82. [1] సాధారణ లక్షణాలు పనితీరు ఆయుధ సంబంధిత అభివృద్ధి సంబంధిత జాబితాలు</v>
      </c>
      <c r="E85" s="1" t="s">
        <v>1704</v>
      </c>
      <c r="F85" s="1" t="s">
        <v>1098</v>
      </c>
      <c r="G85" s="1" t="str">
        <f>IFERROR(__xludf.DUMMYFUNCTION("GOOGLETRANSLATE(F:F,""en"", ""te"")"),"యుద్ధ")</f>
        <v>యుద్ధ</v>
      </c>
      <c r="I85" s="1" t="s">
        <v>158</v>
      </c>
      <c r="J85" s="1" t="str">
        <f>IFERROR(__xludf.DUMMYFUNCTION("GOOGLETRANSLATE(I:I,""en"", ""te"")"),"అమెరికా")</f>
        <v>అమెరికా</v>
      </c>
      <c r="L85" s="1" t="s">
        <v>1635</v>
      </c>
      <c r="M85" s="1" t="str">
        <f>IFERROR(__xludf.DUMMYFUNCTION("GOOGLETRANSLATE(L:L,""en"", ""te"")"),"బోయింగ్")</f>
        <v>బోయింగ్</v>
      </c>
      <c r="N85" s="2" t="s">
        <v>1636</v>
      </c>
      <c r="P85" s="1" t="s">
        <v>1705</v>
      </c>
      <c r="Q85" s="1"/>
      <c r="R85" s="1" t="s">
        <v>1706</v>
      </c>
      <c r="S85" s="1" t="s">
        <v>164</v>
      </c>
      <c r="U85" s="1" t="s">
        <v>1707</v>
      </c>
      <c r="V85" s="1" t="s">
        <v>1708</v>
      </c>
      <c r="W85" s="1" t="s">
        <v>1709</v>
      </c>
      <c r="X85" s="1" t="s">
        <v>1710</v>
      </c>
      <c r="Y85" s="1" t="s">
        <v>1711</v>
      </c>
      <c r="AA85" s="1" t="s">
        <v>1712</v>
      </c>
      <c r="AB85" s="1" t="s">
        <v>1713</v>
      </c>
      <c r="AD85" s="1" t="s">
        <v>1714</v>
      </c>
      <c r="AG85" s="1" t="s">
        <v>208</v>
      </c>
      <c r="AH85" s="1" t="s">
        <v>1715</v>
      </c>
      <c r="AK85" s="1" t="s">
        <v>1716</v>
      </c>
      <c r="AL85" s="1" t="s">
        <v>1717</v>
      </c>
      <c r="AO85" s="1" t="s">
        <v>1718</v>
      </c>
      <c r="AQ85" s="1" t="s">
        <v>1719</v>
      </c>
      <c r="CM85" s="1" t="s">
        <v>1720</v>
      </c>
      <c r="CN85" s="1" t="s">
        <v>1721</v>
      </c>
    </row>
    <row r="86">
      <c r="A86" s="1" t="s">
        <v>1722</v>
      </c>
      <c r="B86" s="1" t="str">
        <f>IFERROR(__xludf.DUMMYFUNCTION("GOOGLETRANSLATE(A:A,""en"", ""te"")"),"బోయింగ్ XP-9")</f>
        <v>బోయింగ్ XP-9</v>
      </c>
      <c r="C86" s="1" t="s">
        <v>1723</v>
      </c>
      <c r="D86" s="1" t="str">
        <f>IFERROR(__xludf.DUMMYFUNCTION("GOOGLETRANSLATE(C:C,""en"", ""te"")"),"బోయింగ్ XP-9 (కంపెనీ మోడల్ 96) యునైటెడ్ స్టేట్స్ ఎయిర్క్రాఫ్ట్ మాన్యుఫ్యాక్చరింగ్ కంపెనీ బోయింగ్ ఉత్పత్తి చేసిన మొట్టమొదటి మోనోప్లేన్ ఫైటర్ విమానం. ఇది తరువాత బోయింగ్ డిజైన్లలో ప్రభావవంతమైన అధునాతన నిర్మాణ శుద్ధీకరణలను కలిగి ఉంది. ఏకైక ప్రోటోటైప్ దాని పైల"&amp;"ట్ దృశ్యమానత లేకపోవడంతో అసంతృప్తికరమైన లక్షణాలను ప్రదర్శించింది. [1] మోనోప్లేన్ ఫైటర్ కోసం యుఎస్ ఆర్మీ అభ్యర్థన యొక్క అవసరాలను తీర్చడానికి XP-9 1928 లో రూపొందించబడింది. విమాన రూపకల్పనకు దాని ప్రాధమిక సహకారం దాని సెమీ-మోనోకోక్ నిర్మాణం, ఇది భవిష్యత్ విమానా"&amp;"లకు ఒక ప్రమాణంగా మారుతుంది. బోయింగ్ XP-9 యొక్క నిర్మాణ లక్షణాలను వారి సమకాలీన P-12 బిప్‌లేన్ ఫైటర్‌లోకి ఉపయోగించింది, P-12E వేరియంట్ XP-9 మాదిరిగానే సెమీ-మోనోకోక్ మెటల్ ఫ్యూజ్‌లేజ్ నిర్మాణాన్ని కలిగి ఉంది. పి -12 సి యొక్క అండర్ క్యారేజ్ అమరిక మొదట XP-9 లో"&amp;" ప్రయత్నించబడింది మరియు తరువాత ఉత్పత్తి నమూనాలోకి బదిలీ చేయబడింది. [2] 028-386 గా గుర్తించబడిన ప్రోటోటైప్ XP-9 మొదటిసారి 18 నవంబర్ 1930 న ఎగిరింది. ఇది స్పెసిఫికేషన్ షీట్‌లో ఆకట్టుకునే గణాంకాలను కలిగి ఉంది, అయితే ఇది దాని పెద్ద (6 అడుగుల తీగ) రెక్కను త్వర"&amp;"గా స్పష్టమైంది, ఇది ఫ్యూజ్‌లేజ్ పైన ఉంచబడింది పైలట్ ముందు నేరుగా, క్రిందికి దృశ్యమానతను చాలా ఘోరంగా అడ్డుకుంది, సాధారణ ల్యాండింగ్ విన్యాసాలు ప్రమాదకరం. [2] రైట్ ఫీల్డ్‌లోని ఆర్మీ టెస్ట్ సెంటర్‌లో టెస్ట్ పైలట్లు XP-9 యొక్క స్వాభావిక అస్థిరత చాలా తీవ్రంగా ఉ"&amp;"ందని కనుగొన్నారు, నిలువు తోక యొక్క పరిమాణాన్ని పెంచమని తక్షణ మార్పులు అభ్యర్థించబడ్డాయి. [3] మృదువైన మెటల్ స్కిన్నింగ్‌తో విస్తరించిన నిలువు తోక ఉపరితలం ప్రవేశపెట్టబడింది, కానీ ఏదైనా గణనీయమైన మెరుగుదలను ప్రభావితం చేయడంలో విఫలమైంది, మరియు ఈ సవరించిన XP-9 ఆ"&amp;"గస్టు 1931 లో బోధనా ఎయిర్‌ఫ్రేమ్ వాడకం కోసం గ్రౌన్దేడ్ చేయబడింది, కేవలం 15 గంటల పరీక్ష ఎగిరే తరువాత, దాని యొక్క అసాధ్యత కారణంగా సురక్షితంగా దిగడం. [4] ప్రపంచ విమానాల పూర్తి ఎన్సైక్లోపీడియా నుండి డేటా. [5] సాధారణ లక్షణాలు పనితీరు ఆయుధ సంబంధిత జాబితాలు")</f>
        <v>బోయింగ్ XP-9 (కంపెనీ మోడల్ 96) యునైటెడ్ స్టేట్స్ ఎయిర్క్రాఫ్ట్ మాన్యుఫ్యాక్చరింగ్ కంపెనీ బోయింగ్ ఉత్పత్తి చేసిన మొట్టమొదటి మోనోప్లేన్ ఫైటర్ విమానం. ఇది తరువాత బోయింగ్ డిజైన్లలో ప్రభావవంతమైన అధునాతన నిర్మాణ శుద్ధీకరణలను కలిగి ఉంది. ఏకైక ప్రోటోటైప్ దాని పైలట్ దృశ్యమానత లేకపోవడంతో అసంతృప్తికరమైన లక్షణాలను ప్రదర్శించింది. [1] మోనోప్లేన్ ఫైటర్ కోసం యుఎస్ ఆర్మీ అభ్యర్థన యొక్క అవసరాలను తీర్చడానికి XP-9 1928 లో రూపొందించబడింది. విమాన రూపకల్పనకు దాని ప్రాధమిక సహకారం దాని సెమీ-మోనోకోక్ నిర్మాణం, ఇది భవిష్యత్ విమానాలకు ఒక ప్రమాణంగా మారుతుంది. బోయింగ్ XP-9 యొక్క నిర్మాణ లక్షణాలను వారి సమకాలీన P-12 బిప్‌లేన్ ఫైటర్‌లోకి ఉపయోగించింది, P-12E వేరియంట్ XP-9 మాదిరిగానే సెమీ-మోనోకోక్ మెటల్ ఫ్యూజ్‌లేజ్ నిర్మాణాన్ని కలిగి ఉంది. పి -12 సి యొక్క అండర్ క్యారేజ్ అమరిక మొదట XP-9 లో ప్రయత్నించబడింది మరియు తరువాత ఉత్పత్తి నమూనాలోకి బదిలీ చేయబడింది. [2] 028-386 గా గుర్తించబడిన ప్రోటోటైప్ XP-9 మొదటిసారి 18 నవంబర్ 1930 న ఎగిరింది. ఇది స్పెసిఫికేషన్ షీట్‌లో ఆకట్టుకునే గణాంకాలను కలిగి ఉంది, అయితే ఇది దాని పెద్ద (6 అడుగుల తీగ) రెక్కను త్వరగా స్పష్టమైంది, ఇది ఫ్యూజ్‌లేజ్ పైన ఉంచబడింది పైలట్ ముందు నేరుగా, క్రిందికి దృశ్యమానతను చాలా ఘోరంగా అడ్డుకుంది, సాధారణ ల్యాండింగ్ విన్యాసాలు ప్రమాదకరం. [2] రైట్ ఫీల్డ్‌లోని ఆర్మీ టెస్ట్ సెంటర్‌లో టెస్ట్ పైలట్లు XP-9 యొక్క స్వాభావిక అస్థిరత చాలా తీవ్రంగా ఉందని కనుగొన్నారు, నిలువు తోక యొక్క పరిమాణాన్ని పెంచమని తక్షణ మార్పులు అభ్యర్థించబడ్డాయి. [3] మృదువైన మెటల్ స్కిన్నింగ్‌తో విస్తరించిన నిలువు తోక ఉపరితలం ప్రవేశపెట్టబడింది, కానీ ఏదైనా గణనీయమైన మెరుగుదలను ప్రభావితం చేయడంలో విఫలమైంది, మరియు ఈ సవరించిన XP-9 ఆగస్టు 1931 లో బోధనా ఎయిర్‌ఫ్రేమ్ వాడకం కోసం గ్రౌన్దేడ్ చేయబడింది, కేవలం 15 గంటల పరీక్ష ఎగిరే తరువాత, దాని యొక్క అసాధ్యత కారణంగా సురక్షితంగా దిగడం. [4] ప్రపంచ విమానాల పూర్తి ఎన్సైక్లోపీడియా నుండి డేటా. [5] సాధారణ లక్షణాలు పనితీరు ఆయుధ సంబంధిత జాబితాలు</v>
      </c>
      <c r="E86" s="1" t="s">
        <v>1724</v>
      </c>
      <c r="F86" s="1" t="s">
        <v>1725</v>
      </c>
      <c r="G86" s="1" t="str">
        <f>IFERROR(__xludf.DUMMYFUNCTION("GOOGLETRANSLATE(F:F,""en"", ""te"")"),"మోనోప్లేన్ ఫైటర్")</f>
        <v>మోనోప్లేన్ ఫైటర్</v>
      </c>
      <c r="L86" s="1" t="s">
        <v>1635</v>
      </c>
      <c r="M86" s="1" t="str">
        <f>IFERROR(__xludf.DUMMYFUNCTION("GOOGLETRANSLATE(L:L,""en"", ""te"")"),"బోయింగ్")</f>
        <v>బోయింగ్</v>
      </c>
      <c r="N86" s="2" t="s">
        <v>1636</v>
      </c>
      <c r="P86" s="1" t="s">
        <v>1637</v>
      </c>
      <c r="Q86" s="1"/>
      <c r="R86" s="1">
        <v>1.0</v>
      </c>
      <c r="S86" s="1">
        <v>1.0</v>
      </c>
      <c r="U86" s="1" t="s">
        <v>1726</v>
      </c>
      <c r="V86" s="1" t="s">
        <v>1727</v>
      </c>
      <c r="W86" s="1" t="s">
        <v>1728</v>
      </c>
      <c r="X86" s="1" t="s">
        <v>1729</v>
      </c>
      <c r="AA86" s="1" t="s">
        <v>1730</v>
      </c>
      <c r="AB86" s="1" t="s">
        <v>1731</v>
      </c>
      <c r="AD86" s="1" t="s">
        <v>1732</v>
      </c>
      <c r="AG86" s="1" t="s">
        <v>208</v>
      </c>
      <c r="AH86" s="1" t="s">
        <v>1733</v>
      </c>
      <c r="AK86" s="1" t="s">
        <v>1734</v>
      </c>
      <c r="AL86" s="1" t="s">
        <v>1735</v>
      </c>
      <c r="AO86" s="4">
        <v>11280.0</v>
      </c>
      <c r="AQ86" s="1" t="s">
        <v>1736</v>
      </c>
      <c r="AR86" s="1" t="s">
        <v>1737</v>
      </c>
      <c r="AT86" s="1" t="s">
        <v>1738</v>
      </c>
      <c r="BA86" s="1" t="s">
        <v>1739</v>
      </c>
      <c r="BR86" s="1" t="s">
        <v>1740</v>
      </c>
      <c r="BT86" s="1" t="s">
        <v>1741</v>
      </c>
    </row>
    <row r="87">
      <c r="A87" s="1" t="s">
        <v>1742</v>
      </c>
      <c r="B87" s="1" t="str">
        <f>IFERROR(__xludf.DUMMYFUNCTION("GOOGLETRANSLATE(A:A,""en"", ""te"")"),"బ్లోచ్ MB.60")</f>
        <v>బ్లోచ్ MB.60</v>
      </c>
      <c r="C87" s="1" t="s">
        <v>1743</v>
      </c>
      <c r="D87" s="1" t="str">
        <f>IFERROR(__xludf.DUMMYFUNCTION("GOOGLETRANSLATE(C:C,""en"", ""te"")"),"ప్రారంభంలో MB.VI (సీ నంబర్ సిరీస్‌ను కొనసాగించడం) అని పిలువబడే బ్లోచ్ Mb.60, 1930 నుండి 1931 వరకు ఫ్రాన్స్‌లో రూపొందించిన మరియు నిర్మించిన ట్రై-మోటార్ మెయిల్‌ప్లేన్, ఇది పోస్టల్, కమర్షియల్‌గా ఉపయోగించడానికి అనువైన విమానం కోసం ఒక ఆర్డర్ కోసం ఒక ఆర్డర్, వాణ"&amp;"ిజ్య, వాణిజ్యపరంగా లేదా వైద్య రవాణా. మార్సెల్ బ్లోచ్ 1929 లో సొసైటీ డెస్ ఏవియన్ల మార్సెల్ బ్లోచ్‌ను ఏర్పాటు చేశాడు, సంస్థ యొక్క మొదటి ప్రాజెక్ట్ MB.60 3-ఇంజిన్ వాణిజ్య రవాణా విమానం. అధిక బలం అమరికల కోసం స్టీల్‌తో పూర్తిగా కాంతి మిశ్రమాలతో నిర్మించిన MB.60"&amp;" అనేక కొత్త పద్ధతులను ప్రవేశపెట్టింది, వీటిలో పక్కటెముకలు మరియు ఫ్రేమ్‌లకు అటాచ్మెంట్ ముందు బాహ్య స్ట్రింగర్‌లు మరియు లాంగన్‌లను స్కిన్ షీట్లకు రివర్టింగ్ చేయడం; తయారు చేయడం కూడా సులభం అయిన బలమైన కాంతి నిర్మాణాన్ని పంపిణీ చేస్తుంది. [1] ఫ్యూజ్‌లేజ్ మరియు "&amp;"వింగ్ మౌంటెడ్ నాసెల్లెస్ యొక్క ముక్కులో మూడు 89 కిలోవాట్ల (120 హెచ్‌పి) సాల్మ్సన్ 9 ఎసితో నడిచే, ఏకైక MB.60 మూడు విభాగాలలో రెక్కలతో అధిక వింగ్ కాంటిలివర్ మోనోప్లేన్, బయటి విభాగాలు మితమైన డైహెడ్రల్ కలిగి ఉంటాయి. చదరపు విభాగం ఫ్యూజ్‌లేజ్ ఒకే బాహ్య స్ట్రింగర"&amp;"్ పద్ధతిని ఉపయోగించి నిర్మించిన అన్ని మెటల్ టెయిల్ యూనిట్‌కు వెనుక ఫ్యూజ్‌లేజ్ టేపింగ్‌తో స్థిరమైన-సెక్షన్ క్యాబిన్ కలిగి ఉంది. అండర్ క్యారేజ్ పొడవైన, స్ట్రట్ బ్రేస్డ్ ఒలియో-న్యూమాటిక్ మెయిన్-లెగ్స్, బాహ్య ఇంజిన్ నాసెల్లెస్ వద్ద జతచేయబడింది, ఫ్యూజ్‌లేజ్ చ"&amp;"ివరిలో తేలికపాటి మిశ్రమం స్టీరబుల్ టెయిల్-వీల్ ఉంటుంది. [1] రెండవ విమానం, మూడు 89 kW (120 HP) లోరైన్ 5 పిసితో నడిచే Mb.61 గా నిర్మించబడింది, మొదట ఫిబ్రవరి 1931 లో ప్రయాణించారు. MB.60 లేదా MB.61 ఏ ఉత్పత్తి ఉత్తర్వులను సంపాదించలేదు. [1] బ్లోచ్ మరియు అతని బృ"&amp;"ందం దగ్గరి పర్యవేక్షణలో, సబ్ కాంట్రాక్టర్ చేత బక్ వద్ద నిర్మించబడింది, MB.60 ను మొదటిసారి 12 సెప్టెంబర్ 1930 న రెనే డెల్మోట్టే పైలట్ చేశారు. BUC మరియు విల్లాకౌబ్లే వద్ద పరీక్షలు సంతృప్తికరమైన విమాన లక్షణాలు మరియు పనితీరును వెల్లడించాయి. [1] సవరణ కార్యక్రమ"&amp;"ం తరువాత, తిరిగి అసెంబ్లీ సమయంలో నియంత్రణల విలోమం కారణంగా MB.61 ఏప్రిల్ 1931 లో క్రాష్ అయ్యింది; మరమ్మత్తు చేసిన తరువాత MB.61 1 మే 1931 నుండి విమాన పరీక్షలను కొనసాగించింది. [1] నుండి డేటా: డసాల్ట్ ఏవియేషన్: MB 60-61: మూలాలు, లక్షణాలు మరియు పనితీరు డేటా [1"&amp;"] డసాల్ట్ ఏవియేషన్ నుండి డేటా: MB 60-61: మూలాలు, లక్షణాలు మరియు పనితీరు డేటా, [1] జేన్ యొక్క అన్ని ప్రపంచ విమానాలు 1931 [4] జనరల్ లక్షణాల పనితీరు")</f>
        <v>ప్రారంభంలో MB.VI (సీ నంబర్ సిరీస్‌ను కొనసాగించడం) అని పిలువబడే బ్లోచ్ Mb.60, 1930 నుండి 1931 వరకు ఫ్రాన్స్‌లో రూపొందించిన మరియు నిర్మించిన ట్రై-మోటార్ మెయిల్‌ప్లేన్, ఇది పోస్టల్, కమర్షియల్‌గా ఉపయోగించడానికి అనువైన విమానం కోసం ఒక ఆర్డర్ కోసం ఒక ఆర్డర్, వాణిజ్య, వాణిజ్యపరంగా లేదా వైద్య రవాణా. మార్సెల్ బ్లోచ్ 1929 లో సొసైటీ డెస్ ఏవియన్ల మార్సెల్ బ్లోచ్‌ను ఏర్పాటు చేశాడు, సంస్థ యొక్క మొదటి ప్రాజెక్ట్ MB.60 3-ఇంజిన్ వాణిజ్య రవాణా విమానం. అధిక బలం అమరికల కోసం స్టీల్‌తో పూర్తిగా కాంతి మిశ్రమాలతో నిర్మించిన MB.60 అనేక కొత్త పద్ధతులను ప్రవేశపెట్టింది, వీటిలో పక్కటెముకలు మరియు ఫ్రేమ్‌లకు అటాచ్మెంట్ ముందు బాహ్య స్ట్రింగర్‌లు మరియు లాంగన్‌లను స్కిన్ షీట్లకు రివర్టింగ్ చేయడం; తయారు చేయడం కూడా సులభం అయిన బలమైన కాంతి నిర్మాణాన్ని పంపిణీ చేస్తుంది. [1] ఫ్యూజ్‌లేజ్ మరియు వింగ్ మౌంటెడ్ నాసెల్లెస్ యొక్క ముక్కులో మూడు 89 కిలోవాట్ల (120 హెచ్‌పి) సాల్మ్సన్ 9 ఎసితో నడిచే, ఏకైక MB.60 మూడు విభాగాలలో రెక్కలతో అధిక వింగ్ కాంటిలివర్ మోనోప్లేన్, బయటి విభాగాలు మితమైన డైహెడ్రల్ కలిగి ఉంటాయి. చదరపు విభాగం ఫ్యూజ్‌లేజ్ ఒకే బాహ్య స్ట్రింగర్ పద్ధతిని ఉపయోగించి నిర్మించిన అన్ని మెటల్ టెయిల్ యూనిట్‌కు వెనుక ఫ్యూజ్‌లేజ్ టేపింగ్‌తో స్థిరమైన-సెక్షన్ క్యాబిన్ కలిగి ఉంది. అండర్ క్యారేజ్ పొడవైన, స్ట్రట్ బ్రేస్డ్ ఒలియో-న్యూమాటిక్ మెయిన్-లెగ్స్, బాహ్య ఇంజిన్ నాసెల్లెస్ వద్ద జతచేయబడింది, ఫ్యూజ్‌లేజ్ చివరిలో తేలికపాటి మిశ్రమం స్టీరబుల్ టెయిల్-వీల్ ఉంటుంది. [1] రెండవ విమానం, మూడు 89 kW (120 HP) లోరైన్ 5 పిసితో నడిచే Mb.61 గా నిర్మించబడింది, మొదట ఫిబ్రవరి 1931 లో ప్రయాణించారు. MB.60 లేదా MB.61 ఏ ఉత్పత్తి ఉత్తర్వులను సంపాదించలేదు. [1] బ్లోచ్ మరియు అతని బృందం దగ్గరి పర్యవేక్షణలో, సబ్ కాంట్రాక్టర్ చేత బక్ వద్ద నిర్మించబడింది, MB.60 ను మొదటిసారి 12 సెప్టెంబర్ 1930 న రెనే డెల్మోట్టే పైలట్ చేశారు. BUC మరియు విల్లాకౌబ్లే వద్ద పరీక్షలు సంతృప్తికరమైన విమాన లక్షణాలు మరియు పనితీరును వెల్లడించాయి. [1] సవరణ కార్యక్రమం తరువాత, తిరిగి అసెంబ్లీ సమయంలో నియంత్రణల విలోమం కారణంగా MB.61 ఏప్రిల్ 1931 లో క్రాష్ అయ్యింది; మరమ్మత్తు చేసిన తరువాత MB.61 1 మే 1931 నుండి విమాన పరీక్షలను కొనసాగించింది. [1] నుండి డేటా: డసాల్ట్ ఏవియేషన్: MB 60-61: మూలాలు, లక్షణాలు మరియు పనితీరు డేటా [1] డసాల్ట్ ఏవియేషన్ నుండి డేటా: MB 60-61: మూలాలు, లక్షణాలు మరియు పనితీరు డేటా, [1] జేన్ యొక్క అన్ని ప్రపంచ విమానాలు 1931 [4] జనరల్ లక్షణాల పనితీరు</v>
      </c>
      <c r="E87" s="1" t="s">
        <v>1744</v>
      </c>
      <c r="F87" s="1" t="s">
        <v>1745</v>
      </c>
      <c r="G87" s="1" t="str">
        <f>IFERROR(__xludf.DUMMYFUNCTION("GOOGLETRANSLATE(F:F,""en"", ""te"")"),"3-ఇంజిన్ మెయిల్‌ప్లేన్")</f>
        <v>3-ఇంజిన్ మెయిల్‌ప్లేన్</v>
      </c>
      <c r="I87" s="1" t="s">
        <v>798</v>
      </c>
      <c r="J87" s="1" t="str">
        <f>IFERROR(__xludf.DUMMYFUNCTION("GOOGLETRANSLATE(I:I,""en"", ""te"")"),"ఫ్రాన్స్")</f>
        <v>ఫ్రాన్స్</v>
      </c>
      <c r="K87" s="2" t="s">
        <v>1166</v>
      </c>
      <c r="L87" s="1" t="s">
        <v>1690</v>
      </c>
      <c r="M87" s="1" t="str">
        <f>IFERROR(__xludf.DUMMYFUNCTION("GOOGLETRANSLATE(L:L,""en"", ""te"")"),"Société డెస్ ఏవియన్లు మార్సెల్ బ్లోచ్")</f>
        <v>Société డెస్ ఏవియన్లు మార్సెల్ బ్లోచ్</v>
      </c>
      <c r="N87" s="1" t="s">
        <v>1691</v>
      </c>
      <c r="R87" s="1">
        <v>2.0</v>
      </c>
      <c r="S87" s="1">
        <v>3.0</v>
      </c>
      <c r="T87" s="1" t="s">
        <v>1746</v>
      </c>
      <c r="U87" s="1" t="s">
        <v>1540</v>
      </c>
      <c r="V87" s="1" t="s">
        <v>1693</v>
      </c>
      <c r="W87" s="1" t="s">
        <v>1747</v>
      </c>
      <c r="AA87" s="1" t="s">
        <v>1748</v>
      </c>
      <c r="AE87" s="1" t="s">
        <v>1697</v>
      </c>
      <c r="AF87" s="1" t="s">
        <v>1698</v>
      </c>
      <c r="AG87" s="1" t="s">
        <v>1749</v>
      </c>
      <c r="AH87" s="1" t="s">
        <v>1750</v>
      </c>
      <c r="AI87" s="1" t="s">
        <v>994</v>
      </c>
      <c r="AM87" s="1" t="s">
        <v>1701</v>
      </c>
      <c r="AO87" s="4">
        <v>11213.0</v>
      </c>
      <c r="AQ87" s="1" t="s">
        <v>977</v>
      </c>
      <c r="AT87" s="1" t="s">
        <v>1751</v>
      </c>
      <c r="BH87" s="1" t="s">
        <v>1752</v>
      </c>
    </row>
    <row r="88">
      <c r="A88" s="1" t="s">
        <v>1753</v>
      </c>
      <c r="B88" s="1" t="str">
        <f>IFERROR(__xludf.DUMMYFUNCTION("GOOGLETRANSLATE(A:A,""en"", ""te"")"),"రాయల్ ఎయిర్క్రాఫ్ట్ ఫ్యాక్టరీ B.E.12")</f>
        <v>రాయల్ ఎయిర్క్రాఫ్ట్ ఫ్యాక్టరీ B.E.12</v>
      </c>
      <c r="C88" s="1" t="s">
        <v>1754</v>
      </c>
      <c r="D88" s="1" t="str">
        <f>IFERROR(__xludf.DUMMYFUNCTION("GOOGLETRANSLATE(C:C,""en"", ""te"")"),"రాయల్ ఎయిర్క్రాఫ్ట్ ఫ్యాక్టరీ B.E.12 రాయల్ ఎయిర్క్రాఫ్ట్ ఫ్యాక్టరీలో రూపొందించిన మొదటి ప్రపంచ యుద్ధం యొక్క బ్రిటిష్ సింగిల్-సీట్ల విమానం. ఇది తప్పనిసరిగా B.E.2 యొక్క సింగిల్-సీట్ వెర్షన్. దీర్ఘ-శ్రేణి నిఘా మరియు బాంబు విమానాగా ఉపయోగించడానికి ఉద్దేశించిన B"&amp;".E.12 ఒక పోరాట యోధునిగా సేవలోకి ప్రవేశించబడింది, ఈ పాత్రలో ఇది ఘోరంగా సరిపోదని నిరూపించబడింది, ప్రధానంగా దాని చాలా పేలవమైన యుక్తి కారణంగా. B.E.12 తప్పనిసరిగా B.E.2C, ముందు (అబ్జర్వర్స్) కాక్‌పిట్‌తో పెద్ద ఇంధన ట్యాంక్ స్థానంలో ఉంది, మరియు ప్రామాణిక B.E.2C"&amp;" యొక్క 90 HP RAF 1 ఇంజిన్ కొత్త 150 HP RAF ద్వారా భర్తీ చేయబడింది 4. ఏవియేషన్ చరిత్రకారులు ఒకసారి టైప్ A గా పరిగణించబడ్డారు B.E.2 ఆధారంగా ఫైటర్ విమానాన్ని సృష్టించే ప్రయత్నం విఫలమైంది - ఇది ఫోకర్ ముప్పును తీర్చడానికి మెరుగుపరచబడింది మరియు సేవలోకి ప్రవేశిం"&amp;"చింది. చాలా మంది రచయితలు ఈ అభిప్రాయాన్ని లేదా అలాంటిదే శాశ్వతంగా చేస్తారు. మరోవైపు, J.M. బ్రూస్ ఇది ఉత్తమంగా సరళమైనది మరియు చారిత్రాత్మకంగా సరిపోదని ఎత్తి చూపారు. [1] ప్రోటోటైప్ (మరింత శక్తివంతమైన 150 హెచ్‌పి (112 కిలోవాట్ ఆగస్టు 1 న ఫోకర్ E.I చేసిన మొదటి"&amp;" విజయం, మాక్స్ ఇమ్మెల్మాన్ ఒక బ్రిటిష్ విమానాన్ని కాల్చివేసినప్పుడు, అది డౌయి ఏరోడ్రోమ్‌పై బాంబు దాడి చేస్తుంది. ఆ సమయంలో B.E.12 ఒక విమానం తనను తాను రక్షించుకోవాల్సిన అవసరం లేదు, అది తరువాత వచ్చినంత స్పష్టంగా లేదు. డిఫెన్సివ్ ఆయుధంతో పంపిణీ చేయాలనే ఆలోచన "&amp;"పూర్తిగా మరియు పరిశీలకుడి సీటును అదనపు ఇంధన సామర్థ్యం మరియు/లేదా బామ్‌బ్లోడ్‌తో భర్తీ చేయాలనే ఆలోచన అవ్రో 504 యొక్క బాంబర్ వెర్షన్లు మరియు సోప్విత్ 1½ స్ట్రూటర్ వంటి అనేక సమకాలీన డిజైన్ల ద్వారా వర్గీకరించబడింది. ఏదేమైనా, B.E.12 ను ఫోకర్‌కు ""సమాధానం"" గా "&amp;"ప్రత్యేకంగా ఉత్పత్తి చేయలేము. 1915 మధ్యలో, బ్రిటిష్ సింగిల్-సీట్ ట్రాక్టర్ విమానానికి విక్కర్స్-చాలెంజర్ ""ఇంటర్‌రప్టర్"" గేర్ డిసెంబర్ వరకు ఉనికిలో లేనందున ఫార్వర్డ్-ఫైరింగ్ ఆయుధాన్ని తీసుకువెళ్ళడానికి మార్గం లేదు మరియు తరువాతి మార్చి వరకు సంఖ్యలలో అందుబ"&amp;"ాటులో లేదు. తాజా రాయల్ ఎయిర్క్రాఫ్ట్ ఫ్యాక్టరీ సింగిల్-సీట్ ఫైటర్, F.E.8, అతి చురుకైన చిన్న పషర్-విజయవంతమైన పోరాట యోధుడి యొక్క ప్రాథమిక అవసరాల గురించి దాని డిజైనర్లు బాగా తెలుసునని మరేమీ కాకపోతే. ఉత్పత్తిలో ఒక రకాన్ని సూటిగా మార్చడం వలన B.E.12 సేవల్లోకి "&amp;"""పరుగెత్తటం"" చాలా సులభం కాదు. ప్రోటోటైప్‌తో ట్రయల్స్ 1915 చివరలో కొనసాగాయి మరియు కొత్త RAF 4 ఇంజిన్ అభివృద్ధికి ప్రధానంగా ఆందోళన చెందుతున్నట్లు అనిపిస్తుంది, ముఖ్యంగా సంతృప్తికరమైన ఎయిర్ స్కూప్ రూపకల్పన. RAF 4 యొక్క వెనుక సిలిండర్ల శీతలీకరణ, ఎయిర్-కూల్డ"&amp;"్ V12 మరియు తరువాత R.E.8 యొక్క ఇంజిన్ ఎల్లప్పుడూ సందేహాస్పదంగా ఉంటుంది. ఈ రకాన్ని కూడా బాంబర్‌గా పరీక్షించారు. ఇది మే 1916 (""ఫోకర్ శాపంగా"", జర్మన్ వాయు ఆధిపత్యం ముగిసినప్పుడు) సమకాలీకరించబడిన విక్కర్స్ తుపాకీకి ఈ రకానికి సరిపోయేలా నిర్ణయించబడింది, ఈ ఆయు"&amp;"ధ పరీక్షలు అప్పటికే పైకి కాల్చిన లూయిస్ తుపాకులతో చేపట్టబడ్డాయి, ఇలాంటివి ఇలాంటివి B.E.2C యొక్క నైట్ ఫైటర్ వెర్షన్ ఉపయోగించే వాటికి. B.E.12A వేరియంట్ ఫిబ్రవరి 1916 లో మొదటిసారిగా ప్రయాణించింది మరియు B.E.2E యొక్క సవరించిన రెక్కలను కలిగి ఉంది. ఇది B.E.12 కన"&amp;"్నా చాలా మనోహరమైనది కాని లేకపోతే కొంచెం మెరుగుపడింది. B.E.12B B.E.2C ఎయిర్‌ఫ్రేమ్‌ను ఉపయోగించింది, కాని 200 HP హిస్పానో-సుయిజా ఇంజిన్‌ను కలిగి ఉంది. ఇది నైట్ ఫైటర్‌గా ఉద్దేశించబడింది మరియు సింక్రొనైజ్డ్ విక్కర్ల స్థానంలో వింగ్ మౌంటెడ్ లూయిస్ తుపాకులను తీస"&amp;"ుకువెళ్ళింది. స్పష్టంగా ఇది మంచి పనితీరును కలిగి ఉంది, కాని S.E.5A కోసం ఇంజిన్ మరింత అత్యవసరంగా అవసరమైంది మరియు చాలా తక్కువ B.E.12B యోధులు హోమ్ డిఫెన్స్ స్క్వాడ్రన్లతో సేవలోకి వెళ్ళారు. నిర్మించిన వాటిలో కొన్ని ఇంజన్లు ఎన్నడూ పొందకపోవచ్చు. మొదటి B.E.12 స్"&amp;"క్వాడ్రన్, నం 19 ఆగస్టు 1 1916 వరకు ఫ్రాన్స్‌కు చేరుకోలేదు. దీని తరువాత 25 వ తేదీన ఫ్రాన్స్‌లో నం 21 న ఫ్రాన్స్‌లో రకాన్ని ఎగురవేసిన ఏకైక స్క్వాడ్రన్ దీనిని అనుసరించింది. Expected హించినట్లుగా, కొత్త రకం B.E.2C యొక్క అన్ని స్వాభావిక స్థిరత్వాన్ని కలిగి ఉం"&amp;"ది మరియు ఫైటర్‌గా సేవలోకి నొక్కినప్పుడు చాలా పనికిరానిదని నిరూపించబడింది, ముఖ్యంగా కొత్త జర్మన్ హాల్బర్‌స్టాడ్ట్ మరియు అల్బాట్రోస్ యోధుల నేపథ్యంలో సేవలోకి వస్తున్నారు. ఇది బాంబర్‌గా పనిచేస్తూనే ఉంది, కాని సమర్థవంతమైన డిఫెన్సివ్ గన్ మౌంట్ చేయలేనందున ఇది చా"&amp;"లా హాని కలిగించింది మరియు చివరికి మార్చి 1917 లో ఫ్రాన్స్‌లో అన్ని ఫ్రంట్ లైన్ విధుల నుండి ఉపసంహరించబడింది. B.E.12A సంఖ్యలో B.E.12 సంఖ్యలలో అందుబాటులోకి వచ్చింది. అప్పటికే సంతృప్తికరంగా లేదని నిరూపించబడింది మరియు ఈ వేరియంట్ ఫ్రాన్స్‌లో ఎప్పుడూ ఉపయోగించబడల"&amp;"ేదు. అనేక హోమ్ డిఫెన్స్ స్క్వాడ్రన్లు B.E.12A మరియు B.E.12B వేరియంట్ల ఉదాహరణలతో పాటు B.E.12 లను ఎగరవేసాయి. దాని స్థిరత్వం మరియు పరిధి రాత్రిపూట ఎగరవలసి వచ్చిన విమానంలో స్పష్టమైన ప్రయోజనాలు, కాని 1916/17 యొక్క మెరుగైన జర్మన్ ఎయిర్‌షిప్‌లను అడ్డుకోవాలని పిల"&amp;"ుపునిచ్చినప్పుడు దాని ఆరోహణ రేటు సరిపోదు, వాటిని భర్తీ చేసిన విమానం రైడర్స్ గురించి చెప్పలేదు. జెప్పెలిన్ L.48 ను 17 జూన్ 1917 న హోమ్ డిఫెన్స్ B.E.12 చేత కాల్చి చంపారు, లేకపోతే ఈ పాత్రలో ఈ రకానికి సంబంధించిన విజయాలు చాలా తక్కువ. [2] మిడిల్ ఈస్ట్ థియేటర్ మ"&amp;"రియు మాసిడోనియాలో, B.E.12 మరియు B.E.12A మరింత ఉపయోగకరంగా ఉన్నాయి - అయినప్పటికీ సాధారణంగా యోధులుగా కాకుండా సుదూర నిఘా విమానం. ఈ నియమానికి మినహాయింపు, 17 వ స్క్వాడ్రన్ యొక్క కెప్టెన్ గిల్బర్ట్ వేర్ ముర్లిస్ గ్రీన్ యొక్క యంత్రం, అతను అనేక శత్రు విమానాలను కాల"&amp;"్చివేసిన ఏకైక B.E.12 ఏస్. B.E.12B హోమ్ డిఫెన్స్ స్క్వాడ్రన్లతో మాత్రమే పనిచేసింది; డెలివరీలు 1917 చివరలో ప్రారంభమయ్యాయి, కాని వారి హిస్పానో-సుయిజా ఇంజిన్ల కోసం S.E.5A స్క్వాడ్రన్ల యొక్క అత్యవసర అవసరం కారణంగా చాలా మంది బహుశా ఇంజిన్‌లతో అమర్చబడలేదు లేదా B.E"&amp;".12 లగా పూర్తి చేయబడలేదు. అసలు BE12 లు ఏవీ లేవు, కాని న్యూజిలాండ్‌లోని వింటేజ్ ఏవియేటర్ లిమిటెడ్ ఒక గాలిని పునరుత్పత్తిని నిర్మించింది, ఇది సంస్థ యొక్క హుడ్ ఏరోడ్రోమ్, మాస్టర్టన్ బేస్ నుండి ఎగురవేయబడింది. మొదటి ప్రపంచ యుద్ధం యొక్క యుద్ధ విమానాల నుండి డేటా"&amp;": వాల్యూమ్ టూ ఫైటర్స్ [3] సాధారణ లక్షణాలు పనితీరు ఆయుధ సంబంధిత అభివృద్ధి సంబంధిత జాబితాలు")</f>
        <v>రాయల్ ఎయిర్క్రాఫ్ట్ ఫ్యాక్టరీ B.E.12 రాయల్ ఎయిర్క్రాఫ్ట్ ఫ్యాక్టరీలో రూపొందించిన మొదటి ప్రపంచ యుద్ధం యొక్క బ్రిటిష్ సింగిల్-సీట్ల విమానం. ఇది తప్పనిసరిగా B.E.2 యొక్క సింగిల్-సీట్ వెర్షన్. దీర్ఘ-శ్రేణి నిఘా మరియు బాంబు విమానాగా ఉపయోగించడానికి ఉద్దేశించిన B.E.12 ఒక పోరాట యోధునిగా సేవలోకి ప్రవేశించబడింది, ఈ పాత్రలో ఇది ఘోరంగా సరిపోదని నిరూపించబడింది, ప్రధానంగా దాని చాలా పేలవమైన యుక్తి కారణంగా. B.E.12 తప్పనిసరిగా B.E.2C, ముందు (అబ్జర్వర్స్) కాక్‌పిట్‌తో పెద్ద ఇంధన ట్యాంక్ స్థానంలో ఉంది, మరియు ప్రామాణిక B.E.2C యొక్క 90 HP RAF 1 ఇంజిన్ కొత్త 150 HP RAF ద్వారా భర్తీ చేయబడింది 4. ఏవియేషన్ చరిత్రకారులు ఒకసారి టైప్ A గా పరిగణించబడ్డారు B.E.2 ఆధారంగా ఫైటర్ విమానాన్ని సృష్టించే ప్రయత్నం విఫలమైంది - ఇది ఫోకర్ ముప్పును తీర్చడానికి మెరుగుపరచబడింది మరియు సేవలోకి ప్రవేశించింది. చాలా మంది రచయితలు ఈ అభిప్రాయాన్ని లేదా అలాంటిదే శాశ్వతంగా చేస్తారు. మరోవైపు, J.M. బ్రూస్ ఇది ఉత్తమంగా సరళమైనది మరియు చారిత్రాత్మకంగా సరిపోదని ఎత్తి చూపారు. [1] ప్రోటోటైప్ (మరింత శక్తివంతమైన 150 హెచ్‌పి (112 కిలోవాట్ ఆగస్టు 1 న ఫోకర్ E.I చేసిన మొదటి విజయం, మాక్స్ ఇమ్మెల్మాన్ ఒక బ్రిటిష్ విమానాన్ని కాల్చివేసినప్పుడు, అది డౌయి ఏరోడ్రోమ్‌పై బాంబు దాడి చేస్తుంది. ఆ సమయంలో B.E.12 ఒక విమానం తనను తాను రక్షించుకోవాల్సిన అవసరం లేదు, అది తరువాత వచ్చినంత స్పష్టంగా లేదు. డిఫెన్సివ్ ఆయుధంతో పంపిణీ చేయాలనే ఆలోచన పూర్తిగా మరియు పరిశీలకుడి సీటును అదనపు ఇంధన సామర్థ్యం మరియు/లేదా బామ్‌బ్లోడ్‌తో భర్తీ చేయాలనే ఆలోచన అవ్రో 504 యొక్క బాంబర్ వెర్షన్లు మరియు సోప్విత్ 1½ స్ట్రూటర్ వంటి అనేక సమకాలీన డిజైన్ల ద్వారా వర్గీకరించబడింది. ఏదేమైనా, B.E.12 ను ఫోకర్‌కు "సమాధానం" గా ప్రత్యేకంగా ఉత్పత్తి చేయలేము. 1915 మధ్యలో, బ్రిటిష్ సింగిల్-సీట్ ట్రాక్టర్ విమానానికి విక్కర్స్-చాలెంజర్ "ఇంటర్‌రప్టర్" గేర్ డిసెంబర్ వరకు ఉనికిలో లేనందున ఫార్వర్డ్-ఫైరింగ్ ఆయుధాన్ని తీసుకువెళ్ళడానికి మార్గం లేదు మరియు తరువాతి మార్చి వరకు సంఖ్యలలో అందుబాటులో లేదు. తాజా రాయల్ ఎయిర్క్రాఫ్ట్ ఫ్యాక్టరీ సింగిల్-సీట్ ఫైటర్, F.E.8, అతి చురుకైన చిన్న పషర్-విజయవంతమైన పోరాట యోధుడి యొక్క ప్రాథమిక అవసరాల గురించి దాని డిజైనర్లు బాగా తెలుసునని మరేమీ కాకపోతే. ఉత్పత్తిలో ఒక రకాన్ని సూటిగా మార్చడం వలన B.E.12 సేవల్లోకి "పరుగెత్తటం" చాలా సులభం కాదు. ప్రోటోటైప్‌తో ట్రయల్స్ 1915 చివరలో కొనసాగాయి మరియు కొత్త RAF 4 ఇంజిన్ అభివృద్ధికి ప్రధానంగా ఆందోళన చెందుతున్నట్లు అనిపిస్తుంది, ముఖ్యంగా సంతృప్తికరమైన ఎయిర్ స్కూప్ రూపకల్పన. RAF 4 యొక్క వెనుక సిలిండర్ల శీతలీకరణ, ఎయిర్-కూల్డ్ V12 మరియు తరువాత R.E.8 యొక్క ఇంజిన్ ఎల్లప్పుడూ సందేహాస్పదంగా ఉంటుంది. ఈ రకాన్ని కూడా బాంబర్‌గా పరీక్షించారు. ఇది మే 1916 ("ఫోకర్ శాపంగా", జర్మన్ వాయు ఆధిపత్యం ముగిసినప్పుడు) సమకాలీకరించబడిన విక్కర్స్ తుపాకీకి ఈ రకానికి సరిపోయేలా నిర్ణయించబడింది, ఈ ఆయుధ పరీక్షలు అప్పటికే పైకి కాల్చిన లూయిస్ తుపాకులతో చేపట్టబడ్డాయి, ఇలాంటివి ఇలాంటివి B.E.2C యొక్క నైట్ ఫైటర్ వెర్షన్ ఉపయోగించే వాటికి. B.E.12A వేరియంట్ ఫిబ్రవరి 1916 లో మొదటిసారిగా ప్రయాణించింది మరియు B.E.2E యొక్క సవరించిన రెక్కలను కలిగి ఉంది. ఇది B.E.12 కన్నా చాలా మనోహరమైనది కాని లేకపోతే కొంచెం మెరుగుపడింది. B.E.12B B.E.2C ఎయిర్‌ఫ్రేమ్‌ను ఉపయోగించింది, కాని 200 HP హిస్పానో-సుయిజా ఇంజిన్‌ను కలిగి ఉంది. ఇది నైట్ ఫైటర్‌గా ఉద్దేశించబడింది మరియు సింక్రొనైజ్డ్ విక్కర్ల స్థానంలో వింగ్ మౌంటెడ్ లూయిస్ తుపాకులను తీసుకువెళ్ళింది. స్పష్టంగా ఇది మంచి పనితీరును కలిగి ఉంది, కాని S.E.5A కోసం ఇంజిన్ మరింత అత్యవసరంగా అవసరమైంది మరియు చాలా తక్కువ B.E.12B యోధులు హోమ్ డిఫెన్స్ స్క్వాడ్రన్లతో సేవలోకి వెళ్ళారు. నిర్మించిన వాటిలో కొన్ని ఇంజన్లు ఎన్నడూ పొందకపోవచ్చు. మొదటి B.E.12 స్క్వాడ్రన్, నం 19 ఆగస్టు 1 1916 వరకు ఫ్రాన్స్‌కు చేరుకోలేదు. దీని తరువాత 25 వ తేదీన ఫ్రాన్స్‌లో నం 21 న ఫ్రాన్స్‌లో రకాన్ని ఎగురవేసిన ఏకైక స్క్వాడ్రన్ దీనిని అనుసరించింది. Expected హించినట్లుగా, కొత్త రకం B.E.2C యొక్క అన్ని స్వాభావిక స్థిరత్వాన్ని కలిగి ఉంది మరియు ఫైటర్‌గా సేవలోకి నొక్కినప్పుడు చాలా పనికిరానిదని నిరూపించబడింది, ముఖ్యంగా కొత్త జర్మన్ హాల్బర్‌స్టాడ్ట్ మరియు అల్బాట్రోస్ యోధుల నేపథ్యంలో సేవలోకి వస్తున్నారు. ఇది బాంబర్‌గా పనిచేస్తూనే ఉంది, కాని సమర్థవంతమైన డిఫెన్సివ్ గన్ మౌంట్ చేయలేనందున ఇది చాలా హాని కలిగించింది మరియు చివరికి మార్చి 1917 లో ఫ్రాన్స్‌లో అన్ని ఫ్రంట్ లైన్ విధుల నుండి ఉపసంహరించబడింది. B.E.12A సంఖ్యలో B.E.12 సంఖ్యలలో అందుబాటులోకి వచ్చింది. అప్పటికే సంతృప్తికరంగా లేదని నిరూపించబడింది మరియు ఈ వేరియంట్ ఫ్రాన్స్‌లో ఎప్పుడూ ఉపయోగించబడలేదు. అనేక హోమ్ డిఫెన్స్ స్క్వాడ్రన్లు B.E.12A మరియు B.E.12B వేరియంట్ల ఉదాహరణలతో పాటు B.E.12 లను ఎగరవేసాయి. దాని స్థిరత్వం మరియు పరిధి రాత్రిపూట ఎగరవలసి వచ్చిన విమానంలో స్పష్టమైన ప్రయోజనాలు, కాని 1916/17 యొక్క మెరుగైన జర్మన్ ఎయిర్‌షిప్‌లను అడ్డుకోవాలని పిలుపునిచ్చినప్పుడు దాని ఆరోహణ రేటు సరిపోదు, వాటిని భర్తీ చేసిన విమానం రైడర్స్ గురించి చెప్పలేదు. జెప్పెలిన్ L.48 ను 17 జూన్ 1917 న హోమ్ డిఫెన్స్ B.E.12 చేత కాల్చి చంపారు, లేకపోతే ఈ పాత్రలో ఈ రకానికి సంబంధించిన విజయాలు చాలా తక్కువ. [2] మిడిల్ ఈస్ట్ థియేటర్ మరియు మాసిడోనియాలో, B.E.12 మరియు B.E.12A మరింత ఉపయోగకరంగా ఉన్నాయి - అయినప్పటికీ సాధారణంగా యోధులుగా కాకుండా సుదూర నిఘా విమానం. ఈ నియమానికి మినహాయింపు, 17 వ స్క్వాడ్రన్ యొక్క కెప్టెన్ గిల్బర్ట్ వేర్ ముర్లిస్ గ్రీన్ యొక్క యంత్రం, అతను అనేక శత్రు విమానాలను కాల్చివేసిన ఏకైక B.E.12 ఏస్. B.E.12B హోమ్ డిఫెన్స్ స్క్వాడ్రన్లతో మాత్రమే పనిచేసింది; డెలివరీలు 1917 చివరలో ప్రారంభమయ్యాయి, కాని వారి హిస్పానో-సుయిజా ఇంజిన్ల కోసం S.E.5A స్క్వాడ్రన్ల యొక్క అత్యవసర అవసరం కారణంగా చాలా మంది బహుశా ఇంజిన్‌లతో అమర్చబడలేదు లేదా B.E.12 లగా పూర్తి చేయబడలేదు. అసలు BE12 లు ఏవీ లేవు, కాని న్యూజిలాండ్‌లోని వింటేజ్ ఏవియేటర్ లిమిటెడ్ ఒక గాలిని పునరుత్పత్తిని నిర్మించింది, ఇది సంస్థ యొక్క హుడ్ ఏరోడ్రోమ్, మాస్టర్టన్ బేస్ నుండి ఎగురవేయబడింది. మొదటి ప్రపంచ యుద్ధం యొక్క యుద్ధ విమానాల నుండి డేటా: వాల్యూమ్ టూ ఫైటర్స్ [3] సాధారణ లక్షణాలు పనితీరు ఆయుధ సంబంధిత అభివృద్ధి సంబంధిత జాబితాలు</v>
      </c>
      <c r="E88" s="1" t="s">
        <v>1755</v>
      </c>
      <c r="F88" s="1" t="s">
        <v>1756</v>
      </c>
      <c r="G88" s="1" t="str">
        <f>IFERROR(__xludf.DUMMYFUNCTION("GOOGLETRANSLATE(F:F,""en"", ""te"")"),"సాధారణ ప్రయోజన విమానం/పోరాట యోధుడు")</f>
        <v>సాధారణ ప్రయోజన విమానం/పోరాట యోధుడు</v>
      </c>
      <c r="L88" s="1" t="s">
        <v>1757</v>
      </c>
      <c r="M88" s="1" t="str">
        <f>IFERROR(__xludf.DUMMYFUNCTION("GOOGLETRANSLATE(L:L,""en"", ""te"")"),"రాయల్ ఎయిర్క్రాఫ్ట్ ఫ్యాక్టరీ, వివిధ")</f>
        <v>రాయల్ ఎయిర్క్రాఫ్ట్ ఫ్యాక్టరీ, వివిధ</v>
      </c>
      <c r="N88" s="1" t="s">
        <v>1758</v>
      </c>
      <c r="O88" s="4">
        <v>6058.0</v>
      </c>
      <c r="R88" s="1">
        <v>601.0</v>
      </c>
      <c r="S88" s="1">
        <v>1.0</v>
      </c>
      <c r="U88" s="1" t="s">
        <v>1102</v>
      </c>
      <c r="V88" s="1" t="s">
        <v>1759</v>
      </c>
      <c r="W88" s="1" t="s">
        <v>1760</v>
      </c>
      <c r="X88" s="1" t="s">
        <v>1761</v>
      </c>
      <c r="AA88" s="1" t="s">
        <v>1762</v>
      </c>
      <c r="AE88" s="1" t="s">
        <v>1763</v>
      </c>
      <c r="AG88" s="1" t="s">
        <v>1764</v>
      </c>
      <c r="AH88" s="1" t="s">
        <v>1765</v>
      </c>
      <c r="AL88" s="1" t="s">
        <v>1766</v>
      </c>
      <c r="AO88" s="4">
        <v>5688.0</v>
      </c>
      <c r="AQ88" s="1" t="s">
        <v>1767</v>
      </c>
      <c r="AR88" s="1" t="s">
        <v>1768</v>
      </c>
      <c r="AZ88" s="1" t="s">
        <v>922</v>
      </c>
      <c r="BA88" s="1" t="s">
        <v>1769</v>
      </c>
      <c r="BR88" s="1" t="s">
        <v>1770</v>
      </c>
      <c r="BT88" s="1" t="s">
        <v>1771</v>
      </c>
      <c r="CC88" s="1" t="s">
        <v>1772</v>
      </c>
    </row>
    <row r="89">
      <c r="A89" s="1" t="s">
        <v>1773</v>
      </c>
      <c r="B89" s="1" t="str">
        <f>IFERROR(__xludf.DUMMYFUNCTION("GOOGLETRANSLATE(A:A,""en"", ""te"")"),"బ్లెరియోట్ viii")</f>
        <v>బ్లెరియోట్ viii</v>
      </c>
      <c r="C89" s="1" t="s">
        <v>1774</v>
      </c>
      <c r="D89" s="1" t="str">
        <f>IFERROR(__xludf.DUMMYFUNCTION("GOOGLETRANSLATE(C:C,""en"", ""te"")"),"బ్లెరియోట్ VIII అనేది లూయిస్ బ్లెరియోట్ చేత నిర్మించబడిన ఒక ఫ్రెంచ్ మార్గదర్శక శకం విమానం, ఇది ఒక కాన్ఫిగరేషన్ మరియు నియంత్రణ వ్యవస్థ రెండింటినీ స్వీకరించడానికి ముఖ్యమైనది, ఇది రాబోయే దశాబ్దాలుగా ఒక ప్రమాణాన్ని నిర్దేశిస్తుంది. మునుపటి సంవత్సరం, బ్లెరియోట"&amp;"్ ఒక టెన్డం వింగ్ డిజైన్‌తో ప్రయోగాలు చేశాడు, బ్లెరియోట్ VI, తరువాత మరొక విమానం బ్లెరియోట్ VII ను నిర్మించాడు, దీనిలో వెనుక వింగ్ ఫ్రంట్ వింగ్ కంటే కొంత చిన్నది, మరియు తరువాతి రకం XI యొక్క ""బెడ్‌స్టెడ్"", షాక్‌ను పరిచయం చేసింది -ఒక మెయిన్ ల్యాండింగ్ గేర్"&amp;" డిజైన్‌ను గ్రహించడం మరియు కాస్టరింగ్ చేయడం. బ్లెరియోట్ VIII లో, అతను వెనుక వింగ్ యొక్క పరిమాణాన్ని మరోసారి తగ్గించాడు, ఇది ఇకపై లిఫ్ట్ మార్గంలో ఎక్కువ తోడ్పడని స్థాయికి, కానీ క్షితిజ సమాంతర స్టెబిలైజర్‌గా మారింది. రోల్ మరియు పిచ్ రెండింటినీ నియంత్రించే స"&amp;"ింగిల్ కంట్రోల్ స్టిక్ ను ఆయన స్వీకరించడం మరింత నవల, అయితే చుక్కాని పైలట్ యొక్క పాదాల ద్వారా ఒక క్షితిజ సమాంతర, కేంద్ర పివట్ బార్ చేత నియంత్రించబడుతుంది. రోల్ మరియు పిచ్ కంట్రోల్ కోసం ఇదే విధమైన నియంత్రణ అమరికను మునుపటి సంవత్సరం రాబర్ట్ ఎస్నాల్ట్-పెల్టెరీ"&amp;" విమానంలో చేర్చారు, కాని బ్లెరియోట్ VIII చేతి/ఆర్మ్-ఆపరేటెడ్ జాయ్‌స్టిక్ మరియు ఫుట్-ఆపరేటెడ్ కలయిక యొక్క ఒకే ఎయిర్‌ఫ్రేమ్‌లో మొదటి ఉపయోగం ఏరోడైనమిక్ ఎయిర్క్రాఫ్ట్ కంట్రోల్ సిస్టమ్స్ యొక్క ప్రాథమిక ఆకృతి కోసం రుడర్ కంట్రోల్, ఇది నేటి వరకు వాడుకలో ఉంది. [2]"&amp;" కొత్త విమానం చాలా బాగా ఎగిరిపోయిందని బ్లెరియోట్ కనుగొన్నాడు మరియు మొదటిసారి అతను సర్కిల్‌లలో ప్రయాణించడానికి తగిన నియంత్రణ కలిగి ఉన్నాడు. అతను దానిని ఒకేసారి ఎనిమిది నిమిషాల వరకు పైకి ఉంచగలడు. 1908 కాలంలో, అతను దానిని చాలాసార్లు సవరించాడు, మొదటి ప్రధాన ప"&amp;"ునర్విమర్శను VIII-BIS మరియు తరువాతి VIII- టెర్ అని పిలుస్తాడు. జూన్ 29 న ఈ విమానంతో, ఆటోమొబైల్ క్లబ్ డి ఫ్రాన్స్ 200 మీ (660 అడుగులు) ఎత్తుతో విమానంలో ఆటోమొబైల్ క్లబ్ డి ఫ్రాన్స్ అందిస్తున్న మూడు బహుమతులలో రెండవదాన్ని బ్లెరియోట్ పేర్కొన్నాడు. పొడవైన మరియు"&amp;" పొడవైన విమానాలు తరువాత వచ్చాయి: అక్టోబర్ 21 న, అతను 7 కిమీ (4.3 మైళ్ళు) లో ఒకదాన్ని తయారు చేశాడు, మరియు పది రోజుల తరువాత టూరి నుండి ఆర్టెనే వరకు 14 కిలోమీటర్ల (8.7 మైళ్ళు) క్రాస్ కంట్రీని ఎగురవేసి, తిరిగి తిరిగి వెళ్లారు. సాధారణ లక్షణాలు")</f>
        <v>బ్లెరియోట్ VIII అనేది లూయిస్ బ్లెరియోట్ చేత నిర్మించబడిన ఒక ఫ్రెంచ్ మార్గదర్శక శకం విమానం, ఇది ఒక కాన్ఫిగరేషన్ మరియు నియంత్రణ వ్యవస్థ రెండింటినీ స్వీకరించడానికి ముఖ్యమైనది, ఇది రాబోయే దశాబ్దాలుగా ఒక ప్రమాణాన్ని నిర్దేశిస్తుంది. మునుపటి సంవత్సరం, బ్లెరియోట్ ఒక టెన్డం వింగ్ డిజైన్‌తో ప్రయోగాలు చేశాడు, బ్లెరియోట్ VI, తరువాత మరొక విమానం బ్లెరియోట్ VII ను నిర్మించాడు, దీనిలో వెనుక వింగ్ ఫ్రంట్ వింగ్ కంటే కొంత చిన్నది, మరియు తరువాతి రకం XI యొక్క "బెడ్‌స్టెడ్", షాక్‌ను పరిచయం చేసింది -ఒక మెయిన్ ల్యాండింగ్ గేర్ డిజైన్‌ను గ్రహించడం మరియు కాస్టరింగ్ చేయడం. బ్లెరియోట్ VIII లో, అతను వెనుక వింగ్ యొక్క పరిమాణాన్ని మరోసారి తగ్గించాడు, ఇది ఇకపై లిఫ్ట్ మార్గంలో ఎక్కువ తోడ్పడని స్థాయికి, కానీ క్షితిజ సమాంతర స్టెబిలైజర్‌గా మారింది. రోల్ మరియు పిచ్ రెండింటినీ నియంత్రించే సింగిల్ కంట్రోల్ స్టిక్ ను ఆయన స్వీకరించడం మరింత నవల, అయితే చుక్కాని పైలట్ యొక్క పాదాల ద్వారా ఒక క్షితిజ సమాంతర, కేంద్ర పివట్ బార్ చేత నియంత్రించబడుతుంది. రోల్ మరియు పిచ్ కంట్రోల్ కోసం ఇదే విధమైన నియంత్రణ అమరికను మునుపటి సంవత్సరం రాబర్ట్ ఎస్నాల్ట్-పెల్టెరీ విమానంలో చేర్చారు, కాని బ్లెరియోట్ VIII చేతి/ఆర్మ్-ఆపరేటెడ్ జాయ్‌స్టిక్ మరియు ఫుట్-ఆపరేటెడ్ కలయిక యొక్క ఒకే ఎయిర్‌ఫ్రేమ్‌లో మొదటి ఉపయోగం ఏరోడైనమిక్ ఎయిర్క్రాఫ్ట్ కంట్రోల్ సిస్టమ్స్ యొక్క ప్రాథమిక ఆకృతి కోసం రుడర్ కంట్రోల్, ఇది నేటి వరకు వాడుకలో ఉంది. [2] కొత్త విమానం చాలా బాగా ఎగిరిపోయిందని బ్లెరియోట్ కనుగొన్నాడు మరియు మొదటిసారి అతను సర్కిల్‌లలో ప్రయాణించడానికి తగిన నియంత్రణ కలిగి ఉన్నాడు. అతను దానిని ఒకేసారి ఎనిమిది నిమిషాల వరకు పైకి ఉంచగలడు. 1908 కాలంలో, అతను దానిని చాలాసార్లు సవరించాడు, మొదటి ప్రధాన పునర్విమర్శను VIII-BIS మరియు తరువాతి VIII- టెర్ అని పిలుస్తాడు. జూన్ 29 న ఈ విమానంతో, ఆటోమొబైల్ క్లబ్ డి ఫ్రాన్స్ 200 మీ (660 అడుగులు) ఎత్తుతో విమానంలో ఆటోమొబైల్ క్లబ్ డి ఫ్రాన్స్ అందిస్తున్న మూడు బహుమతులలో రెండవదాన్ని బ్లెరియోట్ పేర్కొన్నాడు. పొడవైన మరియు పొడవైన విమానాలు తరువాత వచ్చాయి: అక్టోబర్ 21 న, అతను 7 కిమీ (4.3 మైళ్ళు) లో ఒకదాన్ని తయారు చేశాడు, మరియు పది రోజుల తరువాత టూరి నుండి ఆర్టెనే వరకు 14 కిలోమీటర్ల (8.7 మైళ్ళు) క్రాస్ కంట్రీని ఎగురవేసి, తిరిగి తిరిగి వెళ్లారు. సాధారణ లక్షణాలు</v>
      </c>
      <c r="E89" s="1" t="s">
        <v>1775</v>
      </c>
      <c r="F89" s="1" t="s">
        <v>1604</v>
      </c>
      <c r="G89" s="1" t="str">
        <f>IFERROR(__xludf.DUMMYFUNCTION("GOOGLETRANSLATE(F:F,""en"", ""te"")"),"ప్రయోగాత్మక విమానం")</f>
        <v>ప్రయోగాత్మక విమానం</v>
      </c>
      <c r="L89" s="1" t="s">
        <v>1605</v>
      </c>
      <c r="M89" s="1" t="str">
        <f>IFERROR(__xludf.DUMMYFUNCTION("GOOGLETRANSLATE(L:L,""en"", ""te"")"),"లూయిస్ బ్లెరియోట్")</f>
        <v>లూయిస్ బ్లెరియోట్</v>
      </c>
      <c r="N89" s="1" t="s">
        <v>1606</v>
      </c>
      <c r="R89" s="1">
        <v>1.0</v>
      </c>
      <c r="S89" s="1" t="s">
        <v>1086</v>
      </c>
      <c r="U89" s="1" t="s">
        <v>1776</v>
      </c>
      <c r="W89" s="1" t="s">
        <v>1777</v>
      </c>
      <c r="AH89" s="1" t="s">
        <v>1778</v>
      </c>
      <c r="AO89" s="1">
        <v>1908.0</v>
      </c>
      <c r="CD89" s="2" t="s">
        <v>1779</v>
      </c>
    </row>
    <row r="90">
      <c r="A90" s="1" t="s">
        <v>1780</v>
      </c>
      <c r="B90" s="1" t="str">
        <f>IFERROR(__xludf.DUMMYFUNCTION("GOOGLETRANSLATE(A:A,""en"", ""te"")"),"బోయింగ్ మోడల్ 6 డి")</f>
        <v>బోయింగ్ మోడల్ 6 డి</v>
      </c>
      <c r="C90" s="1" t="s">
        <v>1781</v>
      </c>
      <c r="D90" s="1" t="str">
        <f>IFERROR(__xludf.DUMMYFUNCTION("GOOGLETRANSLATE(C:C,""en"", ""te"")"),"బోయింగ్ మోడల్ 6 డి, ఎ.కె.ఎ. ఒకే సారూప్యత ఏమిటంటే అవి రెండూ బిప్‌లేన్ పషర్ ఫ్లయింగ్-బోట్లు. 6 డి 1928 లో రూపొందించబడింది మరియు 2 విమానాలు మే 1928 మరియు ఏప్రిల్ 1929 మధ్య నిర్మించబడ్డాయి. 6DS దీర్ఘచతురస్రాకార పొట్టును కలపతో కలపతో నిర్మించారు, ఇది స్ప్రూస్ వ"&amp;"ెనియర్‌లో కప్పబడి ఉంది. రెక్కలు మోడల్ 40 నుండి తీసుకోబడ్డాయి మరియు కుదించబడ్డాయి, పషర్ ఇంజిన్ మరియు కలప ప్రొపెల్లర్ ఎగువ వింగ్ యొక్క దిగువ భాగంలో అమర్చబడి ఉన్నాయి. [1] 410 హెచ్‌పి (310 కిలోవాట్ 1916 నుండి బోయింగ్ విమానాల నుండి డేటా, [1] జేన్ యొక్క ప్రపంచ "&amp;"విమానాలు 1928 [2] సాధారణ లక్షణాల పనితీరు")</f>
        <v>బోయింగ్ మోడల్ 6 డి, ఎ.కె.ఎ. ఒకే సారూప్యత ఏమిటంటే అవి రెండూ బిప్‌లేన్ పషర్ ఫ్లయింగ్-బోట్లు. 6 డి 1928 లో రూపొందించబడింది మరియు 2 విమానాలు మే 1928 మరియు ఏప్రిల్ 1929 మధ్య నిర్మించబడ్డాయి. 6DS దీర్ఘచతురస్రాకార పొట్టును కలపతో కలపతో నిర్మించారు, ఇది స్ప్రూస్ వెనియర్‌లో కప్పబడి ఉంది. రెక్కలు మోడల్ 40 నుండి తీసుకోబడ్డాయి మరియు కుదించబడ్డాయి, పషర్ ఇంజిన్ మరియు కలప ప్రొపెల్లర్ ఎగువ వింగ్ యొక్క దిగువ భాగంలో అమర్చబడి ఉన్నాయి. [1] 410 హెచ్‌పి (310 కిలోవాట్ 1916 నుండి బోయింగ్ విమానాల నుండి డేటా, [1] జేన్ యొక్క ప్రపంచ విమానాలు 1928 [2] సాధారణ లక్షణాల పనితీరు</v>
      </c>
      <c r="E90" s="1" t="s">
        <v>1782</v>
      </c>
      <c r="F90" s="1" t="s">
        <v>1783</v>
      </c>
      <c r="G90" s="1" t="str">
        <f>IFERROR(__xludf.DUMMYFUNCTION("GOOGLETRANSLATE(F:F,""en"", ""te"")"),"ప్రయాణీకుల ఫ్లయింగ్-బోట్")</f>
        <v>ప్రయాణీకుల ఫ్లయింగ్-బోట్</v>
      </c>
      <c r="I90" s="1" t="s">
        <v>158</v>
      </c>
      <c r="J90" s="1" t="str">
        <f>IFERROR(__xludf.DUMMYFUNCTION("GOOGLETRANSLATE(I:I,""en"", ""te"")"),"అమెరికా")</f>
        <v>అమెరికా</v>
      </c>
      <c r="L90" s="1" t="s">
        <v>1635</v>
      </c>
      <c r="M90" s="1" t="str">
        <f>IFERROR(__xludf.DUMMYFUNCTION("GOOGLETRANSLATE(L:L,""en"", ""te"")"),"బోయింగ్")</f>
        <v>బోయింగ్</v>
      </c>
      <c r="N90" s="2" t="s">
        <v>1636</v>
      </c>
      <c r="R90" s="1" t="s">
        <v>1784</v>
      </c>
      <c r="S90" s="1">
        <v>1.0</v>
      </c>
      <c r="T90" s="1" t="s">
        <v>1785</v>
      </c>
      <c r="U90" s="1" t="s">
        <v>1786</v>
      </c>
      <c r="V90" s="1" t="s">
        <v>1787</v>
      </c>
      <c r="W90" s="1" t="s">
        <v>1788</v>
      </c>
      <c r="X90" s="1" t="s">
        <v>1789</v>
      </c>
      <c r="Y90" s="1" t="s">
        <v>332</v>
      </c>
      <c r="AA90" s="1" t="s">
        <v>1790</v>
      </c>
      <c r="AB90" s="1" t="s">
        <v>472</v>
      </c>
      <c r="AE90" s="1" t="s">
        <v>1791</v>
      </c>
      <c r="AF90" s="1" t="s">
        <v>1792</v>
      </c>
      <c r="AG90" s="1" t="s">
        <v>208</v>
      </c>
      <c r="AH90" s="1" t="s">
        <v>1793</v>
      </c>
      <c r="AI90" s="1" t="s">
        <v>1196</v>
      </c>
      <c r="AK90" s="1" t="s">
        <v>1794</v>
      </c>
      <c r="AL90" s="1" t="s">
        <v>440</v>
      </c>
      <c r="AO90" s="1" t="s">
        <v>1795</v>
      </c>
      <c r="AQ90" s="1" t="s">
        <v>1796</v>
      </c>
      <c r="AS90" s="1" t="s">
        <v>1797</v>
      </c>
      <c r="AW90" s="1" t="s">
        <v>1798</v>
      </c>
      <c r="BH90" s="1" t="s">
        <v>1799</v>
      </c>
      <c r="CC90" s="1" t="s">
        <v>1800</v>
      </c>
    </row>
    <row r="91">
      <c r="A91" s="1" t="s">
        <v>1801</v>
      </c>
      <c r="B91" s="1" t="str">
        <f>IFERROR(__xludf.DUMMYFUNCTION("GOOGLETRANSLATE(A:A,""en"", ""te"")"),"విక్కర్స్ టైప్ 264 వాలెంటియా")</f>
        <v>విక్కర్స్ టైప్ 264 వాలెంటియా</v>
      </c>
      <c r="C91" s="1" t="s">
        <v>1802</v>
      </c>
      <c r="D91" s="1" t="str">
        <f>IFERROR(__xludf.DUMMYFUNCTION("GOOGLETRANSLATE(C:C,""en"", ""te"")"),"విక్కర్స్ వాలెంటియా (కంపెనీ హోదా టైప్ 264) రాయల్ వైమానిక దళం కోసం విక్కర్స్ నిర్మించిన బ్రిటిష్ బిప్‌లేన్ బాంబర్ రవాణా విమానం. నిర్మించిన మెజారిటీ మునుపటి విక్కర్స్ విక్టోరియా యొక్క మార్పిడులు, ఇది విక్కర్స్ వర్జీనియా నుండి తీసుకోబడింది. నేపియర్ లయన్-శక్త"&amp;"ితో కూడిన విక్టోరియా RAF తో బాంబర్ రవాణాగా విజయవంతంగా పనిచేసినప్పటికీ, 1932 నాటికి, సింహం ఇంజిన్ వాడుకలో లేదు మరియు ఇది మరింత శక్తిని ఉపయోగించగలదని స్పష్టమైంది. అందువల్ల విమానాన్ని మరింత శక్తివంతమైన బ్రిస్టల్ పెగసాస్ ఇంజిన్లతో తిరిగి ఇంజిన్ చేయాలని నిర్ణయ"&amp;"ించారు. [1] రెండు-దశల అప్‌గ్రేడ్ చేయాలని నిర్ణయించారు, మొదటిది, విక్టోరియా MK VI లేదా కాన్ఫిగరేషన్ I ను పరిమిత గరిష్ట బరువు కలిగి ఉంది. దీని తరువాత కాన్ఫిగరేషన్ 2 ఉంది, ఇది పెగసాస్ ఇంజిన్ యొక్క ఎక్కువ శక్తిని పూర్తి ప్రయోజనాన్ని పొందగలదు, బలోపేతం చేసిన ఎయ"&amp;"ిర్ఫ్రేమ్ ద్వారా, వైర్-బ్రేస్డ్ ల్యాండింగ్ గేర్, వీల్ బ్రేక్‌లు మరియు టెయిల్‌వీల్ కంటే బలోపేతం చేయబడిన వింగ్, స్ట్రట్ కలిగి ఉంది స్కిడ్. ఇది విక్కర్స్ వాలెంటియా MK I [1] గా మారింది, ఇది 1934 లో మొదటిసారిగా ప్రయాణించింది. 28 కొత్త బిల్డ్ వాలెంటియాస్ కోసం స"&amp;"్పెసిఫికేషన్ 30/34 కు ఆర్డర్లు ఇవ్వబడ్డాయి, మరో 54 మంది విక్టోరియాస్ (కంపెనీలో టైప్ 278) నుండి మార్చబడింది, ఉత్పత్తి 1936 వరకు కొనసాగుతుంది. [1] 1938 లో పెగసాస్ ఐఐఎం 3 ఇంజిన్లతో కూడిన సంస్కరణ (ఇది మెరుగైన 'హాట్ అండ్ హై' పనితీరును అందించింది) లాహోర్లో ఉన్న"&amp;" నెంబర్ 31 స్క్వాడ్రన్ యొక్క ఒక విమానంతో సేవ కోసం సరఫరా చేయబడింది. వాలెంటియా మొట్టమొదట 1934 లో ఇరాక్‌లోని హినీడి వద్ద 70 వ స్క్వాడ్రన్ RAF తో సేవలోకి ప్రవేశించింది, [2] భారతదేశం, పర్షియా మరియు ఇరాక్లలో బ్రిటిష్ దళాలను సమకూర్చింది. మునుపటి వెర్నాన్లు మరియు"&amp;" విక్టోరియాస్ మాదిరిగా, వాలెంటియాస్ మధ్యప్రాచ్యంలో రవాణా కార్యకలాపాల కోసం విస్తృతంగా ఉపయోగించబడ్డాయి మరియు రెక్కల క్రింద బాంబు రాక్లతో బాంబు కార్యకలాపాలకు అవసరమైనప్పుడు. వాలెంటియాస్ కూడా ప్రయోగాత్మకంగా లౌడ్ స్పీకర్లతో అమర్చారు. వాలెంటియాను అలాన్ కోభం ఏరియ"&amp;"ల్ రీఫ్యూయలింగ్ తో ప్రయోగాలకు కూడా ఉపయోగించారు. [1] 1940 లో పశ్చిమ ఎడారిపై రాత్రి బాంబు కార్యకలాపాల కోసం వాలెంటియాస్ ఉపయోగించబడ్డాయి. [1] నంబర్ 31 స్క్వాడ్రన్ RAF మరియు RAF కమ్యూనికేషన్స్ ఫ్లైట్ ఇరాక్‌తో సేవలో, వారు 1941 లో RAF హబ్బనీయ ముట్టడి మరియు తదుపర"&amp;"ి కార్యకలాపాలలో పాల్గొన్నారు. అప్పుడు వారు 1944 వరకు కమ్యూనికేషన్స్ ఫ్లైట్ ఇరాక్ (తరువాత ఇరాక్ &amp; పర్షియా) తో సేవలో ఉన్నారు. [3] [4] [5] దక్షిణాఫ్రికా వైమానిక దళం 1940-41లో తూర్పు ఆఫ్రికా ప్రచారంలో వాలెంటియాను బాంబర్‌గా సేవలోకి తీసుకుంది. [6] వాలెంటియాను R"&amp;"AF సేవలో బ్రిస్టల్ బొంబాయి రవాణాగా మార్చారు. [7] రాయల్ వైమానిక దళం యొక్క విమానం నుండి డేటా [2] సాధారణ లక్షణాలు పనితీరు ఆయుధ సంబంధిత జాబితాలు")</f>
        <v>విక్కర్స్ వాలెంటియా (కంపెనీ హోదా టైప్ 264) రాయల్ వైమానిక దళం కోసం విక్కర్స్ నిర్మించిన బ్రిటిష్ బిప్‌లేన్ బాంబర్ రవాణా విమానం. నిర్మించిన మెజారిటీ మునుపటి విక్కర్స్ విక్టోరియా యొక్క మార్పిడులు, ఇది విక్కర్స్ వర్జీనియా నుండి తీసుకోబడింది. నేపియర్ లయన్-శక్తితో కూడిన విక్టోరియా RAF తో బాంబర్ రవాణాగా విజయవంతంగా పనిచేసినప్పటికీ, 1932 నాటికి, సింహం ఇంజిన్ వాడుకలో లేదు మరియు ఇది మరింత శక్తిని ఉపయోగించగలదని స్పష్టమైంది. అందువల్ల విమానాన్ని మరింత శక్తివంతమైన బ్రిస్టల్ పెగసాస్ ఇంజిన్లతో తిరిగి ఇంజిన్ చేయాలని నిర్ణయించారు. [1] రెండు-దశల అప్‌గ్రేడ్ చేయాలని నిర్ణయించారు, మొదటిది, విక్టోరియా MK VI లేదా కాన్ఫిగరేషన్ I ను పరిమిత గరిష్ట బరువు కలిగి ఉంది. దీని తరువాత కాన్ఫిగరేషన్ 2 ఉంది, ఇది పెగసాస్ ఇంజిన్ యొక్క ఎక్కువ శక్తిని పూర్తి ప్రయోజనాన్ని పొందగలదు, బలోపేతం చేసిన ఎయిర్ఫ్రేమ్ ద్వారా, వైర్-బ్రేస్డ్ ల్యాండింగ్ గేర్, వీల్ బ్రేక్‌లు మరియు టెయిల్‌వీల్ కంటే బలోపేతం చేయబడిన వింగ్, స్ట్రట్ కలిగి ఉంది స్కిడ్. ఇది విక్కర్స్ వాలెంటియా MK I [1] గా మారింది, ఇది 1934 లో మొదటిసారిగా ప్రయాణించింది. 28 కొత్త బిల్డ్ వాలెంటియాస్ కోసం స్పెసిఫికేషన్ 30/34 కు ఆర్డర్లు ఇవ్వబడ్డాయి, మరో 54 మంది విక్టోరియాస్ (కంపెనీలో టైప్ 278) నుండి మార్చబడింది, ఉత్పత్తి 1936 వరకు కొనసాగుతుంది. [1] 1938 లో పెగసాస్ ఐఐఎం 3 ఇంజిన్లతో కూడిన సంస్కరణ (ఇది మెరుగైన 'హాట్ అండ్ హై' పనితీరును అందించింది) లాహోర్లో ఉన్న నెంబర్ 31 స్క్వాడ్రన్ యొక్క ఒక విమానంతో సేవ కోసం సరఫరా చేయబడింది. వాలెంటియా మొట్టమొదట 1934 లో ఇరాక్‌లోని హినీడి వద్ద 70 వ స్క్వాడ్రన్ RAF తో సేవలోకి ప్రవేశించింది, [2] భారతదేశం, పర్షియా మరియు ఇరాక్లలో బ్రిటిష్ దళాలను సమకూర్చింది. మునుపటి వెర్నాన్లు మరియు విక్టోరియాస్ మాదిరిగా, వాలెంటియాస్ మధ్యప్రాచ్యంలో రవాణా కార్యకలాపాల కోసం విస్తృతంగా ఉపయోగించబడ్డాయి మరియు రెక్కల క్రింద బాంబు రాక్లతో బాంబు కార్యకలాపాలకు అవసరమైనప్పుడు. వాలెంటియాస్ కూడా ప్రయోగాత్మకంగా లౌడ్ స్పీకర్లతో అమర్చారు. వాలెంటియాను అలాన్ కోభం ఏరియల్ రీఫ్యూయలింగ్ తో ప్రయోగాలకు కూడా ఉపయోగించారు. [1] 1940 లో పశ్చిమ ఎడారిపై రాత్రి బాంబు కార్యకలాపాల కోసం వాలెంటియాస్ ఉపయోగించబడ్డాయి. [1] నంబర్ 31 స్క్వాడ్రన్ RAF మరియు RAF కమ్యూనికేషన్స్ ఫ్లైట్ ఇరాక్‌తో సేవలో, వారు 1941 లో RAF హబ్బనీయ ముట్టడి మరియు తదుపరి కార్యకలాపాలలో పాల్గొన్నారు. అప్పుడు వారు 1944 వరకు కమ్యూనికేషన్స్ ఫ్లైట్ ఇరాక్ (తరువాత ఇరాక్ &amp; పర్షియా) తో సేవలో ఉన్నారు. [3] [4] [5] దక్షిణాఫ్రికా వైమానిక దళం 1940-41లో తూర్పు ఆఫ్రికా ప్రచారంలో వాలెంటియాను బాంబర్‌గా సేవలోకి తీసుకుంది. [6] వాలెంటియాను RAF సేవలో బ్రిస్టల్ బొంబాయి రవాణాగా మార్చారు. [7] రాయల్ వైమానిక దళం యొక్క విమానం నుండి డేటా [2] సాధారణ లక్షణాలు పనితీరు ఆయుధ సంబంధిత జాబితాలు</v>
      </c>
      <c r="E91" s="1" t="s">
        <v>1803</v>
      </c>
      <c r="F91" s="1" t="s">
        <v>1804</v>
      </c>
      <c r="G91" s="1" t="str">
        <f>IFERROR(__xludf.DUMMYFUNCTION("GOOGLETRANSLATE(F:F,""en"", ""te"")"),"బాంబర్ రవాణా")</f>
        <v>బాంబర్ రవాణా</v>
      </c>
      <c r="L91" s="1" t="s">
        <v>1805</v>
      </c>
      <c r="M91" s="1" t="str">
        <f>IFERROR(__xludf.DUMMYFUNCTION("GOOGLETRANSLATE(L:L,""en"", ""te"")"),"విక్కర్స్")</f>
        <v>విక్కర్స్</v>
      </c>
      <c r="N91" s="2" t="s">
        <v>1806</v>
      </c>
      <c r="O91" s="1">
        <v>1934.0</v>
      </c>
      <c r="S91" s="1">
        <v>2.0</v>
      </c>
      <c r="T91" s="1" t="s">
        <v>1807</v>
      </c>
      <c r="U91" s="1" t="s">
        <v>1808</v>
      </c>
      <c r="V91" s="1" t="s">
        <v>645</v>
      </c>
      <c r="W91" s="1" t="s">
        <v>1809</v>
      </c>
      <c r="X91" s="1" t="s">
        <v>1810</v>
      </c>
      <c r="Y91" s="1" t="s">
        <v>1811</v>
      </c>
      <c r="AA91" s="1" t="s">
        <v>1812</v>
      </c>
      <c r="AB91" s="1" t="s">
        <v>1813</v>
      </c>
      <c r="AD91" s="1" t="s">
        <v>1814</v>
      </c>
      <c r="AG91" s="1" t="s">
        <v>1815</v>
      </c>
      <c r="AH91" s="1" t="s">
        <v>1816</v>
      </c>
      <c r="AK91" s="1" t="s">
        <v>1817</v>
      </c>
      <c r="AL91" s="1" t="s">
        <v>1818</v>
      </c>
      <c r="AQ91" s="1" t="s">
        <v>1819</v>
      </c>
      <c r="AR91" s="1" t="s">
        <v>1820</v>
      </c>
      <c r="AU91" s="1" t="s">
        <v>1821</v>
      </c>
      <c r="AV91" s="1" t="s">
        <v>1822</v>
      </c>
      <c r="BA91" s="1" t="s">
        <v>1823</v>
      </c>
      <c r="BC91" s="1">
        <v>1944.0</v>
      </c>
      <c r="BT91" s="1" t="s">
        <v>1824</v>
      </c>
    </row>
    <row r="92">
      <c r="A92" s="1" t="s">
        <v>1825</v>
      </c>
      <c r="B92" s="1" t="str">
        <f>IFERROR(__xludf.DUMMYFUNCTION("GOOGLETRANSLATE(A:A,""en"", ""te"")"),"బోయింగ్ Y1B-20")</f>
        <v>బోయింగ్ Y1B-20</v>
      </c>
      <c r="C92" s="1" t="s">
        <v>1826</v>
      </c>
      <c r="D92" s="1" t="str">
        <f>IFERROR(__xludf.DUMMYFUNCTION("GOOGLETRANSLATE(C:C,""en"", ""te"")"),"బోయింగ్ Y1B-20 (బోయింగ్ 316) బోయింగ్ XB-15 లో మెరుగుదలగా రూపొందించబడింది (Y1- సాధారణ ఆర్థిక సంవత్సరం సేకరణ వెలుపల నిధుల మూలాన్ని సూచిస్తుంది.) ఇది దాని పూర్వీకుల కంటే కొంచెం పెద్దది, మరియు చాలా శక్తివంతమైనది ఉపయోగించటానికి ఉద్దేశించబడింది ఇంజన్లు. ఇది 193"&amp;"8 ప్రారంభంలో సైన్యానికి సమర్పించబడింది మరియు వెంటనే రెండు ఆర్డర్లు ఇవ్వబడ్డాయి. నిర్మాణం ప్రారంభమయ్యే ముందు ఈ ఉత్తర్వు తారుమారు చేయబడింది. అవి రద్దు చేసినప్పటికీ, XB-15 మరియు Y1B-20 బోయింగ్ B-29 సూపర్‌ఫోర్ట్రెస్ కోసం పునాది వేసింది. [1] సాధారణ లక్షణాలు పన"&amp;"ితీరు ఆయుధ సంబంధిత అభివృద్ధి అభివృద్ధి విమానం పోల్చదగిన పాత్ర, కాన్ఫిగరేషన్ మరియు ERA సంబంధిత జాబితాలు")</f>
        <v>బోయింగ్ Y1B-20 (బోయింగ్ 316) బోయింగ్ XB-15 లో మెరుగుదలగా రూపొందించబడింది (Y1- సాధారణ ఆర్థిక సంవత్సరం సేకరణ వెలుపల నిధుల మూలాన్ని సూచిస్తుంది.) ఇది దాని పూర్వీకుల కంటే కొంచెం పెద్దది, మరియు చాలా శక్తివంతమైనది ఉపయోగించటానికి ఉద్దేశించబడింది ఇంజన్లు. ఇది 1938 ప్రారంభంలో సైన్యానికి సమర్పించబడింది మరియు వెంటనే రెండు ఆర్డర్లు ఇవ్వబడ్డాయి. నిర్మాణం ప్రారంభమయ్యే ముందు ఈ ఉత్తర్వు తారుమారు చేయబడింది. అవి రద్దు చేసినప్పటికీ, XB-15 మరియు Y1B-20 బోయింగ్ B-29 సూపర్‌ఫోర్ట్రెస్ కోసం పునాది వేసింది. [1] సాధారణ లక్షణాలు పనితీరు ఆయుధ సంబంధిత అభివృద్ధి అభివృద్ధి విమానం పోల్చదగిన పాత్ర, కాన్ఫిగరేషన్ మరియు ERA సంబంధిత జాబితాలు</v>
      </c>
      <c r="F92" s="1" t="s">
        <v>1827</v>
      </c>
      <c r="G92" s="1" t="str">
        <f>IFERROR(__xludf.DUMMYFUNCTION("GOOGLETRANSLATE(F:F,""en"", ""te"")"),"భారీ బాంబర్")</f>
        <v>భారీ బాంబర్</v>
      </c>
      <c r="H92" s="1" t="s">
        <v>1828</v>
      </c>
      <c r="L92" s="1" t="s">
        <v>1635</v>
      </c>
      <c r="M92" s="1" t="str">
        <f>IFERROR(__xludf.DUMMYFUNCTION("GOOGLETRANSLATE(L:L,""en"", ""te"")"),"బోయింగ్")</f>
        <v>బోయింగ్</v>
      </c>
      <c r="N92" s="2" t="s">
        <v>1636</v>
      </c>
      <c r="P92" s="1" t="s">
        <v>1637</v>
      </c>
      <c r="Q92" s="1"/>
      <c r="R92" s="1">
        <v>0.0</v>
      </c>
      <c r="S92" s="1">
        <v>10.0</v>
      </c>
      <c r="U92" s="1" t="s">
        <v>1829</v>
      </c>
      <c r="V92" s="1" t="s">
        <v>1830</v>
      </c>
      <c r="X92" s="1" t="s">
        <v>1831</v>
      </c>
      <c r="Y92" s="1" t="s">
        <v>1832</v>
      </c>
      <c r="AA92" s="1" t="s">
        <v>1833</v>
      </c>
      <c r="AB92" s="1" t="s">
        <v>1834</v>
      </c>
      <c r="AH92" s="1" t="s">
        <v>1835</v>
      </c>
      <c r="AK92" s="1" t="s">
        <v>1836</v>
      </c>
      <c r="AO92" s="1" t="s">
        <v>1837</v>
      </c>
      <c r="AQ92" s="1" t="s">
        <v>1838</v>
      </c>
      <c r="AR92" s="1" t="s">
        <v>895</v>
      </c>
      <c r="AT92" s="1" t="s">
        <v>1839</v>
      </c>
      <c r="AU92" s="1" t="s">
        <v>1840</v>
      </c>
      <c r="AV92" s="1" t="s">
        <v>1841</v>
      </c>
      <c r="BA92" s="1" t="s">
        <v>896</v>
      </c>
      <c r="BH92" s="1" t="s">
        <v>1842</v>
      </c>
      <c r="BR92" s="1" t="s">
        <v>1843</v>
      </c>
      <c r="BT92" s="1" t="s">
        <v>1844</v>
      </c>
    </row>
    <row r="93">
      <c r="A93" s="1" t="s">
        <v>1845</v>
      </c>
      <c r="B93" s="1" t="str">
        <f>IFERROR(__xludf.DUMMYFUNCTION("GOOGLETRANSLATE(A:A,""en"", ""te"")"),"లాక్వుడ్ డ్రిఫ్టర్")</f>
        <v>లాక్వుడ్ డ్రిఫ్టర్</v>
      </c>
      <c r="C93" s="1" t="s">
        <v>1846</v>
      </c>
      <c r="D93" s="1" t="str">
        <f>IFERROR(__xludf.DUMMYFUNCTION("GOOGLETRANSLATE(C:C,""en"", ""te"")"),"లాక్వుడ్ డ్రిఫ్టర్ అనేది హై వింగ్, సింగిల్ ఇంజిన్, పషర్ కాన్ఫిగరేషన్, ఓపెన్ కాక్‌పిట్, ఒకటి మరియు రెండు-సీట్ల కిట్ విమానాలు, దీనిని మొట్టమొదట 1980 లలో మాక్సైర్ ప్రవేశపెట్టారు మరియు ఫ్లోరిడాలోని లాక్‌వుడ్ ఎయిర్‌క్రాఫ్ట్ ఆఫ్ సెబ్రింగ్ ద్వారా ఈ రోజు ఉత్పత్తి"&amp;"లో ఉంది. [1 1. [1 ] డ్రిఫ్టర్‌ను మొదట మాక్సైర్ 1980 లలో ఒకే సీటు మరియు రెండు సీట్లు-టెన్డం కిట్‌ప్లేన్‌గా విక్రయించింది. యుఎస్ ఫార్ 103 అల్ట్రాలైట్ వెహికల్స్ వర్గానికి అర్హత సాధించడానికి 28 హెచ్‌పి (21 కిలోవాట్ల) రోటాక్స్ 277 ఇంజిన్‌తో అమర్చినప్పుడు అసలు "&amp;"సింగిల్ సీటర్ తగినంత తేలికగా ఉంది, ఖాళీ బరువు 240 ఎల్బి (109 కిలోలు). [2] [7] మాక్సైర్ వ్యాపారం నుండి బయటకు వెళ్ళిన తరువాత, 1997 లో లాక్వుడ్ ఎయిర్క్రాఫ్ట్ చేత ఈ డిజైన్‌ను తీసుకున్నారు, అతను అనేక సింగిల్ మరియు రెండు-సీట్ల సంస్కరణల కోసం కిట్‌లను ఉత్పత్తి చే"&amp;"శాడు, ఎక్కువగా ఇన్‌స్టాల్ చేసిన ఇంజిన్ ద్వారా భిన్నంగా ఉంటుంది. లాక్వుడ్ వెర్షన్లు అన్నీ గ్రౌండ్ వైర్లకు మద్దతుగా కింగ్‌పోస్ట్ ఉపయోగించి వైర్-బ్రేస్డ్. 1000 కి పైగా వైర్-బ్రేస్డ్ డ్రిఫ్టర్లు పూర్తయ్యాయి మరియు ఎగిరిపోయాయి. [2] [3] [4] [5] [6] లాక్వుడ్ అంచన"&amp;"ా ప్రకారం, ప్రస్తుతం సరఫరా చేయబడిన కిట్ నుండి సూపర్ డ్రిఫ్టర్ పూర్తి చేయడానికి బిల్డర్ 300 గంటలు పడుతుంది. [6] 1983 నుండి, ఆస్ట్‌ఫ్లైట్ ఉలా మొదట బల్లినా వద్ద ఉంది, న్యూ సౌత్ వేల్స్ డ్రిఫ్టర్ యొక్క లైసెన్స్ ఉత్పత్తిని ప్రారంభించింది. 1986 లో, సంస్థ క్వీన్స"&amp;"్లాండ్లోని బూనా వద్ద ప్రయోజన నిర్మించిన సౌకర్యాలకు తరలించబడింది, అక్కడ వారు ఆస్ట్రేలియన్ మార్కెట్ కోసం సివిల్ ఏవియేషన్ సేఫ్టీ అథారిటీ చేత ధృవీకరించబడిన పూర్తిగా సమావేశమైన డ్రిఫ్టర్ వేరియంట్లను నిర్మించారు, పవర్‌ప్లాంట్లతో రోటాక్స్ 503 నుండి రోటాక్స్ 582 మ"&amp;"రియు రోటాక్స్ 912 ఇంజిన్లు ఉన్నాయి. మరింత మెరుగుదలలు డిసెంబర్ 1993 లో CAO 101.55 క్లాస్ సర్టిఫికేషన్‌కు నిర్మించిన స్ట్రట్ బ్రేస్డ్ (ఎస్బి) వెర్షన్‌కు దారితీశాయి. [8] డ్రిఫ్టర్ ఎస్బిని 1990 లలో యుఎస్ లో టైగర్ ఏవియేషన్ ఆఫ్ ట్రెంటన్, సౌత్ కరోలినాలో విక్రయిం"&amp;"చింది. 500 కి పైగా స్ట్రట్ బ్రేస్డ్ డ్రిఫ్టర్లు పూర్తయ్యాయి మరియు ఎగిరిపోయాయి. [3] 1995 చివరలో, షాంఘై ఫెంటన్ లైట్ ఎయిర్క్రాఫ్ట్ కంపెనీ (ఎస్‌ఎల్‌ఎల్‌ఎసి) అనే జాయింట్ వెంచర్ చైనాలో ఆస్ట్రేలియన్ వెర్షన్ల తయారీకి షాంఘై విమాన తయారీ కర్మాగారంతో స్థాపించబడింది. "&amp;"ధృవీకరణ మరియు జాయింట్ వెంచర్ ఒప్పందంతో సంబంధం ఉన్న ఖర్చులు కారణంగా ఆస్ట్‌ఫ్లైట్ ఆర్థిక నష్టాలను చవిచూసింది. మే 2002 లో, ఆస్ట్‌ఫ్లైట్ తన చివరి ఆస్తులను విక్రయించింది మరియు డ్రిఫ్టర్ టైప్ సర్టిఫికెట్‌ను నూసా ఎయిర్ పిటి లిమిటెడ్‌కు బదిలీ చేసింది. డ్రిఫ్టర్ ఎ"&amp;"యిర్‌క్రాఫ్ట్ పిటి లిమిటెడ్ ఆఫ్ డాల్బీ, క్వీన్స్లాండ్ 2006 లో డ్రిఫ్టర్‌ను తయారు చేయడానికి మరియు మార్కెట్ చేయడానికి మరియు జూన్ 1 న జారీ చేయబడింది కాసా చేత ఉత్పత్తి ధృవీకరణ పత్రం. [8] డ్రిఫ్టర్ యొక్క అన్ని నమూనాలు అల్యూమినియం ట్యూబ్ కీల్ చుట్టూ నిర్మించబడ్"&amp;"డాయి, అల్యూమినియం గొట్టాలు కీల్-టు-వింగ్ నిర్మాణాన్ని తయారు చేస్తాయి. పరివేష్టిత ఫ్యూజ్‌లేజ్ లేదు; సీట్లు గాలికి తెరిచి ఉంటాయి. సాంప్రదాయిక ల్యాండింగ్ గేర్‌లో స్టీరబుల్ టెయిల్‌వీల్ ఉంటుంది. చాలా డ్రిఫ్టర్ కిట్లు చిన్న ఫైబర్గ్లాస్ ముక్కు ఫెయిరింగ్ తో పంపిణ"&amp;"ీ చేయబడ్డాయి. [2] రెక్క అల్యూమినియం గొట్టాల నుండి నిర్మించబడింది మరియు ముందే కుట్టిన డాక్రాన్ సెయిల్‌క్లాత్ ఎన్వలప్‌లతో కప్పబడి ఉంటుంది. నియంత్రణలు సాంప్రదాయిక మూడు-అక్షం, ద్వంద్వ నియంత్రణలు మరియు సెంటర్-మౌంటెడ్ కంట్రోల్ కర్రలతో. లాక్వుడ్ తన స్టోల్ కిట్‌ల"&amp;"ో భాగంగా ఐచ్ఛిక ఫ్లాప్‌లను అందిస్తుంది. సింగిల్ సీట్ డ్రిఫ్టర్ మరియు XP503 రెండూ +6/-3 గ్రా. [2] దాని పెద్ద వింగ్ ప్రాంతంతో డ్రిఫ్టర్ ఫ్లోట్లకు బాగా అనుగుణంగా ఉంది మరియు పూర్తి లోటస్ ఫ్లోట్లతో సహా అనేక రకాలతో అమర్చబడింది. గ్లైడ్ నిష్పత్తి 9: 1. [2] [3] వి"&amp;"నోదభరితమైన ఫ్లయింగ్, అగ్రికల్చరల్ స్ప్రేయింగ్, ఏరియల్ ఫోటోగ్రఫీ, ఫ్లైట్ ట్రైనింగ్ మరియు బ్యానర్ వెళ్ళుట వంటి అనేక పాత్రలలో డ్రిఫ్టర్లు విస్తృతంగా ఉపయోగించబడ్డాయి, ఈ సమయంలో చాలా డ్రిఫ్టర్లు అధిక సంఖ్యలో ఎగిరే గంటలను సేకరించారు, ఒక సమీక్షకుడు గమనించడానికి ద"&amp;"ారితీసింది: ""దీని లాంగ్ ట్రాక్ రికార్డ్ రికార్డ్ డ్రిఫ్టర్‌లో ఎటువంటి బలహీనతను వెల్లడించలేదు "". [2] అనేక లాక్వుడ్ XP503 లు 3000 గంటలు దాటినట్లు నివేదించబడింది మరియు బ్యానర్ వెళ్ళుట కోసం ఉపయోగించే ఒక డ్రిఫ్టర్ 10,000 విమాన గంటలను మించిపోయింది. [2] [3] డ్"&amp;"రిఫ్టర్‌ను సమీక్షించడంలో, ఆండ్రీ క్లిచ్ ఇలా అన్నాడు: డ్రిఫ్టర్ యొక్క అత్యుత్తమ అంశం దాని పూర్తిగా అడ్డుపడని దృశ్యం. పైలట్ అతని వెనుక ఉన్న అన్ని హార్డ్‌వేర్‌లతో బూమ్ ట్యూబ్‌లో కూర్చున్నాడు. ఇది ఉచిత ఫ్లైట్ యొక్క ముద్రను ఇస్తుంది. మీరు కుర్చీ ఎగురుతున్నట్లు"&amp;" ఉంది. డ్రిఫ్టర్ కోర్సు యొక్క ఇతర లక్షణాలను కలిగి ఉంది. దాని క్షమించే నిర్వహణ, యాంత్రిక సరళత, నిర్వహణ సౌలభ్యం మరియు ఘన ఎయిర్‌ఫ్రేమ్ అన్నీ డ్రిఫ్టర్ యొక్క మంచి ఖ్యాతిని అందించాయి. [2] బేయర్ల్ మరియు ఇతరులు. అధిక-డ్రాగ్ కేబుల్ బ్రేసింగ్ కారణంగా విమానం ""బరువ"&amp;"ులో కాంతి, కానీ ఏరోడైనమిక్‌గా వికలాంగులు"" గా వివరించండి. [7] లాక్వుడ్ విమానం &amp; కిట్‌ప్లాన్‌ల నుండి డేటా [4] [5] [6] పోల్చదగిన పాత్ర, కాన్ఫిగరేషన్ మరియు ERA యొక్క సాధారణ లక్షణాల పనితీరు విమానం")</f>
        <v>లాక్వుడ్ డ్రిఫ్టర్ అనేది హై వింగ్, సింగిల్ ఇంజిన్, పషర్ కాన్ఫిగరేషన్, ఓపెన్ కాక్‌పిట్, ఒకటి మరియు రెండు-సీట్ల కిట్ విమానాలు, దీనిని మొట్టమొదట 1980 లలో మాక్సైర్ ప్రవేశపెట్టారు మరియు ఫ్లోరిడాలోని లాక్‌వుడ్ ఎయిర్‌క్రాఫ్ట్ ఆఫ్ సెబ్రింగ్ ద్వారా ఈ రోజు ఉత్పత్తిలో ఉంది. [1 1. [1 ] డ్రిఫ్టర్‌ను మొదట మాక్సైర్ 1980 లలో ఒకే సీటు మరియు రెండు సీట్లు-టెన్డం కిట్‌ప్లేన్‌గా విక్రయించింది. యుఎస్ ఫార్ 103 అల్ట్రాలైట్ వెహికల్స్ వర్గానికి అర్హత సాధించడానికి 28 హెచ్‌పి (21 కిలోవాట్ల) రోటాక్స్ 277 ఇంజిన్‌తో అమర్చినప్పుడు అసలు సింగిల్ సీటర్ తగినంత తేలికగా ఉంది, ఖాళీ బరువు 240 ఎల్బి (109 కిలోలు). [2] [7] మాక్సైర్ వ్యాపారం నుండి బయటకు వెళ్ళిన తరువాత, 1997 లో లాక్వుడ్ ఎయిర్క్రాఫ్ట్ చేత ఈ డిజైన్‌ను తీసుకున్నారు, అతను అనేక సింగిల్ మరియు రెండు-సీట్ల సంస్కరణల కోసం కిట్‌లను ఉత్పత్తి చేశాడు, ఎక్కువగా ఇన్‌స్టాల్ చేసిన ఇంజిన్ ద్వారా భిన్నంగా ఉంటుంది. లాక్వుడ్ వెర్షన్లు అన్నీ గ్రౌండ్ వైర్లకు మద్దతుగా కింగ్‌పోస్ట్ ఉపయోగించి వైర్-బ్రేస్డ్. 1000 కి పైగా వైర్-బ్రేస్డ్ డ్రిఫ్టర్లు పూర్తయ్యాయి మరియు ఎగిరిపోయాయి. [2] [3] [4] [5] [6] లాక్వుడ్ అంచనా ప్రకారం, ప్రస్తుతం సరఫరా చేయబడిన కిట్ నుండి సూపర్ డ్రిఫ్టర్ పూర్తి చేయడానికి బిల్డర్ 300 గంటలు పడుతుంది. [6] 1983 నుండి, ఆస్ట్‌ఫ్లైట్ ఉలా మొదట బల్లినా వద్ద ఉంది, న్యూ సౌత్ వేల్స్ డ్రిఫ్టర్ యొక్క లైసెన్స్ ఉత్పత్తిని ప్రారంభించింది. 1986 లో, సంస్థ క్వీన్స్లాండ్లోని బూనా వద్ద ప్రయోజన నిర్మించిన సౌకర్యాలకు తరలించబడింది, అక్కడ వారు ఆస్ట్రేలియన్ మార్కెట్ కోసం సివిల్ ఏవియేషన్ సేఫ్టీ అథారిటీ చేత ధృవీకరించబడిన పూర్తిగా సమావేశమైన డ్రిఫ్టర్ వేరియంట్లను నిర్మించారు, పవర్‌ప్లాంట్లతో రోటాక్స్ 503 నుండి రోటాక్స్ 582 మరియు రోటాక్స్ 912 ఇంజిన్లు ఉన్నాయి. మరింత మెరుగుదలలు డిసెంబర్ 1993 లో CAO 101.55 క్లాస్ సర్టిఫికేషన్‌కు నిర్మించిన స్ట్రట్ బ్రేస్డ్ (ఎస్బి) వెర్షన్‌కు దారితీశాయి. [8] డ్రిఫ్టర్ ఎస్బిని 1990 లలో యుఎస్ లో టైగర్ ఏవియేషన్ ఆఫ్ ట్రెంటన్, సౌత్ కరోలినాలో విక్రయించింది. 500 కి పైగా స్ట్రట్ బ్రేస్డ్ డ్రిఫ్టర్లు పూర్తయ్యాయి మరియు ఎగిరిపోయాయి. [3] 1995 చివరలో, షాంఘై ఫెంటన్ లైట్ ఎయిర్క్రాఫ్ట్ కంపెనీ (ఎస్‌ఎల్‌ఎల్‌ఎసి) అనే జాయింట్ వెంచర్ చైనాలో ఆస్ట్రేలియన్ వెర్షన్ల తయారీకి షాంఘై విమాన తయారీ కర్మాగారంతో స్థాపించబడింది. ధృవీకరణ మరియు జాయింట్ వెంచర్ ఒప్పందంతో సంబంధం ఉన్న ఖర్చులు కారణంగా ఆస్ట్‌ఫ్లైట్ ఆర్థిక నష్టాలను చవిచూసింది. మే 2002 లో, ఆస్ట్‌ఫ్లైట్ తన చివరి ఆస్తులను విక్రయించింది మరియు డ్రిఫ్టర్ టైప్ సర్టిఫికెట్‌ను నూసా ఎయిర్ పిటి లిమిటెడ్‌కు బదిలీ చేసింది. డ్రిఫ్టర్ ఎయిర్‌క్రాఫ్ట్ పిటి లిమిటెడ్ ఆఫ్ డాల్బీ, క్వీన్స్లాండ్ 2006 లో డ్రిఫ్టర్‌ను తయారు చేయడానికి మరియు మార్కెట్ చేయడానికి మరియు జూన్ 1 న జారీ చేయబడింది కాసా చేత ఉత్పత్తి ధృవీకరణ పత్రం. [8] డ్రిఫ్టర్ యొక్క అన్ని నమూనాలు అల్యూమినియం ట్యూబ్ కీల్ చుట్టూ నిర్మించబడ్డాయి, అల్యూమినియం గొట్టాలు కీల్-టు-వింగ్ నిర్మాణాన్ని తయారు చేస్తాయి. పరివేష్టిత ఫ్యూజ్‌లేజ్ లేదు; సీట్లు గాలికి తెరిచి ఉంటాయి. సాంప్రదాయిక ల్యాండింగ్ గేర్‌లో స్టీరబుల్ టెయిల్‌వీల్ ఉంటుంది. చాలా డ్రిఫ్టర్ కిట్లు చిన్న ఫైబర్గ్లాస్ ముక్కు ఫెయిరింగ్ తో పంపిణీ చేయబడ్డాయి. [2] రెక్క అల్యూమినియం గొట్టాల నుండి నిర్మించబడింది మరియు ముందే కుట్టిన డాక్రాన్ సెయిల్‌క్లాత్ ఎన్వలప్‌లతో కప్పబడి ఉంటుంది. నియంత్రణలు సాంప్రదాయిక మూడు-అక్షం, ద్వంద్వ నియంత్రణలు మరియు సెంటర్-మౌంటెడ్ కంట్రోల్ కర్రలతో. లాక్వుడ్ తన స్టోల్ కిట్‌లో భాగంగా ఐచ్ఛిక ఫ్లాప్‌లను అందిస్తుంది. సింగిల్ సీట్ డ్రిఫ్టర్ మరియు XP503 రెండూ +6/-3 గ్రా. [2] దాని పెద్ద వింగ్ ప్రాంతంతో డ్రిఫ్టర్ ఫ్లోట్లకు బాగా అనుగుణంగా ఉంది మరియు పూర్తి లోటస్ ఫ్లోట్లతో సహా అనేక రకాలతో అమర్చబడింది. గ్లైడ్ నిష్పత్తి 9: 1. [2] [3] వినోదభరితమైన ఫ్లయింగ్, అగ్రికల్చరల్ స్ప్రేయింగ్, ఏరియల్ ఫోటోగ్రఫీ, ఫ్లైట్ ట్రైనింగ్ మరియు బ్యానర్ వెళ్ళుట వంటి అనేక పాత్రలలో డ్రిఫ్టర్లు విస్తృతంగా ఉపయోగించబడ్డాయి, ఈ సమయంలో చాలా డ్రిఫ్టర్లు అధిక సంఖ్యలో ఎగిరే గంటలను సేకరించారు, ఒక సమీక్షకుడు గమనించడానికి దారితీసింది: "దీని లాంగ్ ట్రాక్ రికార్డ్ రికార్డ్ డ్రిఫ్టర్‌లో ఎటువంటి బలహీనతను వెల్లడించలేదు ". [2] అనేక లాక్వుడ్ XP503 లు 3000 గంటలు దాటినట్లు నివేదించబడింది మరియు బ్యానర్ వెళ్ళుట కోసం ఉపయోగించే ఒక డ్రిఫ్టర్ 10,000 విమాన గంటలను మించిపోయింది. [2] [3] డ్రిఫ్టర్‌ను సమీక్షించడంలో, ఆండ్రీ క్లిచ్ ఇలా అన్నాడు: డ్రిఫ్టర్ యొక్క అత్యుత్తమ అంశం దాని పూర్తిగా అడ్డుపడని దృశ్యం. పైలట్ అతని వెనుక ఉన్న అన్ని హార్డ్‌వేర్‌లతో బూమ్ ట్యూబ్‌లో కూర్చున్నాడు. ఇది ఉచిత ఫ్లైట్ యొక్క ముద్రను ఇస్తుంది. మీరు కుర్చీ ఎగురుతున్నట్లు ఉంది. డ్రిఫ్టర్ కోర్సు యొక్క ఇతర లక్షణాలను కలిగి ఉంది. దాని క్షమించే నిర్వహణ, యాంత్రిక సరళత, నిర్వహణ సౌలభ్యం మరియు ఘన ఎయిర్‌ఫ్రేమ్ అన్నీ డ్రిఫ్టర్ యొక్క మంచి ఖ్యాతిని అందించాయి. [2] బేయర్ల్ మరియు ఇతరులు. అధిక-డ్రాగ్ కేబుల్ బ్రేసింగ్ కారణంగా విమానం "బరువులో కాంతి, కానీ ఏరోడైనమిక్‌గా వికలాంగులు" గా వివరించండి. [7] లాక్వుడ్ విమానం &amp; కిట్‌ప్లాన్‌ల నుండి డేటా [4] [5] [6] పోల్చదగిన పాత్ర, కాన్ఫిగరేషన్ మరియు ERA యొక్క సాధారణ లక్షణాల పనితీరు విమానం</v>
      </c>
      <c r="E93" s="1" t="s">
        <v>1847</v>
      </c>
      <c r="F93" s="1" t="s">
        <v>1336</v>
      </c>
      <c r="G93" s="1" t="str">
        <f>IFERROR(__xludf.DUMMYFUNCTION("GOOGLETRANSLATE(F:F,""en"", ""te"")"),"కిట్ విమానం")</f>
        <v>కిట్ విమానం</v>
      </c>
      <c r="H93" s="1" t="s">
        <v>1337</v>
      </c>
      <c r="I93" s="1" t="s">
        <v>158</v>
      </c>
      <c r="J93" s="1" t="str">
        <f>IFERROR(__xludf.DUMMYFUNCTION("GOOGLETRANSLATE(I:I,""en"", ""te"")"),"అమెరికా")</f>
        <v>అమెరికా</v>
      </c>
      <c r="K93" s="1" t="s">
        <v>159</v>
      </c>
      <c r="L93" s="1" t="s">
        <v>1848</v>
      </c>
      <c r="M93" s="1" t="str">
        <f>IFERROR(__xludf.DUMMYFUNCTION("GOOGLETRANSLATE(L:L,""en"", ""te"")"),"లాక్వుడ్ విమానం")</f>
        <v>లాక్వుడ్ విమానం</v>
      </c>
      <c r="N93" s="1" t="s">
        <v>1849</v>
      </c>
      <c r="P93" s="1" t="s">
        <v>1850</v>
      </c>
      <c r="Q93" s="1"/>
      <c r="R93" s="1" t="s">
        <v>1851</v>
      </c>
      <c r="S93" s="1" t="s">
        <v>164</v>
      </c>
      <c r="T93" s="1" t="s">
        <v>1852</v>
      </c>
      <c r="U93" s="1" t="s">
        <v>1853</v>
      </c>
      <c r="V93" s="1" t="s">
        <v>849</v>
      </c>
      <c r="W93" s="1" t="s">
        <v>1854</v>
      </c>
      <c r="X93" s="1" t="s">
        <v>1855</v>
      </c>
      <c r="AA93" s="1" t="s">
        <v>1856</v>
      </c>
      <c r="AB93" s="1" t="s">
        <v>1857</v>
      </c>
      <c r="AD93" s="1" t="s">
        <v>1858</v>
      </c>
      <c r="AF93" s="1" t="s">
        <v>1859</v>
      </c>
      <c r="AG93" s="1" t="s">
        <v>208</v>
      </c>
      <c r="AH93" s="1" t="s">
        <v>1860</v>
      </c>
      <c r="AI93" s="1" t="s">
        <v>1861</v>
      </c>
      <c r="AJ93" s="1" t="s">
        <v>1862</v>
      </c>
      <c r="AK93" s="1" t="s">
        <v>1863</v>
      </c>
      <c r="AS93" s="1" t="s">
        <v>1864</v>
      </c>
      <c r="AT93" s="1" t="s">
        <v>312</v>
      </c>
      <c r="BH93" s="1" t="s">
        <v>1865</v>
      </c>
    </row>
    <row r="94">
      <c r="A94" s="1" t="s">
        <v>1866</v>
      </c>
      <c r="B94" s="1" t="str">
        <f>IFERROR(__xludf.DUMMYFUNCTION("GOOGLETRANSLATE(A:A,""en"", ""te"")"),"కోల్బ్ స్లింగ్షాట్")</f>
        <v>కోల్బ్ స్లింగ్షాట్</v>
      </c>
      <c r="C94" s="1" t="s">
        <v>1867</v>
      </c>
      <c r="D94" s="1" t="str">
        <f>IFERROR(__xludf.DUMMYFUNCTION("GOOGLETRANSLATE(C:C,""en"", ""te"")"),"కోల్బ్ స్లింగ్‌షాట్ ఒక అమెరికన్ టెన్డం రెండు సీటు, హై వింగ్, స్ట్రట్-బ్రేస్డ్, పషర్ కాన్ఫిగరేషన్, సాంప్రదాయ ల్యాండింగ్ గేర్-అమర్చిన అల్ట్రాలైట్ విమానాలు, దీనిని కిట్ రూపంలో లండన్, కెంటకీ యొక్క న్యూ కోల్బ్ ఎయిర్‌క్రాఫ్ట్ మరియు అమెచ్యూర్ నిర్మాణానికి ఉద్దేశ"&amp;"ించినది. [1 సామాన్య 2014 మధ్య నాటికి, కంపెనీ ఇకపై అమ్మకానికి మోడల్‌ను అందించలేదు మరియు ఉత్పత్తి ముగిసింది. [4] స్లింగ్‌షాట్ రెండు-సీట్ల అల్ట్రాలైట్‌గా ఒక చిన్న వింగ్ మరియు ఇన్‌స్టాల్ చేసిన శక్తి కోసం అధిక క్రూయిజ్ వేగంతో రూపొందించబడింది, ఇది అనుబంధ వ్యయం "&amp;"లేదా సంక్లిష్టత లేకుండా సాధారణ విమానయాన విమానాలతో పోల్చదగిన వేగాన్ని అందించగలదు. ప్రామాణిక ఇంజిన్ మొదట 64 హెచ్‌పి (48 కిలోవాట్) రోటాక్స్ 582 ఇంజిన్, అయితే 50 హెచ్‌పి (37 కిలోవాట్ ) లేదా 2SI ట్విన్ ఇంజిన్ ప్యాక్‌లు ఇన్‌స్టాల్ చేయబడ్డాయి. దాని స్వదేశంలో ఈ వ"&amp;"ిమానం సాధారణంగా ప్రయోగాత్మక - te త్సాహిక -నిర్మిత వర్గంలో లైసెన్స్ పొందింది. [1] [2] [3] ఈ డిజైన్‌లో వెల్డెడ్ 4130 స్టీల్ గొట్టాల ఫార్వర్డ్ ఫ్యూజ్‌లేజ్ ఉంది, ఇది అల్యూమినియం టెయిల్‌బూమ్‌తో జతచేయబడుతుంది. క్షితిజ సమాంతర స్టెబిలైజర్, టెయిల్ ఫిన్ మరియు రెక్క"&amp;"లు కూడా రివర్టెడ్ అల్యూమినియం గొట్టాలతో నిర్మించబడ్డాయి, డోప్డ్ ఎయిర్క్రాఫ్ట్ ఫాబ్రిక్‌లో కప్పబడిన అన్ని ఎగిరే ఉపరితలాలు ఉన్నాయి. రెక్కలు మరియు క్షితిజ సమాంతర తోక నిల్వ మరియు భూ రవాణా కోసం త్వరగా మడత. స్లింగ్‌షాట్ 15 నిమిషాల్లో ట్రెయిలింగ్ నుండి ఎగరడానికి"&amp;" సిద్ధంగా ఉంటుంది. [1] [2] [3] పొడవైన సాంప్రదాయిక ల్యాండింగ్ గేర్ ప్రధాన గేర్ కోసం మొలకెత్తిన గొట్టాలను కలిగి ఉంటుంది, స్టీరబుల్ మొలకెత్తిన టెయిల్‌వీల్‌తో. [2] [3] స్లింగ్‌షాట్ యొక్క రెండు సీట్ల సామర్థ్యాలను కంపెనీ వివరించింది, ""వెనుక ప్రయాణీకుల సీటు సగట"&amp;"ు పరిమాణ వ్యక్తుల కోసం, 175 పౌండ్ల వరకు రూపొందించబడింది. సీటింగ్ అమరికలో ప్రయాణీకుల కాళ్ళు పైలట్ సీటును అతివ్యాప్తి చేస్తాయి. ఇది ఫ్యూజ్‌లేజ్ చిన్నదిగా మరియు మరింత కాంపాక్ట్ చేయడానికి అనుమతిస్తుంది. చాలా బరువును కూడా ఆదా చేస్తుంది. "". [5] విమానం సమీక్షిం"&amp;"చడంలో ఆండ్రీ క్లిచ్ ఇలా అన్నాడు: ఈ టెన్డం రెండు-సీటర్లు స్వల్ప స్పీడ్‌వింగ్ మరియు భారీ ఇంజిన్ ఉన్న నిజంగా హాట్ లిటిల్ రేసర్. [2] కిట్‌ప్లేన్స్, క్లిచ్ మరియు పర్డీ నుండి డేటా [1] [2] [3] సాధారణ లక్షణాల పనితీరు పోల్చదగిన పాత్ర, కాన్ఫిగరేషన్ మరియు యుగం యొక్క"&amp;" ఏవియానిక్స్ విమానం")</f>
        <v>కోల్బ్ స్లింగ్‌షాట్ ఒక అమెరికన్ టెన్డం రెండు సీటు, హై వింగ్, స్ట్రట్-బ్రేస్డ్, పషర్ కాన్ఫిగరేషన్, సాంప్రదాయ ల్యాండింగ్ గేర్-అమర్చిన అల్ట్రాలైట్ విమానాలు, దీనిని కిట్ రూపంలో లండన్, కెంటకీ యొక్క న్యూ కోల్బ్ ఎయిర్‌క్రాఫ్ట్ మరియు అమెచ్యూర్ నిర్మాణానికి ఉద్దేశించినది. [1 సామాన్య 2014 మధ్య నాటికి, కంపెనీ ఇకపై అమ్మకానికి మోడల్‌ను అందించలేదు మరియు ఉత్పత్తి ముగిసింది. [4] స్లింగ్‌షాట్ రెండు-సీట్ల అల్ట్రాలైట్‌గా ఒక చిన్న వింగ్ మరియు ఇన్‌స్టాల్ చేసిన శక్తి కోసం అధిక క్రూయిజ్ వేగంతో రూపొందించబడింది, ఇది అనుబంధ వ్యయం లేదా సంక్లిష్టత లేకుండా సాధారణ విమానయాన విమానాలతో పోల్చదగిన వేగాన్ని అందించగలదు. ప్రామాణిక ఇంజిన్ మొదట 64 హెచ్‌పి (48 కిలోవాట్) రోటాక్స్ 582 ఇంజిన్, అయితే 50 హెచ్‌పి (37 కిలోవాట్ ) లేదా 2SI ట్విన్ ఇంజిన్ ప్యాక్‌లు ఇన్‌స్టాల్ చేయబడ్డాయి. దాని స్వదేశంలో ఈ విమానం సాధారణంగా ప్రయోగాత్మక - te త్సాహిక -నిర్మిత వర్గంలో లైసెన్స్ పొందింది. [1] [2] [3] ఈ డిజైన్‌లో వెల్డెడ్ 4130 స్టీల్ గొట్టాల ఫార్వర్డ్ ఫ్యూజ్‌లేజ్ ఉంది, ఇది అల్యూమినియం టెయిల్‌బూమ్‌తో జతచేయబడుతుంది. క్షితిజ సమాంతర స్టెబిలైజర్, టెయిల్ ఫిన్ మరియు రెక్కలు కూడా రివర్టెడ్ అల్యూమినియం గొట్టాలతో నిర్మించబడ్డాయి, డోప్డ్ ఎయిర్క్రాఫ్ట్ ఫాబ్రిక్‌లో కప్పబడిన అన్ని ఎగిరే ఉపరితలాలు ఉన్నాయి. రెక్కలు మరియు క్షితిజ సమాంతర తోక నిల్వ మరియు భూ రవాణా కోసం త్వరగా మడత. స్లింగ్‌షాట్ 15 నిమిషాల్లో ట్రెయిలింగ్ నుండి ఎగరడానికి సిద్ధంగా ఉంటుంది. [1] [2] [3] పొడవైన సాంప్రదాయిక ల్యాండింగ్ గేర్ ప్రధాన గేర్ కోసం మొలకెత్తిన గొట్టాలను కలిగి ఉంటుంది, స్టీరబుల్ మొలకెత్తిన టెయిల్‌వీల్‌తో. [2] [3] స్లింగ్‌షాట్ యొక్క రెండు సీట్ల సామర్థ్యాలను కంపెనీ వివరించింది, "వెనుక ప్రయాణీకుల సీటు సగటు పరిమాణ వ్యక్తుల కోసం, 175 పౌండ్ల వరకు రూపొందించబడింది. సీటింగ్ అమరికలో ప్రయాణీకుల కాళ్ళు పైలట్ సీటును అతివ్యాప్తి చేస్తాయి. ఇది ఫ్యూజ్‌లేజ్ చిన్నదిగా మరియు మరింత కాంపాక్ట్ చేయడానికి అనుమతిస్తుంది. చాలా బరువును కూడా ఆదా చేస్తుంది. ". [5] విమానం సమీక్షించడంలో ఆండ్రీ క్లిచ్ ఇలా అన్నాడు: ఈ టెన్డం రెండు-సీటర్లు స్వల్ప స్పీడ్‌వింగ్ మరియు భారీ ఇంజిన్ ఉన్న నిజంగా హాట్ లిటిల్ రేసర్. [2] కిట్‌ప్లేన్స్, క్లిచ్ మరియు పర్డీ నుండి డేటా [1] [2] [3] సాధారణ లక్షణాల పనితీరు పోల్చదగిన పాత్ర, కాన్ఫిగరేషన్ మరియు యుగం యొక్క ఏవియానిక్స్ విమానం</v>
      </c>
      <c r="F94" s="1" t="s">
        <v>459</v>
      </c>
      <c r="G94" s="1" t="str">
        <f>IFERROR(__xludf.DUMMYFUNCTION("GOOGLETRANSLATE(F:F,""en"", ""te"")"),"అల్ట్రాలైట్ విమానం")</f>
        <v>అల్ట్రాలైట్ విమానం</v>
      </c>
      <c r="H94" s="1" t="s">
        <v>460</v>
      </c>
      <c r="I94" s="1" t="s">
        <v>158</v>
      </c>
      <c r="J94" s="1" t="str">
        <f>IFERROR(__xludf.DUMMYFUNCTION("GOOGLETRANSLATE(I:I,""en"", ""te"")"),"అమెరికా")</f>
        <v>అమెరికా</v>
      </c>
      <c r="K94" s="1" t="s">
        <v>159</v>
      </c>
      <c r="L94" s="1" t="s">
        <v>1868</v>
      </c>
      <c r="M94" s="1" t="str">
        <f>IFERROR(__xludf.DUMMYFUNCTION("GOOGLETRANSLATE(L:L,""en"", ""te"")"),"కొత్త కోల్బ్ విమానం")</f>
        <v>కొత్త కోల్బ్ విమానం</v>
      </c>
      <c r="N94" s="1" t="s">
        <v>1869</v>
      </c>
      <c r="P94" s="1" t="s">
        <v>1870</v>
      </c>
      <c r="Q94" s="1"/>
      <c r="S94" s="1" t="s">
        <v>164</v>
      </c>
      <c r="T94" s="1" t="s">
        <v>165</v>
      </c>
      <c r="U94" s="1" t="s">
        <v>242</v>
      </c>
      <c r="V94" s="1" t="s">
        <v>1088</v>
      </c>
      <c r="W94" s="1" t="s">
        <v>872</v>
      </c>
      <c r="X94" s="1" t="s">
        <v>1871</v>
      </c>
      <c r="Y94" s="1" t="s">
        <v>1192</v>
      </c>
      <c r="Z94" s="1" t="s">
        <v>1872</v>
      </c>
      <c r="AA94" s="1" t="s">
        <v>1873</v>
      </c>
      <c r="AB94" s="1" t="s">
        <v>1874</v>
      </c>
      <c r="AD94" s="1" t="s">
        <v>1875</v>
      </c>
      <c r="AH94" s="1" t="s">
        <v>1853</v>
      </c>
      <c r="AI94" s="1" t="s">
        <v>1876</v>
      </c>
      <c r="AJ94" s="1" t="s">
        <v>604</v>
      </c>
      <c r="AQ94" s="1" t="s">
        <v>1493</v>
      </c>
      <c r="BE94" s="1" t="s">
        <v>1420</v>
      </c>
    </row>
    <row r="95">
      <c r="A95" s="1" t="s">
        <v>1877</v>
      </c>
      <c r="B95" s="1" t="str">
        <f>IFERROR(__xludf.DUMMYFUNCTION("GOOGLETRANSLATE(A:A,""en"", ""te"")"),"లా మౌట్ సింహిక")</f>
        <v>లా మౌట్ సింహిక</v>
      </c>
      <c r="C95" s="1" t="s">
        <v>1878</v>
      </c>
      <c r="D95" s="1" t="str">
        <f>IFERROR(__xludf.DUMMYFUNCTION("GOOGLETRANSLATE(C:C,""en"", ""te"")"),"లా మౌట్ సింహిక ఒక ఫ్రెంచ్ హై-వింగ్, సింగిల్-ప్లేస్ మరియు రెండు-ప్రదేశాల హాంగ్ గ్లైడర్‌లు, ఇది ఫోంటైన్-లెస్-డిజోన్ యొక్క లా మౌట్ చేత రూపొందించబడింది మరియు ఉత్పత్తి చేయబడింది. [1] సింహికను తయారీదారు ""ఒకే ఉపరితలం మరియు తేలియాడే క్రాస్‌బార్‌తో ఒక అనుభవశూన్యు"&amp;"డు గ్లైడర్"" గా వర్ణించారు. [1] [2] ఈ విమానం అల్యూమినియం గొట్టాల నుండి తయారవుతుంది, సింగిల్-ఉపరితల విభాగం డాక్రాన్ సెయిల్‌క్లాత్‌లో కప్పబడి ఉంటుంది. అన్ని నమూనాలు ముక్కు కోణం 120 °. [1] [2] బెర్ట్రాండ్ మరియు లా మౌట్ నుండి డేటా [1] [2] సాధారణ లక్షణాల పనితీ"&amp;"రు")</f>
        <v>లా మౌట్ సింహిక ఒక ఫ్రెంచ్ హై-వింగ్, సింగిల్-ప్లేస్ మరియు రెండు-ప్రదేశాల హాంగ్ గ్లైడర్‌లు, ఇది ఫోంటైన్-లెస్-డిజోన్ యొక్క లా మౌట్ చేత రూపొందించబడింది మరియు ఉత్పత్తి చేయబడింది. [1] సింహికను తయారీదారు "ఒకే ఉపరితలం మరియు తేలియాడే క్రాస్‌బార్‌తో ఒక అనుభవశూన్యుడు గ్లైడర్" గా వర్ణించారు. [1] [2] ఈ విమానం అల్యూమినియం గొట్టాల నుండి తయారవుతుంది, సింగిల్-ఉపరితల విభాగం డాక్రాన్ సెయిల్‌క్లాత్‌లో కప్పబడి ఉంటుంది. అన్ని నమూనాలు ముక్కు కోణం 120 °. [1] [2] బెర్ట్రాండ్ మరియు లా మౌట్ నుండి డేటా [1] [2] సాధారణ లక్షణాల పనితీరు</v>
      </c>
      <c r="F95" s="1" t="s">
        <v>1879</v>
      </c>
      <c r="G95" s="1" t="str">
        <f>IFERROR(__xludf.DUMMYFUNCTION("GOOGLETRANSLATE(F:F,""en"", ""te"")"),"గ్లైడర్ హాంగ్")</f>
        <v>గ్లైడర్ హాంగ్</v>
      </c>
      <c r="H95" s="1" t="s">
        <v>1880</v>
      </c>
      <c r="I95" s="1" t="s">
        <v>798</v>
      </c>
      <c r="J95" s="1" t="str">
        <f>IFERROR(__xludf.DUMMYFUNCTION("GOOGLETRANSLATE(I:I,""en"", ""te"")"),"ఫ్రాన్స్")</f>
        <v>ఫ్రాన్స్</v>
      </c>
      <c r="K95" s="2" t="s">
        <v>1166</v>
      </c>
      <c r="L95" s="1" t="s">
        <v>1881</v>
      </c>
      <c r="M95" s="1" t="str">
        <f>IFERROR(__xludf.DUMMYFUNCTION("GOOGLETRANSLATE(L:L,""en"", ""te"")"),"లా మౌట్")</f>
        <v>లా మౌట్</v>
      </c>
      <c r="N95" s="1" t="s">
        <v>1882</v>
      </c>
      <c r="P95" s="1" t="s">
        <v>162</v>
      </c>
      <c r="Q95" s="1"/>
      <c r="S95" s="1" t="s">
        <v>164</v>
      </c>
      <c r="W95" s="1" t="s">
        <v>1883</v>
      </c>
      <c r="X95" s="1" t="s">
        <v>1884</v>
      </c>
      <c r="Y95" s="1" t="s">
        <v>1885</v>
      </c>
      <c r="AF95" s="1" t="s">
        <v>1886</v>
      </c>
      <c r="AG95" s="1" t="s">
        <v>208</v>
      </c>
      <c r="AH95" s="1" t="s">
        <v>1887</v>
      </c>
      <c r="BD95" s="1">
        <v>5.9</v>
      </c>
    </row>
    <row r="96">
      <c r="A96" s="1" t="s">
        <v>1888</v>
      </c>
      <c r="B96" s="1" t="str">
        <f>IFERROR(__xludf.DUMMYFUNCTION("GOOGLETRANSLATE(A:A,""en"", ""te"")"),"లామర్ గేయర్ బృహస్పతి")</f>
        <v>లామర్ గేయర్ బృహస్పతి</v>
      </c>
      <c r="C96" s="1" t="s">
        <v>1889</v>
      </c>
      <c r="D96" s="1" t="str">
        <f>IFERROR(__xludf.DUMMYFUNCTION("GOOGLETRANSLATE(C:C,""en"", ""te"")"),"లామర్ గేయర్ బృహస్పతి దక్షిణాఫ్రికా నాలుగు-సీట్ల క్యాబిన్ మోనోప్లేన్, ఇది లామర్ గేయర్ ఏవియేషన్ చేత రూపొందించబడినది te త్సాహిక నిర్మాణానికి కిట్‌గా అమ్మకానికి ఉంది. [1] బృహస్పతిపై డిజైన్ 1996 లో ప్రారంభమైంది మరియు ప్రోటోటైప్, రిజిస్టర్డ్ జు-సిఎన్హెచ్ మొదట 1"&amp;" డిసెంబర్ 2002 న ఎగిరింది. బృహస్పతి అనేది స్థిర ట్రైసైకిల్ ల్యాండింగ్ గేర్‌తో ఆల్-కాంపోజిట్ లో-వింగ్ కాంటిలివర్ మోనోప్లేన్. ఈ ప్రోటోటైప్ 210 హెచ్‌పి (157 కిలోవాట్ల) కాంటినెంటల్ IO-360 ఫ్లాట్-సిక్స్ ఇంజిన్‌తో మూడు బ్లేడెడ్ ట్రాక్టర్ ప్రొపెల్లర్‌తో పనిచేస్త"&amp;"ుంది. క్యాబిన్ రెండు వరుసలలో నాలుగు పక్కపక్కనే కూర్చునే గదిని కలిగి ఉంది. [1] జేన్ యొక్క అన్ని ప్రపంచ విమానాల నుండి డేటా 1989-90 [1] సాధారణ లక్షణాల పనితీరు 2000 ల విమానంలో ఈ వ్యాసం ఒక స్టబ్. వికీపీడియా విస్తరించడం ద్వారా మీరు సహాయపడవచ్చు.")</f>
        <v>లామర్ గేయర్ బృహస్పతి దక్షిణాఫ్రికా నాలుగు-సీట్ల క్యాబిన్ మోనోప్లేన్, ఇది లామర్ గేయర్ ఏవియేషన్ చేత రూపొందించబడినది te త్సాహిక నిర్మాణానికి కిట్‌గా అమ్మకానికి ఉంది. [1] బృహస్పతిపై డిజైన్ 1996 లో ప్రారంభమైంది మరియు ప్రోటోటైప్, రిజిస్టర్డ్ జు-సిఎన్హెచ్ మొదట 1 డిసెంబర్ 2002 న ఎగిరింది. బృహస్పతి అనేది స్థిర ట్రైసైకిల్ ల్యాండింగ్ గేర్‌తో ఆల్-కాంపోజిట్ లో-వింగ్ కాంటిలివర్ మోనోప్లేన్. ఈ ప్రోటోటైప్ 210 హెచ్‌పి (157 కిలోవాట్ల) కాంటినెంటల్ IO-360 ఫ్లాట్-సిక్స్ ఇంజిన్‌తో మూడు బ్లేడెడ్ ట్రాక్టర్ ప్రొపెల్లర్‌తో పనిచేస్తుంది. క్యాబిన్ రెండు వరుసలలో నాలుగు పక్కపక్కనే కూర్చునే గదిని కలిగి ఉంది. [1] జేన్ యొక్క అన్ని ప్రపంచ విమానాల నుండి డేటా 1989-90 [1] సాధారణ లక్షణాల పనితీరు 2000 ల విమానంలో ఈ వ్యాసం ఒక స్టబ్. వికీపీడియా విస్తరించడం ద్వారా మీరు సహాయపడవచ్చు.</v>
      </c>
      <c r="F96" s="1" t="s">
        <v>1890</v>
      </c>
      <c r="G96" s="1" t="str">
        <f>IFERROR(__xludf.DUMMYFUNCTION("GOOGLETRANSLATE(F:F,""en"", ""te"")"),"నాలుగు సీట్ల హోమ్‌బిన్ క్యాబిన్ మోనోప్లేన్")</f>
        <v>నాలుగు సీట్ల హోమ్‌బిన్ క్యాబిన్ మోనోప్లేన్</v>
      </c>
      <c r="H96" s="1" t="s">
        <v>1891</v>
      </c>
      <c r="I96" s="1" t="s">
        <v>1892</v>
      </c>
      <c r="J96" s="1" t="str">
        <f>IFERROR(__xludf.DUMMYFUNCTION("GOOGLETRANSLATE(I:I,""en"", ""te"")"),"దక్షిణ ఆఫ్రికా")</f>
        <v>దక్షిణ ఆఫ్రికా</v>
      </c>
      <c r="L96" s="1" t="s">
        <v>1893</v>
      </c>
      <c r="M96" s="1" t="str">
        <f>IFERROR(__xludf.DUMMYFUNCTION("GOOGLETRANSLATE(L:L,""en"", ""te"")"),"లామర్ గేయర్ ఏవియేషన్")</f>
        <v>లామర్ గేయర్ ఏవియేషన్</v>
      </c>
      <c r="N96" s="1" t="s">
        <v>1894</v>
      </c>
      <c r="S96" s="1" t="s">
        <v>164</v>
      </c>
      <c r="T96" s="1" t="s">
        <v>1895</v>
      </c>
      <c r="U96" s="1" t="s">
        <v>1896</v>
      </c>
      <c r="V96" s="1" t="s">
        <v>1897</v>
      </c>
      <c r="W96" s="1" t="s">
        <v>1898</v>
      </c>
      <c r="X96" s="1" t="s">
        <v>1899</v>
      </c>
      <c r="Y96" s="1" t="s">
        <v>1900</v>
      </c>
      <c r="AA96" s="1" t="s">
        <v>1901</v>
      </c>
      <c r="AB96" s="1" t="s">
        <v>1902</v>
      </c>
      <c r="AD96" s="1" t="s">
        <v>1903</v>
      </c>
      <c r="AH96" s="1" t="s">
        <v>1904</v>
      </c>
      <c r="AI96" s="1" t="s">
        <v>1057</v>
      </c>
      <c r="AK96" s="1" t="s">
        <v>1905</v>
      </c>
      <c r="AL96" s="1" t="s">
        <v>1906</v>
      </c>
      <c r="AM96" s="1" t="s">
        <v>1907</v>
      </c>
      <c r="AO96" s="4">
        <v>37591.0</v>
      </c>
      <c r="AQ96" s="1" t="s">
        <v>1908</v>
      </c>
      <c r="BD96" s="1">
        <v>6.2</v>
      </c>
      <c r="BE96" s="1" t="s">
        <v>1909</v>
      </c>
    </row>
    <row r="97">
      <c r="A97" s="1" t="s">
        <v>1910</v>
      </c>
      <c r="B97" s="1" t="str">
        <f>IFERROR(__xludf.DUMMYFUNCTION("GOOGLETRANSLATE(A:A,""en"", ""te"")"),"LEDUC 022")</f>
        <v>LEDUC 022</v>
      </c>
      <c r="C97" s="1" t="s">
        <v>1911</v>
      </c>
      <c r="D97" s="1" t="str">
        <f>IFERROR(__xludf.DUMMYFUNCTION("GOOGLETRANSLATE(C:C,""en"", ""te"")"),"LEDUC 022 1950 ల మధ్యలో నిర్మించిన మిశ్రమ-శక్తి ఫ్రెంచ్ ఇంటర్‌సెప్టర్ యొక్క నమూనా. డిజైనర్ రెనే లెడక్ రెండవ ప్రపంచ యుద్ధానికి ముందు నుండి రామ్‌జెట్-శక్తితో పనిచేసే విమానాలను అభివృద్ధి చేస్తున్నాడు మరియు స్వల్ప-శ్రేణి సూపర్సోనిక్ ఇంటర్‌సెప్టర్ యొక్క రెండు "&amp;"ఉదాహరణల కోసం ఒక ఒప్పందం కుదుర్చుకోవడానికి ముందు యాభైల అంతటా ప్రయోగాత్మక విమానాలు, లెడక్ 0.10 మరియు లెడక్ 0.21 వరుసగా ఎగిరిపోయాయి. రెండు గాలి నుండి గాలికి క్షిపణులతో (AAMS) సాయుధమైంది. పోరాట ఉపయోగం కోసం ఉద్దేశించిన, 022 రన్‌వే నుండి అనుబంధ టర్బోజెట్ ఇంజిన్"&amp;"‌తో అమర్చగలిగింది, అతని మునుపటి విమానాల మాదిరిగా కాకుండా, ఒక తల్లి విమానం వాటిని ఎత్తుకు తీసుకెళ్లడానికి అవసరం, ఎందుకంటే స్థిరంగా ఉన్నప్పుడు రామ్‌జెట్స్ థ్రస్ట్‌ను ఉత్పత్తి చేయలేవు. ఫ్లైట్ టెస్టింగ్ జరుగుతున్నప్పుడు మరియు రెండవ నమూనా పూర్తయ్యే ముందు బడ్జె"&amp;"ట్ సమస్యల కారణంగా 1958 లో ఫ్రెంచ్ వైమానిక దళం (ఆర్మీ డి ఎల్ ఎయిర్) అభివృద్ధిని రద్దు చేసింది. 1953 లో, ఫ్రెంచ్ వైమానిక దళం 940 మీటర్ల (3,080 అడుగుల) గడ్డి రన్‌వే నుండి బయలుదేరిన తర్వాత ఏదైనా వైమానిక ముప్పును అడ్డగించి నాశనం చేయగల అధిక-పనితీరు ఇంటర్‌సెప్టర"&amp;"్ కోసం ఒక స్పెసిఫికేషన్‌ను జారీ చేసింది. ఇది నార్డ్ గెర్ఫాట్ మరియు గ్రిఫ్ఫోన్‌లతో పోటీగా రెండు ప్రోటోటైప్ 022 ల విమానాలను ఆదేశించింది. లెడక్ 1938 నుండి అతను అభివృద్ధి చేస్తున్న రామ్‌జెట్ యొక్క మరింత శక్తివంతమైన సంస్కరణను ఉపయోగించాడు మరియు మరింత స్వయంప్రతి"&amp;"పత్తమైన కార్యకలాపాలను అనుమతించడానికి టర్బోజెట్‌ను జోడించాడు. రామ్‌జెట్ కోసం గాలిని ముక్కు విభాగం చుట్టూ ఆరు గాలి నాళాలు అందించాయి, ఇవి డబుల్ గోడల ఫ్యూజ్‌లేజ్ యొక్క బోలు లోపలి భాగంలో ఖాళీ చేయబడ్డాయి, ఇక్కడ టర్బోమెకా ఆర్టౌస్టెస్ గ్యాస్ టర్బైన్ యొక్క ఎగ్జాస్"&amp;"ట్ ద్వారా ఇంధనం ఇంజెక్ట్ చేయబడింది మరియు మండించబడింది. రామ్‌జెట్ 160 కిలోన్యూటన్లు (36,000 ఎల్‌బిఎఫ్) మరియు ఏడు నిమిషాలకు 25,000 మీటర్లు (82,000 అడుగులు) వరకు, జెట్-శక్తితో కూడిన విమానం కంటే చాలా వేగంగా ఎక్కే వేగం ఉత్పత్తి చేస్తుందని భావించారు. [1] [2] 02"&amp;"2 లు సాధారణంగా 30 ° తుడిచిపెట్టిన రెక్కలు మరియు ట్రైసైకిల్ ల్యాండింగ్ గేర్‌లను పక్కనపెట్టి కాన్ఫిగరేషన్‌లో సమానంగా ఉంటాయి. ఇది మందపాటి బారెల్ లాంటి మోనోకోక్ ఫ్యూజ్‌లేజ్ మరియు పొడుచుకు వచ్చిన ముక్కు విభాగాన్ని పారదర్శక ప్లెక్సిగ్లాస్ కాక్‌పిట్‌ను కలిగి ఉంద"&amp;"ి, కానీ శ్రేణి-మాత్రమే రాడార్‌ను జోడించింది. ముక్కు యొక్క ఫార్వర్డ్ భాగం పైలట్ కోసం తప్పించుకునే గుళికను ఏర్పరుస్తుంది. ఈ విమానానికి ఫ్యూజ్‌లేజ్, వింగ్స్ మరియు వింగ్‌టిప్ ట్యాంకుల మధ్య పంపిణీ చేయబడిన ఇంధనం సుమారు 2,728-లీటర్ (600 ఇంప్ గల్; 721 యుఎస్ గాల్)"&amp;" అందించబడింది. దీని ఉద్దేశించిన ఆయుధంలో ఒక జత నార్డ్ AA.20 గైడెడ్ క్షిపణులు మరియు 24 విమాన వ్యతిరేక రాకెట్లు ఉన్నాయి. మునుపటి అన్ని LEDUC విమానాల మాదిరిగా కాకుండా, ఇది అన్‌సిస్టెడ్ ఆపరేషన్‌ను ప్రారంభించడానికి ఏకాక్షక టర్బోజెట్-రాంజెట్ పవర్‌ప్లాంట్‌ను కలిగ"&amp;"ి ఉంది. టర్బోజెట్ ప్రారంభంలో 15 kN (3,400 lbf) టర్బోమెకా ఒసావు ఇంజిన్, అయితే ఇది నిర్మాణ సమయంలో చాలా శక్తివంతమైన 31.3 kN (7,000 lbf) స్నెక్మా అటార్ 101D-3 గా మార్చబడింది. [2] [3] ఈ మార్పు ఈ విమానం 022 గా పున es రూపకల్పన చేయటానికి కారణమైంది మరియు రాకెట్ల స"&amp;"ంఖ్యను 40 కి పెంచడానికి అనుమతించింది. మొదట 26 డిసెంబర్ 1956 న టర్బోజెట్ పవర్‌లో మాత్రమే ఎగిరింది, చివరకు రామ్‌జెట్‌ను 34 వ విమానంలో 18 మే 1957 న తొలగించారు. 21 డిసెంబర్ 1957 న మాక్ 1.15 వేగంతో చేరుకుంది, కాని అది బయలుదేరినప్పుడు మంటలు చెలరేగినప్పుడు కొంతక"&amp;"ాలం తర్వాత దెబ్బతింది. రెండవ నమూనా నిర్మాణం అక్టోబర్‌లో రద్దు చేయబడింది మరియు 141 విమానాలు చేసిన తరువాత 13 ఫిబ్రవరి 1958 న విమాన పరీక్ష ఒప్పందం రద్దు చేయబడింది. కొనసాగుతున్న అల్జీరియన్ యుద్ధం సైనిక బడ్జెట్‌ను ఎక్కువగా వినియోగిస్తోంది మరియు ఇంటర్‌సెప్టర్ అ"&amp;"వసరాన్ని తీర్చడానికి మరింత సాంప్రదాయ డసాల్ట్ మిరాజ్ III ఎంపిక చేయబడింది. రద్దు చేయడం లెడక్ యొక్క విమాన అభివృద్ధి కార్యకలాపాల ముగింపును గుర్తించింది. [4] పారిస్ -లే బౌర్గెట్ విమానాశ్రయంలోని మ్యూసీ డి ఎల్ ఎయిర్ ఎట్ డి ఎల్ ఎస్పేస్ వద్ద రెండవ నమూనా 022 ప్రదర్"&amp;"శనలో ఉంది. దీనిని 1979 లో లెడక్ కుటుంబం విరాళంగా ఇచ్చింది. [5] యూరప్ యొక్క *X- ప్లానెస్ నుండి డేటా II: మిలిటరీ ప్రోటోటైప్ విమానం స్వర్ణయుగం నుండి 1946-1974 [6] సాధారణ లక్షణాల పనితీరు")</f>
        <v>LEDUC 022 1950 ల మధ్యలో నిర్మించిన మిశ్రమ-శక్తి ఫ్రెంచ్ ఇంటర్‌సెప్టర్ యొక్క నమూనా. డిజైనర్ రెనే లెడక్ రెండవ ప్రపంచ యుద్ధానికి ముందు నుండి రామ్‌జెట్-శక్తితో పనిచేసే విమానాలను అభివృద్ధి చేస్తున్నాడు మరియు స్వల్ప-శ్రేణి సూపర్సోనిక్ ఇంటర్‌సెప్టర్ యొక్క రెండు ఉదాహరణల కోసం ఒక ఒప్పందం కుదుర్చుకోవడానికి ముందు యాభైల అంతటా ప్రయోగాత్మక విమానాలు, లెడక్ 0.10 మరియు లెడక్ 0.21 వరుసగా ఎగిరిపోయాయి. రెండు గాలి నుండి గాలికి క్షిపణులతో (AAMS) సాయుధమైంది. పోరాట ఉపయోగం కోసం ఉద్దేశించిన, 022 రన్‌వే నుండి అనుబంధ టర్బోజెట్ ఇంజిన్‌తో అమర్చగలిగింది, అతని మునుపటి విమానాల మాదిరిగా కాకుండా, ఒక తల్లి విమానం వాటిని ఎత్తుకు తీసుకెళ్లడానికి అవసరం, ఎందుకంటే స్థిరంగా ఉన్నప్పుడు రామ్‌జెట్స్ థ్రస్ట్‌ను ఉత్పత్తి చేయలేవు. ఫ్లైట్ టెస్టింగ్ జరుగుతున్నప్పుడు మరియు రెండవ నమూనా పూర్తయ్యే ముందు బడ్జెట్ సమస్యల కారణంగా 1958 లో ఫ్రెంచ్ వైమానిక దళం (ఆర్మీ డి ఎల్ ఎయిర్) అభివృద్ధిని రద్దు చేసింది. 1953 లో, ఫ్రెంచ్ వైమానిక దళం 940 మీటర్ల (3,080 అడుగుల) గడ్డి రన్‌వే నుండి బయలుదేరిన తర్వాత ఏదైనా వైమానిక ముప్పును అడ్డగించి నాశనం చేయగల అధిక-పనితీరు ఇంటర్‌సెప్టర్ కోసం ఒక స్పెసిఫికేషన్‌ను జారీ చేసింది. ఇది నార్డ్ గెర్ఫాట్ మరియు గ్రిఫ్ఫోన్‌లతో పోటీగా రెండు ప్రోటోటైప్ 022 ల విమానాలను ఆదేశించింది. లెడక్ 1938 నుండి అతను అభివృద్ధి చేస్తున్న రామ్‌జెట్ యొక్క మరింత శక్తివంతమైన సంస్కరణను ఉపయోగించాడు మరియు మరింత స్వయంప్రతిపత్తమైన కార్యకలాపాలను అనుమతించడానికి టర్బోజెట్‌ను జోడించాడు. రామ్‌జెట్ కోసం గాలిని ముక్కు విభాగం చుట్టూ ఆరు గాలి నాళాలు అందించాయి, ఇవి డబుల్ గోడల ఫ్యూజ్‌లేజ్ యొక్క బోలు లోపలి భాగంలో ఖాళీ చేయబడ్డాయి, ఇక్కడ టర్బోమెకా ఆర్టౌస్టెస్ గ్యాస్ టర్బైన్ యొక్క ఎగ్జాస్ట్ ద్వారా ఇంధనం ఇంజెక్ట్ చేయబడింది మరియు మండించబడింది. రామ్‌జెట్ 160 కిలోన్యూటన్లు (36,000 ఎల్‌బిఎఫ్) మరియు ఏడు నిమిషాలకు 25,000 మీటర్లు (82,000 అడుగులు) వరకు, జెట్-శక్తితో కూడిన విమానం కంటే చాలా వేగంగా ఎక్కే వేగం ఉత్పత్తి చేస్తుందని భావించారు. [1] [2] 022 లు సాధారణంగా 30 ° తుడిచిపెట్టిన రెక్కలు మరియు ట్రైసైకిల్ ల్యాండింగ్ గేర్‌లను పక్కనపెట్టి కాన్ఫిగరేషన్‌లో సమానంగా ఉంటాయి. ఇది మందపాటి బారెల్ లాంటి మోనోకోక్ ఫ్యూజ్‌లేజ్ మరియు పొడుచుకు వచ్చిన ముక్కు విభాగాన్ని పారదర్శక ప్లెక్సిగ్లాస్ కాక్‌పిట్‌ను కలిగి ఉంది, కానీ శ్రేణి-మాత్రమే రాడార్‌ను జోడించింది. ముక్కు యొక్క ఫార్వర్డ్ భాగం పైలట్ కోసం తప్పించుకునే గుళికను ఏర్పరుస్తుంది. ఈ విమానానికి ఫ్యూజ్‌లేజ్, వింగ్స్ మరియు వింగ్‌టిప్ ట్యాంకుల మధ్య పంపిణీ చేయబడిన ఇంధనం సుమారు 2,728-లీటర్ (600 ఇంప్ గల్; 721 యుఎస్ గాల్) అందించబడింది. దీని ఉద్దేశించిన ఆయుధంలో ఒక జత నార్డ్ AA.20 గైడెడ్ క్షిపణులు మరియు 24 విమాన వ్యతిరేక రాకెట్లు ఉన్నాయి. మునుపటి అన్ని LEDUC విమానాల మాదిరిగా కాకుండా, ఇది అన్‌సిస్టెడ్ ఆపరేషన్‌ను ప్రారంభించడానికి ఏకాక్షక టర్బోజెట్-రాంజెట్ పవర్‌ప్లాంట్‌ను కలిగి ఉంది. టర్బోజెట్ ప్రారంభంలో 15 kN (3,400 lbf) టర్బోమెకా ఒసావు ఇంజిన్, అయితే ఇది నిర్మాణ సమయంలో చాలా శక్తివంతమైన 31.3 kN (7,000 lbf) స్నెక్మా అటార్ 101D-3 గా మార్చబడింది. [2] [3] ఈ మార్పు ఈ విమానం 022 గా పున es రూపకల్పన చేయటానికి కారణమైంది మరియు రాకెట్ల సంఖ్యను 40 కి పెంచడానికి అనుమతించింది. మొదట 26 డిసెంబర్ 1956 న టర్బోజెట్ పవర్‌లో మాత్రమే ఎగిరింది, చివరకు రామ్‌జెట్‌ను 34 వ విమానంలో 18 మే 1957 న తొలగించారు. 21 డిసెంబర్ 1957 న మాక్ 1.15 వేగంతో చేరుకుంది, కాని అది బయలుదేరినప్పుడు మంటలు చెలరేగినప్పుడు కొంతకాలం తర్వాత దెబ్బతింది. రెండవ నమూనా నిర్మాణం అక్టోబర్‌లో రద్దు చేయబడింది మరియు 141 విమానాలు చేసిన తరువాత 13 ఫిబ్రవరి 1958 న విమాన పరీక్ష ఒప్పందం రద్దు చేయబడింది. కొనసాగుతున్న అల్జీరియన్ యుద్ధం సైనిక బడ్జెట్‌ను ఎక్కువగా వినియోగిస్తోంది మరియు ఇంటర్‌సెప్టర్ అవసరాన్ని తీర్చడానికి మరింత సాంప్రదాయ డసాల్ట్ మిరాజ్ III ఎంపిక చేయబడింది. రద్దు చేయడం లెడక్ యొక్క విమాన అభివృద్ధి కార్యకలాపాల ముగింపును గుర్తించింది. [4] పారిస్ -లే బౌర్గెట్ విమానాశ్రయంలోని మ్యూసీ డి ఎల్ ఎయిర్ ఎట్ డి ఎల్ ఎస్పేస్ వద్ద రెండవ నమూనా 022 ప్రదర్శనలో ఉంది. దీనిని 1979 లో లెడక్ కుటుంబం విరాళంగా ఇచ్చింది. [5] యూరప్ యొక్క *X- ప్లానెస్ నుండి డేటా II: మిలిటరీ ప్రోటోటైప్ విమానం స్వర్ణయుగం నుండి 1946-1974 [6] సాధారణ లక్షణాల పనితీరు</v>
      </c>
      <c r="E97" s="1" t="s">
        <v>1912</v>
      </c>
      <c r="F97" s="1" t="s">
        <v>1913</v>
      </c>
      <c r="G97" s="1" t="str">
        <f>IFERROR(__xludf.DUMMYFUNCTION("GOOGLETRANSLATE(F:F,""en"", ""te"")"),"పరిశోధన విమానం")</f>
        <v>పరిశోధన విమానం</v>
      </c>
      <c r="I97" s="1" t="s">
        <v>798</v>
      </c>
      <c r="J97" s="1" t="str">
        <f>IFERROR(__xludf.DUMMYFUNCTION("GOOGLETRANSLATE(I:I,""en"", ""te"")"),"ఫ్రాన్స్")</f>
        <v>ఫ్రాన్స్</v>
      </c>
      <c r="L97" s="1" t="s">
        <v>1914</v>
      </c>
      <c r="M97" s="1" t="str">
        <f>IFERROR(__xludf.DUMMYFUNCTION("GOOGLETRANSLATE(L:L,""en"", ""te"")"),"బ్రెగెట్")</f>
        <v>బ్రెగెట్</v>
      </c>
      <c r="N97" s="2" t="s">
        <v>1915</v>
      </c>
      <c r="R97" s="1">
        <v>2.0</v>
      </c>
      <c r="S97" s="1">
        <v>1.0</v>
      </c>
      <c r="U97" s="1" t="s">
        <v>1916</v>
      </c>
      <c r="W97" s="1" t="s">
        <v>1917</v>
      </c>
      <c r="Z97" s="1" t="s">
        <v>1918</v>
      </c>
      <c r="AA97" s="1" t="s">
        <v>1919</v>
      </c>
      <c r="AH97" s="1" t="s">
        <v>1920</v>
      </c>
      <c r="AL97" s="1" t="s">
        <v>1921</v>
      </c>
      <c r="AM97" s="1" t="s">
        <v>1922</v>
      </c>
      <c r="AN97" s="1" t="s">
        <v>1923</v>
      </c>
      <c r="AO97" s="4">
        <v>20815.0</v>
      </c>
      <c r="AQ97" s="1" t="s">
        <v>1924</v>
      </c>
      <c r="AT97" s="1" t="s">
        <v>1925</v>
      </c>
    </row>
    <row r="98">
      <c r="A98" s="1" t="s">
        <v>1926</v>
      </c>
      <c r="B98" s="1" t="str">
        <f>IFERROR(__xludf.DUMMYFUNCTION("GOOGLETRANSLATE(A:A,""en"", ""te"")"),"లిటిల్ వింగ్ ఆటోజీరో")</f>
        <v>లిటిల్ వింగ్ ఆటోజీరో</v>
      </c>
      <c r="C98" s="1" t="s">
        <v>1927</v>
      </c>
      <c r="D98" s="1" t="str">
        <f>IFERROR(__xludf.DUMMYFUNCTION("GOOGLETRANSLATE(C:C,""en"", ""te"")"),"లిటిల్ వింగ్ ఆటోజీరో అనేది ఆధునిక ఇంజిన్లను ఉపయోగించి ట్రాక్టర్ ఇంజిన్ లేఅవుట్‌తో సాంప్రదాయిక ఒకటి మరియు రెండు ప్లేస్ ఆటోజిరోస్ మరియు లిటిల్ వింగ్ ఆటోజిరోస్, ఇంక్. రాన్ హెరాన్ పుషర్ గైరోకాప్టర్లలో పుష్ఓవర్ మరణాల సమస్య గురించి ఆందోళన చెందాడు. అతను ట్రాక్టర"&amp;"్ లేఅవుట్ గైరోకాప్టర్‌ను అభివృద్ధి చేయడానికి సిద్ధంగా ఉన్నాడు, ఇది అల్ట్రాలైట్ విమానాల కోసం FAA నియమాలను కూడా కలుసుకుంది. ఖండాంతర O-200 ఇంజిన్‌తో నడిచే ఒక ప్రోటోటైప్ LW-1 త్వరలో LW-2 ను అనుసరించింది. ఈ డిజైన్‌ను జువాన్ డి లా సియెర్వా యొక్క ఆటోజిరోస్ ప్రభా"&amp;"వితం చేసింది. . కంపెనీ నుండి డేటా [15] సాధారణ లక్షణాలు పోల్చదగిన పాత్ర, కాన్ఫిగరేషన్ మరియు ERA యొక్క పనితీరు విమానం")</f>
        <v>లిటిల్ వింగ్ ఆటోజీరో అనేది ఆధునిక ఇంజిన్లను ఉపయోగించి ట్రాక్టర్ ఇంజిన్ లేఅవుట్‌తో సాంప్రదాయిక ఒకటి మరియు రెండు ప్లేస్ ఆటోజిరోస్ మరియు లిటిల్ వింగ్ ఆటోజిరోస్, ఇంక్. రాన్ హెరాన్ పుషర్ గైరోకాప్టర్లలో పుష్ఓవర్ మరణాల సమస్య గురించి ఆందోళన చెందాడు. అతను ట్రాక్టర్ లేఅవుట్ గైరోకాప్టర్‌ను అభివృద్ధి చేయడానికి సిద్ధంగా ఉన్నాడు, ఇది అల్ట్రాలైట్ విమానాల కోసం FAA నియమాలను కూడా కలుసుకుంది. ఖండాంతర O-200 ఇంజిన్‌తో నడిచే ఒక ప్రోటోటైప్ LW-1 త్వరలో LW-2 ను అనుసరించింది. ఈ డిజైన్‌ను జువాన్ డి లా సియెర్వా యొక్క ఆటోజిరోస్ ప్రభావితం చేసింది. . కంపెనీ నుండి డేటా [15] సాధారణ లక్షణాలు పోల్చదగిన పాత్ర, కాన్ఫిగరేషన్ మరియు ERA యొక్క పనితీరు విమానం</v>
      </c>
      <c r="E98" s="1" t="s">
        <v>1928</v>
      </c>
      <c r="F98" s="1" t="s">
        <v>1929</v>
      </c>
      <c r="G98" s="1" t="str">
        <f>IFERROR(__xludf.DUMMYFUNCTION("GOOGLETRANSLATE(F:F,""en"", ""te"")"),"ఆటోజీరో")</f>
        <v>ఆటోజీరో</v>
      </c>
      <c r="I98" s="1" t="s">
        <v>158</v>
      </c>
      <c r="J98" s="1" t="str">
        <f>IFERROR(__xludf.DUMMYFUNCTION("GOOGLETRANSLATE(I:I,""en"", ""te"")"),"అమెరికా")</f>
        <v>అమెరికా</v>
      </c>
      <c r="L98" s="1" t="s">
        <v>1930</v>
      </c>
      <c r="M98" s="1" t="str">
        <f>IFERROR(__xludf.DUMMYFUNCTION("GOOGLETRANSLATE(L:L,""en"", ""te"")"),"లిటిల్ వింగ్ ఆటోజిరోస్, ఇంక్.")</f>
        <v>లిటిల్ వింగ్ ఆటోజిరోస్, ఇంక్.</v>
      </c>
      <c r="N98" s="1" t="s">
        <v>1931</v>
      </c>
      <c r="O98" s="1">
        <v>1995.0</v>
      </c>
      <c r="S98" s="1">
        <v>1.0</v>
      </c>
      <c r="U98" s="1" t="s">
        <v>613</v>
      </c>
      <c r="V98" s="1" t="s">
        <v>1932</v>
      </c>
      <c r="Y98" s="1" t="s">
        <v>1933</v>
      </c>
      <c r="Z98" s="1" t="s">
        <v>1934</v>
      </c>
      <c r="AB98" s="1" t="s">
        <v>1935</v>
      </c>
      <c r="AE98" s="1" t="s">
        <v>375</v>
      </c>
      <c r="AG98" s="1" t="s">
        <v>208</v>
      </c>
      <c r="AM98" s="1" t="s">
        <v>1936</v>
      </c>
      <c r="AO98" s="1">
        <v>1995.0</v>
      </c>
      <c r="AP98" s="1" t="s">
        <v>637</v>
      </c>
      <c r="CS98" s="1" t="s">
        <v>1937</v>
      </c>
      <c r="CT98" s="1" t="s">
        <v>1938</v>
      </c>
    </row>
    <row r="99">
      <c r="A99" s="1" t="s">
        <v>1939</v>
      </c>
      <c r="B99" s="1" t="str">
        <f>IFERROR(__xludf.DUMMYFUNCTION("GOOGLETRANSLATE(A:A,""en"", ""te"")"),"లోహెల్ 5151 ముస్తాంగ్")</f>
        <v>లోహెల్ 5151 ముస్తాంగ్</v>
      </c>
      <c r="C99" s="1" t="s">
        <v>1940</v>
      </c>
      <c r="D99" s="1" t="str">
        <f>IFERROR(__xludf.DUMMYFUNCTION("GOOGLETRANSLATE(C:C,""en"", ""te"")"),"లోహెల్ 5151 ముస్తాంగ్ అమెరికన్ డిజైనర్ కార్ల్ లోహెల్ రూపొందించిన పి -51 ముస్తాంగ్ యొక్క 3/4 స్కేల్ ప్రతిరూపం. దాని ప్రణాళికలు te త్సాహిక బిల్డర్ల కోసం అందించబడతాయి. ఈ విమానం ఫాబ్రిక్ కవరింగ్‌తో చెక్క ఫ్యూజ్‌లేజ్ కలిగి ఉంది. [1] [2] [3] రెక్కలు జియోడెటిక్ "&amp;"సహాయక నిర్మాణంతో కలప నిర్మాణం. నిర్వహణ నిశ్శబ్దంగా ఉంటుంది మరియు పైపర్ పిల్ల మాదిరిగానే ఉంటుంది. [4] పైలట్ ఫ్రెండ్ నుండి డేటా [5] సాధారణ లక్షణాల పనితీరు")</f>
        <v>లోహెల్ 5151 ముస్తాంగ్ అమెరికన్ డిజైనర్ కార్ల్ లోహెల్ రూపొందించిన పి -51 ముస్తాంగ్ యొక్క 3/4 స్కేల్ ప్రతిరూపం. దాని ప్రణాళికలు te త్సాహిక బిల్డర్ల కోసం అందించబడతాయి. ఈ విమానం ఫాబ్రిక్ కవరింగ్‌తో చెక్క ఫ్యూజ్‌లేజ్ కలిగి ఉంది. [1] [2] [3] రెక్కలు జియోడెటిక్ సహాయక నిర్మాణంతో కలప నిర్మాణం. నిర్వహణ నిశ్శబ్దంగా ఉంటుంది మరియు పైపర్ పిల్ల మాదిరిగానే ఉంటుంది. [4] పైలట్ ఫ్రెండ్ నుండి డేటా [5] సాధారణ లక్షణాల పనితీరు</v>
      </c>
      <c r="E99" s="1" t="s">
        <v>1941</v>
      </c>
      <c r="F99" s="1" t="s">
        <v>1942</v>
      </c>
      <c r="G99" s="1" t="str">
        <f>IFERROR(__xludf.DUMMYFUNCTION("GOOGLETRANSLATE(F:F,""en"", ""te"")"),"ప్రతిరూప స్కేల్ వార్బర్డ్")</f>
        <v>ప్రతిరూప స్కేల్ వార్బర్డ్</v>
      </c>
      <c r="H99" s="1" t="s">
        <v>1943</v>
      </c>
      <c r="I99" s="1" t="s">
        <v>158</v>
      </c>
      <c r="J99" s="1" t="str">
        <f>IFERROR(__xludf.DUMMYFUNCTION("GOOGLETRANSLATE(I:I,""en"", ""te"")"),"అమెరికా")</f>
        <v>అమెరికా</v>
      </c>
      <c r="K99" s="1" t="s">
        <v>159</v>
      </c>
      <c r="L99" s="1" t="s">
        <v>1944</v>
      </c>
      <c r="M99" s="1" t="str">
        <f>IFERROR(__xludf.DUMMYFUNCTION("GOOGLETRANSLATE(L:L,""en"", ""te"")"),"లోహెల్ విమానం")</f>
        <v>లోహెల్ విమానం</v>
      </c>
      <c r="N99" s="1" t="s">
        <v>1945</v>
      </c>
      <c r="O99" s="1">
        <v>1988.0</v>
      </c>
      <c r="R99" s="1" t="s">
        <v>1946</v>
      </c>
      <c r="S99" s="1">
        <v>1.0</v>
      </c>
      <c r="U99" s="1" t="s">
        <v>1947</v>
      </c>
      <c r="W99" s="1" t="s">
        <v>1948</v>
      </c>
      <c r="X99" s="1" t="s">
        <v>1949</v>
      </c>
      <c r="Y99" s="1" t="s">
        <v>1950</v>
      </c>
      <c r="Z99" s="1" t="s">
        <v>1951</v>
      </c>
      <c r="AA99" s="1" t="s">
        <v>1952</v>
      </c>
      <c r="AB99" s="1" t="s">
        <v>356</v>
      </c>
      <c r="AD99" s="1" t="s">
        <v>269</v>
      </c>
      <c r="AE99" s="1" t="s">
        <v>1953</v>
      </c>
      <c r="AG99" s="1" t="s">
        <v>208</v>
      </c>
      <c r="AH99" s="1" t="s">
        <v>1954</v>
      </c>
      <c r="AI99" s="1" t="s">
        <v>1955</v>
      </c>
      <c r="AJ99" s="1" t="s">
        <v>640</v>
      </c>
      <c r="AM99" s="1" t="s">
        <v>1956</v>
      </c>
    </row>
    <row r="100">
      <c r="A100" s="1" t="s">
        <v>1957</v>
      </c>
      <c r="B100" s="1" t="str">
        <f>IFERROR(__xludf.DUMMYFUNCTION("GOOGLETRANSLATE(A:A,""en"", ""te"")"),"కోలెస్నికోవ్-సిబిన్ కెసి -20")</f>
        <v>కోలెస్నికోవ్-సిబిన్ కెసి -20</v>
      </c>
      <c r="C100" s="1" t="s">
        <v>1958</v>
      </c>
      <c r="D100" s="1" t="str">
        <f>IFERROR(__xludf.DUMMYFUNCTION("GOOGLETRANSLATE(C:C,""en"", ""te"")"),"కోలెస్నికోవ్-సిబిన్ కెసి -20 లేదా కెటిఎస్ -20 (రష్యన్: ц-20) రెండవ ప్రపంచ యుద్ధం యొక్క సోవియట్ లైట్ ట్రూప్ మిలిటరీ గ్లైడర్. 1941 లో జర్మన్ దాడి జరిగిన కొద్దికాలానికే, సోవియట్ ప్రధాన కార్యాలయం రవాణా గ్లైడర్‌ల అవసరాన్ని గ్రహించింది మరియు అనేక డిజైన్ల అభివృద"&amp;"్ధిని ఆదేశించింది. అతిపెద్దది డిమిత్రి కోలెస్నికోవ్ మరియు పావెల్ సిబిన్ల రూపకల్పన, ఇది ఇప్పటికీ లైట్ గ్లైడర్ అయినప్పటికీ. అక్టోబర్ 1941 లో రెండు ప్రోటోటైప్‌లు నిర్మించబడ్డాయి. డిజైనర్ల అక్షరాలు మరియు తీసుకువెళ్ళిన సైనికుల సంఖ్య కోసం ఇది కెసి -20 (లేదా కెట"&amp;"ిఎస్ -20) హోదాలో ఉత్పత్తికి ఆదేశించబడింది. 68 1942-1943లో నిర్మించబడ్డాయి. కజాన్ సమీపంలోని లోపాటినో గ్రామంలో ఒక కలప పరిశ్రమ పనులలో వాటిని నిర్మించారు. కెసి -20 అతిపెద్ద, కానీ చాలా తక్కువ సోవియట్ ట్రాన్స్‌పోర్ట్ గ్లైడర్‌లు. ఇది 20 దళాలను లేదా 2200 కిలోల సర"&amp;"ుకును రవాణా చేయగలదు. ఇది చాలా విజయవంతమైంది, దాని ప్రధాన లోపం పెద్ద కార్గో హాచ్ లేకపోవడం, అందువల్ల తుపాకులు భాగాలలో మాత్రమే తీసుకువెళ్ళవచ్చు. ఇది మొదట గ్లైడర్‌ను బ్యాక్ మెషిన్ గన్ టరెట్‌తో అమర్చడానికి ప్రణాళిక చేయబడింది, అందుకే డబుల్ టెయిల్‌ఫిన్, కానీ ప్రణ"&amp;"ాళిక వదిలివేయబడింది. ఆంటోనోవ్ ఎ -7 మరియు గ్రిబోవ్స్కీ జి -11 మాదిరిగా, వారు ప్రధానంగా సోవియట్ పక్షపాతాలను రాత్రి విమానాలలో నిబంధనలు, ఆయుధాలు, పరికరాలు మరియు శిక్షణ పొందిన పురుషులను సరఫరా చేయడానికి ఉపయోగించారు. అత్యంత ఇంటెన్సివ్ ఉపయోగం ఏప్రిల్ నుండి నవంబర్"&amp;" 1943 వరకు బెలారస్లో, పోలోట్స్క్-బెగోమ్ల్-లెపెల్ ప్రాంతంలో ఉంది. ల్యాండింగ్ తరువాత, గ్లైడర్లు నాశనం చేయబడ్డాయి మరియు పైలట్లను కొన్నిసార్లు విమానాల ద్వారా తిరిగి తీసుకుంటారు. శత్రు మార్గాల వెనుక విధ్వంస సమూహాలను రవాణా చేయడానికి కూడా వీటిని ఉపయోగించారు. కెస"&amp;"ి -20 లను ప్రధానంగా డిబి -3 బాంబర్లు లాగారు. తక్కువ విలక్షణమైన చర్య మాస్కో నుండి నవంబర్ 1942 లో స్టాలింగ్‌రాడ్ ప్రాంతానికి గాలి వంతెన, స్టాలింగ్‌రాడ్ యుద్ధంలో, ట్యాంకుల కోసం యాంటీఫ్రీజ్ శీతలీకరణ ద్రవాన్ని త్వరగా అందించడానికి. హై-వింగ్, చెక్క నిర్మాణ గ్లైడ"&amp;"ర్, డబుల్ టెయిల్‌ఫిన్‌తో. స్లిమ్ ఫ్యూజ్‌లేజ్, సెమీ-మోనోకోక్, క్రాస్ సెక్షన్‌లో దీర్ఘచతురస్రాకార. ముందు, దాని వెనుక, రవాణా కంపార్ట్మెంట్ ముందు పైలట్ క్యాబ్. రెండు వైపులా డబుల్ తలుపులు మరియు అనేక చిన్న దీర్ఘచతురస్రాకార కిటికీలు ఉన్నాయి. ల్యాండింగ్ గేర్ మానవ"&amp;"ీయంగా ముడుచుకునేది, ల్యాండింగ్‌ను తగ్గించడానికి, గ్లైడర్ ఒక ఫ్యూజ్‌లేజ్ కింద స్కిడ్‌లోకి దిగవచ్చు. రెండవ ప్రపంచ యుద్ధం యొక్క గ్లైడర్‌ల నుండి డేటా [1] పోల్చదగిన పాత్ర, కాన్ఫిగరేషన్ మరియు ERA సంబంధిత జాబితాల సాధారణ లక్షణాల పనితీరు విమానం పనితీరు విమానం")</f>
        <v>కోలెస్నికోవ్-సిబిన్ కెసి -20 లేదా కెటిఎస్ -20 (రష్యన్: ц-20) రెండవ ప్రపంచ యుద్ధం యొక్క సోవియట్ లైట్ ట్రూప్ మిలిటరీ గ్లైడర్. 1941 లో జర్మన్ దాడి జరిగిన కొద్దికాలానికే, సోవియట్ ప్రధాన కార్యాలయం రవాణా గ్లైడర్‌ల అవసరాన్ని గ్రహించింది మరియు అనేక డిజైన్ల అభివృద్ధిని ఆదేశించింది. అతిపెద్దది డిమిత్రి కోలెస్నికోవ్ మరియు పావెల్ సిబిన్ల రూపకల్పన, ఇది ఇప్పటికీ లైట్ గ్లైడర్ అయినప్పటికీ. అక్టోబర్ 1941 లో రెండు ప్రోటోటైప్‌లు నిర్మించబడ్డాయి. డిజైనర్ల అక్షరాలు మరియు తీసుకువెళ్ళిన సైనికుల సంఖ్య కోసం ఇది కెసి -20 (లేదా కెటిఎస్ -20) హోదాలో ఉత్పత్తికి ఆదేశించబడింది. 68 1942-1943లో నిర్మించబడ్డాయి. కజాన్ సమీపంలోని లోపాటినో గ్రామంలో ఒక కలప పరిశ్రమ పనులలో వాటిని నిర్మించారు. కెసి -20 అతిపెద్ద, కానీ చాలా తక్కువ సోవియట్ ట్రాన్స్‌పోర్ట్ గ్లైడర్‌లు. ఇది 20 దళాలను లేదా 2200 కిలోల సరుకును రవాణా చేయగలదు. ఇది చాలా విజయవంతమైంది, దాని ప్రధాన లోపం పెద్ద కార్గో హాచ్ లేకపోవడం, అందువల్ల తుపాకులు భాగాలలో మాత్రమే తీసుకువెళ్ళవచ్చు. ఇది మొదట గ్లైడర్‌ను బ్యాక్ మెషిన్ గన్ టరెట్‌తో అమర్చడానికి ప్రణాళిక చేయబడింది, అందుకే డబుల్ టెయిల్‌ఫిన్, కానీ ప్రణాళిక వదిలివేయబడింది. ఆంటోనోవ్ ఎ -7 మరియు గ్రిబోవ్స్కీ జి -11 మాదిరిగా, వారు ప్రధానంగా సోవియట్ పక్షపాతాలను రాత్రి విమానాలలో నిబంధనలు, ఆయుధాలు, పరికరాలు మరియు శిక్షణ పొందిన పురుషులను సరఫరా చేయడానికి ఉపయోగించారు. అత్యంత ఇంటెన్సివ్ ఉపయోగం ఏప్రిల్ నుండి నవంబర్ 1943 వరకు బెలారస్లో, పోలోట్స్క్-బెగోమ్ల్-లెపెల్ ప్రాంతంలో ఉంది. ల్యాండింగ్ తరువాత, గ్లైడర్లు నాశనం చేయబడ్డాయి మరియు పైలట్లను కొన్నిసార్లు విమానాల ద్వారా తిరిగి తీసుకుంటారు. శత్రు మార్గాల వెనుక విధ్వంస సమూహాలను రవాణా చేయడానికి కూడా వీటిని ఉపయోగించారు. కెసి -20 లను ప్రధానంగా డిబి -3 బాంబర్లు లాగారు. తక్కువ విలక్షణమైన చర్య మాస్కో నుండి నవంబర్ 1942 లో స్టాలింగ్‌రాడ్ ప్రాంతానికి గాలి వంతెన, స్టాలింగ్‌రాడ్ యుద్ధంలో, ట్యాంకుల కోసం యాంటీఫ్రీజ్ శీతలీకరణ ద్రవాన్ని త్వరగా అందించడానికి. హై-వింగ్, చెక్క నిర్మాణ గ్లైడర్, డబుల్ టెయిల్‌ఫిన్‌తో. స్లిమ్ ఫ్యూజ్‌లేజ్, సెమీ-మోనోకోక్, క్రాస్ సెక్షన్‌లో దీర్ఘచతురస్రాకార. ముందు, దాని వెనుక, రవాణా కంపార్ట్మెంట్ ముందు పైలట్ క్యాబ్. రెండు వైపులా డబుల్ తలుపులు మరియు అనేక చిన్న దీర్ఘచతురస్రాకార కిటికీలు ఉన్నాయి. ల్యాండింగ్ గేర్ మానవీయంగా ముడుచుకునేది, ల్యాండింగ్‌ను తగ్గించడానికి, గ్లైడర్ ఒక ఫ్యూజ్‌లేజ్ కింద స్కిడ్‌లోకి దిగవచ్చు. రెండవ ప్రపంచ యుద్ధం యొక్క గ్లైడర్‌ల నుండి డేటా [1] పోల్చదగిన పాత్ర, కాన్ఫిగరేషన్ మరియు ERA సంబంధిత జాబితాల సాధారణ లక్షణాల పనితీరు విమానం పనితీరు విమానం</v>
      </c>
      <c r="F100" s="1" t="s">
        <v>1959</v>
      </c>
      <c r="G100" s="1" t="str">
        <f>IFERROR(__xludf.DUMMYFUNCTION("GOOGLETRANSLATE(F:F,""en"", ""te"")"),"మిలిటరీ గ్లైడర్")</f>
        <v>మిలిటరీ గ్లైడర్</v>
      </c>
      <c r="O100" s="1">
        <v>1942.0</v>
      </c>
      <c r="R100" s="1">
        <v>68.0</v>
      </c>
      <c r="S100" s="1">
        <v>2.0</v>
      </c>
      <c r="T100" s="1" t="s">
        <v>1960</v>
      </c>
      <c r="U100" s="1" t="s">
        <v>1961</v>
      </c>
      <c r="V100" s="1" t="s">
        <v>1962</v>
      </c>
      <c r="W100" s="1" t="s">
        <v>1963</v>
      </c>
      <c r="X100" s="1" t="s">
        <v>1964</v>
      </c>
      <c r="AC100" s="1">
        <v>16.0</v>
      </c>
      <c r="AH100" s="1" t="s">
        <v>1965</v>
      </c>
      <c r="AM100" s="1" t="s">
        <v>1966</v>
      </c>
      <c r="AN100" s="1" t="s">
        <v>1967</v>
      </c>
      <c r="AO100" s="1">
        <v>1941.0</v>
      </c>
      <c r="AR100" s="1" t="s">
        <v>1561</v>
      </c>
      <c r="BA100" s="2" t="s">
        <v>1562</v>
      </c>
      <c r="BG100" s="1" t="s">
        <v>1968</v>
      </c>
      <c r="CD100" s="2" t="s">
        <v>1969</v>
      </c>
      <c r="CU100" s="2" t="s">
        <v>1970</v>
      </c>
      <c r="CV100" s="2" t="s">
        <v>1971</v>
      </c>
    </row>
    <row r="101">
      <c r="A101" s="1" t="s">
        <v>1972</v>
      </c>
      <c r="B101" s="1" t="str">
        <f>IFERROR(__xludf.DUMMYFUNCTION("GOOGLETRANSLATE(A:A,""en"", ""te"")"),"L'rtépide")</f>
        <v>L'rtépide</v>
      </c>
      <c r="C101" s="1" t="s">
        <v>1973</v>
      </c>
      <c r="D101" s="1" t="str">
        <f>IFERROR(__xludf.DUMMYFUNCTION("GOOGLETRANSLATE(C:C,""en"", ""te"")"),"L'TRépide (""ది ఇంట్రెపిడ్"") అనేది కాంపాగ్నీ డి'అరోస్టియర్స్ (ఫ్రెంచ్ ఏరోస్టాటిక్ కార్ప్స్) యొక్క హైడ్రోజన్ బెలూన్ మరియు ఇది ఐరోపాలో పురాతన సంరక్షించబడిన మనుషుల విమానం. [1] ఎల్'మార్ పైడ్ రెండు పరిశీలన బెలూన్లలో పెద్ద [2], మరొకటి హెర్క్యుల్ (""హెర్క్యులస్"&amp;"""), జూన్ 1795 లో ఏరోస్టాటిక్ కార్ప్స్ కు జారీ చేయబడింది, ప్రొఫెసర్ జాక్వెస్ చార్లెస్ మరియు రాబర్ట్ బ్రదర్స్ యొక్క మార్గదర్శక హైడ్రోజన్ బెలూన్ విమానాల తరువాత పన్నెండు సంవత్సరాల తరువాత పన్నెండు సంవత్సరాల తరువాత పారిస్. ఈ బెలూన్లను 1796 లో జనరల్ జోర్డాన్ యొ"&amp;"క్క జనరల్ జోర్డాన్ యొక్క ఆర్మీ ఆఫ్ సాంబ్రే-ఎట్-మీస్‌కు అనుసంధానించబడిన కార్ప్స్ యొక్క మొట్టమొదటి సంస్థ ఉపయోగించబడింది. ఆ సైన్యాన్ని ఆస్ట్రియన్ దళాలు 3 సెప్టెంబర్ 1796 న వర్క్బర్గ్ యుద్ధంలో ఆస్ట్రియన్ దళాలు ఓడించినప్పుడు, బెలూన్‌ను పట్టుకుని వియన్నాకు తీసు"&amp;"కువెళ్లారు, ఇప్పుడు అది హీరెస్జెస్చిచ్ట్లిచెస్ మ్యూజియంలో ప్రదర్శించబడుతోంది. బెలూన్ యొక్క సిల్క్ ఎన్వలప్ సుమారు గోళాకారంగా ఉంటుంది మరియు 9.8 మీటర్ల (32 అడుగులు) వ్యాసం కలిగి ఉంటుంది. దీని చెక్క గొండోలా చాలా చిన్నది, 1.14 మీటర్లు (45 అంగుళాలు) 0.75 మీటర్ల"&amp;"ు (30 అంగుళాలు) మరియు దాని రైలింగ్ 1.05 మీటర్ల ఎత్తు (41 అంగుళాలు) కలిగి ఉంటుంది. [2] బెలూన్ ఎన్వలప్ ఒక ప్రతిరూపం, అసలు ప్రదర్శించబడి, సమీపంలోని ఒక గాజు కేసులో ముడుచుకుంది. [1]")</f>
        <v>L'TRépide ("ది ఇంట్రెపిడ్") అనేది కాంపాగ్నీ డి'అరోస్టియర్స్ (ఫ్రెంచ్ ఏరోస్టాటిక్ కార్ప్స్) యొక్క హైడ్రోజన్ బెలూన్ మరియు ఇది ఐరోపాలో పురాతన సంరక్షించబడిన మనుషుల విమానం. [1] ఎల్'మార్ పైడ్ రెండు పరిశీలన బెలూన్లలో పెద్ద [2], మరొకటి హెర్క్యుల్ ("హెర్క్యులస్"), జూన్ 1795 లో ఏరోస్టాటిక్ కార్ప్స్ కు జారీ చేయబడింది, ప్రొఫెసర్ జాక్వెస్ చార్లెస్ మరియు రాబర్ట్ బ్రదర్స్ యొక్క మార్గదర్శక హైడ్రోజన్ బెలూన్ విమానాల తరువాత పన్నెండు సంవత్సరాల తరువాత పన్నెండు సంవత్సరాల తరువాత పారిస్. ఈ బెలూన్లను 1796 లో జనరల్ జోర్డాన్ యొక్క జనరల్ జోర్డాన్ యొక్క ఆర్మీ ఆఫ్ సాంబ్రే-ఎట్-మీస్‌కు అనుసంధానించబడిన కార్ప్స్ యొక్క మొట్టమొదటి సంస్థ ఉపయోగించబడింది. ఆ సైన్యాన్ని ఆస్ట్రియన్ దళాలు 3 సెప్టెంబర్ 1796 న వర్క్బర్గ్ యుద్ధంలో ఆస్ట్రియన్ దళాలు ఓడించినప్పుడు, బెలూన్‌ను పట్టుకుని వియన్నాకు తీసుకువెళ్లారు, ఇప్పుడు అది హీరెస్జెస్చిచ్ట్లిచెస్ మ్యూజియంలో ప్రదర్శించబడుతోంది. బెలూన్ యొక్క సిల్క్ ఎన్వలప్ సుమారు గోళాకారంగా ఉంటుంది మరియు 9.8 మీటర్ల (32 అడుగులు) వ్యాసం కలిగి ఉంటుంది. దీని చెక్క గొండోలా చాలా చిన్నది, 1.14 మీటర్లు (45 అంగుళాలు) 0.75 మీటర్లు (30 అంగుళాలు) మరియు దాని రైలింగ్ 1.05 మీటర్ల ఎత్తు (41 అంగుళాలు) కలిగి ఉంటుంది. [2] బెలూన్ ఎన్వలప్ ఒక ప్రతిరూపం, అసలు ప్రదర్శించబడి, సమీపంలోని ఒక గాజు కేసులో ముడుచుకుంది. [1]</v>
      </c>
      <c r="E101" s="1" t="s">
        <v>1974</v>
      </c>
      <c r="G101" s="1" t="str">
        <f>IFERROR(__xludf.DUMMYFUNCTION("GOOGLETRANSLATE(F:F,""en"", ""te"")"),"#VALUE!")</f>
        <v>#VALUE!</v>
      </c>
      <c r="BV101" s="1" t="s">
        <v>1975</v>
      </c>
      <c r="BW101" s="1" t="s">
        <v>1976</v>
      </c>
      <c r="BY101" s="1" t="s">
        <v>1977</v>
      </c>
      <c r="BZ101" s="1" t="s">
        <v>1978</v>
      </c>
      <c r="CA101" s="1" t="s">
        <v>1979</v>
      </c>
      <c r="CB101" s="1" t="s">
        <v>1980</v>
      </c>
      <c r="CP101" s="1" t="s">
        <v>1981</v>
      </c>
      <c r="CQ101" s="1" t="s">
        <v>1982</v>
      </c>
      <c r="CW101" s="4" t="s">
        <v>1983</v>
      </c>
    </row>
    <row r="102">
      <c r="A102" s="1" t="s">
        <v>1984</v>
      </c>
      <c r="B102" s="1" t="str">
        <f>IFERROR(__xludf.DUMMYFUNCTION("GOOGLETRANSLATE(A:A,""en"", ""te"")"),"లాగ్గిన్ డ్రాగన్")</f>
        <v>లాగ్గిన్ డ్రాగన్</v>
      </c>
      <c r="C102" s="1" t="s">
        <v>1985</v>
      </c>
      <c r="D102" s="1" t="str">
        <f>IFERROR(__xludf.DUMMYFUNCTION("GOOGLETRANSLATE(C:C,""en"", ""te"")"),"రెండవ ప్రపంచ యుద్ధంలో అణు బాంబును తీసుకువెళ్ళడానికి కాన్ఫిగర్ చేయబడిన బోయింగ్ బి -29 సూపర్ ఫోర్ట్రెస్ (బి -29-50-మో, 44-86347 విక్టర్ నంబర్ 95) లాగ్గిన్ డ్రాగన్ పేరు. అణు బాంబు ఆపరేషన్‌లో ఉపయోగం కోసం 509 వ మిశ్రమ సమూహానికి పంపిణీ చేసిన పదిహేను సిల్వర్‌ప్ల"&amp;"ేట్ B-29 లలో లాగ్గిన్ డ్రాగన్ చివరిది. నెబ్రాస్కాలోని ఒమాహాలోని గ్లెన్ ఎల్. 393 డి బాంబ్ స్క్వాడ్రన్‌కు కేటాయించిన, క్రూ ఎ -2 (కెప్టెన్ ఎడ్వర్డ్ ఎం. కాస్టెల్లో, ఎయిర్‌క్రాఫ్ట్ కమాండర్) జూలై ప్రారంభంలో వెండోవర్‌కు వెళ్లి, క్లుప్తంగా శిక్షణ మరియు బాంబు మిషన"&amp;"్లను అభ్యసించారు. జూలై 27, 1945 న, కాస్టెల్లో మరియు అతని సిబ్బంది వెండోవర్ నుండి న్యూ మెక్సికోలోని అల్బుకెర్కీలోని కిర్ట్‌ల్యాండ్ ఆర్మీ ఎయిర్ ఫీల్డ్‌కు విమానాన్ని మరియు మరో 509 వ B-29 తో పాటు వెండోవర్ (216 వ AAF బేస్ యూనిట్) లోని మాన్హాటన్ ప్రాజెక్ట్ టెస్"&amp;"ట్ యూనిట్ నుండి ఒకరు ప్రయాణించారు. అక్కడ ప్రతి ఒక్కటి ముగ్గురు కొవ్వు మనిషి అణు బాంబు సమావేశాలలో (ప్లూటోనియం కోర్ లేకుండా, 509 వ సిజి యొక్క సి -54 స్కైమాస్టర్ ట్రాన్స్‌పోర్ట్‌లలో ఒకదానిపై కొరియర్ ముందు రోజు నుండి బయలుదేరింది) టినియన్‌కు రవాణా చేయడానికి దా"&amp;"ని బాంబు బేలో) లోడ్ చేసింది. ముగ్గురు బాంబర్లు జూలై 28 న కాలిఫోర్నియాలోని మాథర్ ఆర్మీ ఎయిర్ ఫీల్డ్‌కు వెళ్లారు మరియు జూలై 29 న హవాయి కోసం బయలుదేరారు. సామ్రాజ్యం చుట్టూ మరియు B-29 యొక్క ఎలివేటర్లకు ఆటంకం కలిగించింది. విమానం పైకి ఉండటానికి చాలా కష్టపడింది, "&amp;"కాని పైలట్లు మాథర్ వద్దకు సురక్షితంగా తిరిగి రాగలిగారు. కొన్ని ప్రధాన తోక సమావేశాలను తొలగించి, భర్తీ చేసిన తరువాత, లాగ్గిన్ 'డ్రాగన్ మరియు దాని సరుకు హవాయికి కొనసాగాయి, చివరకు ఆగస్టు 2 న టినియన్‌కు చేరుకున్నాయి. దీనికి 39 వ బాంబ్ గ్రూప్ యొక్క చదరపు పి టెయ"&amp;"ిల్ ఐడెంటిఫైయర్‌ను భద్రతా కొలతగా కేటాయించారు మరియు విక్టర్ ఇచ్చారు (యూనిట్-అస్పెడ్ గుర్తింపు) వాస్తవ 39 వ BG విమానాలతో తప్పుగా గుర్తించడానికి సంఖ్య 95. వెండోవర్‌లో ఉన్నప్పుడు విమానం పేరు పెట్టబడింది, కాని అణు మిషన్ల తర్వాత ముక్కు కళ వర్తించలేదు. ఇతర పోరాట"&amp;" కార్యకలాపాల్లో పాల్గొనడానికి ఇది చాలా ఆలస్యంగా వచ్చింది మరియు అణు దాడుల తరువాత రెండు ప్రాక్టీస్ విమానాలలో పాల్గొంది. ఆగష్టు 9, 1945 న, రెండవ అటామిక్ బాంబ్ మిషన్‌లో భాగంగా, నాగసాకి యొక్క ద్వితీయ లక్ష్యం కోసం వాతావరణ నిఘా విమానం వలె దీనిని మరొక సిబ్బంది ఎగ"&amp;"ురవేశారు. న్యూ మెక్సికోలోని రోస్‌వెల్ ఆర్మీ ఎయిర్ ఫీల్డ్‌లో 509 వ సిజితో ఆధారపడిన లాగ్గిన్ 'డ్రాగన్ నవంబర్ 1945 లో యునైటెడ్ స్టేట్స్‌కు తిరిగి వచ్చాడు. జూన్ 1946 లో ఇది క్వాజలీన్ ఆధారంగా ఆపరేషన్ క్రాస్‌రోడ్స్ టాస్క్‌ఫోర్స్‌లో భాగం. జూన్ 1949 లో దీనిని టెక"&amp;"్సాస్‌లోని బిగ్స్ ఎయిర్ ఫోర్స్ బేస్ వద్ద 97 వ బాంబ్ గ్రూపుకు బదిలీ చేశారు, మరియు ఏప్రిల్ 1950 లో టెక్సాస్లోని కెల్లీ ఎయిర్ ఫోర్స్ బేస్ మరియు టింకర్ ఎయిర్ ఫోర్స్ వద్ద ఓక్లహోమా సిటీ ఎయిర్ మెటీరియల్ ప్రాంతంలో టిబి -29 శిక్షకుడిగా మార్చబడింది బేస్. ఇది తరువాత"&amp;" దీనికి కేటాయించబడింది: క్రూ ఎ -2 క్రూ బి -8 (క్రమం తప్పకుండా టాప్ సీక్రెట్‌కు కేటాయించబడింది) యుఎస్‌ఎఎఫ్ 509 వ బాంబ్ వింగ్ యొక్క మూడు ఎఫ్‌బి -111 ఎ స్ట్రాటజిక్ బాంబర్లు, సీరియల్స్ 68-0269, 68-0274 మరియు 68-0284, ఈ పేరును కలిగి ఉన్నారు మరియు 1970 మరియు 19"&amp;"80 లలో న్యూ హాంప్‌షైర్‌లోని పీస్ ఎయిర్ ఫోర్స్ బేస్ వద్ద ఉన్నప్పుడు లాగ్గిన్ డ్రాగన్ ఆఫ్ లాగ్గిన్ డ్రాగన్ వారి నోస్‌వీల్ తలుపులపై.")</f>
        <v>రెండవ ప్రపంచ యుద్ధంలో అణు బాంబును తీసుకువెళ్ళడానికి కాన్ఫిగర్ చేయబడిన బోయింగ్ బి -29 సూపర్ ఫోర్ట్రెస్ (బి -29-50-మో, 44-86347 విక్టర్ నంబర్ 95) లాగ్గిన్ డ్రాగన్ పేరు. అణు బాంబు ఆపరేషన్‌లో ఉపయోగం కోసం 509 వ మిశ్రమ సమూహానికి పంపిణీ చేసిన పదిహేను సిల్వర్‌ప్లేట్ B-29 లలో లాగ్గిన్ డ్రాగన్ చివరిది. నెబ్రాస్కాలోని ఒమాహాలోని గ్లెన్ ఎల్. 393 డి బాంబ్ స్క్వాడ్రన్‌కు కేటాయించిన, క్రూ ఎ -2 (కెప్టెన్ ఎడ్వర్డ్ ఎం. కాస్టెల్లో, ఎయిర్‌క్రాఫ్ట్ కమాండర్) జూలై ప్రారంభంలో వెండోవర్‌కు వెళ్లి, క్లుప్తంగా శిక్షణ మరియు బాంబు మిషన్లను అభ్యసించారు. జూలై 27, 1945 న, కాస్టెల్లో మరియు అతని సిబ్బంది వెండోవర్ నుండి న్యూ మెక్సికోలోని అల్బుకెర్కీలోని కిర్ట్‌ల్యాండ్ ఆర్మీ ఎయిర్ ఫీల్డ్‌కు విమానాన్ని మరియు మరో 509 వ B-29 తో పాటు వెండోవర్ (216 వ AAF బేస్ యూనిట్) లోని మాన్హాటన్ ప్రాజెక్ట్ టెస్ట్ యూనిట్ నుండి ఒకరు ప్రయాణించారు. అక్కడ ప్రతి ఒక్కటి ముగ్గురు కొవ్వు మనిషి అణు బాంబు సమావేశాలలో (ప్లూటోనియం కోర్ లేకుండా, 509 వ సిజి యొక్క సి -54 స్కైమాస్టర్ ట్రాన్స్‌పోర్ట్‌లలో ఒకదానిపై కొరియర్ ముందు రోజు నుండి బయలుదేరింది) టినియన్‌కు రవాణా చేయడానికి దాని బాంబు బేలో) లోడ్ చేసింది. ముగ్గురు బాంబర్లు జూలై 28 న కాలిఫోర్నియాలోని మాథర్ ఆర్మీ ఎయిర్ ఫీల్డ్‌కు వెళ్లారు మరియు జూలై 29 న హవాయి కోసం బయలుదేరారు. సామ్రాజ్యం చుట్టూ మరియు B-29 యొక్క ఎలివేటర్లకు ఆటంకం కలిగించింది. విమానం పైకి ఉండటానికి చాలా కష్టపడింది, కాని పైలట్లు మాథర్ వద్దకు సురక్షితంగా తిరిగి రాగలిగారు. కొన్ని ప్రధాన తోక సమావేశాలను తొలగించి, భర్తీ చేసిన తరువాత, లాగ్గిన్ 'డ్రాగన్ మరియు దాని సరుకు హవాయికి కొనసాగాయి, చివరకు ఆగస్టు 2 న టినియన్‌కు చేరుకున్నాయి. దీనికి 39 వ బాంబ్ గ్రూప్ యొక్క చదరపు పి టెయిల్ ఐడెంటిఫైయర్‌ను భద్రతా కొలతగా కేటాయించారు మరియు విక్టర్ ఇచ్చారు (యూనిట్-అస్పెడ్ గుర్తింపు) వాస్తవ 39 వ BG విమానాలతో తప్పుగా గుర్తించడానికి సంఖ్య 95. వెండోవర్‌లో ఉన్నప్పుడు విమానం పేరు పెట్టబడింది, కాని అణు మిషన్ల తర్వాత ముక్కు కళ వర్తించలేదు. ఇతర పోరాట కార్యకలాపాల్లో పాల్గొనడానికి ఇది చాలా ఆలస్యంగా వచ్చింది మరియు అణు దాడుల తరువాత రెండు ప్రాక్టీస్ విమానాలలో పాల్గొంది. ఆగష్టు 9, 1945 న, రెండవ అటామిక్ బాంబ్ మిషన్‌లో భాగంగా, నాగసాకి యొక్క ద్వితీయ లక్ష్యం కోసం వాతావరణ నిఘా విమానం వలె దీనిని మరొక సిబ్బంది ఎగురవేశారు. న్యూ మెక్సికోలోని రోస్‌వెల్ ఆర్మీ ఎయిర్ ఫీల్డ్‌లో 509 వ సిజితో ఆధారపడిన లాగ్గిన్ 'డ్రాగన్ నవంబర్ 1945 లో యునైటెడ్ స్టేట్స్‌కు తిరిగి వచ్చాడు. జూన్ 1946 లో ఇది క్వాజలీన్ ఆధారంగా ఆపరేషన్ క్రాస్‌రోడ్స్ టాస్క్‌ఫోర్స్‌లో భాగం. జూన్ 1949 లో దీనిని టెక్సాస్‌లోని బిగ్స్ ఎయిర్ ఫోర్స్ బేస్ వద్ద 97 వ బాంబ్ గ్రూపుకు బదిలీ చేశారు, మరియు ఏప్రిల్ 1950 లో టెక్సాస్లోని కెల్లీ ఎయిర్ ఫోర్స్ బేస్ మరియు టింకర్ ఎయిర్ ఫోర్స్ వద్ద ఓక్లహోమా సిటీ ఎయిర్ మెటీరియల్ ప్రాంతంలో టిబి -29 శిక్షకుడిగా మార్చబడింది బేస్. ఇది తరువాత దీనికి కేటాయించబడింది: క్రూ ఎ -2 క్రూ బి -8 (క్రమం తప్పకుండా టాప్ సీక్రెట్‌కు కేటాయించబడింది) యుఎస్‌ఎఎఫ్ 509 వ బాంబ్ వింగ్ యొక్క మూడు ఎఫ్‌బి -111 ఎ స్ట్రాటజిక్ బాంబర్లు, సీరియల్స్ 68-0269, 68-0274 మరియు 68-0284, ఈ పేరును కలిగి ఉన్నారు మరియు 1970 మరియు 1980 లలో న్యూ హాంప్‌షైర్‌లోని పీస్ ఎయిర్ ఫోర్స్ బేస్ వద్ద ఉన్నప్పుడు లాగ్గిన్ డ్రాగన్ ఆఫ్ లాగ్గిన్ డ్రాగన్ వారి నోస్‌వీల్ తలుపులపై.</v>
      </c>
      <c r="G102" s="1" t="str">
        <f>IFERROR(__xludf.DUMMYFUNCTION("GOOGLETRANSLATE(F:F,""en"", ""te"")"),"#VALUE!")</f>
        <v>#VALUE!</v>
      </c>
      <c r="L102" s="1" t="s">
        <v>1986</v>
      </c>
      <c r="M102" s="1" t="str">
        <f>IFERROR(__xludf.DUMMYFUNCTION("GOOGLETRANSLATE(L:L,""en"", ""te"")"),"గ్లెన్ ఎల్. మార్టిన్ కంపెనీ")</f>
        <v>గ్లెన్ ఎల్. మార్టిన్ కంపెనీ</v>
      </c>
      <c r="N102" s="1" t="s">
        <v>1987</v>
      </c>
      <c r="BV102" s="1" t="s">
        <v>1988</v>
      </c>
      <c r="BW102" s="1" t="s">
        <v>1989</v>
      </c>
      <c r="BX102" s="1" t="s">
        <v>1990</v>
      </c>
      <c r="CA102" s="1" t="s">
        <v>1991</v>
      </c>
      <c r="CB102" s="1" t="s">
        <v>1992</v>
      </c>
      <c r="CX102" s="1" t="s">
        <v>1993</v>
      </c>
    </row>
    <row r="103">
      <c r="A103" s="1" t="s">
        <v>1994</v>
      </c>
      <c r="B103" s="1" t="str">
        <f>IFERROR(__xludf.DUMMYFUNCTION("GOOGLETRANSLATE(A:A,""en"", ""te"")"),"లైర్డ్ పరిష్కారం")</f>
        <v>లైర్డ్ పరిష్కారం</v>
      </c>
      <c r="C103" s="1" t="s">
        <v>1995</v>
      </c>
      <c r="D103" s="1" t="str">
        <f>IFERROR(__xludf.DUMMYFUNCTION("GOOGLETRANSLATE(C:C,""en"", ""te"")"),"లైర్డ్ ఎల్‌సి-డిడబ్ల్యు సొల్యూషన్ అని కూడా పిలువబడే లైర్డ్ ద్రావణం, లైర్డ్ ఎల్‌సి-డిడబ్ల్యు 300 సూపర్ సొల్యూషన్ మరియు లైర్డ్ ఎల్‌సి-డిడబ్ల్యు 500 సూపర్ సొల్యూషన్, ట్రావెల్ ఎయిర్ మిస్టరీ షిప్ యొక్క సమస్యకు ""పరిష్కారం"" అని పేర్కొన్నారు. [1] ఈ పరిష్కారం 19"&amp;"30 థాంప్సన్ ట్రోఫీ రేసు రోజులను గెలుచుకుంది. [2] 1930 లో, మాటీ లైర్డ్ 1930 థాంప్సన్ ట్రోఫీ రేసు కోసం బి.ఎఫ్. గుడ్రిచ్ యొక్క లీ స్కోయెన్‌హైర్ చేత లైర్డ్ స్పీడ్‌వింగ్ ఆధారంగా రేసింగ్ విమానం నిర్మించడానికి నియమించబడ్డాడు. స్కోయెన్‌హైర్ ఈ ప్రాజెక్ట్ నుండి బయట"&amp;"పడ్డాడు, ఈ విమానం సమయానికి పరీక్షించబడదని నమ్ముతారు. 1930 థాంప్సన్ ట్రోఫీలో లైర్డ్ స్వయంగా చార్లెస్ ""స్పీడ్"" హోల్మాన్ పైలట్ గా ప్రవేశించాడు. [3] ద్రావణం, (రిజిస్టర్డ్ NR10538), సాంప్రదాయిక ల్యాండింగ్ గేర్‌తో కూడిన బిప్‌లేన్, వెల్డెడ్ స్టీల్ ఫ్యూజ్‌లేజ్ "&amp;"మరియు ఎయిర్క్రాఫ్ట్ ఫాబ్రిక్ కవరింగ్ కలిగి ఉంది. ఈ విమానం అదే రిజిస్ట్రేషన్ నంబర్ NR10538 ను ఉంచింది మరియు నలుపు మరియు బంగారం, తెలుపు మరియు బంగారం నుండి లావెండర్ మరియు బంగారం వరకు అనేకసార్లు పెయింట్ చేయబడింది. [4] రెండవ విమానం, (NR12048), 535 HP ప్రాట్ &amp; "&amp;"విట్నీ కందిరీగతో నడిచే లైర్డ్ LC-DW300 సూపర్ ద్రావణంగా నిర్మించబడింది, అసలు యొక్క స్థిర అండర్ క్యారేజీని నిలుపుకుంది, 1931 బెండిక్స్ ట్రోఫీ కోసం ఇది గెలిచింది, జిమ్మీ డూలిటిల్ చేత పైలట్ చేయబడింది. ఈ విమానం 1932 బెండిక్స్ ట్రోఫీ కోసం ముడుచుకునే ల్యాండింగ్ "&amp;"గేర్‌తో సవరించబడింది, కాని ఒక పరీక్ష విమానంలో గేర్ తగ్గించడంలో విఫలమైంది మరియు డూలిటిల్ విమానం నుండి బలవంతంగా ల్యాండ్ చేయవలసి వచ్చింది, రేసు నుండి ఉపసంహరించుకుంది. లైర్డ్ ద్రావణం ఏడు సంవత్సరాల కాలంలో పునరుద్ధరించబడింది మరియు న్యూ ఇంగ్లాండ్ ఎయిర్ మ్యూజియంల"&amp;"ో దాని నలుపు మరియు బంగారు పెయింట్ పథకంలో ప్రదర్శించబడింది. [7] స్కైవేస్ నుండి డేటా, రేస్ టు ది విండ్జెనరల్ క్యారెక్టరిస్టిక్స్ పనితీరు")</f>
        <v>లైర్డ్ ఎల్‌సి-డిడబ్ల్యు సొల్యూషన్ అని కూడా పిలువబడే లైర్డ్ ద్రావణం, లైర్డ్ ఎల్‌సి-డిడబ్ల్యు 300 సూపర్ సొల్యూషన్ మరియు లైర్డ్ ఎల్‌సి-డిడబ్ల్యు 500 సూపర్ సొల్యూషన్, ట్రావెల్ ఎయిర్ మిస్టరీ షిప్ యొక్క సమస్యకు "పరిష్కారం" అని పేర్కొన్నారు. [1] ఈ పరిష్కారం 1930 థాంప్సన్ ట్రోఫీ రేసు రోజులను గెలుచుకుంది. [2] 1930 లో, మాటీ లైర్డ్ 1930 థాంప్సన్ ట్రోఫీ రేసు కోసం బి.ఎఫ్. గుడ్రిచ్ యొక్క లీ స్కోయెన్‌హైర్ చేత లైర్డ్ స్పీడ్‌వింగ్ ఆధారంగా రేసింగ్ విమానం నిర్మించడానికి నియమించబడ్డాడు. స్కోయెన్‌హైర్ ఈ ప్రాజెక్ట్ నుండి బయటపడ్డాడు, ఈ విమానం సమయానికి పరీక్షించబడదని నమ్ముతారు. 1930 థాంప్సన్ ట్రోఫీలో లైర్డ్ స్వయంగా చార్లెస్ "స్పీడ్" హోల్మాన్ పైలట్ గా ప్రవేశించాడు. [3] ద్రావణం, (రిజిస్టర్డ్ NR10538), సాంప్రదాయిక ల్యాండింగ్ గేర్‌తో కూడిన బిప్‌లేన్, వెల్డెడ్ స్టీల్ ఫ్యూజ్‌లేజ్ మరియు ఎయిర్క్రాఫ్ట్ ఫాబ్రిక్ కవరింగ్ కలిగి ఉంది. ఈ విమానం అదే రిజిస్ట్రేషన్ నంబర్ NR10538 ను ఉంచింది మరియు నలుపు మరియు బంగారం, తెలుపు మరియు బంగారం నుండి లావెండర్ మరియు బంగారం వరకు అనేకసార్లు పెయింట్ చేయబడింది. [4] రెండవ విమానం, (NR12048), 535 HP ప్రాట్ &amp; విట్నీ కందిరీగతో నడిచే లైర్డ్ LC-DW300 సూపర్ ద్రావణంగా నిర్మించబడింది, అసలు యొక్క స్థిర అండర్ క్యారేజీని నిలుపుకుంది, 1931 బెండిక్స్ ట్రోఫీ కోసం ఇది గెలిచింది, జిమ్మీ డూలిటిల్ చేత పైలట్ చేయబడింది. ఈ విమానం 1932 బెండిక్స్ ట్రోఫీ కోసం ముడుచుకునే ల్యాండింగ్ గేర్‌తో సవరించబడింది, కాని ఒక పరీక్ష విమానంలో గేర్ తగ్గించడంలో విఫలమైంది మరియు డూలిటిల్ విమానం నుండి బలవంతంగా ల్యాండ్ చేయవలసి వచ్చింది, రేసు నుండి ఉపసంహరించుకుంది. లైర్డ్ ద్రావణం ఏడు సంవత్సరాల కాలంలో పునరుద్ధరించబడింది మరియు న్యూ ఇంగ్లాండ్ ఎయిర్ మ్యూజియంలో దాని నలుపు మరియు బంగారు పెయింట్ పథకంలో ప్రదర్శించబడింది. [7] స్కైవేస్ నుండి డేటా, రేస్ టు ది విండ్జెనరల్ క్యారెక్టరిస్టిక్స్ పనితీరు</v>
      </c>
      <c r="F103" s="1" t="s">
        <v>1996</v>
      </c>
      <c r="G103" s="1" t="str">
        <f>IFERROR(__xludf.DUMMYFUNCTION("GOOGLETRANSLATE(F:F,""en"", ""te"")"),"రేసింగ్ విమానం")</f>
        <v>రేసింగ్ విమానం</v>
      </c>
      <c r="H103" s="1" t="s">
        <v>1997</v>
      </c>
      <c r="I103" s="1" t="s">
        <v>158</v>
      </c>
      <c r="J103" s="1" t="str">
        <f>IFERROR(__xludf.DUMMYFUNCTION("GOOGLETRANSLATE(I:I,""en"", ""te"")"),"అమెరికా")</f>
        <v>అమెరికా</v>
      </c>
      <c r="K103" s="2" t="s">
        <v>515</v>
      </c>
      <c r="L103" s="1" t="s">
        <v>1998</v>
      </c>
      <c r="M103" s="1" t="str">
        <f>IFERROR(__xludf.DUMMYFUNCTION("GOOGLETRANSLATE(L:L,""en"", ""te"")"),"E. M. లైర్డ్ విమానం సంస్థ")</f>
        <v>E. M. లైర్డ్ విమానం సంస్థ</v>
      </c>
      <c r="N103" s="1" t="s">
        <v>1999</v>
      </c>
      <c r="O103" s="1">
        <v>1930.0</v>
      </c>
      <c r="R103" s="1">
        <v>1.0</v>
      </c>
      <c r="S103" s="1" t="s">
        <v>164</v>
      </c>
      <c r="U103" s="1" t="s">
        <v>645</v>
      </c>
      <c r="X103" s="1" t="s">
        <v>2000</v>
      </c>
      <c r="AA103" s="1" t="s">
        <v>2001</v>
      </c>
      <c r="AE103" s="1" t="s">
        <v>2002</v>
      </c>
      <c r="AG103" s="1" t="s">
        <v>208</v>
      </c>
      <c r="AH103" s="1" t="s">
        <v>2003</v>
      </c>
      <c r="AM103" s="1" t="s">
        <v>2004</v>
      </c>
      <c r="AN103" s="1" t="s">
        <v>2005</v>
      </c>
      <c r="AQ103" s="1" t="s">
        <v>2006</v>
      </c>
      <c r="AS103" s="1" t="s">
        <v>2007</v>
      </c>
    </row>
    <row r="104">
      <c r="A104" s="1" t="s">
        <v>2008</v>
      </c>
      <c r="B104" s="1" t="str">
        <f>IFERROR(__xludf.DUMMYFUNCTION("GOOGLETRANSLATE(A:A,""en"", ""te"")"),"లాన్సైర్ లెగసీ")</f>
        <v>లాన్సైర్ లెగసీ</v>
      </c>
      <c r="C104" s="1" t="s">
        <v>2009</v>
      </c>
      <c r="D104" s="1" t="str">
        <f>IFERROR(__xludf.DUMMYFUNCTION("GOOGLETRANSLATE(C:C,""en"", ""te"")"),"లాన్సైర్ లెగసీ, లాన్సైర్ 320 యొక్క ఆధునికీకరించిన సంస్కరణ, తక్కువ-వింగ్ రెండు-ప్రదేశాలు ముడుచుకునే-గేర్ మిశ్రమ మోనోప్లేన్, దీనిని యుఎస్ కంపెనీ లాన్సైర్ తయారు చేసింది. ఇది 2011 లో US $ 71,500 ఖర్చు చేసే కిట్‌గా లభిస్తుంది. [1] స్థిర-గేర్ వెర్షన్ కూడా ఉంది,"&amp;" లెగసీ FG. లెగసీ క్రూయిజ్‌ల యొక్క ముడుచుకునే సంస్కరణ 276 mph వద్ద 8,000 అడుగుల వద్ద మరియు స్థిర గేర్ వెర్షన్ 215 mph వద్ద క్రూయిజ్ చేస్తుంది. [1] [2] [3] లెగసీలో కాంటిలివర్ లో వింగ్, బబుల్ పందిరి కింద రెండు-సైడ్-సైడ్-సైడ్ కాన్ఫిగరేషన్ పరివేష్టిత కాక్‌పిట్"&amp;", స్థిర లేదా ముడుచుకునే ట్రైసైకిల్ ల్యాండింగ్ గేర్ మరియు ట్రాక్టర్ కాన్ఫిగరేషన్‌లో ఒకే ఇంజిన్ ఉన్నాయి. [3] [4] ఈ విమానం వాక్యూమ్-ఫార్మ్డ్ కాంపోజిట్ శాండ్‌విచ్‌ల నుండి తయారవుతుంది. దాని 7.8 మీ (25.6 అడుగులు) స్పాన్ వింగ్ వింగ్ రూట్ వద్ద కోల్ సిజి 10 ఎయిర్‌"&amp;"ఫాయిల్‌ను మరియు వింగ్‌టిప్ వద్ద కోల్ జిసి 11 ఎయిర్‌ఫాయిల్‌ను ఉపయోగిస్తుంది. వింగ్ 7.6 మీ 2 (82 చదరపు అడుగులు) మరియు ఫ్లాప్‌లను మౌంట్ చేస్తుంది. ఈ విమానం 200 నుండి 310 హెచ్‌పి (149 నుండి 231 కిలోవాట్) ఇంజిన్‌లను అంగీకరించవచ్చు. ఉపయోగించిన ప్రామాణిక ఇంజిన్ "&amp;"310 HP (231 kW) కాంటినెంటల్ IO-550, అయితే 200 HP (149 kW) లైమింగ్ IO-360 నాలుగు-స్ట్రోక్ పవర్‌ప్లాంట్‌ను అమర్చవచ్చు. [3] [4] [5] నాలుగు లాన్సైర్ లెగసీ విమానం 2012, 2013, 2014 మరియు 2016 లో EAA ఎయిర్‌వెంచర్ ఎయిర్‌షోలో గ్రాండ్ ఛాంపియన్ కిట్ బిల్ట్ అవార్డును"&amp;" గెలుచుకుంది. [6] [7] [8] [9] మే 2016 లో, లాన్సైర్ తయారీని కొనసాగించడానికి అవసరమైన గణనీయమైన పెట్టుబడుల కారణంగా కంపెనీ కొత్త లెగసీ ఎయిర్క్రాఫ్ట్ కిట్ల ఉత్పత్తిని ముగిస్తోందని ప్రకటించింది. ఈ సంస్థ 2017 లో ఈ మార్గాన్ని మార్క్ మరియు కాన్రాడ్ హఫ్‌స్టూట్‌లకు వ"&amp;"ిక్రయించింది, ఇప్పుడు టెక్సాస్‌లోని ఉవాల్డేలో లాన్సైర్ ఇంటర్నేషనల్, ఎల్‌ఎల్‌సిగా ఈ డిజైన్‌ను నిర్మించారు. [10] [11] [12] 2009 లో కొలంబియన్ వైమానిక దళం 25 సవరించిన లెగసీ ఎఫ్‌జిలను ప్రాథమిక శిక్షకులుగా ఉపయోగించాలని ఆదేశించింది. ఈ విమానం ప్రామాణిక లెగసీ ఎఫ్‌"&amp;"జి వింగ్, ప్రముఖ-అంచు కఫ్‌లు మరియు వెంట్రల్ ఫిన్ కంటే 15% ఎక్కువ రెక్కల విస్తీర్ణాన్ని కలిగి ఉంటుంది, ఇది పున hap రూపకల్పన నిలువు తోక మరియు చుక్కలతో పాటు స్థిరత్వం మరియు తక్కువ-స్పీడ్ నిర్వహణను మెరుగుపరచడానికి. ఈ విమానం లాన్సైర్ సినర్జీ అని పిలుస్తారు మరి"&amp;"యు కొలంబియాలో అసెంబ్లీ కోసం కిట్‌లుగా పంపిణీ చేయబడ్డారు. మొదటి సినర్జీ సెప్టెంబర్ 2010 లో ఎగురవేయబడింది. [15] [16] [17] లాన్సైర్ లెగసీ వెబ్‌పేజీ నుండి డేటా [2] సాధారణ లక్షణాల పనితీరు")</f>
        <v>లాన్సైర్ లెగసీ, లాన్సైర్ 320 యొక్క ఆధునికీకరించిన సంస్కరణ, తక్కువ-వింగ్ రెండు-ప్రదేశాలు ముడుచుకునే-గేర్ మిశ్రమ మోనోప్లేన్, దీనిని యుఎస్ కంపెనీ లాన్సైర్ తయారు చేసింది. ఇది 2011 లో US $ 71,500 ఖర్చు చేసే కిట్‌గా లభిస్తుంది. [1] స్థిర-గేర్ వెర్షన్ కూడా ఉంది, లెగసీ FG. లెగసీ క్రూయిజ్‌ల యొక్క ముడుచుకునే సంస్కరణ 276 mph వద్ద 8,000 అడుగుల వద్ద మరియు స్థిర గేర్ వెర్షన్ 215 mph వద్ద క్రూయిజ్ చేస్తుంది. [1] [2] [3] లెగసీలో కాంటిలివర్ లో వింగ్, బబుల్ పందిరి కింద రెండు-సైడ్-సైడ్-సైడ్ కాన్ఫిగరేషన్ పరివేష్టిత కాక్‌పిట్, స్థిర లేదా ముడుచుకునే ట్రైసైకిల్ ల్యాండింగ్ గేర్ మరియు ట్రాక్టర్ కాన్ఫిగరేషన్‌లో ఒకే ఇంజిన్ ఉన్నాయి. [3] [4] ఈ విమానం వాక్యూమ్-ఫార్మ్డ్ కాంపోజిట్ శాండ్‌విచ్‌ల నుండి తయారవుతుంది. దాని 7.8 మీ (25.6 అడుగులు) స్పాన్ వింగ్ వింగ్ రూట్ వద్ద కోల్ సిజి 10 ఎయిర్‌ఫాయిల్‌ను మరియు వింగ్‌టిప్ వద్ద కోల్ జిసి 11 ఎయిర్‌ఫాయిల్‌ను ఉపయోగిస్తుంది. వింగ్ 7.6 మీ 2 (82 చదరపు అడుగులు) మరియు ఫ్లాప్‌లను మౌంట్ చేస్తుంది. ఈ విమానం 200 నుండి 310 హెచ్‌పి (149 నుండి 231 కిలోవాట్) ఇంజిన్‌లను అంగీకరించవచ్చు. ఉపయోగించిన ప్రామాణిక ఇంజిన్ 310 HP (231 kW) కాంటినెంటల్ IO-550, అయితే 200 HP (149 kW) లైమింగ్ IO-360 నాలుగు-స్ట్రోక్ పవర్‌ప్లాంట్‌ను అమర్చవచ్చు. [3] [4] [5] నాలుగు లాన్సైర్ లెగసీ విమానం 2012, 2013, 2014 మరియు 2016 లో EAA ఎయిర్‌వెంచర్ ఎయిర్‌షోలో గ్రాండ్ ఛాంపియన్ కిట్ బిల్ట్ అవార్డును గెలుచుకుంది. [6] [7] [8] [9] మే 2016 లో, లాన్సైర్ తయారీని కొనసాగించడానికి అవసరమైన గణనీయమైన పెట్టుబడుల కారణంగా కంపెనీ కొత్త లెగసీ ఎయిర్క్రాఫ్ట్ కిట్ల ఉత్పత్తిని ముగిస్తోందని ప్రకటించింది. ఈ సంస్థ 2017 లో ఈ మార్గాన్ని మార్క్ మరియు కాన్రాడ్ హఫ్‌స్టూట్‌లకు విక్రయించింది, ఇప్పుడు టెక్సాస్‌లోని ఉవాల్డేలో లాన్సైర్ ఇంటర్నేషనల్, ఎల్‌ఎల్‌సిగా ఈ డిజైన్‌ను నిర్మించారు. [10] [11] [12] 2009 లో కొలంబియన్ వైమానిక దళం 25 సవరించిన లెగసీ ఎఫ్‌జిలను ప్రాథమిక శిక్షకులుగా ఉపయోగించాలని ఆదేశించింది. ఈ విమానం ప్రామాణిక లెగసీ ఎఫ్‌జి వింగ్, ప్రముఖ-అంచు కఫ్‌లు మరియు వెంట్రల్ ఫిన్ కంటే 15% ఎక్కువ రెక్కల విస్తీర్ణాన్ని కలిగి ఉంటుంది, ఇది పున hap రూపకల్పన నిలువు తోక మరియు చుక్కలతో పాటు స్థిరత్వం మరియు తక్కువ-స్పీడ్ నిర్వహణను మెరుగుపరచడానికి. ఈ విమానం లాన్సైర్ సినర్జీ అని పిలుస్తారు మరియు కొలంబియాలో అసెంబ్లీ కోసం కిట్‌లుగా పంపిణీ చేయబడ్డారు. మొదటి సినర్జీ సెప్టెంబర్ 2010 లో ఎగురవేయబడింది. [15] [16] [17] లాన్సైర్ లెగసీ వెబ్‌పేజీ నుండి డేటా [2] సాధారణ లక్షణాల పనితీరు</v>
      </c>
      <c r="E104" s="1" t="s">
        <v>2010</v>
      </c>
      <c r="F104" s="1" t="s">
        <v>1336</v>
      </c>
      <c r="G104" s="1" t="str">
        <f>IFERROR(__xludf.DUMMYFUNCTION("GOOGLETRANSLATE(F:F,""en"", ""te"")"),"కిట్ విమానం")</f>
        <v>కిట్ విమానం</v>
      </c>
      <c r="H104" s="1" t="s">
        <v>1337</v>
      </c>
      <c r="I104" s="1" t="s">
        <v>158</v>
      </c>
      <c r="J104" s="1" t="str">
        <f>IFERROR(__xludf.DUMMYFUNCTION("GOOGLETRANSLATE(I:I,""en"", ""te"")"),"అమెరికా")</f>
        <v>అమెరికా</v>
      </c>
      <c r="K104" s="1" t="s">
        <v>159</v>
      </c>
      <c r="L104" s="1" t="s">
        <v>2011</v>
      </c>
      <c r="M104" s="1" t="str">
        <f>IFERROR(__xludf.DUMMYFUNCTION("GOOGLETRANSLATE(L:L,""en"", ""te"")"),"లాన్సైర్")</f>
        <v>లాన్సైర్</v>
      </c>
      <c r="N104" s="2" t="s">
        <v>2012</v>
      </c>
      <c r="S104" s="1" t="s">
        <v>164</v>
      </c>
      <c r="T104" s="1" t="s">
        <v>165</v>
      </c>
      <c r="U104" s="1" t="s">
        <v>1853</v>
      </c>
      <c r="W104" s="1" t="s">
        <v>2013</v>
      </c>
      <c r="X104" s="1" t="s">
        <v>500</v>
      </c>
      <c r="Y104" s="1" t="s">
        <v>412</v>
      </c>
      <c r="Z104" s="1" t="s">
        <v>2014</v>
      </c>
      <c r="AA104" s="1" t="s">
        <v>2015</v>
      </c>
      <c r="AB104" s="1" t="s">
        <v>2016</v>
      </c>
      <c r="AD104" s="1" t="s">
        <v>2017</v>
      </c>
      <c r="AE104" s="1" t="s">
        <v>2018</v>
      </c>
      <c r="AF104" s="1" t="s">
        <v>2019</v>
      </c>
      <c r="AG104" s="1" t="s">
        <v>208</v>
      </c>
      <c r="AH104" s="1" t="s">
        <v>2020</v>
      </c>
      <c r="AI104" s="1" t="s">
        <v>2021</v>
      </c>
      <c r="AK104" s="1" t="s">
        <v>2022</v>
      </c>
      <c r="AL104" s="1" t="s">
        <v>2023</v>
      </c>
      <c r="AQ104" s="1" t="s">
        <v>2024</v>
      </c>
      <c r="AR104" s="1" t="s">
        <v>2025</v>
      </c>
      <c r="AS104" s="1" t="s">
        <v>2026</v>
      </c>
      <c r="AU104" s="1" t="s">
        <v>2027</v>
      </c>
      <c r="AV104" s="1" t="s">
        <v>2028</v>
      </c>
      <c r="BA104" s="1" t="s">
        <v>2029</v>
      </c>
      <c r="BD104" s="1">
        <v>7.95</v>
      </c>
      <c r="BE104" s="1" t="s">
        <v>2030</v>
      </c>
    </row>
    <row r="105">
      <c r="A105" s="1" t="s">
        <v>2031</v>
      </c>
      <c r="B105" s="1" t="str">
        <f>IFERROR(__xludf.DUMMYFUNCTION("GOOGLETRANSLATE(A:A,""en"", ""te"")"),"లైట్ హెలికాప్టర్ ప్రయోగాత్మక")</f>
        <v>లైట్ హెలికాప్టర్ ప్రయోగాత్మక</v>
      </c>
      <c r="C105" s="1" t="s">
        <v>2032</v>
      </c>
      <c r="D105" s="1" t="str">
        <f>IFERROR(__xludf.DUMMYFUNCTION("GOOGLETRANSLATE(C:C,""en"", ""te"")"),"లైట్ హెలికాప్టర్ ఎక్స్‌పెరిమెంటల్ (ఎల్‌హెచ్‌ఎక్స్) కార్యక్రమం 1980 ల యునైటెడ్ స్టేట్స్ ఆర్మీ హెలికాప్టర్ ప్రొక్యూర్‌మెంట్ ప్రాజెక్ట్, ఇది AH-1 కోబ్రా మరియు OH-58 కియోవా హెలికాప్టర్లను భర్తీ చేస్తుంది. LHX కార్యక్రమానికి మద్దతుగా, యునైటెడ్ స్టేట్స్ ఆర్మీ అ"&amp;"న్ని-సమ్మేళనం హెలికాప్టర్ ఫ్యూజ్‌లేజ్‌ను అభివృద్ధి చేయడానికి అడ్వాన్స్‌డ్ కాంపోజిట్ ఎయిర్‌ఫ్రేమ్ ప్రోగ్రామ్ (ACAP) ను ప్రారంభించింది. [1] ఫిబ్రవరి 1981 లో, సికోర్స్కీ (సికోర్స్కీ ఎస్ -75 కోసం) మరియు బెల్ హెలికాప్టర్ (బెల్ డి -292 కోసం) కు ఒప్పందాలు ఇవ్వబడ"&amp;"్డాయి. 1982 లో పూర్తయిన ఆర్మీ ఏవియేషన్ మిషన్ ఏరియా విశ్లేషణ, ప్రస్తుత మెటీరియల్ మరియు సిద్ధాంతంలో లోపాలను గుర్తించింది, కొత్త ఎయిర్‌ల్యాండ్ యుద్ధ సిద్ధాంతం యొక్క అవసరాలను తీర్చడానికి పరిష్కరించాల్సిన అవసరం ఉంది. నిర్దిష్ట పదార్థ లోపాలు LHX ప్రోగ్రామ్ ద్వా"&amp;"రా పరిష్కరించబడతాయి. [2] 1982 లో యు.ఎస్. ఆర్మీ UH-1, AH-1, OH-6 మరియు OH-58 హెలికాప్టర్లను భర్తీ చేయడానికి లైట్ హెలికాప్టర్ ప్రయోగాత్మక (LHX) కార్యక్రమాన్ని ప్రారంభించింది. ఆగష్టు 1986 లో, డిఫెన్స్ సైన్స్ బోర్డ్ రివ్యూలో సైన్యం ప్రోగ్రామ్ డెవలప్‌మెంట్ కోణ"&amp;"ంలో స్టవ్‌పిపింగ్‌తో బాధపడుతుందని, మరియు పెట్టె వెలుపల ఆలోచించలేనని వెల్లడించింది. తగినంత రిస్క్ మేనేజ్‌మెంట్ లేకుండా సైన్యం చాలా ముందుగానే అవసరాలను పటిష్టం చేసింది. సింగిల్-క్రూ వెర్షన్ ప్రారంభ అవసరం, కానీ ప్రమాదకర ఎలక్ట్రానిక్ ప్యాకేజీ యొక్క విజయవంతమైన "&amp;"అభివృద్ధిపై ఆధారపడి ఉంటుంది. [3] ప్రారంభ భావనలలో యుటిలిటీ మరియు స్కౌట్/అటాక్ వెర్షన్లు రెండూ ఉన్నాయి, కానీ 1988 నాటికి యుటిలిటీ కాన్సెప్ట్ తొలగించబడింది. [4] కొత్త హెలికాప్టర్ రకానికి ప్రతిపాదనల కోసం ఒక అభ్యర్థన జూన్ 1988 లో విడుదలైంది. అక్టోబర్ 1988 లో, "&amp;"బోయింగ్-సికోర్స్కీ మరియు బెల్-మెక్‌డోనెల్ డగ్లస్ జట్లు వారి డిజైన్ల కోసం ఒప్పందాలను అందుకున్నాయి. [5] బెల్-మెక్‌డోనెల్ డగ్లస్ డిజైన్ సంయుక్త వింగ్/స్పాన్సన్‌లో ఆర్డినెన్స్ క్యారేజీని కలిగి ఉంది మరియు తోక రోటర్‌కు బదులుగా నోటార్ డక్టెడ్ ఎగ్జాస్ట్ సిస్టమ్‌న"&amp;"ు ఉపయోగించింది. బోయింగ్-సికోర్స్కీ డిజైన్ ఫ్యూజ్‌లేజ్ వైపులా పైకి స్వింగింగ్ గల్-వింగ్ తలుపుల లోపల ఆర్డినెన్స్ తీసుకువెళ్ళింది మరియు ఫెనెస్ట్రాన్ టెయిల్ రోటర్‌ను కలిగి ఉంది. ప్రోగ్రామ్ పేరు 1990 లో లైట్ హెలికాప్టర్ (LH) గా మార్చబడింది. [6] ఏప్రిల్ 1991 లో"&amp;", బోయింగ్-సికోర్స్కీ బృందాన్ని పోటీ విజేతగా ఎంపిక చేశారు మరియు నాలుగు ప్రోటోటైప్‌లను నిర్మించడానికి ఒక ఒప్పందాన్ని అందుకున్నారు. [7] ఆ నెలలో, హెలికాప్టర్‌ను సైన్యం ""రాహ్ -66 కోమంచె"" గా నియమించారు. [7] మార్చి 2004 లో, ఆర్మీ చీఫ్ ఆఫ్ స్టాఫ్ కోమంచె కార్యక్"&amp;"రమాన్ని ముగించారు. రద్దు అనేక కారణాల వల్ల జరిగింది; వాటిలో అవాస్తవమైన మరియు సాధించలేని విస్తృతమైన అవసరాలు, పెరుగుతున్న ఉత్పత్తి వ్యయం, మారుతున్న విమానయాన మిషన్ ఆఫ్ ది ఆర్మీ (మారుతున్న ముప్పు వాతావరణాన్ని పరిగణనలోకి తీసుకోవడం), ఇతర క్లిష్టమైన విమానయాన అవసర"&amp;"ాలకు తగిన నిధులు లేకపోవడం, కొన్ని తక్కువ ప్రమాదాన్ని సాధించకపోవడం కీ టెక్నాలజీస్ మరియు దీర్ఘకాలిక గ్రూప్ థింక్. [8]")</f>
        <v>లైట్ హెలికాప్టర్ ఎక్స్‌పెరిమెంటల్ (ఎల్‌హెచ్‌ఎక్స్) కార్యక్రమం 1980 ల యునైటెడ్ స్టేట్స్ ఆర్మీ హెలికాప్టర్ ప్రొక్యూర్‌మెంట్ ప్రాజెక్ట్, ఇది AH-1 కోబ్రా మరియు OH-58 కియోవా హెలికాప్టర్లను భర్తీ చేస్తుంది. LHX కార్యక్రమానికి మద్దతుగా, యునైటెడ్ స్టేట్స్ ఆర్మీ అన్ని-సమ్మేళనం హెలికాప్టర్ ఫ్యూజ్‌లేజ్‌ను అభివృద్ధి చేయడానికి అడ్వాన్స్‌డ్ కాంపోజిట్ ఎయిర్‌ఫ్రేమ్ ప్రోగ్రామ్ (ACAP) ను ప్రారంభించింది. [1] ఫిబ్రవరి 1981 లో, సికోర్స్కీ (సికోర్స్కీ ఎస్ -75 కోసం) మరియు బెల్ హెలికాప్టర్ (బెల్ డి -292 కోసం) కు ఒప్పందాలు ఇవ్వబడ్డాయి. 1982 లో పూర్తయిన ఆర్మీ ఏవియేషన్ మిషన్ ఏరియా విశ్లేషణ, ప్రస్తుత మెటీరియల్ మరియు సిద్ధాంతంలో లోపాలను గుర్తించింది, కొత్త ఎయిర్‌ల్యాండ్ యుద్ధ సిద్ధాంతం యొక్క అవసరాలను తీర్చడానికి పరిష్కరించాల్సిన అవసరం ఉంది. నిర్దిష్ట పదార్థ లోపాలు LHX ప్రోగ్రామ్ ద్వారా పరిష్కరించబడతాయి. [2] 1982 లో యు.ఎస్. ఆర్మీ UH-1, AH-1, OH-6 మరియు OH-58 హెలికాప్టర్లను భర్తీ చేయడానికి లైట్ హెలికాప్టర్ ప్రయోగాత్మక (LHX) కార్యక్రమాన్ని ప్రారంభించింది. ఆగష్టు 1986 లో, డిఫెన్స్ సైన్స్ బోర్డ్ రివ్యూలో సైన్యం ప్రోగ్రామ్ డెవలప్‌మెంట్ కోణంలో స్టవ్‌పిపింగ్‌తో బాధపడుతుందని, మరియు పెట్టె వెలుపల ఆలోచించలేనని వెల్లడించింది. తగినంత రిస్క్ మేనేజ్‌మెంట్ లేకుండా సైన్యం చాలా ముందుగానే అవసరాలను పటిష్టం చేసింది. సింగిల్-క్రూ వెర్షన్ ప్రారంభ అవసరం, కానీ ప్రమాదకర ఎలక్ట్రానిక్ ప్యాకేజీ యొక్క విజయవంతమైన అభివృద్ధిపై ఆధారపడి ఉంటుంది. [3] ప్రారంభ భావనలలో యుటిలిటీ మరియు స్కౌట్/అటాక్ వెర్షన్లు రెండూ ఉన్నాయి, కానీ 1988 నాటికి యుటిలిటీ కాన్సెప్ట్ తొలగించబడింది. [4] కొత్త హెలికాప్టర్ రకానికి ప్రతిపాదనల కోసం ఒక అభ్యర్థన జూన్ 1988 లో విడుదలైంది. అక్టోబర్ 1988 లో, బోయింగ్-సికోర్స్కీ మరియు బెల్-మెక్‌డోనెల్ డగ్లస్ జట్లు వారి డిజైన్ల కోసం ఒప్పందాలను అందుకున్నాయి. [5] బెల్-మెక్‌డోనెల్ డగ్లస్ డిజైన్ సంయుక్త వింగ్/స్పాన్సన్‌లో ఆర్డినెన్స్ క్యారేజీని కలిగి ఉంది మరియు తోక రోటర్‌కు బదులుగా నోటార్ డక్టెడ్ ఎగ్జాస్ట్ సిస్టమ్‌ను ఉపయోగించింది. బోయింగ్-సికోర్స్కీ డిజైన్ ఫ్యూజ్‌లేజ్ వైపులా పైకి స్వింగింగ్ గల్-వింగ్ తలుపుల లోపల ఆర్డినెన్స్ తీసుకువెళ్ళింది మరియు ఫెనెస్ట్రాన్ టెయిల్ రోటర్‌ను కలిగి ఉంది. ప్రోగ్రామ్ పేరు 1990 లో లైట్ హెలికాప్టర్ (LH) గా మార్చబడింది. [6] ఏప్రిల్ 1991 లో, బోయింగ్-సికోర్స్కీ బృందాన్ని పోటీ విజేతగా ఎంపిక చేశారు మరియు నాలుగు ప్రోటోటైప్‌లను నిర్మించడానికి ఒక ఒప్పందాన్ని అందుకున్నారు. [7] ఆ నెలలో, హెలికాప్టర్‌ను సైన్యం "రాహ్ -66 కోమంచె" గా నియమించారు. [7] మార్చి 2004 లో, ఆర్మీ చీఫ్ ఆఫ్ స్టాఫ్ కోమంచె కార్యక్రమాన్ని ముగించారు. రద్దు అనేక కారణాల వల్ల జరిగింది; వాటిలో అవాస్తవమైన మరియు సాధించలేని విస్తృతమైన అవసరాలు, పెరుగుతున్న ఉత్పత్తి వ్యయం, మారుతున్న విమానయాన మిషన్ ఆఫ్ ది ఆర్మీ (మారుతున్న ముప్పు వాతావరణాన్ని పరిగణనలోకి తీసుకోవడం), ఇతర క్లిష్టమైన విమానయాన అవసరాలకు తగిన నిధులు లేకపోవడం, కొన్ని తక్కువ ప్రమాదాన్ని సాధించకపోవడం కీ టెక్నాలజీస్ మరియు దీర్ఘకాలిక గ్రూప్ థింక్. [8]</v>
      </c>
      <c r="E105" s="1" t="s">
        <v>2033</v>
      </c>
      <c r="G105" s="1" t="str">
        <f>IFERROR(__xludf.DUMMYFUNCTION("GOOGLETRANSLATE(F:F,""en"", ""te"")"),"#VALUE!")</f>
        <v>#VALUE!</v>
      </c>
      <c r="CY105" s="1" t="s">
        <v>2034</v>
      </c>
      <c r="CZ105" s="1" t="s">
        <v>2035</v>
      </c>
      <c r="DA105" s="1" t="s">
        <v>1253</v>
      </c>
      <c r="DB105" s="1" t="s">
        <v>2036</v>
      </c>
      <c r="DC105" s="1" t="s">
        <v>2037</v>
      </c>
      <c r="DD105" s="1" t="s">
        <v>2038</v>
      </c>
      <c r="DE105" s="1" t="s">
        <v>2039</v>
      </c>
      <c r="DF105" s="1" t="s">
        <v>2040</v>
      </c>
      <c r="DG105" s="1" t="s">
        <v>2041</v>
      </c>
    </row>
    <row r="106">
      <c r="A106" s="1" t="s">
        <v>2042</v>
      </c>
      <c r="B106" s="1" t="str">
        <f>IFERROR(__xludf.DUMMYFUNCTION("GOOGLETRANSLATE(A:A,""en"", ""te"")"),"లోహెల్ స్పాడ్ XIII")</f>
        <v>లోహెల్ స్పాడ్ XIII</v>
      </c>
      <c r="C106" s="1" t="s">
        <v>2043</v>
      </c>
      <c r="D106" s="1" t="str">
        <f>IFERROR(__xludf.DUMMYFUNCTION("GOOGLETRANSLATE(C:C,""en"", ""te"")"),"లోహెల్ స్పాడ్ XIII అనేది ఒక అమెరికన్ సింగిల్-సీట్ అల్ట్రాలైట్ ఎయిర్క్రాఫ్ట్ స్కేల్ ప్రతిరూపం, ఇది మొదటి ప్రపంచ యుద్ధం స్పాడ్ XIII ఫైటర్, కిట్ రూపంలో te త్సాహిక నిర్మాణం కోసం లోహెల్ ఎయిర్క్రాఫ్ట్ చేత ఉత్పత్తి చేయబడింది. తేలికపాటి ఇంజిన్‌ను కలిగి ఉన్నప్పుడు"&amp;" విమానం యుఎస్ ఫార్ 103 అల్ట్రాలైట్ వాహనాల నిబంధనల అవసరాలను తీరుస్తుంది. [1] [2] [3] [4] [5] [6] [7] [8] [9] [10] . ల్యాండింగ్ గేర్ సాంప్రదాయిక కాన్ఫిగరేషన్ను కలిగి ఉంటుంది, తోక స్కిడ్ ఉంటుంది. స్కేల్ అవసరాలకు కాక్‌పిట్ (46 సెం.మీ) వెడల్పులో 18 మాత్రమే. [1"&amp;"] [2] [3] [9] డిజైన్ కోసం సిఫారసు చేయబడిన ప్రామాణిక ఇంజిన్ అవుట్-ఆఫ్-ప్రొడక్షన్ 28 హెచ్‌పి (21 కిలోవాట్) రోటాక్స్ 277, అవుట్-ఆఫ్-ప్రొడక్షన్ 35 హెచ్‌పి (26 కిలోవాట్) రోటాక్స్ 377 కూడా ఒక ఎంపికగా ఉంది. ఇతర సిఫార్సు చేసిన ఇంజన్లు 40 హెచ్‌పి (30 కిలోవాట్ల) రో"&amp;"టాక్స్ 447 మరియు 2 ఎస్ఐ పవర్‌ప్లాంట్లు, రెండూ కూడా ఉత్పత్తికి లేవు. కిట్ ఎంపికలలో బ్రేక్‌లు మరియు సుదూర ఇంధన ట్యాంక్ ఉన్నాయి. [1] [2] [3] [9] లైన్‌లోని ప్రారంభ విమానం మొదటి ప్రపంచ యుద్ధం స్పాడ్ XIII యొక్క స్కేల్ ప్రతిరూపం. వేర్వేరు రడ్డర్లు, వింగ్‌టిప్స్,"&amp;" కౌనింగ్‌లు మరియు ఇతర చిన్న సౌందర్య తేడాలను ఇతర మొదటి ప్రపంచ యుద్ధ పోరాట యోధుల ప్రతిరూపంగా ఉపయోగించినప్పటికీ, అదే ప్రాథమిక ఎయిర్‌ఫ్రేమ్ అభివృద్ధి చేయబడింది. [1] [2] [3] [9] సమీక్షకుడు ఆండ్రీ క్లిచ్ స్పాడ్ XIII గురించి, ఇది ""మ్యూజియం ముక్కలా కనిపిస్తుంది."&amp;" అయితే మీరు ఈ మ్యూజియం భాగాన్ని ఎగరగలరని imagine హించుకోండి మరియు WWI పైలట్లు తమ యుద్ధ యంత్రాలను ఎగరవేసినప్పుడు వారు ఏమి అనుభూతి చెందారు."" [1] సమీక్షకులు రాయ్ బీస్వెంజర్ మరియు మారినో బోరిక్ 2015 సమీక్షలో ఇలా వ్రాశాడు, ""కిట్ చాలా పూర్తి మరియు బిల్డర్-ఫ్ర"&amp;"ెండ్లీగా ఉంది, మీ డాన్ పెట్రోలింగ్ కోసం బయలుదేరే ముందు ఫాబ్రిక్ కవరింగ్, పెయింట్ వర్క్ మరియు ఇంజిన్ మరియు పరికరాల అమరిక మాత్రమే మీకు వదిలివేస్తుంది."" [11] డేటా నుండి డేటా. "" కిట్‌ప్లాన్లు [3] మరియు లోహెల్ [2] సాధారణ లక్షణాల పనితీరు")</f>
        <v>లోహెల్ స్పాడ్ XIII అనేది ఒక అమెరికన్ సింగిల్-సీట్ అల్ట్రాలైట్ ఎయిర్క్రాఫ్ట్ స్కేల్ ప్రతిరూపం, ఇది మొదటి ప్రపంచ యుద్ధం స్పాడ్ XIII ఫైటర్, కిట్ రూపంలో te త్సాహిక నిర్మాణం కోసం లోహెల్ ఎయిర్క్రాఫ్ట్ చేత ఉత్పత్తి చేయబడింది. తేలికపాటి ఇంజిన్‌ను కలిగి ఉన్నప్పుడు విమానం యుఎస్ ఫార్ 103 అల్ట్రాలైట్ వాహనాల నిబంధనల అవసరాలను తీరుస్తుంది. [1] [2] [3] [4] [5] [6] [7] [8] [9] [10] . ల్యాండింగ్ గేర్ సాంప్రదాయిక కాన్ఫిగరేషన్ను కలిగి ఉంటుంది, తోక స్కిడ్ ఉంటుంది. స్కేల్ అవసరాలకు కాక్‌పిట్ (46 సెం.మీ) వెడల్పులో 18 మాత్రమే. [1] [2] [3] [9] డిజైన్ కోసం సిఫారసు చేయబడిన ప్రామాణిక ఇంజిన్ అవుట్-ఆఫ్-ప్రొడక్షన్ 28 హెచ్‌పి (21 కిలోవాట్) రోటాక్స్ 277, అవుట్-ఆఫ్-ప్రొడక్షన్ 35 హెచ్‌పి (26 కిలోవాట్) రోటాక్స్ 377 కూడా ఒక ఎంపికగా ఉంది. ఇతర సిఫార్సు చేసిన ఇంజన్లు 40 హెచ్‌పి (30 కిలోవాట్ల) రోటాక్స్ 447 మరియు 2 ఎస్ఐ పవర్‌ప్లాంట్లు, రెండూ కూడా ఉత్పత్తికి లేవు. కిట్ ఎంపికలలో బ్రేక్‌లు మరియు సుదూర ఇంధన ట్యాంక్ ఉన్నాయి. [1] [2] [3] [9] లైన్‌లోని ప్రారంభ విమానం మొదటి ప్రపంచ యుద్ధం స్పాడ్ XIII యొక్క స్కేల్ ప్రతిరూపం. వేర్వేరు రడ్డర్లు, వింగ్‌టిప్స్, కౌనింగ్‌లు మరియు ఇతర చిన్న సౌందర్య తేడాలను ఇతర మొదటి ప్రపంచ యుద్ధ పోరాట యోధుల ప్రతిరూపంగా ఉపయోగించినప్పటికీ, అదే ప్రాథమిక ఎయిర్‌ఫ్రేమ్ అభివృద్ధి చేయబడింది. [1] [2] [3] [9] సమీక్షకుడు ఆండ్రీ క్లిచ్ స్పాడ్ XIII గురించి, ఇది "మ్యూజియం ముక్కలా కనిపిస్తుంది. అయితే మీరు ఈ మ్యూజియం భాగాన్ని ఎగరగలరని imagine హించుకోండి మరియు WWI పైలట్లు తమ యుద్ధ యంత్రాలను ఎగరవేసినప్పుడు వారు ఏమి అనుభూతి చెందారు." [1] సమీక్షకులు రాయ్ బీస్వెంజర్ మరియు మారినో బోరిక్ 2015 సమీక్షలో ఇలా వ్రాశాడు, "కిట్ చాలా పూర్తి మరియు బిల్డర్-ఫ్రెండ్లీగా ఉంది, మీ డాన్ పెట్రోలింగ్ కోసం బయలుదేరే ముందు ఫాబ్రిక్ కవరింగ్, పెయింట్ వర్క్ మరియు ఇంజిన్ మరియు పరికరాల అమరిక మాత్రమే మీకు వదిలివేస్తుంది." [11] డేటా నుండి డేటా. " కిట్‌ప్లాన్లు [3] మరియు లోహెల్ [2] సాధారణ లక్షణాల పనితీరు</v>
      </c>
      <c r="F106" s="1" t="s">
        <v>459</v>
      </c>
      <c r="G106" s="1" t="str">
        <f>IFERROR(__xludf.DUMMYFUNCTION("GOOGLETRANSLATE(F:F,""en"", ""te"")"),"అల్ట్రాలైట్ విమానం")</f>
        <v>అల్ట్రాలైట్ విమానం</v>
      </c>
      <c r="H106" s="1" t="s">
        <v>460</v>
      </c>
      <c r="I106" s="1" t="s">
        <v>2044</v>
      </c>
      <c r="J106" s="1" t="str">
        <f>IFERROR(__xludf.DUMMYFUNCTION("GOOGLETRANSLATE(I:I,""en"", ""te"")"),"సంయుక్త రాష్ట్రాలు")</f>
        <v>సంయుక్త రాష్ట్రాలు</v>
      </c>
      <c r="K106" s="1" t="s">
        <v>159</v>
      </c>
      <c r="L106" s="1" t="s">
        <v>1944</v>
      </c>
      <c r="M106" s="1" t="str">
        <f>IFERROR(__xludf.DUMMYFUNCTION("GOOGLETRANSLATE(L:L,""en"", ""te"")"),"లోహెల్ విమానం")</f>
        <v>లోహెల్ విమానం</v>
      </c>
      <c r="N106" s="1" t="s">
        <v>1945</v>
      </c>
      <c r="P106" s="1" t="s">
        <v>162</v>
      </c>
      <c r="Q106" s="1"/>
      <c r="R106" s="1" t="s">
        <v>2045</v>
      </c>
      <c r="S106" s="1" t="s">
        <v>164</v>
      </c>
      <c r="U106" s="1" t="s">
        <v>2046</v>
      </c>
      <c r="V106" s="1" t="s">
        <v>2047</v>
      </c>
      <c r="W106" s="1" t="s">
        <v>2048</v>
      </c>
      <c r="X106" s="1" t="s">
        <v>2049</v>
      </c>
      <c r="Y106" s="1" t="s">
        <v>2050</v>
      </c>
      <c r="Z106" s="1" t="s">
        <v>2051</v>
      </c>
      <c r="AA106" s="1" t="s">
        <v>2052</v>
      </c>
      <c r="AB106" s="1" t="s">
        <v>2053</v>
      </c>
      <c r="AD106" s="1" t="s">
        <v>634</v>
      </c>
      <c r="AE106" s="1" t="s">
        <v>316</v>
      </c>
      <c r="AG106" s="1" t="s">
        <v>208</v>
      </c>
      <c r="AH106" s="1" t="s">
        <v>249</v>
      </c>
      <c r="AI106" s="1" t="s">
        <v>2054</v>
      </c>
      <c r="AJ106" s="1" t="s">
        <v>2055</v>
      </c>
      <c r="AK106" s="1" t="s">
        <v>2056</v>
      </c>
      <c r="AL106" s="1" t="s">
        <v>1766</v>
      </c>
      <c r="AQ106" s="1" t="s">
        <v>2057</v>
      </c>
      <c r="BE106" s="1" t="s">
        <v>1420</v>
      </c>
    </row>
    <row r="107">
      <c r="A107" s="1" t="s">
        <v>2058</v>
      </c>
      <c r="B107" s="1" t="str">
        <f>IFERROR(__xludf.DUMMYFUNCTION("GOOGLETRANSLATE(A:A,""en"", ""te"")"),"లానిట్జ్ రెండు తప్పించుకున్నాడు")</f>
        <v>లానిట్జ్ రెండు తప్పించుకున్నాడు</v>
      </c>
      <c r="C107" s="1" t="s">
        <v>2059</v>
      </c>
      <c r="D107" s="1" t="str">
        <f>IFERROR(__xludf.DUMMYFUNCTION("GOOGLETRANSLATE(C:C,""en"", ""te"")"),"లానిట్జ్ ఎస్కేపేడ్ టూ అనేది జర్మన్ అల్ట్రాలైట్ విమానం, ఇది జస్ట్ ఎస్కేపేడ్ నుండి తీసుకోబడింది, దీనిని లీప్జిగ్ యొక్క లానిట్జ్ ఏవియేషన్ నిర్మించింది. ఇది అందుబాటులో ఉన్నప్పుడు విమానం పూర్తి మరియు సిద్ధంగా ఉండటానికి సిద్ధంగా ఉంది. [1] మార్చి 2018 నాటికి ఈ వ"&amp;"ిమానం కంపెనీ వెబ్‌సైట్‌లో ప్రచారం చేయబడలేదు మరియు ఉత్పత్తి ముగిసింది. [2] ఈ విమానం ఫెడెరేషన్ ఏరోనటిక్ ఇంటర్నేషనల్ మైక్రోలైట్ నిబంధనలకు అనుగుణంగా రూపొందించబడింది. ఇది స్ట్రట్-బ్రెస్డ్ హై-వింగ్, రెండు-సీట్ల-సైడ్-సైడ్ కాన్ఫిగరేషన్ పరివేష్టిత కాక్‌పిట్, కన్వర"&amp;"్టిబుల్ ఫిక్స్‌డ్ ట్రైసైకిల్ ల్యాండింగ్ గేర్ మరియు సాంప్రదాయిక ల్యాండింగ్ గేర్ మరియు ట్రాక్టర్ కాన్ఫిగరేషన్‌లో ఒకే ఇంజిన్ కలిగి ఉంది. [1] ఎస్కేపేడ్ రెండు ఫ్యూజ్‌లేజ్ పౌడర్ కోటెడ్ వెల్డెడ్ స్టీల్ గొట్టాల నుండి తయారవుతుంది, దాని రెక్క అల్యూమినియం స్పార్ మరి"&amp;"యు స్ప్రూస్ పక్కటెముకలతో తయారు చేయబడింది. ఈ విమానం ఒరేటెక్స్ ఎయిర్క్రాఫ్ట్ ఫాబ్రిక్‌తో కప్పబడి ఉంటుంది. దాని 8.76 మీ (28.7 అడుగులు) స్పాన్ వింగ్ 10.11 మీ 2 (108.8 చదరపు అడుగులు) విస్తీర్ణంలో ఉంది మరియు ట్రెయిలర్‌లో లేదా రెండు నిమిషాల్లో నిల్వ చేయడానికి భూ"&amp;" రవాణా కోసం ముడుచుకోవచ్చు. అందుబాటులో ఉన్న ప్రామాణిక ఇంజిన్ 95 HP (71 kW) ULPOWER UL260I నాలుగు-స్ట్రోక్ పవర్‌ప్లాంట్. ల్యాండింగ్ గేర్‌ను ముక్కు చక్రం నుండి టెయిల్ వీల్ కాన్ఫిగరేషన్‌కు రెండు గంటల్లో మార్చవచ్చు. [1] ఎస్కేపేడ్ టూ యునైటెడ్ కింగ్‌డమ్ BCAR విభ"&amp;"ాగం ""S"" మరియు జర్మన్ మైక్రోలైట్ ప్రమాణాలకు ధృవీకరించబడింది. [1] బేయర్ల్ నుండి డేటా [1] సాధారణ లక్షణాల పనితీరు")</f>
        <v>లానిట్జ్ ఎస్కేపేడ్ టూ అనేది జర్మన్ అల్ట్రాలైట్ విమానం, ఇది జస్ట్ ఎస్కేపేడ్ నుండి తీసుకోబడింది, దీనిని లీప్జిగ్ యొక్క లానిట్జ్ ఏవియేషన్ నిర్మించింది. ఇది అందుబాటులో ఉన్నప్పుడు విమానం పూర్తి మరియు సిద్ధంగా ఉండటానికి సిద్ధంగా ఉంది. [1] మార్చి 2018 నాటికి ఈ విమానం కంపెనీ వెబ్‌సైట్‌లో ప్రచారం చేయబడలేదు మరియు ఉత్పత్తి ముగిసింది. [2] ఈ విమానం ఫెడెరేషన్ ఏరోనటిక్ ఇంటర్నేషనల్ మైక్రోలైట్ నిబంధనలకు అనుగుణంగా రూపొందించబడింది. ఇది స్ట్రట్-బ్రెస్డ్ హై-వింగ్, రెండు-సీట్ల-సైడ్-సైడ్ కాన్ఫిగరేషన్ పరివేష్టిత కాక్‌పిట్, కన్వర్టిబుల్ ఫిక్స్‌డ్ ట్రైసైకిల్ ల్యాండింగ్ గేర్ మరియు సాంప్రదాయిక ల్యాండింగ్ గేర్ మరియు ట్రాక్టర్ కాన్ఫిగరేషన్‌లో ఒకే ఇంజిన్ కలిగి ఉంది. [1] ఎస్కేపేడ్ రెండు ఫ్యూజ్‌లేజ్ పౌడర్ కోటెడ్ వెల్డెడ్ స్టీల్ గొట్టాల నుండి తయారవుతుంది, దాని రెక్క అల్యూమినియం స్పార్ మరియు స్ప్రూస్ పక్కటెముకలతో తయారు చేయబడింది. ఈ విమానం ఒరేటెక్స్ ఎయిర్క్రాఫ్ట్ ఫాబ్రిక్‌తో కప్పబడి ఉంటుంది. దాని 8.76 మీ (28.7 అడుగులు) స్పాన్ వింగ్ 10.11 మీ 2 (108.8 చదరపు అడుగులు) విస్తీర్ణంలో ఉంది మరియు ట్రెయిలర్‌లో లేదా రెండు నిమిషాల్లో నిల్వ చేయడానికి భూ రవాణా కోసం ముడుచుకోవచ్చు. అందుబాటులో ఉన్న ప్రామాణిక ఇంజిన్ 95 HP (71 kW) ULPOWER UL260I నాలుగు-స్ట్రోక్ పవర్‌ప్లాంట్. ల్యాండింగ్ గేర్‌ను ముక్కు చక్రం నుండి టెయిల్ వీల్ కాన్ఫిగరేషన్‌కు రెండు గంటల్లో మార్చవచ్చు. [1] ఎస్కేపేడ్ టూ యునైటెడ్ కింగ్‌డమ్ BCAR విభాగం "S" మరియు జర్మన్ మైక్రోలైట్ ప్రమాణాలకు ధృవీకరించబడింది. [1] బేయర్ల్ నుండి డేటా [1] సాధారణ లక్షణాల పనితీరు</v>
      </c>
      <c r="F107" s="1" t="s">
        <v>459</v>
      </c>
      <c r="G107" s="1" t="str">
        <f>IFERROR(__xludf.DUMMYFUNCTION("GOOGLETRANSLATE(F:F,""en"", ""te"")"),"అల్ట్రాలైట్ విమానం")</f>
        <v>అల్ట్రాలైట్ విమానం</v>
      </c>
      <c r="H107" s="1" t="s">
        <v>460</v>
      </c>
      <c r="I107" s="1" t="s">
        <v>2060</v>
      </c>
      <c r="J107" s="1" t="str">
        <f>IFERROR(__xludf.DUMMYFUNCTION("GOOGLETRANSLATE(I:I,""en"", ""te"")"),"జర్మనీ")</f>
        <v>జర్మనీ</v>
      </c>
      <c r="K107" s="2" t="s">
        <v>2061</v>
      </c>
      <c r="L107" s="1" t="s">
        <v>2062</v>
      </c>
      <c r="M107" s="1" t="str">
        <f>IFERROR(__xludf.DUMMYFUNCTION("GOOGLETRANSLATE(L:L,""en"", ""te"")"),"లానిట్జ్ ఏవియేషన్")</f>
        <v>లానిట్జ్ ఏవియేషన్</v>
      </c>
      <c r="N107" s="1" t="s">
        <v>2063</v>
      </c>
      <c r="P107" s="1" t="s">
        <v>461</v>
      </c>
      <c r="Q107" s="1"/>
      <c r="S107" s="1" t="s">
        <v>164</v>
      </c>
      <c r="T107" s="1" t="s">
        <v>165</v>
      </c>
      <c r="W107" s="1" t="s">
        <v>2064</v>
      </c>
      <c r="X107" s="1" t="s">
        <v>2065</v>
      </c>
      <c r="Y107" s="1" t="s">
        <v>1171</v>
      </c>
      <c r="Z107" s="1" t="s">
        <v>1456</v>
      </c>
      <c r="AA107" s="1" t="s">
        <v>2066</v>
      </c>
      <c r="AB107" s="1" t="s">
        <v>2067</v>
      </c>
      <c r="AD107" s="1" t="s">
        <v>2068</v>
      </c>
      <c r="AF107" s="1" t="s">
        <v>2069</v>
      </c>
      <c r="AH107" s="1" t="s">
        <v>2070</v>
      </c>
      <c r="AI107" s="1" t="s">
        <v>2071</v>
      </c>
      <c r="AQ107" s="1" t="s">
        <v>205</v>
      </c>
      <c r="AU107" s="1" t="s">
        <v>2072</v>
      </c>
      <c r="AV107" s="1" t="s">
        <v>2073</v>
      </c>
    </row>
    <row r="108">
      <c r="A108" s="1" t="s">
        <v>2074</v>
      </c>
      <c r="B108" s="1" t="str">
        <f>IFERROR(__xludf.DUMMYFUNCTION("GOOGLETRANSLATE(A:A,""en"", ""te"")"),"లెగర్ పటాప్లుమ్ 1")</f>
        <v>లెగర్ పటాప్లుమ్ 1</v>
      </c>
      <c r="C108" s="1" t="s">
        <v>2075</v>
      </c>
      <c r="D108" s="1" t="str">
        <f>IFERROR(__xludf.DUMMYFUNCTION("GOOGLETRANSLATE(C:C,""en"", ""te"")"),"లెగర్ పటాప్లూమ్ 1 అనేది ఒక ఫ్రెంచ్ te త్సాహిక-నిర్మిత విమానం, ఇది లెగర్ ఏవియేషన్ ఆఫ్ ఆర్కియాక్ చేత రూపొందించబడింది మరియు te త్సాహిక నిర్మాణానికి ప్రణాళికల రూపంలో అందుబాటులో ఉంది. విమానం యొక్క రూపకల్పన లక్ష్యాలు తక్కువ నిర్వహణ ఖర్చులతో సరళత మరియు నిర్మాణ ఆ"&amp;"ర్థిక వ్యవస్థ. [1] ఇది అందుబాటులో ఉన్నప్పుడు ఈ విమానం ఫ్రెంచ్ నినాదంతో ""సరళత, ఆర్థిక, వినోదం"" తో విక్రయించబడింది. [2] 2013 నాటికి కంపెనీ వెబ్‌సైట్ తొలగించబడింది మరియు ప్రణాళికలు ఇకపై అందుబాటులో లేవు. [3] పటాప్లూమ్ 1 లో స్ట్రట్-బ్రేస్డ్ మిడ్-వింగ్, విండ్"&amp;"‌షీల్డ్‌తో రెండు-సీట్ల తేమ ఓపెన్ కాక్‌పిట్, స్థిర సాంప్రదాయ ల్యాండింగ్ గేర్ మరియు ట్రాక్టర్ కాన్ఫిగరేషన్‌లో ఒకే ఇంజిన్ ఉన్నాయి. [1] ఈ విమానం కలపతో తయారు చేయబడింది మరియు డోప్డ్ ఎయిర్క్రాఫ్ట్ ఫాబ్రిక్‌తో ముగించింది. దాని 10 మీ (32.8 అడుగులు) స్పాన్ వింగ్ 16"&amp;".5 మీ 2 (178 చదరపు అడుగులు) విస్తీర్ణంలో ఉంది మరియు ప్రతి రెక్కకు రెండు సమాంతర స్ట్రట్‌లు మద్దతు ఇస్తున్నాయి. సిఫార్సు చేయబడిన ఇంజిన్ 45 హెచ్‌పి (34 కిలోవాట్) 1600 సిసి వోక్స్వ్యాగన్ ఎయిర్-కూల్డ్ ఇంజిన్ ఫోర్-స్ట్రోక్ పవర్‌ప్లాంట్. [1] డిజైన్ కోసం కిట్లు స"&amp;"రఫరా చేయనప్పటికీ, లెగర్ ఏవియేషన్ అవసరమైన ముడి పదార్థాలను సరఫరా చేసింది. [1] బేయర్ల్ మరియు లెగర్ ఏవియేషన్ నుండి డేటా [1] [2] సాధారణ లక్షణాల పనితీరు")</f>
        <v>లెగర్ పటాప్లూమ్ 1 అనేది ఒక ఫ్రెంచ్ te త్సాహిక-నిర్మిత విమానం, ఇది లెగర్ ఏవియేషన్ ఆఫ్ ఆర్కియాక్ చేత రూపొందించబడింది మరియు te త్సాహిక నిర్మాణానికి ప్రణాళికల రూపంలో అందుబాటులో ఉంది. విమానం యొక్క రూపకల్పన లక్ష్యాలు తక్కువ నిర్వహణ ఖర్చులతో సరళత మరియు నిర్మాణ ఆర్థిక వ్యవస్థ. [1] ఇది అందుబాటులో ఉన్నప్పుడు ఈ విమానం ఫ్రెంచ్ నినాదంతో "సరళత, ఆర్థిక, వినోదం" తో విక్రయించబడింది. [2] 2013 నాటికి కంపెనీ వెబ్‌సైట్ తొలగించబడింది మరియు ప్రణాళికలు ఇకపై అందుబాటులో లేవు. [3] పటాప్లూమ్ 1 లో స్ట్రట్-బ్రేస్డ్ మిడ్-వింగ్, విండ్‌షీల్డ్‌తో రెండు-సీట్ల తేమ ఓపెన్ కాక్‌పిట్, స్థిర సాంప్రదాయ ల్యాండింగ్ గేర్ మరియు ట్రాక్టర్ కాన్ఫిగరేషన్‌లో ఒకే ఇంజిన్ ఉన్నాయి. [1] ఈ విమానం కలపతో తయారు చేయబడింది మరియు డోప్డ్ ఎయిర్క్రాఫ్ట్ ఫాబ్రిక్‌తో ముగించింది. దాని 10 మీ (32.8 అడుగులు) స్పాన్ వింగ్ 16.5 మీ 2 (178 చదరపు అడుగులు) విస్తీర్ణంలో ఉంది మరియు ప్రతి రెక్కకు రెండు సమాంతర స్ట్రట్‌లు మద్దతు ఇస్తున్నాయి. సిఫార్సు చేయబడిన ఇంజిన్ 45 హెచ్‌పి (34 కిలోవాట్) 1600 సిసి వోక్స్వ్యాగన్ ఎయిర్-కూల్డ్ ఇంజిన్ ఫోర్-స్ట్రోక్ పవర్‌ప్లాంట్. [1] డిజైన్ కోసం కిట్లు సరఫరా చేయనప్పటికీ, లెగర్ ఏవియేషన్ అవసరమైన ముడి పదార్థాలను సరఫరా చేసింది. [1] బేయర్ల్ మరియు లెగర్ ఏవియేషన్ నుండి డేటా [1] [2] సాధారణ లక్షణాల పనితీరు</v>
      </c>
      <c r="F108" s="1" t="s">
        <v>278</v>
      </c>
      <c r="G108" s="1" t="str">
        <f>IFERROR(__xludf.DUMMYFUNCTION("GOOGLETRANSLATE(F:F,""en"", ""te"")"),"Te త్సాహిక నిర్మించిన విమానం")</f>
        <v>Te త్సాహిక నిర్మించిన విమానం</v>
      </c>
      <c r="H108" s="1" t="s">
        <v>279</v>
      </c>
      <c r="I108" s="1" t="s">
        <v>798</v>
      </c>
      <c r="J108" s="1" t="str">
        <f>IFERROR(__xludf.DUMMYFUNCTION("GOOGLETRANSLATE(I:I,""en"", ""te"")"),"ఫ్రాన్స్")</f>
        <v>ఫ్రాన్స్</v>
      </c>
      <c r="K108" s="2" t="s">
        <v>1166</v>
      </c>
      <c r="L108" s="1" t="s">
        <v>2076</v>
      </c>
      <c r="M108" s="1" t="str">
        <f>IFERROR(__xludf.DUMMYFUNCTION("GOOGLETRANSLATE(L:L,""en"", ""te"")"),"లెగర్ ఏవియేషన్")</f>
        <v>లెగర్ ఏవియేషన్</v>
      </c>
      <c r="N108" s="1" t="s">
        <v>2077</v>
      </c>
      <c r="P108" s="1" t="s">
        <v>2078</v>
      </c>
      <c r="Q108" s="1"/>
      <c r="S108" s="1" t="s">
        <v>164</v>
      </c>
      <c r="T108" s="1" t="s">
        <v>165</v>
      </c>
      <c r="U108" s="1" t="s">
        <v>2079</v>
      </c>
      <c r="W108" s="1" t="s">
        <v>2080</v>
      </c>
      <c r="X108" s="1" t="s">
        <v>2081</v>
      </c>
      <c r="Y108" s="1" t="s">
        <v>575</v>
      </c>
      <c r="Z108" s="1" t="s">
        <v>2082</v>
      </c>
      <c r="AA108" s="1" t="s">
        <v>2083</v>
      </c>
      <c r="AB108" s="1" t="s">
        <v>2084</v>
      </c>
      <c r="AC108" s="1">
        <v>9.0</v>
      </c>
      <c r="AD108" s="1" t="s">
        <v>2085</v>
      </c>
      <c r="AE108" s="1" t="s">
        <v>316</v>
      </c>
      <c r="AF108" s="1" t="s">
        <v>2086</v>
      </c>
      <c r="AG108" s="1" t="s">
        <v>2087</v>
      </c>
      <c r="AH108" s="1" t="s">
        <v>1214</v>
      </c>
      <c r="AI108" s="1" t="s">
        <v>2088</v>
      </c>
      <c r="AJ108" s="1" t="s">
        <v>2089</v>
      </c>
      <c r="AQ108" s="1" t="s">
        <v>1003</v>
      </c>
      <c r="AS108" s="1" t="s">
        <v>2090</v>
      </c>
    </row>
    <row r="109">
      <c r="A109" s="1" t="s">
        <v>2091</v>
      </c>
      <c r="B109" s="1" t="str">
        <f>IFERROR(__xludf.DUMMYFUNCTION("GOOGLETRANSLATE(A:A,""en"", ""te"")"),"స్పిజ్కర్ వి .1")</f>
        <v>స్పిజ్కర్ వి .1</v>
      </c>
      <c r="C109" s="1" t="s">
        <v>2092</v>
      </c>
      <c r="D109" s="1" t="str">
        <f>IFERROR(__xludf.DUMMYFUNCTION("GOOGLETRANSLATE(C:C,""en"", ""te"")"),"స్పైజ్కర్, స్పైకర్ V.1 లేదా స్పైకర్-ట్రోంపెన్‌బర్గ్ v.1, మొదటి ప్రపంచ యుద్ధంలో నెదర్లాండ్స్‌లో నిర్మించిన ఒకే సీటు బిప్‌లేన్ ఫైటర్. ఇది బలహీనంగా ఉంది మరియు ఉత్పత్తికి వెళ్ళలేదు. మొదటి ప్రపంచ యుద్ధం ప్రారంభమైన తరువాత, తటస్థ డచ్ సాయుధ దళాలు విదేశాల నుండి వి"&amp;"మానాలను పొందడం చాలా కష్టం మరియు అందువల్ల మందుగుండు సామగ్రి నెదర్లాండ్స్ ఆటోమొబైల్ మరియు ఎయిర్‌ప్లేన్ కో. ఒక స్వదేశీ ఫైటర్ కోసం సంప్రదించింది. ఈ అభ్యర్థన ఫలితంగా స్పిజ్కర్ V.1, సాంప్రదాయకంగా 60 కిలోవాట్ల (80 హెచ్‌పి) స్వీడిష్ లైసెన్స్‌తో నడిచే ట్రాక్టర్ బి"&amp;"ప్‌లేన్ నిర్మించబడింది. ఇది సెంట్రల్ ఎగువ వింగ్ మరియు ఫ్యూజ్‌లేజ్ మధ్య నాలుగు సమాంతర క్యాబనే స్ట్రట్‌ల ద్వారా సహకార ఇంటర్‌ప్లేన్ స్ట్రట్‌లతో కూడిన ఒకే బే డిజైన్. స్థిరమైన తీగ మరియు స్క్వేర్డ్ చిట్కాలను కలిగి ఉన్న ఫాబ్రిక్ కప్పబడిన రెక్కలకు అస్థిరంగా లేదా "&amp;"స్వీప్ చేయలేదు. కాక్‌పిట్‌పై ఎగువ వింగ్ వెనుకంజలో ఉన్న సెమీ వృత్తాకార కటౌట్ పైలట్ యొక్క పైకి దృశ్యాన్ని మెరుగుపరిచింది. [1] V.1 యొక్క ఫ్యూజ్‌లేజ్ క్రాస్-సెక్షన్‌లో దీర్ఘచతురస్రాకారంగా ఉంది, ఇంజిన్ పాక్షికంగా హెల్మెట్ ఆకారపు కౌలింగ్ ద్వారా దిగువన తెరిచి ఉం"&amp;"ది. ఓపెన్, సింగిల్ సీట్ కాక్‌పిట్ వింగ్ వెనుకంజలో ఉంది. ప్రత్యేక ఎలివేటర్లను మోస్తున్న టెయిల్‌ప్లేన్, ఫ్యూజ్‌లేజ్ పైభాగంలో అమర్చబడి, వైర్-బ్రేస్డ్ ఫిన్‌కు; గుండ్రని చుక్కాని కీల్‌కు విస్తరించింది. V.1 ఒక స్థిరమైన, సాంప్రదాయిక అండర్ క్యారేజీని కలిగి ఉంది, "&amp;"రెండు V- రూపాల జతల స్ట్రట్‌లచే మద్దతు ఇవ్వబడిన ఒకే ఇరుసుపై మెయిన్‌వీల్స్‌తో, మొదట వక్రంగా ఉంది, కానీ నేరుగా మే 1917 నాటికి నేరుగా ఉంది. ఎలివేటర్ ముందుకు ఎక్కిన ఒక చిన్న తోక స్కిడ్ ఉంది. [1] ఈ నమూనా 1916 చివరి నాటికి పూర్తయింది, కాని నిర్మాణాత్మక బలం మరియు"&amp;" కొన్ని ఇంజిన్ ట్యూనింగ్ 31 మార్చి 1917 వరకు మొదటి విమానాన్ని ఆలస్యం చేసింది, ఫ్లోరిస్ ఆల్బర్ట్ వాన్ హెస్ట్ చేత ఎగిరింది. టెస్ట్ విమానాలు ఏరోబాటిక్స్‌కు దారితీశాయి మరియు వాన్ హీస్ట్ సైనిక విమానంలో లూప్‌ను అమలు చేసిన మొదటి డచ్మాన్ అయ్యాడు. ఏదేమైనా, దాని తక"&amp;"్కువ శక్తితో కూడిన ఇంజిన్ ఫైటర్‌కు తగినంత పనితీరును అందించలేదు మరియు నెదర్లాండ్స్‌లో వెంటనే శక్తివంతమైన ఇంజన్లు అందుబాటులో లేవు. ఎక్కువ V.1 లు నిర్మించబడలేదు; ఈ నమూనాను 1917 లో నెదర్లాండ్స్ నావల్ ఏవియేషన్ సర్వీస్ కొనుగోలు చేసింది మరియు 1920 లో పదవీ విరమణ "&amp;"చేసింది. [1] వెస్సెలింక్ నుండి డేటా [1] సాధారణ లక్షణాల పనితీరు")</f>
        <v>స్పైజ్కర్, స్పైకర్ V.1 లేదా స్పైకర్-ట్రోంపెన్‌బర్గ్ v.1, మొదటి ప్రపంచ యుద్ధంలో నెదర్లాండ్స్‌లో నిర్మించిన ఒకే సీటు బిప్‌లేన్ ఫైటర్. ఇది బలహీనంగా ఉంది మరియు ఉత్పత్తికి వెళ్ళలేదు. మొదటి ప్రపంచ యుద్ధం ప్రారంభమైన తరువాత, తటస్థ డచ్ సాయుధ దళాలు విదేశాల నుండి విమానాలను పొందడం చాలా కష్టం మరియు అందువల్ల మందుగుండు సామగ్రి నెదర్లాండ్స్ ఆటోమొబైల్ మరియు ఎయిర్‌ప్లేన్ కో. ఒక స్వదేశీ ఫైటర్ కోసం సంప్రదించింది. ఈ అభ్యర్థన ఫలితంగా స్పిజ్కర్ V.1, సాంప్రదాయకంగా 60 కిలోవాట్ల (80 హెచ్‌పి) స్వీడిష్ లైసెన్స్‌తో నడిచే ట్రాక్టర్ బిప్‌లేన్ నిర్మించబడింది. ఇది సెంట్రల్ ఎగువ వింగ్ మరియు ఫ్యూజ్‌లేజ్ మధ్య నాలుగు సమాంతర క్యాబనే స్ట్రట్‌ల ద్వారా సహకార ఇంటర్‌ప్లేన్ స్ట్రట్‌లతో కూడిన ఒకే బే డిజైన్. స్థిరమైన తీగ మరియు స్క్వేర్డ్ చిట్కాలను కలిగి ఉన్న ఫాబ్రిక్ కప్పబడిన రెక్కలకు అస్థిరంగా లేదా స్వీప్ చేయలేదు. కాక్‌పిట్‌పై ఎగువ వింగ్ వెనుకంజలో ఉన్న సెమీ వృత్తాకార కటౌట్ పైలట్ యొక్క పైకి దృశ్యాన్ని మెరుగుపరిచింది. [1] V.1 యొక్క ఫ్యూజ్‌లేజ్ క్రాస్-సెక్షన్‌లో దీర్ఘచతురస్రాకారంగా ఉంది, ఇంజిన్ పాక్షికంగా హెల్మెట్ ఆకారపు కౌలింగ్ ద్వారా దిగువన తెరిచి ఉంది. ఓపెన్, సింగిల్ సీట్ కాక్‌పిట్ వింగ్ వెనుకంజలో ఉంది. ప్రత్యేక ఎలివేటర్లను మోస్తున్న టెయిల్‌ప్లేన్, ఫ్యూజ్‌లేజ్ పైభాగంలో అమర్చబడి, వైర్-బ్రేస్డ్ ఫిన్‌కు; గుండ్రని చుక్కాని కీల్‌కు విస్తరించింది. V.1 ఒక స్థిరమైన, సాంప్రదాయిక అండర్ క్యారేజీని కలిగి ఉంది, రెండు V- రూపాల జతల స్ట్రట్‌లచే మద్దతు ఇవ్వబడిన ఒకే ఇరుసుపై మెయిన్‌వీల్స్‌తో, మొదట వక్రంగా ఉంది, కానీ నేరుగా మే 1917 నాటికి నేరుగా ఉంది. ఎలివేటర్ ముందుకు ఎక్కిన ఒక చిన్న తోక స్కిడ్ ఉంది. [1] ఈ నమూనా 1916 చివరి నాటికి పూర్తయింది, కాని నిర్మాణాత్మక బలం మరియు కొన్ని ఇంజిన్ ట్యూనింగ్ 31 మార్చి 1917 వరకు మొదటి విమానాన్ని ఆలస్యం చేసింది, ఫ్లోరిస్ ఆల్బర్ట్ వాన్ హెస్ట్ చేత ఎగిరింది. టెస్ట్ విమానాలు ఏరోబాటిక్స్‌కు దారితీశాయి మరియు వాన్ హీస్ట్ సైనిక విమానంలో లూప్‌ను అమలు చేసిన మొదటి డచ్మాన్ అయ్యాడు. ఏదేమైనా, దాని తక్కువ శక్తితో కూడిన ఇంజిన్ ఫైటర్‌కు తగినంత పనితీరును అందించలేదు మరియు నెదర్లాండ్స్‌లో వెంటనే శక్తివంతమైన ఇంజన్లు అందుబాటులో లేవు. ఎక్కువ V.1 లు నిర్మించబడలేదు; ఈ నమూనాను 1917 లో నెదర్లాండ్స్ నావల్ ఏవియేషన్ సర్వీస్ కొనుగోలు చేసింది మరియు 1920 లో పదవీ విరమణ చేసింది. [1] వెస్సెలింక్ నుండి డేటా [1] సాధారణ లక్షణాల పనితీరు</v>
      </c>
      <c r="E109" s="1" t="s">
        <v>2093</v>
      </c>
      <c r="F109" s="1" t="s">
        <v>2094</v>
      </c>
      <c r="G109" s="1" t="str">
        <f>IFERROR(__xludf.DUMMYFUNCTION("GOOGLETRANSLATE(F:F,""en"", ""te"")"),"సింగిల్ సీట్ ఫైటర్ విమానం")</f>
        <v>సింగిల్ సీట్ ఫైటర్ విమానం</v>
      </c>
      <c r="H109" s="1" t="s">
        <v>2095</v>
      </c>
      <c r="I109" s="1" t="s">
        <v>2096</v>
      </c>
      <c r="J109" s="1" t="str">
        <f>IFERROR(__xludf.DUMMYFUNCTION("GOOGLETRANSLATE(I:I,""en"", ""te"")"),"నెదర్లాండ్స్")</f>
        <v>నెదర్లాండ్స్</v>
      </c>
      <c r="K109" s="2" t="s">
        <v>2097</v>
      </c>
      <c r="L109" s="1" t="s">
        <v>2098</v>
      </c>
      <c r="M109" s="1" t="str">
        <f>IFERROR(__xludf.DUMMYFUNCTION("GOOGLETRANSLATE(L:L,""en"", ""te"")"),"స్పిజ్కర్ (మార్చి 1914 నుండి నెదర్లాండ్స్ ఆటోమొబైల్ అండ్ ఎయిర్‌ప్లేన్ కో.), ట్రోంపెన్‌బర్గ్.")</f>
        <v>స్పిజ్కర్ (మార్చి 1914 నుండి నెదర్లాండ్స్ ఆటోమొబైల్ అండ్ ఎయిర్‌ప్లేన్ కో.), ట్రోంపెన్‌బర్గ్.</v>
      </c>
      <c r="N109" s="1" t="s">
        <v>2099</v>
      </c>
      <c r="O109" s="1">
        <v>1917.0</v>
      </c>
      <c r="R109" s="1">
        <v>1.0</v>
      </c>
      <c r="S109" s="1" t="s">
        <v>685</v>
      </c>
      <c r="U109" s="1" t="s">
        <v>1776</v>
      </c>
      <c r="AA109" s="1" t="s">
        <v>2100</v>
      </c>
      <c r="AE109" s="1" t="s">
        <v>375</v>
      </c>
      <c r="AH109" s="1" t="s">
        <v>2101</v>
      </c>
      <c r="AM109" s="1" t="s">
        <v>2102</v>
      </c>
      <c r="AO109" s="1" t="s">
        <v>2103</v>
      </c>
      <c r="AQ109" s="1" t="s">
        <v>2104</v>
      </c>
      <c r="AR109" s="1" t="s">
        <v>2105</v>
      </c>
      <c r="BA109" s="2" t="s">
        <v>2106</v>
      </c>
      <c r="BC109" s="1">
        <v>1920.0</v>
      </c>
    </row>
    <row r="110">
      <c r="A110" s="1" t="s">
        <v>2107</v>
      </c>
      <c r="B110" s="1" t="str">
        <f>IFERROR(__xludf.DUMMYFUNCTION("GOOGLETRANSLATE(A:A,""en"", ""te"")"),"ఏరోంకా చీఫ్ ఫ్యామిలీ")</f>
        <v>ఏరోంకా చీఫ్ ఫ్యామిలీ</v>
      </c>
      <c r="C110" s="1" t="s">
        <v>2108</v>
      </c>
      <c r="D110" s="1" t="str">
        <f>IFERROR(__xludf.DUMMYFUNCTION("GOOGLETRANSLATE(C:C,""en"", ""te"")"),"ఏరోన్కా కె సిరీస్, ఏరోంకా చీఫ్, ఏరోంకా సూపర్ చీఫ్, ఏరోంకా టాండెం, ఏరోన్కా స్కౌట్, ఏరోంకా సీ స్కౌట్, ఏరోన్కా ఛాంపియన్ మరియు ఏరోన్కా డిఫెండర్ అమెరికన్ హై-రెక్కల లైట్ టూరింగ్ విమానం యొక్క కుటుంబం, 1930 ల చివరలో ఏరోన్కా విమానం ద్వారా రూపొందించబడింది మరియు నిర"&amp;"్మించబడింది . [[ 1929 లో ఏరోంకా సి -2 ప్రవేశపెట్టినప్పటి నుండి ఏరోంకా రెండు-సైడ్ టూ-సీట్ల టూరింగ్ విమానాలను ఉత్పత్తి చేయడానికి గుర్తించబడింది. వైర్ల స్థానంలో మెరుగైన అండర్ క్యారేజ్ మరియు స్టీల్ ట్యూబ్ వింగ్ బ్రేసింగ్ స్ట్రట్‌లతో మరింత శుద్ధి చేసిన విమానం "&amp;"అభివృద్ధి చేయబడింది 1937 ఏరోంకా కె. K సిరీస్ వివిధ రకాల 40 HP (30 kW) నుండి 50 HP (37 kW) ఏరోంకా, కాంటినెంటల్, ఫ్రాంక్లిన్ లేదా మెనాస్కో ఇంజన్లు. [1] మరింత సౌకర్యం, సుదీర్ఘ శ్రేణి మరియు మెరుగైన ఇన్స్ట్రుమెంటేషన్ కోసం వినియోగదారుల డిమాండ్ 1938 లో ఏరోంకా 50"&amp;" చీఫ్ అభివృద్ధికి దారితీసింది. K సిరీస్ యొక్క పెరుగుతున్న అభివృద్ధి కంటే కొంచెం ఎక్కువ అయినప్పటికీ మోడల్ 50 అధిక-రెక్కల టూరర్లకు ఉపయోగించే కొత్త హోదా వ్యవస్థను తెలియజేసింది, ఇంజిన్ యొక్క తయారీదారు మరియు శక్తి రేటింగ్, అక్షరాల హోదా వ్యవస్థను వదులుతుంది. ఆ "&amp;"విధంగా ఏరోంకా 65CA సూపర్ చీఫ్ '65 HP (48 kW) కాంటినెంటల్ A-65 తో సైడ్-బై-సైడ్ సీటింగ్ మరియు 65 సి సూపర్ చీఫ్ కంటే మెరుగుదలలతో నడిచింది. ఇతర పరిణామాలలో శిక్షకుడు, అనుసంధాన, పరిశీలన విమానం లేదా గ్లైడర్ శిక్షకులతో పాటు ఫ్లోట్-ప్లేన్ వెర్షన్‌లుగా ఉపయోగించడాని"&amp;"కి టెన్డం సీటింగ్ ఉన్నాయి. ఏరోంకా చీఫ్ ఫ్యామిలీ యొక్క ఉత్పత్తి జీవితమంతా ఈ విమానం పెరుగుతున్నది, ప్రాథమిక స్పెసిఫికేషన్ నుండి కార్-స్టైల్ ఇంటీరియర్‌తో సహేతుకంగా సౌకర్యవంతమైన టూరర్ వరకు. [1] ఏరోంకా హై-వింగ్ ఫార్ములా ఫాబ్రిక్‌తో కప్పబడిన వెల్డెడ్ స్టీల్ ట్య"&amp;"ూబ్ ఫ్యూజ్‌లేజ్‌ను ఉపయోగించింది, చెక్క రెక్కలు ప్లైవుడ్ మరియు ఫాబ్రిక్‌తో కప్పబడిన V- స్ట్రట్‌ల ద్వారా కలుపుతారు, వెనుక ఫ్యూజ్‌లేజ్‌లోని వెనుక అండర్ క్యారేజ్ అటాచ్మెంట్ పాయింట్‌కు. తోక ఉపరితలాలు కూడా ఫాబ్రిక్‌తో కప్పబడిన వెల్డెడ్ స్టీల్ గొట్టాలతో నిర్మించ"&amp;"బడ్డాయి. స్థిర తోక-చక్రాల అండర్ క్యారేజ్, ఒలియో స్ట్రట్స్ మరియు ఫెయిర్డ్ త్రిభుజాకార వైపు సభ్యులతో మొలకెత్తింది. ఫ్యూజ్‌లేజ్ యొక్క విపరీతమైన వెనుక భాగంలో వసంత ఉక్కు ఆకుపై ఒక చిన్న తోక-చక్రం అండర్ క్యారేజీని పూర్తి చేసింది. ఇంజిన్ సాంప్రదాయకంగా ముక్కులో అమ"&amp;"ర్చబడి ఉంటుంది మరియు మోడల్‌ను బట్టి షీట్ అల్యూమినియం మిశ్రమం ఉపయోగించి సెమీ-కోల్డ్ లేదా పూర్తిగా కౌల్డ్ ఉంటుంది. కొన్ని పౌర నమూనాలు వింగ్ సెంటర్-సెక్షన్ కింద బాగా మెరుస్తున్న క్యాబిన్‌లో పక్కపక్కనే సీటింగ్ కలిగి ఉన్నాయి, ఇరువైపులా కార్ స్టైల్ తలుపుల ద్వార"&amp;"ా ప్రవేశం ఉంది. శిక్షణ మరియు సైనిక నమూనాల కోసం ఒక టెన్డం సీటింగ్ అమరిక అభివృద్ధి చేయబడింది, వెనుక సీటు 9 అంగుళాలు (229 మిమీ) అంగుళాల ముందు కంటే ఎక్కువ అమర్చారు, బోధకుడు ట్రైనీ వలె అదే పరికరాలను ఉపయోగించడానికి మరియు వెనుక సీటు నుండి ముందుకు వీక్షణను మెరుగు"&amp;"పరచడానికి వీలు కల్పిస్తుంది. టెన్డం సీటు విమానం మంచి ఆల్ రౌండ్ దృశ్యమానతను అనుమతించడానికి విస్తృతంగా మెరుస్తున్న కాక్‌పిట్‌లను కలిగి ఉంది. [1] ఇంట్లో పెరిగిన ఏరోంకా ఇంజన్లు మరియు కాంటినెంటల్, ఫ్రాంక్లిన్, మెనాస్కో లేదా లైమింగ్ ఇంజన్లతో సహా ఏరోంకా చీఫ్ సిర"&amp;"ీస్‌లో అనేక రకాల ఇంజన్లు అందుబాటులో ఉన్నాయి. ఇన్‌స్టాల్ చేయబడిన ఇంజిన్ హోదాలో ప్రారంభ అక్షరాన్ని హోదాలో ప్రత్యయంగా ప్రతిబింబిస్తుంది. [1] ఏరోన్కా రెండవ ప్రపంచ యుద్ధంలో అభివృద్ధిని కొనసాగించింది, టెన్డం సీటింగ్ ఏరోంకా 7 ఛాంపియన్‌ను ప్రవేశపెట్టింది, మునుపటి"&amp;" సంస్కరణలతో అభివృద్ధి చేసిన మెరుగుదలలను సద్వినియోగం చేసుకుంది. ఛాంపియన్ తరచుగా పూర్తిగా కొత్త డిజైన్‌గా పరిగణించబడుతుంది, కాని చీఫ్ మరియు టెన్డం యొక్క ప్రభావం తక్షణమే స్పష్టంగా కనిపిస్తుంది. 1945 లో ఏరోంకా 11 చీఫ్‌గా ఒక ప్రక్క వైపు వెర్షన్ కూడా ప్రవేశపెట్"&amp;"టబడింది. ఏరోంకా 7 సిరీస్ యొక్క సైనిక సంస్కరణలు USAF చే ఏరోంకా L-16 గా నిర్వహించబడ్డాయి. [1] పౌర విమానం టూరింగ్ విమానాలు మరియు శిక్షకులుగా ప్రాచుర్యం పొందింది. సైనిక విమానం ప్రధానంగా USAAF తో శిక్షకుడిగా, అనుసంధానం, పరిశీలన విమానాగా ఉపాధిని కనుగొంది. [1] న"&amp;"ుండి డేటా: ఏరోఫైల్స్.కామ్ [2] 1940 కొరకు అమెరికన్ విమానాలు మరియు ఇంజిన్ల నుండి డేటా [5] సాధారణ లక్షణాలు పనితీరు సంబంధిత అభివృద్ధి అభివృద్ధి విమానం పోల్చదగిన పాత్ర, కాన్ఫిగరేషన్ మరియు ERA సంబంధిత జాబితాలు")</f>
        <v>ఏరోన్కా కె సిరీస్, ఏరోంకా చీఫ్, ఏరోంకా సూపర్ చీఫ్, ఏరోంకా టాండెం, ఏరోన్కా స్కౌట్, ఏరోంకా సీ స్కౌట్, ఏరోన్కా ఛాంపియన్ మరియు ఏరోన్కా డిఫెండర్ అమెరికన్ హై-రెక్కల లైట్ టూరింగ్ విమానం యొక్క కుటుంబం, 1930 ల చివరలో ఏరోన్కా విమానం ద్వారా రూపొందించబడింది మరియు నిర్మించబడింది . [[ 1929 లో ఏరోంకా సి -2 ప్రవేశపెట్టినప్పటి నుండి ఏరోంకా రెండు-సైడ్ టూ-సీట్ల టూరింగ్ విమానాలను ఉత్పత్తి చేయడానికి గుర్తించబడింది. వైర్ల స్థానంలో మెరుగైన అండర్ క్యారేజ్ మరియు స్టీల్ ట్యూబ్ వింగ్ బ్రేసింగ్ స్ట్రట్‌లతో మరింత శుద్ధి చేసిన విమానం అభివృద్ధి చేయబడింది 1937 ఏరోంకా కె. K సిరీస్ వివిధ రకాల 40 HP (30 kW) నుండి 50 HP (37 kW) ఏరోంకా, కాంటినెంటల్, ఫ్రాంక్లిన్ లేదా మెనాస్కో ఇంజన్లు. [1] మరింత సౌకర్యం, సుదీర్ఘ శ్రేణి మరియు మెరుగైన ఇన్స్ట్రుమెంటేషన్ కోసం వినియోగదారుల డిమాండ్ 1938 లో ఏరోంకా 50 చీఫ్ అభివృద్ధికి దారితీసింది. K సిరీస్ యొక్క పెరుగుతున్న అభివృద్ధి కంటే కొంచెం ఎక్కువ అయినప్పటికీ మోడల్ 50 అధిక-రెక్కల టూరర్లకు ఉపయోగించే కొత్త హోదా వ్యవస్థను తెలియజేసింది, ఇంజిన్ యొక్క తయారీదారు మరియు శక్తి రేటింగ్, అక్షరాల హోదా వ్యవస్థను వదులుతుంది. ఆ విధంగా ఏరోంకా 65CA సూపర్ చీఫ్ '65 HP (48 kW) కాంటినెంటల్ A-65 తో సైడ్-బై-సైడ్ సీటింగ్ మరియు 65 సి సూపర్ చీఫ్ కంటే మెరుగుదలలతో నడిచింది. ఇతర పరిణామాలలో శిక్షకుడు, అనుసంధాన, పరిశీలన విమానం లేదా గ్లైడర్ శిక్షకులతో పాటు ఫ్లోట్-ప్లేన్ వెర్షన్‌లుగా ఉపయోగించడానికి టెన్డం సీటింగ్ ఉన్నాయి. ఏరోంకా చీఫ్ ఫ్యామిలీ యొక్క ఉత్పత్తి జీవితమంతా ఈ విమానం పెరుగుతున్నది, ప్రాథమిక స్పెసిఫికేషన్ నుండి కార్-స్టైల్ ఇంటీరియర్‌తో సహేతుకంగా సౌకర్యవంతమైన టూరర్ వరకు. [1] ఏరోంకా హై-వింగ్ ఫార్ములా ఫాబ్రిక్‌తో కప్పబడిన వెల్డెడ్ స్టీల్ ట్యూబ్ ఫ్యూజ్‌లేజ్‌ను ఉపయోగించింది, చెక్క రెక్కలు ప్లైవుడ్ మరియు ఫాబ్రిక్‌తో కప్పబడిన V- స్ట్రట్‌ల ద్వారా కలుపుతారు, వెనుక ఫ్యూజ్‌లేజ్‌లోని వెనుక అండర్ క్యారేజ్ అటాచ్మెంట్ పాయింట్‌కు. తోక ఉపరితలాలు కూడా ఫాబ్రిక్‌తో కప్పబడిన వెల్డెడ్ స్టీల్ గొట్టాలతో నిర్మించబడ్డాయి. స్థిర తోక-చక్రాల అండర్ క్యారేజ్, ఒలియో స్ట్రట్స్ మరియు ఫెయిర్డ్ త్రిభుజాకార వైపు సభ్యులతో మొలకెత్తింది. ఫ్యూజ్‌లేజ్ యొక్క విపరీతమైన వెనుక భాగంలో వసంత ఉక్కు ఆకుపై ఒక చిన్న తోక-చక్రం అండర్ క్యారేజీని పూర్తి చేసింది. ఇంజిన్ సాంప్రదాయకంగా ముక్కులో అమర్చబడి ఉంటుంది మరియు మోడల్‌ను బట్టి షీట్ అల్యూమినియం మిశ్రమం ఉపయోగించి సెమీ-కోల్డ్ లేదా పూర్తిగా కౌల్డ్ ఉంటుంది. కొన్ని పౌర నమూనాలు వింగ్ సెంటర్-సెక్షన్ కింద బాగా మెరుస్తున్న క్యాబిన్‌లో పక్కపక్కనే సీటింగ్ కలిగి ఉన్నాయి, ఇరువైపులా కార్ స్టైల్ తలుపుల ద్వారా ప్రవేశం ఉంది. శిక్షణ మరియు సైనిక నమూనాల కోసం ఒక టెన్డం సీటింగ్ అమరిక అభివృద్ధి చేయబడింది, వెనుక సీటు 9 అంగుళాలు (229 మిమీ) అంగుళాల ముందు కంటే ఎక్కువ అమర్చారు, బోధకుడు ట్రైనీ వలె అదే పరికరాలను ఉపయోగించడానికి మరియు వెనుక సీటు నుండి ముందుకు వీక్షణను మెరుగుపరచడానికి వీలు కల్పిస్తుంది. టెన్డం సీటు విమానం మంచి ఆల్ రౌండ్ దృశ్యమానతను అనుమతించడానికి విస్తృతంగా మెరుస్తున్న కాక్‌పిట్‌లను కలిగి ఉంది. [1] ఇంట్లో పెరిగిన ఏరోంకా ఇంజన్లు మరియు కాంటినెంటల్, ఫ్రాంక్లిన్, మెనాస్కో లేదా లైమింగ్ ఇంజన్లతో సహా ఏరోంకా చీఫ్ సిరీస్‌లో అనేక రకాల ఇంజన్లు అందుబాటులో ఉన్నాయి. ఇన్‌స్టాల్ చేయబడిన ఇంజిన్ హోదాలో ప్రారంభ అక్షరాన్ని హోదాలో ప్రత్యయంగా ప్రతిబింబిస్తుంది. [1] ఏరోన్కా రెండవ ప్రపంచ యుద్ధంలో అభివృద్ధిని కొనసాగించింది, టెన్డం సీటింగ్ ఏరోంకా 7 ఛాంపియన్‌ను ప్రవేశపెట్టింది, మునుపటి సంస్కరణలతో అభివృద్ధి చేసిన మెరుగుదలలను సద్వినియోగం చేసుకుంది. ఛాంపియన్ తరచుగా పూర్తిగా కొత్త డిజైన్‌గా పరిగణించబడుతుంది, కాని చీఫ్ మరియు టెన్డం యొక్క ప్రభావం తక్షణమే స్పష్టంగా కనిపిస్తుంది. 1945 లో ఏరోంకా 11 చీఫ్‌గా ఒక ప్రక్క వైపు వెర్షన్ కూడా ప్రవేశపెట్టబడింది. ఏరోంకా 7 సిరీస్ యొక్క సైనిక సంస్కరణలు USAF చే ఏరోంకా L-16 గా నిర్వహించబడ్డాయి. [1] పౌర విమానం టూరింగ్ విమానాలు మరియు శిక్షకులుగా ప్రాచుర్యం పొందింది. సైనిక విమానం ప్రధానంగా USAAF తో శిక్షకుడిగా, అనుసంధానం, పరిశీలన విమానాగా ఉపాధిని కనుగొంది. [1] నుండి డేటా: ఏరోఫైల్స్.కామ్ [2] 1940 కొరకు అమెరికన్ విమానాలు మరియు ఇంజిన్ల నుండి డేటా [5] సాధారణ లక్షణాలు పనితీరు సంబంధిత అభివృద్ధి అభివృద్ధి విమానం పోల్చదగిన పాత్ర, కాన్ఫిగరేషన్ మరియు ERA సంబంధిత జాబితాలు</v>
      </c>
      <c r="E110" s="1" t="s">
        <v>2109</v>
      </c>
      <c r="F110" s="1" t="s">
        <v>844</v>
      </c>
      <c r="G110" s="1" t="str">
        <f>IFERROR(__xludf.DUMMYFUNCTION("GOOGLETRANSLATE(F:F,""en"", ""te"")"),"సివిల్ యుటిలిటీ విమానం")</f>
        <v>సివిల్ యుటిలిటీ విమానం</v>
      </c>
      <c r="I110" s="1" t="s">
        <v>2110</v>
      </c>
      <c r="J110" s="1" t="str">
        <f>IFERROR(__xludf.DUMMYFUNCTION("GOOGLETRANSLATE(I:I,""en"", ""te"")"),"యుఎస్ఎ)")</f>
        <v>యుఎస్ఎ)</v>
      </c>
      <c r="K110" s="1" t="s">
        <v>2111</v>
      </c>
      <c r="L110" s="1" t="s">
        <v>2112</v>
      </c>
      <c r="M110" s="1" t="str">
        <f>IFERROR(__xludf.DUMMYFUNCTION("GOOGLETRANSLATE(L:L,""en"", ""te"")"),"ఏరోంకా")</f>
        <v>ఏరోంకా</v>
      </c>
      <c r="N110" s="2" t="s">
        <v>2113</v>
      </c>
      <c r="R110" s="1" t="s">
        <v>2114</v>
      </c>
      <c r="AG110" s="1" t="s">
        <v>2115</v>
      </c>
      <c r="AO110" s="1" t="s">
        <v>2116</v>
      </c>
      <c r="AS110" s="1" t="s">
        <v>2117</v>
      </c>
      <c r="AU110" s="1" t="s">
        <v>2118</v>
      </c>
      <c r="AV110" s="1" t="s">
        <v>2119</v>
      </c>
      <c r="BG110" s="1" t="s">
        <v>2120</v>
      </c>
    </row>
    <row r="111">
      <c r="A111" s="1" t="s">
        <v>2121</v>
      </c>
      <c r="B111" s="1" t="str">
        <f>IFERROR(__xludf.DUMMYFUNCTION("GOOGLETRANSLATE(A:A,""en"", ""te"")"),"లోహెల్ స్పోర్ట్ పారాసోల్")</f>
        <v>లోహెల్ స్పోర్ట్ పారాసోల్</v>
      </c>
      <c r="C111" s="1" t="s">
        <v>2122</v>
      </c>
      <c r="D111" s="1" t="str">
        <f>IFERROR(__xludf.DUMMYFUNCTION("GOOGLETRANSLATE(C:C,""en"", ""te"")"),"లోహెల్ స్పోర్ట్ పారాసోల్ ఒక అమెరికన్ సింగిల్-సీట్, పారాసోల్ వింగ్డ్, సింగిల్ ఇంజిన్, అల్ట్రాలైట్ విమానం, ఇది కిట్ రూపంలో te త్సాహిక నిర్మాణం కోసం లోహెల్ విమానం ద్వారా ఉత్పత్తి అవుతుంది. విమానం యుఎస్ ఫార్ 103 అల్ట్రాలైట్ వాహనాల నిబంధనల అవసరాలను తీరుస్తుంది"&amp;". [1] [2] [3] [4] [5] [6] [7] డిజైన్ మార్కెట్‌కు ప్రవేశపెట్టినప్పుడు, దాని తక్కువ కిట్ ధర కోసం ఇది చాలా ఎక్కువ దృష్టిని ఆకర్షించింది, అయినప్పటికీ ప్రారంభ ధరలో ఇంజిన్, ప్రొపెల్లర్, ఇన్స్ట్రుమెంట్స్ లేదా కవరింగ్ సామాగ్రిని కలిగి లేదు. 2010 లో కూడా ఇది తక్కు"&amp;"వ ఖర్చుతో కూడిన కిట్ విమానాలలో ఒకటిగా ఉంది. [2] [3] [5] ఈ క్రీడ పారాసోల్ 1991 లో ప్రవేశపెట్టబడింది. ఈ విమానం నిర్మాణంలో సాంప్రదాయంగా ఉంది, ప్రధానంగా కలప మరియు రివర్టెడ్ అల్యూమినియం గొట్టాల నుండి నిర్మించబడింది, ఇది డోప్డ్ ఎయిర్క్రాఫ్ట్ ఫాబ్రిక్‌లో కప్పబడి"&amp;" ఉంటుంది. రెక్కలు డబుల్-ఉపరితలం, సగం-స్పాన్ ఐలెరాన్లతో ఉంటాయి. ట్రైలర్ రవాణా మరియు నిల్వ కోసం రెక్కలు వేరు మరియు టెయిల్‌ప్లేన్ మడతలు. ల్యాండింగ్ గేర్ సాంప్రదాయిక ఆకృతీకరణను కలిగి ఉంది, బంగీ-స్ప్రింగ్ మెయిన్ గేర్ మరియు స్టీరబుల్ టెయిల్‌వీల్‌తో. [3] [5] డిజ"&amp;"ైన్ కోసం సిఫారసు చేయబడిన ప్రారంభ ఇంజిన్ ఇప్పుడు అవుట్-ఆఫ్-ప్రొడక్షన్ 28 హెచ్‌పి (21 కిలోవాట్) రోటాక్స్ 277. ఈ రోజు సిఫార్సు చేసిన ఇంజిన్‌లలో 40 హెచ్‌పి (30 కిలోవాట్ బ్రేక్స్, అదనపు 5 యుఎస్ గాల్ (19 ఎల్) ఇంధన ట్యాంక్, స్పోక్డ్ వీల్స్, ఫ్లోట్లు మరియు స్కిస్"&amp;". కిట్ నుండి నిర్మాణ సమయం 350 గంటలుగా నివేదించబడింది. [3] [5] సమీక్షకుడు ఆండ్రీ క్లిచ్ ఈ విమానం ""చాలా ఆకర్షణీయమైన మరియు సరళమైన పారాసోల్ డిజైన్"" అని వర్ణించారు. [3] బేయర్ల్ మరియు ఇతరులు. విమానం గురించి ఇలా చెప్పింది, ""చాలా తక్కువ ఖర్చుతో ఎగురుతూ ఇది చాల"&amp;"ా చక్కనిది ... [స్పోర్ట్ పారాసోల్] తక్కువ డబ్బు కోసం చాలా సరదాగా ఉంటుంది."" [8] కిట్‌ప్లేన్స్ [1] మరియు లోహెల్ [5] సాధారణ లక్షణాల నుండి డేటా డేటా [1] పోల్చదగిన పాత్ర, కాన్ఫిగరేషన్ మరియు యుగం యొక్క పనితీరు విమానం")</f>
        <v>లోహెల్ స్పోర్ట్ పారాసోల్ ఒక అమెరికన్ సింగిల్-సీట్, పారాసోల్ వింగ్డ్, సింగిల్ ఇంజిన్, అల్ట్రాలైట్ విమానం, ఇది కిట్ రూపంలో te త్సాహిక నిర్మాణం కోసం లోహెల్ విమానం ద్వారా ఉత్పత్తి అవుతుంది. విమానం యుఎస్ ఫార్ 103 అల్ట్రాలైట్ వాహనాల నిబంధనల అవసరాలను తీరుస్తుంది. [1] [2] [3] [4] [5] [6] [7] డిజైన్ మార్కెట్‌కు ప్రవేశపెట్టినప్పుడు, దాని తక్కువ కిట్ ధర కోసం ఇది చాలా ఎక్కువ దృష్టిని ఆకర్షించింది, అయినప్పటికీ ప్రారంభ ధరలో ఇంజిన్, ప్రొపెల్లర్, ఇన్స్ట్రుమెంట్స్ లేదా కవరింగ్ సామాగ్రిని కలిగి లేదు. 2010 లో కూడా ఇది తక్కువ ఖర్చుతో కూడిన కిట్ విమానాలలో ఒకటిగా ఉంది. [2] [3] [5] ఈ క్రీడ పారాసోల్ 1991 లో ప్రవేశపెట్టబడింది. ఈ విమానం నిర్మాణంలో సాంప్రదాయంగా ఉంది, ప్రధానంగా కలప మరియు రివర్టెడ్ అల్యూమినియం గొట్టాల నుండి నిర్మించబడింది, ఇది డోప్డ్ ఎయిర్క్రాఫ్ట్ ఫాబ్రిక్‌లో కప్పబడి ఉంటుంది. రెక్కలు డబుల్-ఉపరితలం, సగం-స్పాన్ ఐలెరాన్లతో ఉంటాయి. ట్రైలర్ రవాణా మరియు నిల్వ కోసం రెక్కలు వేరు మరియు టెయిల్‌ప్లేన్ మడతలు. ల్యాండింగ్ గేర్ సాంప్రదాయిక ఆకృతీకరణను కలిగి ఉంది, బంగీ-స్ప్రింగ్ మెయిన్ గేర్ మరియు స్టీరబుల్ టెయిల్‌వీల్‌తో. [3] [5] డిజైన్ కోసం సిఫారసు చేయబడిన ప్రారంభ ఇంజిన్ ఇప్పుడు అవుట్-ఆఫ్-ప్రొడక్షన్ 28 హెచ్‌పి (21 కిలోవాట్) రోటాక్స్ 277. ఈ రోజు సిఫార్సు చేసిన ఇంజిన్‌లలో 40 హెచ్‌పి (30 కిలోవాట్ బ్రేక్స్, అదనపు 5 యుఎస్ గాల్ (19 ఎల్) ఇంధన ట్యాంక్, స్పోక్డ్ వీల్స్, ఫ్లోట్లు మరియు స్కిస్. కిట్ నుండి నిర్మాణ సమయం 350 గంటలుగా నివేదించబడింది. [3] [5] సమీక్షకుడు ఆండ్రీ క్లిచ్ ఈ విమానం "చాలా ఆకర్షణీయమైన మరియు సరళమైన పారాసోల్ డిజైన్" అని వర్ణించారు. [3] బేయర్ల్ మరియు ఇతరులు. విమానం గురించి ఇలా చెప్పింది, "చాలా తక్కువ ఖర్చుతో ఎగురుతూ ఇది చాలా చక్కనిది ... [స్పోర్ట్ పారాసోల్] తక్కువ డబ్బు కోసం చాలా సరదాగా ఉంటుంది." [8] కిట్‌ప్లేన్స్ [1] మరియు లోహెల్ [5] సాధారణ లక్షణాల నుండి డేటా డేటా [1] పోల్చదగిన పాత్ర, కాన్ఫిగరేషన్ మరియు యుగం యొక్క పనితీరు విమానం</v>
      </c>
      <c r="F111" s="1" t="s">
        <v>459</v>
      </c>
      <c r="G111" s="1" t="str">
        <f>IFERROR(__xludf.DUMMYFUNCTION("GOOGLETRANSLATE(F:F,""en"", ""te"")"),"అల్ట్రాలైట్ విమానం")</f>
        <v>అల్ట్రాలైట్ విమానం</v>
      </c>
      <c r="H111" s="1" t="s">
        <v>460</v>
      </c>
      <c r="I111" s="1" t="s">
        <v>158</v>
      </c>
      <c r="J111" s="1" t="str">
        <f>IFERROR(__xludf.DUMMYFUNCTION("GOOGLETRANSLATE(I:I,""en"", ""te"")"),"అమెరికా")</f>
        <v>అమెరికా</v>
      </c>
      <c r="K111" s="1" t="s">
        <v>159</v>
      </c>
      <c r="L111" s="1" t="s">
        <v>1944</v>
      </c>
      <c r="M111" s="1" t="str">
        <f>IFERROR(__xludf.DUMMYFUNCTION("GOOGLETRANSLATE(L:L,""en"", ""te"")"),"లోహెల్ విమానం")</f>
        <v>లోహెల్ విమానం</v>
      </c>
      <c r="N111" s="1" t="s">
        <v>1945</v>
      </c>
      <c r="O111" s="1">
        <v>1991.0</v>
      </c>
      <c r="P111" s="1" t="s">
        <v>162</v>
      </c>
      <c r="Q111" s="1"/>
      <c r="R111" s="1" t="s">
        <v>2123</v>
      </c>
      <c r="S111" s="1" t="s">
        <v>164</v>
      </c>
      <c r="U111" s="1" t="s">
        <v>2124</v>
      </c>
      <c r="V111" s="1" t="s">
        <v>751</v>
      </c>
      <c r="W111" s="1" t="s">
        <v>2125</v>
      </c>
      <c r="X111" s="1" t="s">
        <v>2126</v>
      </c>
      <c r="Y111" s="1" t="s">
        <v>2127</v>
      </c>
      <c r="Z111" s="1" t="s">
        <v>2051</v>
      </c>
      <c r="AA111" s="1" t="s">
        <v>2128</v>
      </c>
      <c r="AB111" s="1" t="s">
        <v>420</v>
      </c>
      <c r="AD111" s="1" t="s">
        <v>2129</v>
      </c>
      <c r="AE111" s="1" t="s">
        <v>316</v>
      </c>
      <c r="AH111" s="1" t="s">
        <v>2020</v>
      </c>
      <c r="AI111" s="1" t="s">
        <v>2130</v>
      </c>
      <c r="AJ111" s="1" t="s">
        <v>2055</v>
      </c>
      <c r="AK111" s="1" t="s">
        <v>2131</v>
      </c>
      <c r="AL111" s="1" t="s">
        <v>1766</v>
      </c>
      <c r="AQ111" s="1" t="s">
        <v>2055</v>
      </c>
      <c r="BE111" s="1" t="s">
        <v>2132</v>
      </c>
    </row>
    <row r="112">
      <c r="A112" s="1" t="s">
        <v>2133</v>
      </c>
      <c r="B112" s="1" t="str">
        <f>IFERROR(__xludf.DUMMYFUNCTION("GOOGLETRANSLATE(A:A,""en"", ""te"")"),"లైర్డ్ సూపర్ సొల్యూషన్")</f>
        <v>లైర్డ్ సూపర్ సొల్యూషన్</v>
      </c>
      <c r="C112" s="1" t="s">
        <v>2134</v>
      </c>
      <c r="D112" s="1" t="str">
        <f>IFERROR(__xludf.DUMMYFUNCTION("GOOGLETRANSLATE(C:C,""en"", ""te"")"),"లైర్డ్ ఎల్‌సి-డిడబ్ల్యు 300 మరియు ఎల్‌సి-డిడబ్ల్యు 500 సూపర్ సొల్యూషన్ అకా ""స్కై బజార్డ్"" 1930 ల ప్రారంభంలో క్లీవ్‌ల్యాండ్ స్పీడ్ ఫౌండేషన్ కోసం మాటీ లైర్డ్ చేత నిర్మించబడిన రేసింగ్ బైప్‌లేన్, లైర్డ్ అప్పటికే ఎయిర్ రేసింగ్ సర్క్యూట్లో ప్రసిద్ది చెందాడు. "&amp;"ఇది పెద్ద రేడియల్ ఇంజిన్ మరియు చాలా సరసమైన విండ్‌షీల్డ్ కలిగి ఉంది. బిప్‌లేన్ కాకుండా, ఇది గీ బీ, ఈ కాలం నుండి మరింత ప్రసిద్ధ రేసర్ అయిన గీ బీతో సమానంగా ఉంటుంది. సాపేక్షంగా శుభ్రమైన ఏరోడైనమిక్ నిర్మాణం మరియు గట్టి ఇంజిన్ కౌలింగ్ కారణంగా ఇది ఆ సమయంలో ఒక అధ"&amp;"ునాతన డిజైన్. [1] సూపర్ సొల్యూషన్ బర్బ్యాంక్ నుండి క్లీవ్‌ల్యాండ్‌కు బెండిక్స్ ట్రోఫీ రేసులో మొదటి విజేత, అక్కడ దీనిని మేజర్ జేమ్స్ హెచ్. డూలిటిల్ ఎగురవేశారు. సూపర్ సొల్యూషన్ నిర్మాణం 8 జూలై 1931 న ప్రారంభమైంది. ఈ విమానం పూర్తయింది మరియు చికాగోలోని యాష్బో"&amp;"ర్న్ ఫీల్డ్‌లో ఈ విమానం ఆగస్టు 22, 1931 నాటికి పరీక్షలు జరిగాయి. 1932 లో కాన్సాస్‌లోని విచితలోని క్రిస్టోఫర్ బ్రదర్స్ చేత మరింత మార్పులు జరిగాయి, సీటును పెంచడం, స్లైడింగ్ పందిరిని వ్యవస్థాపించడం మరియు ముడుచుకునే ల్యాండింగ్ గేర్‌ను జోడించడం. [2] రెండు ఇంజన"&amp;"్లు ద్రావణంలో ఉపయోగించబడ్డాయి, రెండవది గేర్డ్ వేరియంట్, ఇది పెద్ద ప్రొపెల్లర్‌తో తక్కువ ప్రొపెల్లర్ RPM ని అనుమతించింది. ఇంజిన్లు అధిక-కంప్రెషన్ పిస్టన్‌లతో మరియు ""డోప్డ్"" లీడ్ ఇంధనంతో నడిచాయి. రెండూ ప్రామాణిక 375 HP P&amp;W R-985 WASP జూనియర్ S2A ఇంజిన్ ను"&amp;"ండి 500 HP కి పైగా ఉత్పత్తి చేశారు. ప్రారంభ విమాన పరీక్షలు విమానం స్థిరత్వాన్ని నిర్వహించడానికి మరింత చుక్కాని ప్రాంతం అవసరమని నిరూపించాయి మరియు స్థిర పిచ్ ప్రొపెల్లర్‌ను ఒక మైలు పొడవులో టేకాఫ్‌లను అనుమతించడానికి సర్దుబాటు చేయాల్సిన అవసరం ఉంది. స్పోర్ట్ ఏ"&amp;"వియేషన్ జనరల్ లక్షణాల పనితీరు నుండి డేటా")</f>
        <v>లైర్డ్ ఎల్‌సి-డిడబ్ల్యు 300 మరియు ఎల్‌సి-డిడబ్ల్యు 500 సూపర్ సొల్యూషన్ అకా "స్కై బజార్డ్" 1930 ల ప్రారంభంలో క్లీవ్‌ల్యాండ్ స్పీడ్ ఫౌండేషన్ కోసం మాటీ లైర్డ్ చేత నిర్మించబడిన రేసింగ్ బైప్‌లేన్, లైర్డ్ అప్పటికే ఎయిర్ రేసింగ్ సర్క్యూట్లో ప్రసిద్ది చెందాడు. ఇది పెద్ద రేడియల్ ఇంజిన్ మరియు చాలా సరసమైన విండ్‌షీల్డ్ కలిగి ఉంది. బిప్‌లేన్ కాకుండా, ఇది గీ బీ, ఈ కాలం నుండి మరింత ప్రసిద్ధ రేసర్ అయిన గీ బీతో సమానంగా ఉంటుంది. సాపేక్షంగా శుభ్రమైన ఏరోడైనమిక్ నిర్మాణం మరియు గట్టి ఇంజిన్ కౌలింగ్ కారణంగా ఇది ఆ సమయంలో ఒక అధునాతన డిజైన్. [1] సూపర్ సొల్యూషన్ బర్బ్యాంక్ నుండి క్లీవ్‌ల్యాండ్‌కు బెండిక్స్ ట్రోఫీ రేసులో మొదటి విజేత, అక్కడ దీనిని మేజర్ జేమ్స్ హెచ్. డూలిటిల్ ఎగురవేశారు. సూపర్ సొల్యూషన్ నిర్మాణం 8 జూలై 1931 న ప్రారంభమైంది. ఈ విమానం పూర్తయింది మరియు చికాగోలోని యాష్బోర్న్ ఫీల్డ్‌లో ఈ విమానం ఆగస్టు 22, 1931 నాటికి పరీక్షలు జరిగాయి. 1932 లో కాన్సాస్‌లోని విచితలోని క్రిస్టోఫర్ బ్రదర్స్ చేత మరింత మార్పులు జరిగాయి, సీటును పెంచడం, స్లైడింగ్ పందిరిని వ్యవస్థాపించడం మరియు ముడుచుకునే ల్యాండింగ్ గేర్‌ను జోడించడం. [2] రెండు ఇంజన్లు ద్రావణంలో ఉపయోగించబడ్డాయి, రెండవది గేర్డ్ వేరియంట్, ఇది పెద్ద ప్రొపెల్లర్‌తో తక్కువ ప్రొపెల్లర్ RPM ని అనుమతించింది. ఇంజిన్లు అధిక-కంప్రెషన్ పిస్టన్‌లతో మరియు "డోప్డ్" లీడ్ ఇంధనంతో నడిచాయి. రెండూ ప్రామాణిక 375 HP P&amp;W R-985 WASP జూనియర్ S2A ఇంజిన్ నుండి 500 HP కి పైగా ఉత్పత్తి చేశారు. ప్రారంభ విమాన పరీక్షలు విమానం స్థిరత్వాన్ని నిర్వహించడానికి మరింత చుక్కాని ప్రాంతం అవసరమని నిరూపించాయి మరియు స్థిర పిచ్ ప్రొపెల్లర్‌ను ఒక మైలు పొడవులో టేకాఫ్‌లను అనుమతించడానికి సర్దుబాటు చేయాల్సిన అవసరం ఉంది. స్పోర్ట్ ఏవియేషన్ జనరల్ లక్షణాల పనితీరు నుండి డేటా</v>
      </c>
      <c r="E112" s="1" t="s">
        <v>2135</v>
      </c>
      <c r="F112" s="1" t="s">
        <v>1996</v>
      </c>
      <c r="G112" s="1" t="str">
        <f>IFERROR(__xludf.DUMMYFUNCTION("GOOGLETRANSLATE(F:F,""en"", ""te"")"),"రేసింగ్ విమానం")</f>
        <v>రేసింగ్ విమానం</v>
      </c>
      <c r="H112" s="1" t="s">
        <v>1997</v>
      </c>
      <c r="I112" s="1" t="s">
        <v>158</v>
      </c>
      <c r="J112" s="1" t="str">
        <f>IFERROR(__xludf.DUMMYFUNCTION("GOOGLETRANSLATE(I:I,""en"", ""te"")"),"అమెరికా")</f>
        <v>అమెరికా</v>
      </c>
      <c r="K112" s="2" t="s">
        <v>515</v>
      </c>
      <c r="L112" s="1" t="s">
        <v>1998</v>
      </c>
      <c r="M112" s="1" t="str">
        <f>IFERROR(__xludf.DUMMYFUNCTION("GOOGLETRANSLATE(L:L,""en"", ""te"")"),"E. M. లైర్డ్ విమానం సంస్థ")</f>
        <v>E. M. లైర్డ్ విమానం సంస్థ</v>
      </c>
      <c r="N112" s="1" t="s">
        <v>1999</v>
      </c>
      <c r="P112" s="1" t="s">
        <v>2136</v>
      </c>
      <c r="Q112" s="1"/>
      <c r="R112" s="1">
        <v>1.0</v>
      </c>
      <c r="T112" s="1">
        <v>1.0</v>
      </c>
      <c r="U112" s="1" t="s">
        <v>409</v>
      </c>
      <c r="W112" s="1" t="s">
        <v>2137</v>
      </c>
      <c r="X112" s="1" t="s">
        <v>2138</v>
      </c>
      <c r="Y112" s="1" t="s">
        <v>2139</v>
      </c>
      <c r="Z112" s="1" t="s">
        <v>2140</v>
      </c>
      <c r="AA112" s="1" t="s">
        <v>2141</v>
      </c>
      <c r="AE112" s="1" t="s">
        <v>2002</v>
      </c>
      <c r="AF112" s="1" t="s">
        <v>2142</v>
      </c>
      <c r="AH112" s="1" t="s">
        <v>2003</v>
      </c>
      <c r="AM112" s="1" t="s">
        <v>2143</v>
      </c>
      <c r="AN112" s="1" t="s">
        <v>2144</v>
      </c>
      <c r="AO112" s="4">
        <v>11557.0</v>
      </c>
      <c r="AU112" s="1" t="s">
        <v>1994</v>
      </c>
      <c r="AV112" s="1" t="s">
        <v>2145</v>
      </c>
    </row>
    <row r="113">
      <c r="A113" s="1" t="s">
        <v>2146</v>
      </c>
      <c r="B113" s="1" t="str">
        <f>IFERROR(__xludf.DUMMYFUNCTION("GOOGLETRANSLATE(A:A,""en"", ""te"")"),"లైట్ వింగ్ ఎసి 4")</f>
        <v>లైట్ వింగ్ ఎసి 4</v>
      </c>
      <c r="C113" s="1" t="s">
        <v>2147</v>
      </c>
      <c r="D113" s="1" t="str">
        <f>IFERROR(__xludf.DUMMYFUNCTION("GOOGLETRANSLATE(C:C,""en"", ""te"")"),"లైట్ వింగ్ ఎసి 4 అనేది స్విస్ అల్ట్రాలైట్ మరియు లైట్-స్పోర్ట్ విమానం, ఇది హన్స్ గైగాక్స్ చేత రూపొందించబడింది మరియు స్టాన్స్ యొక్క లైట్ వింగ్ ఎగ్ చేత ఉత్పత్తి అవుతుంది. ఈ విమానం 2013 లో ఏరో ఫ్రీడ్రిచ్‌షాఫెన్ షోలో బహిరంగంగా ప్రవేశపెట్టబడింది. ఇది పూర్తి మరి"&amp;"యు రెడీ-ఫ్లైకి సరఫరా చేయబడుతుంది. [1] [2] [3] AC4 Fédération aéronautique ఇంటర్నేషనల్ మైక్రోలైట్ రూల్స్ మరియు యుఎస్ లైట్-స్పోర్ట్ ఎయిర్క్రాఫ్ట్ రూల్స్ లకు అనుగుణంగా రూపొందించబడింది. ఇది స్ట్రట్-బ్రేస్డ్ హై-వింగ్, ""V"" -స్ట్రట్స్ మరియు జ్యూరీ స్ట్రట్స్, ర"&amp;"ెండు-సీట్ల-సైడ్-సైడ్-సైడ్ కాన్ఫిగరేషన్ పరివేష్టిత కాక్‌పిట్, స్థిర ట్రైసైకిల్ ల్యాండింగ్ గేర్ మరియు ట్రాక్టర్ కాన్ఫిగరేషన్‌లో ఒకే ఇంజిన్ కలిగి ఉంది. [1 నటించు ఈ విమానం మిశ్రమాలు మరియు అల్యూమినియం షీట్ కలయిక నుండి తయారవుతుంది, దాని టెయిల్‌బూమ్ ఒకే పెద్ద వ్"&amp;"యాసం కలిగిన అల్యూమినియం ట్యూబ్ మరియు అల్యూమినియంలో కప్పబడిన రెక్కలు మరియు తోక ఉపరితలాల నుండి తయారు చేయబడింది. దీని 9.45 మీ (31.0 అడుగులు) స్పాన్ వింగ్ 16.65 మీ 2 (179.2 చదరపు అడుగులు) విస్తీర్ణంలో ఉంది, వీటిలో వి-స్ట్రట్స్ మరియు మౌంట్స్ ఫ్లాప్స్ మద్దతు ఇస"&amp;"్తున్నాయి. అందుబాటులో ఉన్న ప్రామాణిక ఇంజిన్ 100 హెచ్‌పి (75 కిలోవాట్ AC4 ఒక పైలట్ మరియు ఒక ప్రయాణీకుడిని కలిగి ఉంటుంది మరియు ఏరో-టౌయింగ్ గ్లైడర్‌ల కోసం కూడా రూపొందించబడింది. ఇది మెడెవాక్ మిషన్ల కోసం స్ట్రెచర్ను కూడా కలిగి ఉంటుంది. ఇది యూరోపియన్ యూరోపియన్ "&amp;"ఏవియేషన్ సేఫ్టీ ఏజెన్సీ రకం ధృవీకరణను 6 ఆగస్టు 2015 న లైట్ స్పోర్ట్ విమానాల (CS-LSA) కోసం ధృవీకరణ స్పెసిఫికేషన్‌కు అందుకుంది. [5] [1] [2] బేయర్ల్, టాక్ మరియు తయారీదారు నుండి డేటా [1] [2] [4] సాధారణ లక్షణాల పనితీరు")</f>
        <v>లైట్ వింగ్ ఎసి 4 అనేది స్విస్ అల్ట్రాలైట్ మరియు లైట్-స్పోర్ట్ విమానం, ఇది హన్స్ గైగాక్స్ చేత రూపొందించబడింది మరియు స్టాన్స్ యొక్క లైట్ వింగ్ ఎగ్ చేత ఉత్పత్తి అవుతుంది. ఈ విమానం 2013 లో ఏరో ఫ్రీడ్రిచ్‌షాఫెన్ షోలో బహిరంగంగా ప్రవేశపెట్టబడింది. ఇది పూర్తి మరియు రెడీ-ఫ్లైకి సరఫరా చేయబడుతుంది. [1] [2] [3] AC4 Fédération aéronautique ఇంటర్నేషనల్ మైక్రోలైట్ రూల్స్ మరియు యుఎస్ లైట్-స్పోర్ట్ ఎయిర్క్రాఫ్ట్ రూల్స్ లకు అనుగుణంగా రూపొందించబడింది. ఇది స్ట్రట్-బ్రేస్డ్ హై-వింగ్, "V" -స్ట్రట్స్ మరియు జ్యూరీ స్ట్రట్స్, రెండు-సీట్ల-సైడ్-సైడ్-సైడ్ కాన్ఫిగరేషన్ పరివేష్టిత కాక్‌పిట్, స్థిర ట్రైసైకిల్ ల్యాండింగ్ గేర్ మరియు ట్రాక్టర్ కాన్ఫిగరేషన్‌లో ఒకే ఇంజిన్ కలిగి ఉంది. [1 నటించు ఈ విమానం మిశ్రమాలు మరియు అల్యూమినియం షీట్ కలయిక నుండి తయారవుతుంది, దాని టెయిల్‌బూమ్ ఒకే పెద్ద వ్యాసం కలిగిన అల్యూమినియం ట్యూబ్ మరియు అల్యూమినియంలో కప్పబడిన రెక్కలు మరియు తోక ఉపరితలాల నుండి తయారు చేయబడింది. దీని 9.45 మీ (31.0 అడుగులు) స్పాన్ వింగ్ 16.65 మీ 2 (179.2 చదరపు అడుగులు) విస్తీర్ణంలో ఉంది, వీటిలో వి-స్ట్రట్స్ మరియు మౌంట్స్ ఫ్లాప్స్ మద్దతు ఇస్తున్నాయి. అందుబాటులో ఉన్న ప్రామాణిక ఇంజిన్ 100 హెచ్‌పి (75 కిలోవాట్ AC4 ఒక పైలట్ మరియు ఒక ప్రయాణీకుడిని కలిగి ఉంటుంది మరియు ఏరో-టౌయింగ్ గ్లైడర్‌ల కోసం కూడా రూపొందించబడింది. ఇది మెడెవాక్ మిషన్ల కోసం స్ట్రెచర్ను కూడా కలిగి ఉంటుంది. ఇది యూరోపియన్ యూరోపియన్ ఏవియేషన్ సేఫ్టీ ఏజెన్సీ రకం ధృవీకరణను 6 ఆగస్టు 2015 న లైట్ స్పోర్ట్ విమానాల (CS-LSA) కోసం ధృవీకరణ స్పెసిఫికేషన్‌కు అందుకుంది. [5] [1] [2] బేయర్ల్, టాక్ మరియు తయారీదారు నుండి డేటా [1] [2] [4] సాధారణ లక్షణాల పనితీరు</v>
      </c>
      <c r="E113" s="1" t="s">
        <v>2148</v>
      </c>
      <c r="F113" s="1" t="s">
        <v>1530</v>
      </c>
      <c r="G113" s="1" t="str">
        <f>IFERROR(__xludf.DUMMYFUNCTION("GOOGLETRANSLATE(F:F,""en"", ""te"")"),"అల్ట్రాలైట్ విమానం మరియు లైట్-స్పోర్ట్ విమానం")</f>
        <v>అల్ట్రాలైట్ విమానం మరియు లైట్-స్పోర్ట్ విమానం</v>
      </c>
      <c r="H113" s="1" t="s">
        <v>1531</v>
      </c>
      <c r="I113" s="1" t="s">
        <v>2149</v>
      </c>
      <c r="J113" s="1" t="str">
        <f>IFERROR(__xludf.DUMMYFUNCTION("GOOGLETRANSLATE(I:I,""en"", ""te"")"),"స్విట్జర్లాండ్")</f>
        <v>స్విట్జర్లాండ్</v>
      </c>
      <c r="K113" s="2" t="s">
        <v>2150</v>
      </c>
      <c r="L113" s="1" t="s">
        <v>2151</v>
      </c>
      <c r="M113" s="1" t="str">
        <f>IFERROR(__xludf.DUMMYFUNCTION("GOOGLETRANSLATE(L:L,""en"", ""te"")"),"లైట్ వింగ్ ఎగ్")</f>
        <v>లైట్ వింగ్ ఎగ్</v>
      </c>
      <c r="N113" s="1" t="s">
        <v>2152</v>
      </c>
      <c r="O113" s="1">
        <v>2013.0</v>
      </c>
      <c r="P113" s="1" t="s">
        <v>2153</v>
      </c>
      <c r="Q113" s="1"/>
      <c r="S113" s="1" t="s">
        <v>164</v>
      </c>
      <c r="T113" s="1" t="s">
        <v>165</v>
      </c>
      <c r="U113" s="1" t="s">
        <v>2154</v>
      </c>
      <c r="V113" s="1" t="s">
        <v>2155</v>
      </c>
      <c r="W113" s="1" t="s">
        <v>2156</v>
      </c>
      <c r="X113" s="1" t="s">
        <v>2157</v>
      </c>
      <c r="Y113" s="1" t="s">
        <v>202</v>
      </c>
      <c r="Z113" s="1" t="s">
        <v>2158</v>
      </c>
      <c r="AA113" s="1" t="s">
        <v>2159</v>
      </c>
      <c r="AB113" s="1" t="s">
        <v>2160</v>
      </c>
      <c r="AD113" s="1" t="s">
        <v>1458</v>
      </c>
      <c r="AE113" s="1" t="s">
        <v>2161</v>
      </c>
      <c r="AF113" s="1" t="s">
        <v>2162</v>
      </c>
      <c r="AH113" s="1" t="s">
        <v>2163</v>
      </c>
      <c r="AI113" s="1" t="s">
        <v>2164</v>
      </c>
      <c r="AJ113" s="1" t="s">
        <v>1178</v>
      </c>
      <c r="AK113" s="1" t="s">
        <v>2165</v>
      </c>
      <c r="AM113" s="1" t="s">
        <v>2166</v>
      </c>
    </row>
    <row r="114">
      <c r="A114" s="1" t="s">
        <v>2167</v>
      </c>
      <c r="B114" s="1" t="str">
        <f>IFERROR(__xludf.DUMMYFUNCTION("GOOGLETRANSLATE(A:A,""en"", ""te"")"),"లియోర్ ఎట్ ఆలివర్ లియో 41")</f>
        <v>లియోర్ ఎట్ ఆలివర్ లియో 41</v>
      </c>
      <c r="C114" s="1" t="s">
        <v>2168</v>
      </c>
      <c r="D114" s="1" t="str">
        <f>IFERROR(__xludf.DUMMYFUNCTION("GOOGLETRANSLATE(C:C,""en"", ""te"")"),"లియోర్ ఎట్ ఆలివర్ లియో 41 అనేది లియోరే ఎట్ ఆలివర్ చేత నిర్మించబడిన ఒక ఫ్రెంచ్ ప్రయోగాత్మక బైప్‌లేన్. [1] LEO 41 ను ప్రతి రెక్క వెనుక స్ట్రట్‌లకు అమర్చిన పొడవైన నియంత్రణ ఉపరితలాలతో ""వింత రూపకల్పన"" గా వర్ణించబడింది, ఇది 95 HP (71 kW) రెనాల్ట్ 4 పిబి ఇంజిన"&amp;"్‌తో శక్తిని పొందింది. [1] ఒకటి మాత్రమే నిర్మించబడింది మరియు డిజైన్ వదిలివేయబడింది. [1] సాధారణ లక్షణాలు 1930 ల వ్యాసం యొక్క ఈ విమానం ఒక స్టబ్. వికీపీడియా విస్తరించడం ద్వారా మీరు సహాయపడవచ్చు.")</f>
        <v>లియోర్ ఎట్ ఆలివర్ లియో 41 అనేది లియోరే ఎట్ ఆలివర్ చేత నిర్మించబడిన ఒక ఫ్రెంచ్ ప్రయోగాత్మక బైప్‌లేన్. [1] LEO 41 ను ప్రతి రెక్క వెనుక స్ట్రట్‌లకు అమర్చిన పొడవైన నియంత్రణ ఉపరితలాలతో "వింత రూపకల్పన" గా వర్ణించబడింది, ఇది 95 HP (71 kW) రెనాల్ట్ 4 పిబి ఇంజిన్‌తో శక్తిని పొందింది. [1] ఒకటి మాత్రమే నిర్మించబడింది మరియు డిజైన్ వదిలివేయబడింది. [1] సాధారణ లక్షణాలు 1930 ల వ్యాసం యొక్క ఈ విమానం ఒక స్టబ్. వికీపీడియా విస్తరించడం ద్వారా మీరు సహాయపడవచ్చు.</v>
      </c>
      <c r="F114" s="1" t="s">
        <v>1331</v>
      </c>
      <c r="G114" s="1" t="str">
        <f>IFERROR(__xludf.DUMMYFUNCTION("GOOGLETRANSLATE(F:F,""en"", ""te"")"),"ప్రయోగాత్మక బిప్‌లేన్")</f>
        <v>ప్రయోగాత్మక బిప్‌లేన్</v>
      </c>
      <c r="I114" s="1" t="s">
        <v>798</v>
      </c>
      <c r="J114" s="1" t="str">
        <f>IFERROR(__xludf.DUMMYFUNCTION("GOOGLETRANSLATE(I:I,""en"", ""te"")"),"ఫ్రాన్స్")</f>
        <v>ఫ్రాన్స్</v>
      </c>
      <c r="K114" s="2" t="s">
        <v>1166</v>
      </c>
      <c r="L114" s="1" t="s">
        <v>2169</v>
      </c>
      <c r="M114" s="1" t="str">
        <f>IFERROR(__xludf.DUMMYFUNCTION("GOOGLETRANSLATE(L:L,""en"", ""te"")"),"లియోర్ ఎట్ ఆలివర్")</f>
        <v>లియోర్ ఎట్ ఆలివర్</v>
      </c>
      <c r="N114" s="1" t="s">
        <v>2170</v>
      </c>
      <c r="R114" s="1">
        <v>1.0</v>
      </c>
      <c r="T114" s="1">
        <v>2.0</v>
      </c>
      <c r="AO114" s="1">
        <v>1932.0</v>
      </c>
    </row>
    <row r="115">
      <c r="A115" s="1" t="s">
        <v>2171</v>
      </c>
      <c r="B115" s="1" t="str">
        <f>IFERROR(__xludf.DUMMYFUNCTION("GOOGLETRANSLATE(A:A,""en"", ""te"")"),"లాక్‌హీడ్ బిగ్ డిప్పర్")</f>
        <v>లాక్‌హీడ్ బిగ్ డిప్పర్</v>
      </c>
      <c r="C115" s="1" t="s">
        <v>2172</v>
      </c>
      <c r="D115" s="1" t="str">
        <f>IFERROR(__xludf.DUMMYFUNCTION("GOOGLETRANSLATE(C:C,""en"", ""te"")"),"లాక్హీడ్ మోడల్ 34 బిగ్ డిప్పర్ ఒక అమెరికన్ రెండు-సీట్ల మోనోప్లేన్, ఇది సివిల్ లైట్ ప్లేన్ మరియు మిలిటరీ లైట్ యుటిలిటీ ఎయిర్క్రాఫ్ట్ మార్కెట్లోకి కంపెనీ సంభావ్య ప్రవేశంపై పరిశోధన కోసం బర్బాంక్ వద్ద లాక్హీడ్ రూపొందించింది మరియు నిర్మించబడింది. ఒకటి మాత్రమే "&amp;"నిర్మించబడింది, మరియు ఒక ప్రమాదంలో జరిగిన నష్టం తరువాత ఈ కార్యక్రమం వదిలివేయబడింది. జాన్ థోర్ప్ చేత అభివృద్ధి చేయబడింది మరియు లాక్హీడ్ యొక్క లిటిల్ డిప్పర్ లైట్ ప్లేన్ ప్రాజెక్ట్, [1] ""బిగ్ డిప్పర్"" అని పిలువబడే లాక్హీడ్ మోడల్ 34, యుద్ధానంతర మార్కెట్లో "&amp;"విక్రయించడానికి ఒక లైట్ ప్లేన్ కోసం ఒక నమూనాగా ఉద్దేశించబడింది - లాక్హీడ్ విక్రయించాలని ఆశతో $ 1500 [2] ధర వద్ద విమానం - మరియు యునైటెడ్ స్టేట్స్ ఆర్మీకి సంభావ్య 'ఫ్లయింగ్ జీప్' గా. [1] ఇది తక్కువ-వింగ్ కాంటిలివర్ మోనోప్లేన్, ఇది స్థిర ట్రైసైకిల్ ల్యాండింగ"&amp;"్ గేర్ మరియు సాంప్రదాయ సామ్రాజ్యం; క్యాబిన్ జతచేయబడింది, పక్కపక్కనే రెండు స్థానాల్లో కూర్చుంది. అసాధారణంగా కాంటినెంటల్ సి 100 పిస్టన్ ఇంజిన్ క్యాబిన్ వెనుక ఉన్న సెంటర్ ఫ్యూజ్‌లేజ్‌లో అమర్చబడింది, విమానం వెనుక భాగంలో అమర్చిన రెండు-బ్లేడెడ్ పషర్ ప్రొపెల్లర్"&amp;"‌ను నడుపుతుంది. [2] మోడల్ 34 జూలై 1945 నుండి బర్బాంక్ వద్ద నిర్మించబడింది. ఈ ప్రాజెక్టును రహస్యంగా ఉంచడానికి విమానం పూర్తయినప్పుడు విమానం పామ్‌డేల్‌కు రోడ్ ద్వారా పామ్‌డేల్‌కు తరలించబడింది, మురోక్ డ్రై లేక్ వద్ద విమాన పరీక్ష జరుగుతోంది. [2] ఇది మొదట 10 డి"&amp;"సెంబర్ 1945 న ప్రయాణించింది, మరియు 40 గంటల విమాన పరీక్షల తరువాత మార్పుల కోసం బర్బాంక్‌కు తిరిగి ఇవ్వబడింది, [3] గుర్తించబడిన వింగ్-రూట్ స్టాల్ సమస్యను సరిదిద్దడానికి ఉద్దేశించబడింది. [4] సవరణను పూర్తి చేయకూడదని నిర్ణయించబడింది, మరియు ఈ విమానం 6 ఫిబ్రవరి 1"&amp;"946 న పామ్‌డేల్‌కు తిరిగి వెళ్లవలసి ఉంది. పెద్ద డిప్పర్‌ను రహస్యంగా ఉంచడానికి ప్రయత్నించడానికి, కర్మాగారానికి దగ్గరగా ఉన్న చిన్న పైకి వాలుగా ఉన్న రన్‌వేను ఉపయోగించాలని నిర్ణయించారు; తక్కువ రన్‌వే నుండి టేకాఫ్ సమయంలో అవసరమైన నిటారుగా ఎక్కినప్పుడు, విమానం న"&amp;"ిలిచిపోయింది మరియు క్రాష్ అయ్యింది. [3] ప్రోటోటైప్ కోల్పోవటంతో, మరియు కొత్త లైట్ ప్లాన్‌ల కోసం కొనుగోలుదారుల రష్ యుద్ధ-సర్ర్ప్లస్ విమానం, [5] ప్రాజెక్ట్ మరియు ప్రతిపాదిత అధిక-వింగ్ నాలుగు-సీట్ల ""సూపర్ డిప్పర్"" మధ్య కార్యరూపం దాల్చడంలో విఫలమైంది. ఉత్పన్న"&amp;"ం, వదిలివేయబడింది; [3] ఫ్రాన్సిల్లాన్ 1982 నుండి డేటా [3] సాధారణ లక్షణాలు పనితీరు సంబంధిత అభివృద్ధి విమానం పోల్చదగిన పాత్ర, కాన్ఫిగరేషన్ మరియు యుగం")</f>
        <v>లాక్హీడ్ మోడల్ 34 బిగ్ డిప్పర్ ఒక అమెరికన్ రెండు-సీట్ల మోనోప్లేన్, ఇది సివిల్ లైట్ ప్లేన్ మరియు మిలిటరీ లైట్ యుటిలిటీ ఎయిర్క్రాఫ్ట్ మార్కెట్లోకి కంపెనీ సంభావ్య ప్రవేశంపై పరిశోధన కోసం బర్బాంక్ వద్ద లాక్హీడ్ రూపొందించింది మరియు నిర్మించబడింది. ఒకటి మాత్రమే నిర్మించబడింది, మరియు ఒక ప్రమాదంలో జరిగిన నష్టం తరువాత ఈ కార్యక్రమం వదిలివేయబడింది. జాన్ థోర్ప్ చేత అభివృద్ధి చేయబడింది మరియు లాక్హీడ్ యొక్క లిటిల్ డిప్పర్ లైట్ ప్లేన్ ప్రాజెక్ట్, [1] "బిగ్ డిప్పర్" అని పిలువబడే లాక్హీడ్ మోడల్ 34, యుద్ధానంతర మార్కెట్లో విక్రయించడానికి ఒక లైట్ ప్లేన్ కోసం ఒక నమూనాగా ఉద్దేశించబడింది - లాక్హీడ్ విక్రయించాలని ఆశతో $ 1500 [2] ధర వద్ద విమానం - మరియు యునైటెడ్ స్టేట్స్ ఆర్మీకి సంభావ్య 'ఫ్లయింగ్ జీప్' గా. [1] ఇది తక్కువ-వింగ్ కాంటిలివర్ మోనోప్లేన్, ఇది స్థిర ట్రైసైకిల్ ల్యాండింగ్ గేర్ మరియు సాంప్రదాయ సామ్రాజ్యం; క్యాబిన్ జతచేయబడింది, పక్కపక్కనే రెండు స్థానాల్లో కూర్చుంది. అసాధారణంగా కాంటినెంటల్ సి 100 పిస్టన్ ఇంజిన్ క్యాబిన్ వెనుక ఉన్న సెంటర్ ఫ్యూజ్‌లేజ్‌లో అమర్చబడింది, విమానం వెనుక భాగంలో అమర్చిన రెండు-బ్లేడెడ్ పషర్ ప్రొపెల్లర్‌ను నడుపుతుంది. [2] మోడల్ 34 జూలై 1945 నుండి బర్బాంక్ వద్ద నిర్మించబడింది. ఈ ప్రాజెక్టును రహస్యంగా ఉంచడానికి విమానం పూర్తయినప్పుడు విమానం పామ్‌డేల్‌కు రోడ్ ద్వారా పామ్‌డేల్‌కు తరలించబడింది, మురోక్ డ్రై లేక్ వద్ద విమాన పరీక్ష జరుగుతోంది. [2] ఇది మొదట 10 డిసెంబర్ 1945 న ప్రయాణించింది, మరియు 40 గంటల విమాన పరీక్షల తరువాత మార్పుల కోసం బర్బాంక్‌కు తిరిగి ఇవ్వబడింది, [3] గుర్తించబడిన వింగ్-రూట్ స్టాల్ సమస్యను సరిదిద్దడానికి ఉద్దేశించబడింది. [4] సవరణను పూర్తి చేయకూడదని నిర్ణయించబడింది, మరియు ఈ విమానం 6 ఫిబ్రవరి 1946 న పామ్‌డేల్‌కు తిరిగి వెళ్లవలసి ఉంది. పెద్ద డిప్పర్‌ను రహస్యంగా ఉంచడానికి ప్రయత్నించడానికి, కర్మాగారానికి దగ్గరగా ఉన్న చిన్న పైకి వాలుగా ఉన్న రన్‌వేను ఉపయోగించాలని నిర్ణయించారు; తక్కువ రన్‌వే నుండి టేకాఫ్ సమయంలో అవసరమైన నిటారుగా ఎక్కినప్పుడు, విమానం నిలిచిపోయింది మరియు క్రాష్ అయ్యింది. [3] ప్రోటోటైప్ కోల్పోవటంతో, మరియు కొత్త లైట్ ప్లాన్‌ల కోసం కొనుగోలుదారుల రష్ యుద్ధ-సర్ర్ప్లస్ విమానం, [5] ప్రాజెక్ట్ మరియు ప్రతిపాదిత అధిక-వింగ్ నాలుగు-సీట్ల "సూపర్ డిప్పర్" మధ్య కార్యరూపం దాల్చడంలో విఫలమైంది. ఉత్పన్నం, వదిలివేయబడింది; [3] ఫ్రాన్సిల్లాన్ 1982 నుండి డేటా [3] సాధారణ లక్షణాలు పనితీరు సంబంధిత అభివృద్ధి విమానం పోల్చదగిన పాత్ర, కాన్ఫిగరేషన్ మరియు యుగం</v>
      </c>
      <c r="E115" s="1" t="s">
        <v>2173</v>
      </c>
      <c r="F115" s="1" t="s">
        <v>2174</v>
      </c>
      <c r="G115" s="1" t="str">
        <f>IFERROR(__xludf.DUMMYFUNCTION("GOOGLETRANSLATE(F:F,""en"", ""te"")"),"రెండు-సీట్ల యుటిలిటీ మోనోప్లేన్")</f>
        <v>రెండు-సీట్ల యుటిలిటీ మోనోప్లేన్</v>
      </c>
      <c r="I115" s="1" t="s">
        <v>2044</v>
      </c>
      <c r="J115" s="1" t="str">
        <f>IFERROR(__xludf.DUMMYFUNCTION("GOOGLETRANSLATE(I:I,""en"", ""te"")"),"సంయుక్త రాష్ట్రాలు")</f>
        <v>సంయుక్త రాష్ట్రాలు</v>
      </c>
      <c r="L115" s="1" t="s">
        <v>2175</v>
      </c>
      <c r="M115" s="1" t="str">
        <f>IFERROR(__xludf.DUMMYFUNCTION("GOOGLETRANSLATE(L:L,""en"", ""te"")"),"లాక్హీడ్")</f>
        <v>లాక్హీడ్</v>
      </c>
      <c r="N115" s="2" t="s">
        <v>2176</v>
      </c>
      <c r="P115" s="1" t="s">
        <v>2177</v>
      </c>
      <c r="Q115" s="1"/>
      <c r="R115" s="1">
        <v>1.0</v>
      </c>
      <c r="S115" s="1" t="s">
        <v>2178</v>
      </c>
      <c r="U115" s="1" t="s">
        <v>1294</v>
      </c>
      <c r="V115" s="1" t="s">
        <v>2179</v>
      </c>
      <c r="X115" s="1" t="s">
        <v>2180</v>
      </c>
      <c r="Y115" s="1" t="s">
        <v>2181</v>
      </c>
      <c r="AA115" s="1" t="s">
        <v>2182</v>
      </c>
      <c r="AB115" s="1" t="s">
        <v>2183</v>
      </c>
      <c r="AD115" s="1" t="s">
        <v>2184</v>
      </c>
      <c r="AH115" s="1" t="s">
        <v>2185</v>
      </c>
      <c r="AL115" s="1" t="s">
        <v>2186</v>
      </c>
      <c r="AM115" s="1" t="s">
        <v>2187</v>
      </c>
      <c r="AN115" s="1" t="s">
        <v>2188</v>
      </c>
      <c r="AO115" s="4">
        <v>16781.0</v>
      </c>
      <c r="AQ115" s="1" t="s">
        <v>2189</v>
      </c>
    </row>
    <row r="116">
      <c r="A116" s="1" t="s">
        <v>2190</v>
      </c>
      <c r="B116" s="1" t="str">
        <f>IFERROR(__xludf.DUMMYFUNCTION("GOOGLETRANSLATE(A:A,""en"", ""te"")"),"లాక్‌హీడ్ పివి -2 హార్పూన్ నం. 37396")</f>
        <v>లాక్‌హీడ్ పివి -2 హార్పూన్ నం. 37396</v>
      </c>
      <c r="C116" s="1" t="s">
        <v>2191</v>
      </c>
      <c r="D116" s="1" t="str">
        <f>IFERROR(__xludf.DUMMYFUNCTION("GOOGLETRANSLATE(C:C,""en"", ""te"")"),"లాక్‌హీడ్ పివి -2 హార్పూన్, యు.ఎస్. నేవీ బ్యూరో నంబర్ 37396, సివిల్ రిజిస్ట్రేషన్ N7265C, ""హాట్ స్టఫ్"" అని పేరు పెట్టబడింది, ఇది 3867 N. ఏవియేషన్ వే, మౌంట్ కంఫర్ట్, ఇండియానా వద్ద ఉంది. రెండవ ప్రపంచ యుద్ధం సబ్‌మెరైన్ యాంటీ-సబ్‌మైరిన్ పెట్రోల్ బాంబర్‌కు చ"&amp;"ెక్కుచెదరకుండా ఉన్న ఈ విమానం ఏప్రిల్ 23, 2009 న నేషనల్ రిజిస్టర్ ఆఫ్ హిస్టారికల్ ప్లేస్‌కు జోడించబడింది. దీనిని 1945 లో లాక్‌హీడ్ ఎయిర్‌క్రాఫ్ట్ కార్పొరేషన్ నిర్మించింది మరియు ఇది 104 లో నిర్మించబడింది. లాక్హీడ్ వెంచురా యొక్క ఈ పివి -2 వేరియంట్ యొక్క. విస"&amp;"్కాన్సిన్‌లో ఒకటి పునరుద్ధరించబడుతున్నప్పటికీ, దాని జాబితా సమయంలో, ఇది యునైటెడ్ స్టేట్స్‌లో పివి -2 యొక్క పూర్తి, పనిచేయగల ఉదాహరణ. ఈ ప్రత్యేకమైన విమానం పోరాటాన్ని చూడనప్పటికీ, రెండవ ప్రపంచ యుద్ధంలో ఈ రకాన్ని అలూటియన్ దీవులలో ఉపయోగించారు. [2] ఈ ఆస్తి మే 1,"&amp;" 2009 న నేషనల్ పార్క్ సర్వీస్ వీక్లీ జాబితాలో ఫీచర్ చేసిన జాబితా. [3] నేషనల్ రిజిస్టర్ ఆఫ్ హిస్టారికల్ ప్లేస్‌లోని ఇండియానాలోని హాంకాక్ కౌంటీలోని ఒక ఆస్తి గురించి ఈ వ్యాసం ఒక స్టబ్. వికీపీడియా విస్తరించడం ద్వారా మీరు సహాయపడవచ్చు.")</f>
        <v>లాక్‌హీడ్ పివి -2 హార్పూన్, యు.ఎస్. నేవీ బ్యూరో నంబర్ 37396, సివిల్ రిజిస్ట్రేషన్ N7265C, "హాట్ స్టఫ్" అని పేరు పెట్టబడింది, ఇది 3867 N. ఏవియేషన్ వే, మౌంట్ కంఫర్ట్, ఇండియానా వద్ద ఉంది. రెండవ ప్రపంచ యుద్ధం సబ్‌మెరైన్ యాంటీ-సబ్‌మైరిన్ పెట్రోల్ బాంబర్‌కు చెక్కుచెదరకుండా ఉన్న ఈ విమానం ఏప్రిల్ 23, 2009 న నేషనల్ రిజిస్టర్ ఆఫ్ హిస్టారికల్ ప్లేస్‌కు జోడించబడింది. దీనిని 1945 లో లాక్‌హీడ్ ఎయిర్‌క్రాఫ్ట్ కార్పొరేషన్ నిర్మించింది మరియు ఇది 104 లో నిర్మించబడింది. లాక్హీడ్ వెంచురా యొక్క ఈ పివి -2 వేరియంట్ యొక్క. విస్కాన్సిన్‌లో ఒకటి పునరుద్ధరించబడుతున్నప్పటికీ, దాని జాబితా సమయంలో, ఇది యునైటెడ్ స్టేట్స్‌లో పివి -2 యొక్క పూర్తి, పనిచేయగల ఉదాహరణ. ఈ ప్రత్యేకమైన విమానం పోరాటాన్ని చూడనప్పటికీ, రెండవ ప్రపంచ యుద్ధంలో ఈ రకాన్ని అలూటియన్ దీవులలో ఉపయోగించారు. [2] ఈ ఆస్తి మే 1, 2009 న నేషనల్ పార్క్ సర్వీస్ వీక్లీ జాబితాలో ఫీచర్ చేసిన జాబితా. [3] నేషనల్ రిజిస్టర్ ఆఫ్ హిస్టారికల్ ప్లేస్‌లోని ఇండియానాలోని హాంకాక్ కౌంటీలోని ఒక ఆస్తి గురించి ఈ వ్యాసం ఒక స్టబ్. వికీపీడియా విస్తరించడం ద్వారా మీరు సహాయపడవచ్చు.</v>
      </c>
      <c r="E116" s="1" t="s">
        <v>2192</v>
      </c>
      <c r="L116" s="1" t="s">
        <v>2175</v>
      </c>
      <c r="M116" s="1" t="str">
        <f>IFERROR(__xludf.DUMMYFUNCTION("GOOGLETRANSLATE(L:L,""en"", ""te"")"),"లాక్హీడ్")</f>
        <v>లాక్హీడ్</v>
      </c>
      <c r="N116" s="2" t="s">
        <v>2176</v>
      </c>
      <c r="BV116" s="1" t="s">
        <v>2193</v>
      </c>
      <c r="BW116" s="1" t="s">
        <v>2194</v>
      </c>
      <c r="DH116" s="1">
        <v>1945.0</v>
      </c>
      <c r="DI116" s="2" t="s">
        <v>2195</v>
      </c>
      <c r="DJ116" s="1" t="s">
        <v>2196</v>
      </c>
      <c r="DK116" s="1" t="s">
        <v>2197</v>
      </c>
      <c r="DL116" s="1" t="s">
        <v>2198</v>
      </c>
      <c r="DM116" s="1" t="s">
        <v>2199</v>
      </c>
      <c r="DN116" s="1" t="s">
        <v>2200</v>
      </c>
      <c r="DO116" s="1" t="s">
        <v>2201</v>
      </c>
      <c r="DP116" s="1" t="s">
        <v>2202</v>
      </c>
      <c r="DQ116" s="1" t="s">
        <v>2203</v>
      </c>
    </row>
    <row r="117">
      <c r="A117" s="1" t="s">
        <v>2204</v>
      </c>
      <c r="B117" s="1" t="str">
        <f>IFERROR(__xludf.DUMMYFUNCTION("GOOGLETRANSLATE(A:A,""en"", ""te"")"),"లుబ్లిన్ R-XI")</f>
        <v>లుబ్లిన్ R-XI</v>
      </c>
      <c r="C117" s="1" t="s">
        <v>2205</v>
      </c>
      <c r="D117" s="1" t="str">
        <f>IFERROR(__xludf.DUMMYFUNCTION("GOOGLETRANSLATE(C:C,""en"", ""te"")"),"లుబ్లిన్ R-XI 4 మంది ప్రయాణికులకు పోలిష్ ప్రయాణీకుల విమానం, ఇది 1930 లో లుబ్లిన్లోని ప్లేజ్ I లాకివిచ్ ఫ్యాక్టరీలో రూపొందించబడింది, ఇది ఒక నమూనాగా మిగిలిపోయింది. కమ్యూనికేషన్ మంత్రిత్వ శాఖ ప్రకటించిన లాట్ పోలిష్ ఎయిర్‌లైన్స్‌లో లైట్ పాసెంజర్ మరియు మెయిల్ "&amp;"ప్లేన్‌గా జంకర్స్ ఎఫ్ -13 వారసుడికి పోటీ కోసం ఈ విమానం అభివృద్ధి చేయబడింది. ఈ డిజైన్ పాక్షికంగా ఫోకర్ ఎఫ్.విఐఐ నిర్మాణంపై రూపొందించబడింది, దీనిని ప్లేజ్ I లాకివిచ్ లైసెన్స్ కింద ఉత్పత్తి చేశారు, ముఖ్యంగా వింగ్ డిజైన్‌లో. ప్రధాన డిజైనర్ జెర్జీ రుడ్లికి. ఈ "&amp;"నమూనాను మొదట 8 ఫిబ్రవరి 1930 న లుబ్లిన్ (రిజిస్ట్రేషన్: ఎస్పి-ఎసిసి) లో ఎగురవేయారు. జూన్ 1930 నుండి దీనిని లాట్ ఎయిర్‌లైన్స్ అంచనా వేసింది. జూలై 1931 లో టేకాఫ్ సమయంలో ఈ నమూనా దెబ్బతింది మరియు మరమ్మతులు చేయబడలేదు. ఈ విమానం విజయవంతం కాలేదు, ఎందుకంటే దాని బర"&amp;"ువు 250 కిలోల ఎక్కువగా కనిపించింది, రూపకల్పన కంటే, ఇది expected హించిన దానికంటే ఘోరమైన వేగం, పరిధి మరియు పైకప్పును కలిగి ఉంది (దాని పోటీదారు, పిడబ్ల్యుఎస్ -21 కూడా విజయవంతం కాలేదు). దాని మెరుగైన అభివృద్ధి లుబ్లిన్ R-XVI గా మారింది, ఇది ఒక చిన్న శ్రేణిలో న"&amp;"ిర్మించబడింది, అయినప్పటికీ ప్రయాణీకుల విమానం కాదు. R-XI మిశ్రమ నిర్మాణ కాంటిలివర్ హై-వింగ్ మోనోప్లేన్, సింగిల్-ఇంజిన్, సాంప్రదాయిక లేఅవుట్. ఇది స్టీల్-ఫ్రేమ్డ్, కాన్వాస్-కప్పబడిన ఫ్యూజ్‌లేజ్ (డ్యూరాలిమిన్‌తో కప్పబడిన ఇంజిన్ భాగం) మరియు ఒకే-ముక్క, ప్లైవుడ్"&amp;"-కప్పబడిన, చెక్క నిర్మాణం యొక్క మూడు-స్పేర్ ఎలిప్టికల్ వింగ్ కలిగి ఉంది. సామ్రాజ్యం ఉక్కు నిర్మాణానికి చెందినది, కాన్వాస్ ఉన్నాయి. ఇది సాంప్రదాయిక స్థిర ల్యాండింగ్ గేర్‌ను కలిగి ఉంది, వెనుక స్కిడ్, బేస్ 2.7 మీ. ప్రధాన గేర్ స్ట్రట్స్ చేత రెక్కతో చేరారు. క్"&amp;"లోజ్డ్ క్యాబిన్ ఆరుగురు సామర్థ్యాన్ని కలిగి ఉంది: పైలట్, మెకానిక్ మరియు 4 మంది ప్రయాణీకులు. ఇద్దరు సిబ్బందికి జంట నియంత్రణలు మరియు ఇరువైపులా వ్యక్తిగత తలుపులు ఉన్నాయి, ఐదవ ప్రయాణీకుడిని మెకానిక్‌కు బదులుగా తీసుకెళ్లవచ్చు. ప్రయాణీకుల క్యాబిన్ ఎత్తు 1.5 మీ "&amp;"మరియు వెడల్పు 1.3 మీ మరియు ఎడమ వైపున రెండు త్రిభుజాకార తలుపులు కలిగి ఉంది. దాని వెనుక ఒక సామాను కోసం ఒక స్థలం ఉంది. ముందు సింగిల్ ఇంజిన్: 9-సిలిండర్ ఎయిర్-కూల్డ్ పోలిష్ స్కోడా వర్క్స్ రైట్ వర్ల్‌విండ్ జె -5 రేడియల్ ఇంజిన్ 240 హెచ్‌పి (179 కిలోవాట్) టేకాఫ్"&amp;" పవర్ మరియు 220 హెచ్‌పి (164 కిలోవాట్ స్థిర పిచ్ యొక్క బ్లేడ్ మెటల్ ప్రొపెల్లర్. 300-లీటర్ ఇంధన ట్యాంక్ వింగ్‌లో మరియు క్యాబ్ కింద 150-లీటర్ అమర్చారు (సాధారణ సామర్థ్యం 200 ఎల్). క్రూయిజ్ ఇంధన వినియోగం గంటకు 40-50 ఎల్. జేన్ యొక్క ఆల్ ది వరల్డ్ విమానాల నుండ"&amp;"ి డేటా 1931, [1] పోలిష్ విమానం 1893-1939, [2] పోల్స్కీ కాన్స్ట్రూక్జే లోట్నిక్జీ 1893-1939 [3] సాధారణ లక్షణాలు పనితీరు సంబంధిత అభివృద్ధికి సంబంధించిన అభివృద్ధి విమానం పోల్చదగిన పాత్ర, ఆకృతీకరణ మరియు ERA")</f>
        <v>లుబ్లిన్ R-XI 4 మంది ప్రయాణికులకు పోలిష్ ప్రయాణీకుల విమానం, ఇది 1930 లో లుబ్లిన్లోని ప్లేజ్ I లాకివిచ్ ఫ్యాక్టరీలో రూపొందించబడింది, ఇది ఒక నమూనాగా మిగిలిపోయింది. కమ్యూనికేషన్ మంత్రిత్వ శాఖ ప్రకటించిన లాట్ పోలిష్ ఎయిర్‌లైన్స్‌లో లైట్ పాసెంజర్ మరియు మెయిల్ ప్లేన్‌గా జంకర్స్ ఎఫ్ -13 వారసుడికి పోటీ కోసం ఈ విమానం అభివృద్ధి చేయబడింది. ఈ డిజైన్ పాక్షికంగా ఫోకర్ ఎఫ్.విఐఐ నిర్మాణంపై రూపొందించబడింది, దీనిని ప్లేజ్ I లాకివిచ్ లైసెన్స్ కింద ఉత్పత్తి చేశారు, ముఖ్యంగా వింగ్ డిజైన్‌లో. ప్రధాన డిజైనర్ జెర్జీ రుడ్లికి. ఈ నమూనాను మొదట 8 ఫిబ్రవరి 1930 న లుబ్లిన్ (రిజిస్ట్రేషన్: ఎస్పి-ఎసిసి) లో ఎగురవేయారు. జూన్ 1930 నుండి దీనిని లాట్ ఎయిర్‌లైన్స్ అంచనా వేసింది. జూలై 1931 లో టేకాఫ్ సమయంలో ఈ నమూనా దెబ్బతింది మరియు మరమ్మతులు చేయబడలేదు. ఈ విమానం విజయవంతం కాలేదు, ఎందుకంటే దాని బరువు 250 కిలోల ఎక్కువగా కనిపించింది, రూపకల్పన కంటే, ఇది expected హించిన దానికంటే ఘోరమైన వేగం, పరిధి మరియు పైకప్పును కలిగి ఉంది (దాని పోటీదారు, పిడబ్ల్యుఎస్ -21 కూడా విజయవంతం కాలేదు). దాని మెరుగైన అభివృద్ధి లుబ్లిన్ R-XVI గా మారింది, ఇది ఒక చిన్న శ్రేణిలో నిర్మించబడింది, అయినప్పటికీ ప్రయాణీకుల విమానం కాదు. R-XI మిశ్రమ నిర్మాణ కాంటిలివర్ హై-వింగ్ మోనోప్లేన్, సింగిల్-ఇంజిన్, సాంప్రదాయిక లేఅవుట్. ఇది స్టీల్-ఫ్రేమ్డ్, కాన్వాస్-కప్పబడిన ఫ్యూజ్‌లేజ్ (డ్యూరాలిమిన్‌తో కప్పబడిన ఇంజిన్ భాగం) మరియు ఒకే-ముక్క, ప్లైవుడ్-కప్పబడిన, చెక్క నిర్మాణం యొక్క మూడు-స్పేర్ ఎలిప్టికల్ వింగ్ కలిగి ఉంది. సామ్రాజ్యం ఉక్కు నిర్మాణానికి చెందినది, కాన్వాస్ ఉన్నాయి. ఇది సాంప్రదాయిక స్థిర ల్యాండింగ్ గేర్‌ను కలిగి ఉంది, వెనుక స్కిడ్, బేస్ 2.7 మీ. ప్రధాన గేర్ స్ట్రట్స్ చేత రెక్కతో చేరారు. క్లోజ్డ్ క్యాబిన్ ఆరుగురు సామర్థ్యాన్ని కలిగి ఉంది: పైలట్, మెకానిక్ మరియు 4 మంది ప్రయాణీకులు. ఇద్దరు సిబ్బందికి జంట నియంత్రణలు మరియు ఇరువైపులా వ్యక్తిగత తలుపులు ఉన్నాయి, ఐదవ ప్రయాణీకుడిని మెకానిక్‌కు బదులుగా తీసుకెళ్లవచ్చు. ప్రయాణీకుల క్యాబిన్ ఎత్తు 1.5 మీ మరియు వెడల్పు 1.3 మీ మరియు ఎడమ వైపున రెండు త్రిభుజాకార తలుపులు కలిగి ఉంది. దాని వెనుక ఒక సామాను కోసం ఒక స్థలం ఉంది. ముందు సింగిల్ ఇంజిన్: 9-సిలిండర్ ఎయిర్-కూల్డ్ పోలిష్ స్కోడా వర్క్స్ రైట్ వర్ల్‌విండ్ జె -5 రేడియల్ ఇంజిన్ 240 హెచ్‌పి (179 కిలోవాట్) టేకాఫ్ పవర్ మరియు 220 హెచ్‌పి (164 కిలోవాట్ స్థిర పిచ్ యొక్క బ్లేడ్ మెటల్ ప్రొపెల్లర్. 300-లీటర్ ఇంధన ట్యాంక్ వింగ్‌లో మరియు క్యాబ్ కింద 150-లీటర్ అమర్చారు (సాధారణ సామర్థ్యం 200 ఎల్). క్రూయిజ్ ఇంధన వినియోగం గంటకు 40-50 ఎల్. జేన్ యొక్క ఆల్ ది వరల్డ్ విమానాల నుండి డేటా 1931, [1] పోలిష్ విమానం 1893-1939, [2] పోల్స్కీ కాన్స్ట్రూక్జే లోట్నిక్జీ 1893-1939 [3] సాధారణ లక్షణాలు పనితీరు సంబంధిత అభివృద్ధికి సంబంధించిన అభివృద్ధి విమానం పోల్చదగిన పాత్ర, ఆకృతీకరణ మరియు ERA</v>
      </c>
      <c r="E117" s="1" t="s">
        <v>2206</v>
      </c>
      <c r="F117" s="1" t="s">
        <v>2207</v>
      </c>
      <c r="G117" s="1" t="str">
        <f>IFERROR(__xludf.DUMMYFUNCTION("GOOGLETRANSLATE(F:F,""en"", ""te"")"),"ప్రయాణీకుల విమానం")</f>
        <v>ప్రయాణీకుల విమానం</v>
      </c>
      <c r="I117" s="1" t="s">
        <v>1508</v>
      </c>
      <c r="J117" s="1" t="str">
        <f>IFERROR(__xludf.DUMMYFUNCTION("GOOGLETRANSLATE(I:I,""en"", ""te"")"),"పోలాండ్")</f>
        <v>పోలాండ్</v>
      </c>
      <c r="L117" s="1" t="s">
        <v>2208</v>
      </c>
      <c r="M117" s="1" t="str">
        <f>IFERROR(__xludf.DUMMYFUNCTION("GOOGLETRANSLATE(L:L,""en"", ""te"")"),"ప్లేజ్ I laśkyiwicz")</f>
        <v>ప్లేజ్ I laśkyiwicz</v>
      </c>
      <c r="N117" s="1" t="s">
        <v>2209</v>
      </c>
      <c r="P117" s="1" t="s">
        <v>2210</v>
      </c>
      <c r="Q117" s="1"/>
      <c r="R117" s="1">
        <v>1.0</v>
      </c>
      <c r="S117" s="6">
        <v>44563.0</v>
      </c>
      <c r="T117" s="1" t="s">
        <v>2211</v>
      </c>
      <c r="U117" s="1" t="s">
        <v>2212</v>
      </c>
      <c r="V117" s="1" t="s">
        <v>1052</v>
      </c>
      <c r="W117" s="1" t="s">
        <v>1669</v>
      </c>
      <c r="X117" s="1" t="s">
        <v>2213</v>
      </c>
      <c r="Y117" s="1" t="s">
        <v>2214</v>
      </c>
      <c r="AA117" s="1" t="s">
        <v>2215</v>
      </c>
      <c r="AB117" s="1" t="s">
        <v>2216</v>
      </c>
      <c r="AD117" s="1" t="s">
        <v>2217</v>
      </c>
      <c r="AE117" s="1" t="s">
        <v>2218</v>
      </c>
      <c r="AF117" s="1" t="s">
        <v>2219</v>
      </c>
      <c r="AH117" s="1" t="s">
        <v>1573</v>
      </c>
      <c r="AI117" s="1" t="s">
        <v>1415</v>
      </c>
      <c r="AK117" s="1" t="s">
        <v>2220</v>
      </c>
      <c r="AL117" s="1" t="s">
        <v>2221</v>
      </c>
      <c r="AO117" s="4">
        <v>10997.0</v>
      </c>
      <c r="AQ117" s="1" t="s">
        <v>2222</v>
      </c>
      <c r="AZ117" s="1" t="s">
        <v>2223</v>
      </c>
      <c r="BD117" s="1">
        <v>7.0</v>
      </c>
      <c r="BH117" s="1" t="s">
        <v>2224</v>
      </c>
      <c r="CC117" s="1" t="s">
        <v>2225</v>
      </c>
      <c r="CE117" s="1" t="s">
        <v>2226</v>
      </c>
      <c r="DR117" s="1" t="s">
        <v>2227</v>
      </c>
    </row>
    <row r="118">
      <c r="A118" s="1" t="s">
        <v>2228</v>
      </c>
      <c r="B118" s="1" t="str">
        <f>IFERROR(__xludf.DUMMYFUNCTION("GOOGLETRANSLATE(A:A,""en"", ""te"")"),"లెవాస్సీర్ pl.8")</f>
        <v>లెవాస్సీర్ pl.8</v>
      </c>
      <c r="C118" s="1" t="s">
        <v>2229</v>
      </c>
      <c r="D118" s="1" t="str">
        <f>IFERROR(__xludf.DUMMYFUNCTION("GOOGLETRANSLATE(C:C,""en"", ""te"")"),"లెవాస్సీర్ PL.8 అనేది ఒకే ఇంజిన్, ఇది రెండు-సీట్ల సుదూర రికార్డు-బ్రేకింగ్ బైప్‌లేన్ విమానం, ఇది 1920 లలో ఫ్రాన్స్‌లో ఉత్పత్తి చేయబడిన లెవాస్సీర్ PL.4 క్యారియర్-ఆధారిత నిఘా విమానం నుండి సవరించబడింది. లెవాస్సీర్ 1927 లో ఈ విమానాన్ని నిర్మించాడు, ప్రత్యేకంగ"&amp;"ా పైలట్ల చార్లెస్ నంగెస్సర్ మరియు ఫ్రాంకోయిస్ కోలిల కోసం ఓర్టెగ్ బహుమతిని గెలుచుకునే అట్లాంటిక్ ప్రయత్నం కోసం. ఈ రకానికి రెండు ఉదాహరణలు మాత్రమే నిర్మించబడ్డాయి, మొదటి pl.8-01 ఎల్'ఓసౌ బ్లాంక్ (వైట్ బర్డ్) అని పేరు పెట్టారు, ఇది కీర్తిని నంగెసర్ మరియు కోలి "&amp;"యొక్క విమానంగా పొందింది. పారిస్‌లోని పియరీ లెవాస్సీర్ కంపెనీలో, నుంగెస్సర్ మరియు కోలి, చీఫ్ ఇంజనీర్ ఎమిలే ఫారెట్ మరియు ప్రొడక్షన్ మేనేజర్ ఆల్బర్ట్ లాంగెలాట్‌లతో కలిసి పనిచేస్తున్నారు, కొత్త లెవాస్సీర్ పిఎల్ 8 బిప్‌లేన్ రూపకల్పనకు సహాయపడింది. ఫ్రెంచ్ ఎయిర్"&amp;"క్రాఫ్ట్ క్యారియర్ బెర్న్ నుండి పనిచేయడానికి Aénavale కోసం అభివృద్ధి చేయబడిన PL.4 ఆధారంగా, PL.8 అనేది సాంప్రదాయిక సింగిల్-బే కలప మరియు ఫాబ్రిక్-కప్పబడిన బిప్‌లేన్, ఇది సైడ్-బై-సైడ్ ఓపెన్ కాక్‌పిట్‌లో ఇద్దరు సిబ్బందిని తీసుకువెళ్ళింది . ప్రధాన మార్పులలో ప్"&amp;"లైవుడ్ ఫ్యూజ్‌లేజ్ యొక్క ఉపబలాలు ఉన్నాయి, ఫార్వర్డ్ కాక్‌పిట్‌లను రెండు ప్రధాన కాక్‌పిట్‌తో తొలగించడం, నంగెస్సర్ మరియు కోలిని పక్కపక్కనే కూర్చోవడానికి అనుమతించింది. వింగ్స్పాన్ కూడా సుమారు 15 మీ (49 అడుగులు) కు పెరిగింది. ఫైర్‌వాల్ యొక్క వెనుక రెండు అదనపు"&amp;" ఇంధన ట్యాంకులను జోడించడంలో, మూడు ఇంధన ట్యాంకులు మొత్తం 4,025 లీటర్లు (1,056 గ్యాలన్లు) గ్యాసోలిన్ కలిగి ఉన్నాయి. [1] PL.8 సముద్రంలో ముంచెత్తినప్పుడు అనేక భద్రతా లక్షణాలను కూడా కలిగి ఉంది. దిగువ వింగ్ యొక్క దిగువ భాగంలో నేరుగా జతచేయబడిన చిన్న ఫ్లోట్లతో పా"&amp;"టు, విమానం యొక్క బరువును తగ్గించడానికి స్థిర టెయిల్‌స్కిడ్ అండర్ క్యారేజ్ యొక్క ప్రధాన యూనిట్లు టేకాఫ్‌లో జెట్టిసన్ చేయబడతాయి. ఫ్యూజ్‌లేజ్ యొక్క దిగువ భాగంలో పడవ లాంటి ఆకారం ఇవ్వబడింది మరియు వాటర్ ల్యాండింగ్ కోసం నీటితో నిండిపోయింది. నంగెస్సర్ మరియు కోలి "&amp;"యొక్క ప్రణాళిక న్యూయార్క్‌లో స్టాచ్యూ ఆఫ్ లిబర్టీ ముందు వాటర్ ల్యాండింగ్ చేయటం [2] ఒకే W-12ED లోరైన్-డైట్రిచ్ 340 కిలోవాట్ల (460 హెచ్‌పి) ఇంజిన్‌ను 60 ° ఉన్న మూడు బ్యాంకుల్లో ఏర్పాటు చేసిన సిలిండర్లతో ఉపయోగించబడింది. ఒకదానికొకటి కాకుండా, నేపియర్ ఇంజిన్లలో"&amp;" ఉపయోగించే అమరిక మాదిరిగానే. ఇంజిన్ మొత్తం విమానంలో కొనసాగుతుందని మరియు పారిసియన్ కర్మాగారంలో ఉన్నప్పుడు 40 గంటలకు పైగా నడుస్తుందని నిర్ధారించడానికి పరీక్షించబడింది. [3] ఈ విమానం ఎల్'ఓసౌ బ్లాంక్ [n 1] ను తెల్లగా పెయింట్ చేసింది [n 2] మరియు ఫ్రెంచ్ ట్రైకోల"&amp;"ర్ గుర్తులు ఉన్నాయి, నుంగెస్సర్ యొక్క వ్యక్తిగత ప్రపంచ యుద్ధం ఐ లోగోను ఎగురుతూ: ఒక పుర్రె మరియు క్రాస్‌బోన్లు, కొవ్వొత్తులు మరియు శవపేటిక, నల్ల హృదయంలో. [[ బిప్‌లేన్ ఎటువంటి రేడియోను కలిగి లేదు [N 3] మరియు ఖగోళ నావిగేషన్‌పై మాత్రమే ఆధారపడింది, ఇది మధ్యధరా"&amp;" చుట్టూ తన మునుపటి విమానాల నుండి కోలి యొక్క ప్రత్యేకత. [2] 1928 లో, రెండవ PL.8 ను నిర్మించారు, ఇందులో హిస్పానో-సుయిజా 12M 375 kW (500 HP) ఇంజిన్‌తో అమర్చారు. 1928 లో ఎగిరినప్పుడు, PL.8-02 సుదూర రికార్డ్ బ్రేకర్‌గా ఉద్దేశించబడింది, కానీ ఎయిర్ మెయిల్ క్యారి"&amp;"యర్‌గా సవరించబడింది. 20 డిసెంబర్ 1929 న, రెండవ పిఎల్. ] ఏప్రిల్ 1927 లో, విమాన పనితీరును నిర్ణయించడానికి పరీక్షల శ్రేణిని ప్రారంభించడానికి మొదటి PL.8 ను నంగెస్సర్ కోసం ఫ్యాక్టరీ నుండి రవాణా చేశారు. చాలా విమానాలు విల్లాకౌబ్లే మరియు చార్ట్రెస్ చుట్టూ జరిగాయ"&amp;"ి. పూర్తి ఇంధన లోడ్లు ఎన్నడూ నిర్వహించబడనప్పటికీ, ఒక విమానంలో, అతను గంటకు 207 కిలోమీటర్ల (129 mph) మరియు 4,900 మీ (16,100 అడుగులు) విమాన ఎత్తుకు చేరుకున్నాడు. పరీక్షలు పూర్తయిన తర్వాత, L'Oiseau బ్లాంక్ దాని రికార్డ్ ఫ్లైట్ కోసం సిద్ధం చేయబడింది. ఎల్'ఓసౌ బ"&amp;"్లాంక్ ఉదయం 5:17 గంటలకు 8 మే 1927 గంటలకు పారిస్‌లోని లే బౌర్గెట్ ఫీల్డ్ నుండి, న్యూయార్క్ వైపు వెళుతుంది. [6] [9] బిప్‌లేన్ టేకాఫ్‌లో 5,000 కిలోల (11,000 పౌండ్లు) బరువు కలిగి ఉంది, ఒకే ఇంజిన్ విమానాలకు చాలా భారీగా ఉంది. [3] ఉద్దేశించిన విమాన మార్గం గొప్ప "&amp;"సర్కిల్ మార్గం, ఇది వాటిని ఇంగ్లీష్ ఛానల్ మీదుగా, ఇంగ్లాండ్ మరియు ఐర్లాండ్ యొక్క నైరుతి భాగంలో, అట్లాంటిక్ మీదుగా న్యూఫౌండ్లాండ్ వరకు, తరువాత నోవా స్కోటియా మీదుగా బోస్టన్ వరకు, చివరకు వాటర్ ల్యాండింగ్ వరకు తీసుకువెళ్ళేది. న్యూయార్క్‌లో. [10] [11] ఎల్ ఓయిస"&amp;"ౌ బ్లాంక్ 4,000 లీటర్లు (1,100 యుఎస్ గాల్) యొక్క గణనీయమైన లోడ్ను కలిగి ఉంది, ఇది వారికి సుమారు 42 గంటల విమాన సమయాన్ని ఇచ్చింది. చారిత్రాత్మక రాకకు సాక్ష్యమివ్వడానికి న్యూయార్క్‌లో గుమిగూడారు, మాన్హాటన్లోని బ్యాటరీ పార్కును పదివేల మంది ప్రజలు రద్దీగా ఉన్నా"&amp;"రు. వారి అంచనా సమయం గడిచిన తరువాత, విమానం యొక్క విధికి సంబంధించి ఎటువంటి మాట లేకుండా, విమానం పోయిందని గ్రహించబడింది. [12] న్యూఫౌండ్లాండ్‌లో, లేదా లాంగ్ ఐలాండ్‌లో, ఎల్ ఓయిసౌ బ్లాంక్ దాని మార్గంలో కనిపించిందని పుకార్లు వ్యాపించాయి, మరియు అంతర్జాతీయ శోధన ప్ర"&amp;"ారంభించినప్పటికీ, రెండు వారాల తరువాత, మరింత శోధన ప్రయత్నాలు మానేయబడ్డాయి. [2] [13] [14] 2008 నాటికి, ల్యాండింగ్ గేర్ ఎల్'ఓసౌ బ్లాంక్ మిగిలి ఉన్న ఏకైక భాగం, మరియు పారిస్‌లోని లే బౌర్గెట్ విమానాశ్రయంలో మ్యూసీ డి ఎల్ ఎయిర్ ఎట్ డి ఎల్'స్పేస్ (ఫ్రెంచ్ ఎయిర్ అం"&amp;"డ్ స్పేస్ మ్యూజియం) లో ప్రదర్శించబడింది , L'Oiseau బ్లాంక్ బయలుదేరిన ప్రదేశం. [15] సాధారణ లక్షణాల పనితీరు")</f>
        <v>లెవాస్సీర్ PL.8 అనేది ఒకే ఇంజిన్, ఇది రెండు-సీట్ల సుదూర రికార్డు-బ్రేకింగ్ బైప్‌లేన్ విమానం, ఇది 1920 లలో ఫ్రాన్స్‌లో ఉత్పత్తి చేయబడిన లెవాస్సీర్ PL.4 క్యారియర్-ఆధారిత నిఘా విమానం నుండి సవరించబడింది. లెవాస్సీర్ 1927 లో ఈ విమానాన్ని నిర్మించాడు, ప్రత్యేకంగా పైలట్ల చార్లెస్ నంగెస్సర్ మరియు ఫ్రాంకోయిస్ కోలిల కోసం ఓర్టెగ్ బహుమతిని గెలుచుకునే అట్లాంటిక్ ప్రయత్నం కోసం. ఈ రకానికి రెండు ఉదాహరణలు మాత్రమే నిర్మించబడ్డాయి, మొదటి pl.8-01 ఎల్'ఓసౌ బ్లాంక్ (వైట్ బర్డ్) అని పేరు పెట్టారు, ఇది కీర్తిని నంగెసర్ మరియు కోలి యొక్క విమానంగా పొందింది. పారిస్‌లోని పియరీ లెవాస్సీర్ కంపెనీలో, నుంగెస్సర్ మరియు కోలి, చీఫ్ ఇంజనీర్ ఎమిలే ఫారెట్ మరియు ప్రొడక్షన్ మేనేజర్ ఆల్బర్ట్ లాంగెలాట్‌లతో కలిసి పనిచేస్తున్నారు, కొత్త లెవాస్సీర్ పిఎల్ 8 బిప్‌లేన్ రూపకల్పనకు సహాయపడింది. ఫ్రెంచ్ ఎయిర్క్రాఫ్ట్ క్యారియర్ బెర్న్ నుండి పనిచేయడానికి Aénavale కోసం అభివృద్ధి చేయబడిన PL.4 ఆధారంగా, PL.8 అనేది సాంప్రదాయిక సింగిల్-బే కలప మరియు ఫాబ్రిక్-కప్పబడిన బిప్‌లేన్, ఇది సైడ్-బై-సైడ్ ఓపెన్ కాక్‌పిట్‌లో ఇద్దరు సిబ్బందిని తీసుకువెళ్ళింది . ప్రధాన మార్పులలో ప్లైవుడ్ ఫ్యూజ్‌లేజ్ యొక్క ఉపబలాలు ఉన్నాయి, ఫార్వర్డ్ కాక్‌పిట్‌లను రెండు ప్రధాన కాక్‌పిట్‌తో తొలగించడం, నంగెస్సర్ మరియు కోలిని పక్కపక్కనే కూర్చోవడానికి అనుమతించింది. వింగ్స్పాన్ కూడా సుమారు 15 మీ (49 అడుగులు) కు పెరిగింది. ఫైర్‌వాల్ యొక్క వెనుక రెండు అదనపు ఇంధన ట్యాంకులను జోడించడంలో, మూడు ఇంధన ట్యాంకులు మొత్తం 4,025 లీటర్లు (1,056 గ్యాలన్లు) గ్యాసోలిన్ కలిగి ఉన్నాయి. [1] PL.8 సముద్రంలో ముంచెత్తినప్పుడు అనేక భద్రతా లక్షణాలను కూడా కలిగి ఉంది. దిగువ వింగ్ యొక్క దిగువ భాగంలో నేరుగా జతచేయబడిన చిన్న ఫ్లోట్లతో పాటు, విమానం యొక్క బరువును తగ్గించడానికి స్థిర టెయిల్‌స్కిడ్ అండర్ క్యారేజ్ యొక్క ప్రధాన యూనిట్లు టేకాఫ్‌లో జెట్టిసన్ చేయబడతాయి. ఫ్యూజ్‌లేజ్ యొక్క దిగువ భాగంలో పడవ లాంటి ఆకారం ఇవ్వబడింది మరియు వాటర్ ల్యాండింగ్ కోసం నీటితో నిండిపోయింది. నంగెస్సర్ మరియు కోలి యొక్క ప్రణాళిక న్యూయార్క్‌లో స్టాచ్యూ ఆఫ్ లిబర్టీ ముందు వాటర్ ల్యాండింగ్ చేయటం [2] ఒకే W-12ED లోరైన్-డైట్రిచ్ 340 కిలోవాట్ల (460 హెచ్‌పి) ఇంజిన్‌ను 60 ° ఉన్న మూడు బ్యాంకుల్లో ఏర్పాటు చేసిన సిలిండర్లతో ఉపయోగించబడింది. ఒకదానికొకటి కాకుండా, నేపియర్ ఇంజిన్లలో ఉపయోగించే అమరిక మాదిరిగానే. ఇంజిన్ మొత్తం విమానంలో కొనసాగుతుందని మరియు పారిసియన్ కర్మాగారంలో ఉన్నప్పుడు 40 గంటలకు పైగా నడుస్తుందని నిర్ధారించడానికి పరీక్షించబడింది. [3] ఈ విమానం ఎల్'ఓసౌ బ్లాంక్ [n 1] ను తెల్లగా పెయింట్ చేసింది [n 2] మరియు ఫ్రెంచ్ ట్రైకోలర్ గుర్తులు ఉన్నాయి, నుంగెస్సర్ యొక్క వ్యక్తిగత ప్రపంచ యుద్ధం ఐ లోగోను ఎగురుతూ: ఒక పుర్రె మరియు క్రాస్‌బోన్లు, కొవ్వొత్తులు మరియు శవపేటిక, నల్ల హృదయంలో. [[ బిప్‌లేన్ ఎటువంటి రేడియోను కలిగి లేదు [N 3] మరియు ఖగోళ నావిగేషన్‌పై మాత్రమే ఆధారపడింది, ఇది మధ్యధరా చుట్టూ తన మునుపటి విమానాల నుండి కోలి యొక్క ప్రత్యేకత. [2] 1928 లో, రెండవ PL.8 ను నిర్మించారు, ఇందులో హిస్పానో-సుయిజా 12M 375 kW (500 HP) ఇంజిన్‌తో అమర్చారు. 1928 లో ఎగిరినప్పుడు, PL.8-02 సుదూర రికార్డ్ బ్రేకర్‌గా ఉద్దేశించబడింది, కానీ ఎయిర్ మెయిల్ క్యారియర్‌గా సవరించబడింది. 20 డిసెంబర్ 1929 న, రెండవ పిఎల్. ] ఏప్రిల్ 1927 లో, విమాన పనితీరును నిర్ణయించడానికి పరీక్షల శ్రేణిని ప్రారంభించడానికి మొదటి PL.8 ను నంగెస్సర్ కోసం ఫ్యాక్టరీ నుండి రవాణా చేశారు. చాలా విమానాలు విల్లాకౌబ్లే మరియు చార్ట్రెస్ చుట్టూ జరిగాయి. పూర్తి ఇంధన లోడ్లు ఎన్నడూ నిర్వహించబడనప్పటికీ, ఒక విమానంలో, అతను గంటకు 207 కిలోమీటర్ల (129 mph) మరియు 4,900 మీ (16,100 అడుగులు) విమాన ఎత్తుకు చేరుకున్నాడు. పరీక్షలు పూర్తయిన తర్వాత, L'Oiseau బ్లాంక్ దాని రికార్డ్ ఫ్లైట్ కోసం సిద్ధం చేయబడింది. ఎల్'ఓసౌ బ్లాంక్ ఉదయం 5:17 గంటలకు 8 మే 1927 గంటలకు పారిస్‌లోని లే బౌర్గెట్ ఫీల్డ్ నుండి, న్యూయార్క్ వైపు వెళుతుంది. [6] [9] బిప్‌లేన్ టేకాఫ్‌లో 5,000 కిలోల (11,000 పౌండ్లు) బరువు కలిగి ఉంది, ఒకే ఇంజిన్ విమానాలకు చాలా భారీగా ఉంది. [3] ఉద్దేశించిన విమాన మార్గం గొప్ప సర్కిల్ మార్గం, ఇది వాటిని ఇంగ్లీష్ ఛానల్ మీదుగా, ఇంగ్లాండ్ మరియు ఐర్లాండ్ యొక్క నైరుతి భాగంలో, అట్లాంటిక్ మీదుగా న్యూఫౌండ్లాండ్ వరకు, తరువాత నోవా స్కోటియా మీదుగా బోస్టన్ వరకు, చివరకు వాటర్ ల్యాండింగ్ వరకు తీసుకువెళ్ళేది. న్యూయార్క్‌లో. [10] [11] ఎల్ ఓయిసౌ బ్లాంక్ 4,000 లీటర్లు (1,100 యుఎస్ గాల్) యొక్క గణనీయమైన లోడ్ను కలిగి ఉంది, ఇది వారికి సుమారు 42 గంటల విమాన సమయాన్ని ఇచ్చింది. చారిత్రాత్మక రాకకు సాక్ష్యమివ్వడానికి న్యూయార్క్‌లో గుమిగూడారు, మాన్హాటన్లోని బ్యాటరీ పార్కును పదివేల మంది ప్రజలు రద్దీగా ఉన్నారు. వారి అంచనా సమయం గడిచిన తరువాత, విమానం యొక్క విధికి సంబంధించి ఎటువంటి మాట లేకుండా, విమానం పోయిందని గ్రహించబడింది. [12] న్యూఫౌండ్లాండ్‌లో, లేదా లాంగ్ ఐలాండ్‌లో, ఎల్ ఓయిసౌ బ్లాంక్ దాని మార్గంలో కనిపించిందని పుకార్లు వ్యాపించాయి, మరియు అంతర్జాతీయ శోధన ప్రారంభించినప్పటికీ, రెండు వారాల తరువాత, మరింత శోధన ప్రయత్నాలు మానేయబడ్డాయి. [2] [13] [14] 2008 నాటికి, ల్యాండింగ్ గేర్ ఎల్'ఓసౌ బ్లాంక్ మిగిలి ఉన్న ఏకైక భాగం, మరియు పారిస్‌లోని లే బౌర్గెట్ విమానాశ్రయంలో మ్యూసీ డి ఎల్ ఎయిర్ ఎట్ డి ఎల్'స్పేస్ (ఫ్రెంచ్ ఎయిర్ అండ్ స్పేస్ మ్యూజియం) లో ప్రదర్శించబడింది , L'Oiseau బ్లాంక్ బయలుదేరిన ప్రదేశం. [15] సాధారణ లక్షణాల పనితీరు</v>
      </c>
      <c r="E118" s="1" t="s">
        <v>2230</v>
      </c>
      <c r="F118" s="1" t="s">
        <v>2231</v>
      </c>
      <c r="G118" s="1" t="str">
        <f>IFERROR(__xludf.DUMMYFUNCTION("GOOGLETRANSLATE(F:F,""en"", ""te"")"),"సుదూర విమానం [రికార్డ్ ప్రయత్నం కోసం]")</f>
        <v>సుదూర విమానం [రికార్డ్ ప్రయత్నం కోసం]</v>
      </c>
      <c r="I118" s="1" t="s">
        <v>798</v>
      </c>
      <c r="J118" s="1" t="str">
        <f>IFERROR(__xludf.DUMMYFUNCTION("GOOGLETRANSLATE(I:I,""en"", ""te"")"),"ఫ్రాన్స్")</f>
        <v>ఫ్రాన్స్</v>
      </c>
      <c r="L118" s="1" t="s">
        <v>2232</v>
      </c>
      <c r="M118" s="1" t="str">
        <f>IFERROR(__xludf.DUMMYFUNCTION("GOOGLETRANSLATE(L:L,""en"", ""te"")"),"పియరీ లెవాస్సీర్ కంపెనీ")</f>
        <v>పియరీ లెవాస్సీర్ కంపెనీ</v>
      </c>
      <c r="N118" s="1" t="s">
        <v>2233</v>
      </c>
      <c r="O118" s="1">
        <v>1927.0</v>
      </c>
      <c r="R118" s="1">
        <v>2.0</v>
      </c>
      <c r="S118" s="1">
        <v>2.0</v>
      </c>
      <c r="U118" s="1" t="s">
        <v>2234</v>
      </c>
      <c r="V118" s="1" t="s">
        <v>2235</v>
      </c>
      <c r="W118" s="1" t="s">
        <v>2236</v>
      </c>
      <c r="X118" s="1" t="s">
        <v>2237</v>
      </c>
      <c r="Y118" s="1" t="s">
        <v>2238</v>
      </c>
      <c r="AA118" s="1" t="s">
        <v>2239</v>
      </c>
      <c r="AB118" s="1" t="s">
        <v>2240</v>
      </c>
      <c r="AH118" s="1" t="s">
        <v>1573</v>
      </c>
      <c r="AK118" s="1" t="s">
        <v>2241</v>
      </c>
      <c r="AL118" s="1" t="s">
        <v>976</v>
      </c>
      <c r="AO118" s="1">
        <v>1927.0</v>
      </c>
      <c r="AQ118" s="1" t="s">
        <v>2242</v>
      </c>
      <c r="AR118" s="1" t="s">
        <v>2243</v>
      </c>
      <c r="AU118" s="1" t="s">
        <v>2244</v>
      </c>
      <c r="AV118" s="1" t="s">
        <v>2245</v>
      </c>
      <c r="AZ118" s="1" t="s">
        <v>2246</v>
      </c>
      <c r="BA118" s="1" t="s">
        <v>2247</v>
      </c>
    </row>
    <row r="119">
      <c r="A119" s="1" t="s">
        <v>2248</v>
      </c>
      <c r="B119" s="1" t="str">
        <f>IFERROR(__xludf.DUMMYFUNCTION("GOOGLETRANSLATE(A:A,""en"", ""te"")"),"లైట్ మినియేచర్ ఎయిర్క్రాఫ్ట్ LM-5")</f>
        <v>లైట్ మినియేచర్ ఎయిర్క్రాఫ్ట్ LM-5</v>
      </c>
      <c r="C119" s="1" t="s">
        <v>2249</v>
      </c>
      <c r="D119" s="1" t="str">
        <f>IFERROR(__xludf.DUMMYFUNCTION("GOOGLETRANSLATE(C:C,""en"", ""te"")"),"లైట్ మినియేచర్ ఎయిర్క్రాఫ్ట్ LM-5 సిరీస్ అనేది అమెరికన్ హై-వింగ్, సాంప్రదాయిక ల్యాండింగ్ గేర్, స్ట్రట్-బ్రేస్డ్, సింగిల్-ఇంజిన్ అల్ట్రాలైట్ విమానాల కుటుంబం, ఇవి పైపర్ PA-18 సూపర్ కబ్‌ను పోలి ఉంటాయి. డిజైన్లు అన్నీ te త్సాహిక నిర్మాణం కోసం ఫ్లోరిడాలోని ఓకీ"&amp;"చోబీ యొక్క తేలికపాటి సూక్ష్మ విమానాల ప్రణాళికలుగా అందుబాటులో ఉన్నాయి. [1] [2] [3] లైట్ మినియేచర్ ఎయిర్క్రాఫ్ట్ కంపెనీ వెబ్‌సైట్ డొమైన్ పేరు 25 మే 2010 తో ముగిసింది మరియు పునరుద్ధరించబడలేదు. [4] సంస్థ 2010 లో వ్యాపారం నుండి బయటపడినట్లు కనిపిస్తోంది, కాని వ"&amp;"ిక్స్ విమానం డిజైన్లకు వస్తు సామగ్రిని అందిస్తూనే ఉంది. [5] [6] LM-5 డిజైన్ కలపలో లేదా ఐచ్ఛికంగా అల్యూమినియంలో ఇవ్వబడుతుంది మరియు డోప్డ్ ఎయిర్క్రాఫ్ట్ ఫాబ్రిక్‌లో కప్పబడి ఉంటుంది. ఈ విమానం ప్రణాళికలుగా విక్రయిస్తారు, భాగాలు లేదా పూర్తి కిట్‌లు కూడా నిర్మా"&amp;"ణ సమయాన్ని వేగవంతం చేస్తాయి. [1] [2] [3] ప్రసిద్ధ జనరల్ ఏవియేషన్ విమానాల స్కేల్ ప్రాతినిధ్యాల సంస్థ యొక్క LM-1 సిరీస్ మాదిరిగా కాకుండా, LM-5 సిరీస్ అవి పోలి ఉండే PA-18 వలె ఉంటాయి. [1] [2] [3] [7] కిట్‌ప్లాన్‌ల నుండి డేటా [2] పోల్చదగిన పాత్ర, కాన్ఫిగరేషన్ "&amp;"మరియు ERA యొక్క సాధారణ లక్షణాలు పనితీరు విమానం")</f>
        <v>లైట్ మినియేచర్ ఎయిర్క్రాఫ్ట్ LM-5 సిరీస్ అనేది అమెరికన్ హై-వింగ్, సాంప్రదాయిక ల్యాండింగ్ గేర్, స్ట్రట్-బ్రేస్డ్, సింగిల్-ఇంజిన్ అల్ట్రాలైట్ విమానాల కుటుంబం, ఇవి పైపర్ PA-18 సూపర్ కబ్‌ను పోలి ఉంటాయి. డిజైన్లు అన్నీ te త్సాహిక నిర్మాణం కోసం ఫ్లోరిడాలోని ఓకీచోబీ యొక్క తేలికపాటి సూక్ష్మ విమానాల ప్రణాళికలుగా అందుబాటులో ఉన్నాయి. [1] [2] [3] లైట్ మినియేచర్ ఎయిర్క్రాఫ్ట్ కంపెనీ వెబ్‌సైట్ డొమైన్ పేరు 25 మే 2010 తో ముగిసింది మరియు పునరుద్ధరించబడలేదు. [4] సంస్థ 2010 లో వ్యాపారం నుండి బయటపడినట్లు కనిపిస్తోంది, కాని విక్స్ విమానం డిజైన్లకు వస్తు సామగ్రిని అందిస్తూనే ఉంది. [5] [6] LM-5 డిజైన్ కలపలో లేదా ఐచ్ఛికంగా అల్యూమినియంలో ఇవ్వబడుతుంది మరియు డోప్డ్ ఎయిర్క్రాఫ్ట్ ఫాబ్రిక్‌లో కప్పబడి ఉంటుంది. ఈ విమానం ప్రణాళికలుగా విక్రయిస్తారు, భాగాలు లేదా పూర్తి కిట్‌లు కూడా నిర్మాణ సమయాన్ని వేగవంతం చేస్తాయి. [1] [2] [3] ప్రసిద్ధ జనరల్ ఏవియేషన్ విమానాల స్కేల్ ప్రాతినిధ్యాల సంస్థ యొక్క LM-1 సిరీస్ మాదిరిగా కాకుండా, LM-5 సిరీస్ అవి పోలి ఉండే PA-18 వలె ఉంటాయి. [1] [2] [3] [7] కిట్‌ప్లాన్‌ల నుండి డేటా [2] పోల్చదగిన పాత్ర, కాన్ఫిగరేషన్ మరియు ERA యొక్క సాధారణ లక్షణాలు పనితీరు విమానం</v>
      </c>
      <c r="F119" s="1" t="s">
        <v>459</v>
      </c>
      <c r="G119" s="1" t="str">
        <f>IFERROR(__xludf.DUMMYFUNCTION("GOOGLETRANSLATE(F:F,""en"", ""te"")"),"అల్ట్రాలైట్ విమానం")</f>
        <v>అల్ట్రాలైట్ విమానం</v>
      </c>
      <c r="H119" s="1" t="s">
        <v>460</v>
      </c>
      <c r="I119" s="1" t="s">
        <v>2044</v>
      </c>
      <c r="J119" s="1" t="str">
        <f>IFERROR(__xludf.DUMMYFUNCTION("GOOGLETRANSLATE(I:I,""en"", ""te"")"),"సంయుక్త రాష్ట్రాలు")</f>
        <v>సంయుక్త రాష్ట్రాలు</v>
      </c>
      <c r="K119" s="1" t="s">
        <v>159</v>
      </c>
      <c r="L119" s="1" t="s">
        <v>2250</v>
      </c>
      <c r="M119" s="1" t="str">
        <f>IFERROR(__xludf.DUMMYFUNCTION("GOOGLETRANSLATE(L:L,""en"", ""te"")"),"తేలికపాటి సూక్ష్మ విమానం")</f>
        <v>తేలికపాటి సూక్ష్మ విమానం</v>
      </c>
      <c r="N119" s="1" t="s">
        <v>2251</v>
      </c>
      <c r="O119" s="1">
        <v>1991.0</v>
      </c>
      <c r="P119" s="1" t="s">
        <v>2252</v>
      </c>
      <c r="Q119" s="1"/>
      <c r="R119" s="1" t="s">
        <v>2253</v>
      </c>
      <c r="S119" s="1" t="s">
        <v>164</v>
      </c>
      <c r="T119" s="1" t="s">
        <v>165</v>
      </c>
      <c r="U119" s="1" t="s">
        <v>2254</v>
      </c>
      <c r="W119" s="1" t="s">
        <v>730</v>
      </c>
      <c r="X119" s="1" t="s">
        <v>2255</v>
      </c>
      <c r="Y119" s="1" t="s">
        <v>2256</v>
      </c>
      <c r="Z119" s="1" t="s">
        <v>2257</v>
      </c>
      <c r="AA119" s="1" t="s">
        <v>1873</v>
      </c>
      <c r="AB119" s="1" t="s">
        <v>472</v>
      </c>
      <c r="AD119" s="1" t="s">
        <v>2129</v>
      </c>
      <c r="AE119" s="1" t="s">
        <v>2258</v>
      </c>
      <c r="AG119" s="1" t="s">
        <v>208</v>
      </c>
      <c r="AH119" s="1" t="s">
        <v>2259</v>
      </c>
      <c r="AI119" s="1" t="s">
        <v>2260</v>
      </c>
      <c r="AK119" s="1" t="s">
        <v>2261</v>
      </c>
      <c r="AO119" s="1">
        <v>1991.0</v>
      </c>
      <c r="AQ119" s="1" t="s">
        <v>1796</v>
      </c>
    </row>
    <row r="120">
      <c r="A120" s="1" t="s">
        <v>2262</v>
      </c>
      <c r="B120" s="1" t="str">
        <f>IFERROR(__xludf.DUMMYFUNCTION("GOOGLETRANSLATE(A:A,""en"", ""te"")"),"స్పిజ్కర్ వి .3")</f>
        <v>స్పిజ్కర్ వి .3</v>
      </c>
      <c r="C120" s="1" t="s">
        <v>2263</v>
      </c>
      <c r="D120" s="1" t="str">
        <f>IFERROR(__xludf.DUMMYFUNCTION("GOOGLETRANSLATE(C:C,""en"", ""te"")"),"స్పైకర్ వి. 3 సాంప్రదాయకంగా వేయబడిన సింగిల్-ఇంజిన్ ట్రాక్టర్ బిప్‌లేన్. దాని రెక్కలకు స్థిరమైన తీగ ఉంది మరియు స్వీప్ లేదా అస్థిరంగా లేదు. ఇది సింగిల్-బే బైప్‌లేన్, ప్రతి వైపు ఒక జత సమాంతర ఇంటర్‌ప్లేన్ స్ట్రట్‌లు మరియు ఫ్యూజ్‌లేజ్ మరియు ఎగువ వింగ్ మధ్య సెం"&amp;"ట్రల్ క్యాబనే ఉన్నాయి. సాధారణంగా ఉపయోగించే ఎయిర్‌ఫాయిల్ ప్రొఫైల్ లేకుండా ఇంటర్‌ప్లేన్ స్ట్రట్స్ సాధారణ ఫ్లాట్ స్టీల్ బ్యాండ్‌లు. ఐలెరాన్లు ఎగువ మరియు దిగువ రెక్కలకు అమర్చబడ్డాయి. పైలట్ యొక్క కాక్‌పిట్ రెక్క కింద ఉంది, తల సుమారు 70% తీగ వద్ద ఉంచింది, కాబట్"&amp;"టి వింగ్ సెంటర్ విభాగంలో వెనుక వైపు, పైకి దృశ్యం మరియు ఒక విండోను మెరుగుపరచడానికి ఎగువ వింగ్ యొక్క వెనుకంజలో ఉన్న అంచులో ఒక కటౌట్ తయారు చేయబడింది, పైకి దృశ్యం. [2] [3] V.3 లో చెక్క మోనోకోక్ ఫ్యూజ్‌లేజ్ ఉంది. ఇది 97 కిలోవాట్ల (130 హెచ్‌పి) స్పిజ్కర్-క్లెర్"&amp;"జెట్ రోటరీ ఇంజిన్‌తో శక్తిని పొందింది, రెండు-బ్లేడ్ ప్రొపెల్లర్‌ను నడుపుతుంది మరియు పూర్తి కౌలింగ్ చేత కప్పబడి ఉంది. సాంప్రదాయిక అండర్ క్యారేజ్ పరిష్కరించబడింది, చెక్క V- రూపం స్ట్రట్‌లపై ప్రతి చివర విభజించబడిన ఇరుసుపై మెయిన్‌వీల్స్ మద్దతు ఇస్తాయి. ఒక తోక"&amp;" స్కిడ్ ల్యాండింగ్ గేర్‌ను పూర్తి చేసింది. టెయిల్‌ప్లేన్ ఫ్యూజ్‌లేజ్ పైభాగంలో అమర్చబడి, చుక్కాని కదలికను అనుమతించడానికి ఎలివేటర్లను విభజించారు, ఎందుకంటే రెండోది కీల్‌కు విస్తరించింది. ఫిన్ మరియు చుక్కాని విస్తృత తీగ మరియు ప్రొఫైల్‌లో గుండ్రంగా ఉన్నాయి. [2"&amp;"] [3] V.3 ప్రోటోటైప్ జూలై 1919 లో మొదటిసారిగా ఎగిరింది. [1] ఇది యుద్ధానంతర ఎయిర్ షోలలో ఒకటైన, ఆగస్టు 1919 లో ఆమ్స్టర్డామ్లో జరిగిన ఎర్స్టే లుచ్ట్వెర్కీయర్ టెన్టోన్‌స్టెలింగ్ (మొదటి ఎయిర్ ట్రాఫిక్ ఎగ్జిబిషన్) లో ప్రదర్శించబడింది. [3] మొదటి విమానానికి ముందు"&amp;" పెద్ద సంఖ్యలో V.3 ఆదేశించారు; ఆర్మీ ఏవియేషన్ గ్రూప్ కోసం 72, డచ్ నావల్ ఏవియేషన్ సర్వీస్ కోసం 20 మరియు నిల్ కోసం 6. ఏదేమైనా, మొదటి ప్రపంచ యుద్ధం ముగింపు పెద్ద సంఖ్యలో జర్మన్ నిర్మించిన ఫోకర్ D.7 ను తయారు చేసింది. ఇవి సాంకేతికంగా ఉన్నతమైనవి, కాబట్టి v.3 ఉత"&amp;"్పత్తి ఎప్పుడూ ప్రారంభమైంది. V.3 యొక్క రెండు-సీట్ల నిఘా వెర్షన్, స్పిజ్కర్ V.4 [2] ను కూడా పరిమాణంలో ఆదేశించారు (118) కానీ ప్రోటోటైప్ కూడా పూర్తి కాలేదు. [1] మొదటి ప్రపంచ యుద్ధం యొక్క జేన్ యొక్క పోరాట విమానాల నుండి డేటా [2] సాధారణ లక్షణాలు పనితీరు ఆయుధాలు")</f>
        <v>స్పైకర్ వి. 3 సాంప్రదాయకంగా వేయబడిన సింగిల్-ఇంజిన్ ట్రాక్టర్ బిప్‌లేన్. దాని రెక్కలకు స్థిరమైన తీగ ఉంది మరియు స్వీప్ లేదా అస్థిరంగా లేదు. ఇది సింగిల్-బే బైప్‌లేన్, ప్రతి వైపు ఒక జత సమాంతర ఇంటర్‌ప్లేన్ స్ట్రట్‌లు మరియు ఫ్యూజ్‌లేజ్ మరియు ఎగువ వింగ్ మధ్య సెంట్రల్ క్యాబనే ఉన్నాయి. సాధారణంగా ఉపయోగించే ఎయిర్‌ఫాయిల్ ప్రొఫైల్ లేకుండా ఇంటర్‌ప్లేన్ స్ట్రట్స్ సాధారణ ఫ్లాట్ స్టీల్ బ్యాండ్‌లు. ఐలెరాన్లు ఎగువ మరియు దిగువ రెక్కలకు అమర్చబడ్డాయి. పైలట్ యొక్క కాక్‌పిట్ రెక్క కింద ఉంది, తల సుమారు 70% తీగ వద్ద ఉంచింది, కాబట్టి వింగ్ సెంటర్ విభాగంలో వెనుక వైపు, పైకి దృశ్యం మరియు ఒక విండోను మెరుగుపరచడానికి ఎగువ వింగ్ యొక్క వెనుకంజలో ఉన్న అంచులో ఒక కటౌట్ తయారు చేయబడింది, పైకి దృశ్యం. [2] [3] V.3 లో చెక్క మోనోకోక్ ఫ్యూజ్‌లేజ్ ఉంది. ఇది 97 కిలోవాట్ల (130 హెచ్‌పి) స్పిజ్కర్-క్లెర్జెట్ రోటరీ ఇంజిన్‌తో శక్తిని పొందింది, రెండు-బ్లేడ్ ప్రొపెల్లర్‌ను నడుపుతుంది మరియు పూర్తి కౌలింగ్ చేత కప్పబడి ఉంది. సాంప్రదాయిక అండర్ క్యారేజ్ పరిష్కరించబడింది, చెక్క V- రూపం స్ట్రట్‌లపై ప్రతి చివర విభజించబడిన ఇరుసుపై మెయిన్‌వీల్స్ మద్దతు ఇస్తాయి. ఒక తోక స్కిడ్ ల్యాండింగ్ గేర్‌ను పూర్తి చేసింది. టెయిల్‌ప్లేన్ ఫ్యూజ్‌లేజ్ పైభాగంలో అమర్చబడి, చుక్కాని కదలికను అనుమతించడానికి ఎలివేటర్లను విభజించారు, ఎందుకంటే రెండోది కీల్‌కు విస్తరించింది. ఫిన్ మరియు చుక్కాని విస్తృత తీగ మరియు ప్రొఫైల్‌లో గుండ్రంగా ఉన్నాయి. [2] [3] V.3 ప్రోటోటైప్ జూలై 1919 లో మొదటిసారిగా ఎగిరింది. [1] ఇది యుద్ధానంతర ఎయిర్ షోలలో ఒకటైన, ఆగస్టు 1919 లో ఆమ్స్టర్డామ్లో జరిగిన ఎర్స్టే లుచ్ట్వెర్కీయర్ టెన్టోన్‌స్టెలింగ్ (మొదటి ఎయిర్ ట్రాఫిక్ ఎగ్జిబిషన్) లో ప్రదర్శించబడింది. [3] మొదటి విమానానికి ముందు పెద్ద సంఖ్యలో V.3 ఆదేశించారు; ఆర్మీ ఏవియేషన్ గ్రూప్ కోసం 72, డచ్ నావల్ ఏవియేషన్ సర్వీస్ కోసం 20 మరియు నిల్ కోసం 6. ఏదేమైనా, మొదటి ప్రపంచ యుద్ధం ముగింపు పెద్ద సంఖ్యలో జర్మన్ నిర్మించిన ఫోకర్ D.7 ను తయారు చేసింది. ఇవి సాంకేతికంగా ఉన్నతమైనవి, కాబట్టి v.3 ఉత్పత్తి ఎప్పుడూ ప్రారంభమైంది. V.3 యొక్క రెండు-సీట్ల నిఘా వెర్షన్, స్పిజ్కర్ V.4 [2] ను కూడా పరిమాణంలో ఆదేశించారు (118) కానీ ప్రోటోటైప్ కూడా పూర్తి కాలేదు. [1] మొదటి ప్రపంచ యుద్ధం యొక్క జేన్ యొక్క పోరాట విమానాల నుండి డేటా [2] సాధారణ లక్షణాలు పనితీరు ఆయుధాలు</v>
      </c>
      <c r="F120" s="1" t="s">
        <v>2264</v>
      </c>
      <c r="G120" s="1" t="str">
        <f>IFERROR(__xludf.DUMMYFUNCTION("GOOGLETRANSLATE(F:F,""en"", ""te"")"),"సింగిల్-సీట్ ఫైటర్")</f>
        <v>సింగిల్-సీట్ ఫైటర్</v>
      </c>
      <c r="I120" s="1" t="s">
        <v>2096</v>
      </c>
      <c r="J120" s="1" t="str">
        <f>IFERROR(__xludf.DUMMYFUNCTION("GOOGLETRANSLATE(I:I,""en"", ""te"")"),"నెదర్లాండ్స్")</f>
        <v>నెదర్లాండ్స్</v>
      </c>
      <c r="K120" s="2" t="s">
        <v>2097</v>
      </c>
      <c r="L120" s="1" t="s">
        <v>2265</v>
      </c>
      <c r="M120" s="1" t="str">
        <f>IFERROR(__xludf.DUMMYFUNCTION("GOOGLETRANSLATE(L:L,""en"", ""te"")"),"స్పిజ్కర్ (1915 నుండి నెదర్లాండ్స్ ఆటోమొబైల్ అండ్ ఎయిర్‌ప్లేన్ కో.), ట్రోంపెన్‌బర్గ్.")</f>
        <v>స్పిజ్కర్ (1915 నుండి నెదర్లాండ్స్ ఆటోమొబైల్ అండ్ ఎయిర్‌ప్లేన్ కో.), ట్రోంపెన్‌బర్గ్.</v>
      </c>
      <c r="N120" s="1" t="s">
        <v>2266</v>
      </c>
      <c r="R120" s="1" t="s">
        <v>2267</v>
      </c>
      <c r="S120" s="1" t="s">
        <v>685</v>
      </c>
      <c r="U120" s="1" t="s">
        <v>2268</v>
      </c>
      <c r="V120" s="1" t="s">
        <v>2269</v>
      </c>
      <c r="Z120" s="1" t="s">
        <v>2270</v>
      </c>
      <c r="AA120" s="1" t="s">
        <v>2271</v>
      </c>
      <c r="AD120" s="1" t="s">
        <v>2272</v>
      </c>
      <c r="AE120" s="1" t="s">
        <v>375</v>
      </c>
      <c r="AF120" s="1" t="s">
        <v>1058</v>
      </c>
      <c r="AH120" s="1" t="s">
        <v>2273</v>
      </c>
      <c r="AO120" s="1" t="s">
        <v>2274</v>
      </c>
      <c r="AQ120" s="1" t="s">
        <v>2275</v>
      </c>
      <c r="BR120" s="1" t="s">
        <v>2276</v>
      </c>
      <c r="DS120" s="1" t="s">
        <v>2277</v>
      </c>
    </row>
    <row r="121">
      <c r="A121" s="1" t="s">
        <v>2278</v>
      </c>
      <c r="B121" s="1" t="str">
        <f>IFERROR(__xludf.DUMMYFUNCTION("GOOGLETRANSLATE(A:A,""en"", ""te"")"),"Zmaj fizir fp-2")</f>
        <v>Zmaj fizir fp-2</v>
      </c>
      <c r="C121" s="1" t="s">
        <v>2279</v>
      </c>
      <c r="D121" s="1" t="str">
        <f>IFERROR(__xludf.DUMMYFUNCTION("GOOGLETRANSLATE(C:C,""en"", ""te"")"),"విమానం zmaj fizir FP-2 (సెర్బియన్ సిరిలిక్: змај физир ф’-2) ఒక యుగోస్లావ్ సింగిల్-ఇంజిన్, రెండు-సీట్ల బిప్‌లేన్. దీనిని 1936 లో జెమున్ లోని ఫ్యాక్టరీ ZMAJ వద్ద నిర్మించిన ఆర్. ఫిజిర్ మరియు డి. స్టాంకోవ్ రూపొందించారు. 1933 లో, యుగోస్లావ్ రాయల్ ఎయిర్ ఫోర్స"&amp;"్ (వైఆర్‌ఎఫ్) యొక్క ఆదేశం ఆధునిక పాఠశాల విమానాలతో, బేసిక్ నుండి పరివర్తన శిక్షణ కోసం పాత విమానాలను భర్తీ చేయాలని నిర్ణయించింది పోరాడటానికి శిక్షణ. ZMAJ ఫ్యాక్టరీ 1993 లో ట్రాన్సిషనల్ పైలట్ శిక్షణ కోసం ఫిజిర్ FP-1 అనే ప్రోటోటైప్ బిప్‌లేన్‌ను రూపొందించింది,"&amp;" అయితే ఇది YRAF నిర్దేశించిన అన్ని అవసరాలను తీర్చలేదు. తత్ఫలితంగా, విమాన డిజైనర్లు మరియు ఇంజనీర్లు, రుడాల్ఫ్ ఫిజిర్ మరియు డుకాన్ స్టాంకోవ్, FIZIR FP-1 కు సర్దుబాట్లు చేసారు మరియు అందువల్ల విమానం ZMAJ FIZIR FP-2 గా మారింది. డిజైనర్లు కాన్సెప్ట్ ఎయిర్క్రాఫ్"&amp;"ట్ బిప్‌లేన్‌ను ఎంచుకున్నారు, అయినప్పటికీ YRAF ఒక తక్కువ రెక్కతో ఒక విమానానికి ప్రాధాన్యత ఇచ్చింది (ఆధునిక పోరాట విమానాల అభివృద్ధి కారణంగా). చివరికి, కొత్త పరివర్తన పాఠశాల విమానం యొక్క భావన అంగీకరించబడింది. 300 కిలోవాట్ల (400 హెచ్‌పి) గ్నోమ్-రోన్ 7 కె ఇంజ"&amp;"ిన్‌తో ప్రోటోటైప్ ZMAJ FIZIR FP-2 (FIZIR PRELAZNI) 1933 చివరిలో పరీక్షలు పూర్తయ్యాయి. మరిన్ని పరీక్షా విమానాలు తరువాత, మరియు 1934 నాటికి విమానం మంచి ఫలితాలను చూపించింది. ZMAJ 1934 లో 235 kW (315 HP) వాల్టర్ పొలక్స్ II ఇంజిన్‌ను ఉపయోగించి FP-2 ను సవరించింద"&amp;"ి, కాని ఫలితాలు సంతృప్తికరంగా లేవు. ZMAJ FIZIR FP-2 అనేది రెండు-సీట్ల సింగిల్-ఇంజిన్ బైప్‌లాన్ విమానం, ఎయిర్-కూల్డ్, 7 సిలిండర్ రేడియల్ ఇంజిన్ (గ్నోమ్-రోన్ K-7 308 kW), మరియు ప్రతి వైపు ఒక జత స్ట్రట్‌లతో. ఇది ఎగువ మరియు దిగువ రెక్కలపై ఫ్లాప్‌లను కలిగి ఉంద"&amp;"ి. ల్యాండింగ్ గేర్ షాఫ్ట్కు పరిష్కరించబడుతుంది మరియు విస్తరణ రబ్బరు తాడును ఉపయోగిస్తుంది. ఫ్యూజ్‌లేజ్ మరియు రెక్కలు కాన్వాస్‌తో కప్పబడిన కలప. ఈ విమానం ఒక శాస్త్రీయ ""యుగోస్లావ్ తయారీదారుల పాఠశాల"" ""ను సూచిస్తుంది - రెండు సీట్ల, రెండు రెక్కలు, ఘన చెక్క ని"&amp;"ర్మాణం మరియు మెరుగుపెట్టిన ఏరోడైనమిక్ ఆకారం, ఎగరడం సులభం, స్థిరమైన మరియు నమ్మదగిన విమానాలు పైలట్ లోపాలకు ఎక్కువగా సున్నితంగా ఉంటాయి. 22 మే 1936 న, ZMAJ ఫ్యాక్టరీ నేవీకి ఒక సీప్లేన్ ZMAJ FIZIR FP-2H ను గ్నోమ్-రోన్ K-9 ఇంజిన్‌తో అందించింది, కాని ఈ ప్రాజెక్ట"&amp;"్ అంగీకరించబడలేదు. [2] ఈ రకమైన మొత్తం 66 విమానాలు 1936 నుండి 1941 వరకు యుగోస్లావ్ రాయల్ వైమానిక దళంలో ఉత్పత్తి చేయబడ్డాయి మరియు అందించబడ్డాయి. వాటిని సైనిక పైలట్లకు శిక్షణ ఇవ్వడానికి ఉపయోగించారు. ఈ విమానాలలో 20 యొక్క మొదటి సిరీస్ 1936 ప్రారంభంలో YRAF కి ప"&amp;"ంపబడింది మరియు వెంటనే మొదటి మరియు రెండవ పైలట్ పాఠశాలలో ప్రవేశపెట్టబడింది. 1938 నుండి 1940 వరకు 45 ఎక్కువ విమానాలు పంపిణీ చేయబడ్డాయి. మూడు సిరీస్ విమానాలు ఒకే విధంగా ఉన్నాయి, ఐదు విమానాల మూడవ సిరీస్ మినహా అంధులుగా ఎగురుతుంది. [3] ఈ విమానాలలో కొత్త పైలట్ ప్"&amp;"యానెల్ మరియు జెమున్ టెలియోప్టిక్ (రోగోసార్స్కి ప్రైవేట్ ప్రైవేట్ మాదిరిగానే) ఉన్నాయి. ఐదవ సిరీస్ ZMAJ FIZIR FP-2 (1940 లో 15 కాపీలు ఆర్డర్ చేసిన 15 కాపీలు) ఏప్రిల్ యుద్ధం ప్రారంభమయ్యే నాటికి పూర్తి కాలేదు. 1943 ప్రారంభంలో, జర్మన్లు ​​క్రొయేషియన్ వైమానిక ద"&amp;"ళం కోసం ఐదవ సిరీస్ విమానం ZMAJ FIZIR FP-2 ను పూర్తి చేయడానికి ఫ్యాక్టరీని అనుమతించారు, కాని 22 అక్టోబర్ 1944 నాటికి (లిబరేషన్ డే జెమున్) 8 విమానాలు మాత్రమే పంపిణీ చేయబడ్డాయి. యుగోస్లావ్ సైన్యం ఉపయోగం కోసం పీపుల్స్ లిబరేషన్ ఆర్మీ వైమానిక దళం తరువాత చివరి 7"&amp;" విమానాలు పూర్తయ్యాయి మరియు అప్పగించబడ్డాయి. అందువల్ల ఉత్పత్తి చేయబడిన మొత్తం ZMAJ FIZIR FP-2 విమానం 81. ఇటాలియన్లు 13 ZMAJ FIZIR FP-2 విమానాలను మరియు రోగోసార్స్కి ప్రైవేట్ విమానంతో మే 1941 నుండి జూన్ 1943 వరకు మాంటినెగ్రో మరియు అల్బేనియాలోని తిరుగుబాటుదా"&amp;"రులపై ఉపయోగించారు. జర్మన్లు ​​బుట్మీర్ విమానాశ్రయంలో 7 ZMAJ FIZIR FP-2 ను స్వాధీనం చేసుకున్నారు మరియు వాటిని 1941 నుండి ప్రారంభమయ్యే యుద్ధం అంతటా ఉపయోగించిన వారి మిత్రదేశమైన క్రొయేట్స్ (NDH) కు అప్పగించారు. యుద్ధం నుండి బయటపడిన ఈ రకమైన అన్ని విమానాలు చేర్"&amp;"చబడ్డాయి యుగోస్లావ్ ఆర్మీ వైమానిక దళం (ఆర్‌వి జెఎ) మరియు 1947 వరకు అక్కడకు వెళ్లింది. యుద్ధానంతర రిజిస్ట్రీలో 12 ZMAJ FIZIR FP-2 విమానాలు ఉన్నాయి. ఈ విమానాలలో ఒకదాని యొక్క అవశేషాలు యుగోస్లావ్ ఏవియేషన్ మ్యూజియంలో ఉంచబడ్డాయి. సాధారణ లక్షణాల పనితీరు")</f>
        <v>విమానం zmaj fizir FP-2 (సెర్బియన్ సిరిలిక్: змај физир ф’-2) ఒక యుగోస్లావ్ సింగిల్-ఇంజిన్, రెండు-సీట్ల బిప్‌లేన్. దీనిని 1936 లో జెమున్ లోని ఫ్యాక్టరీ ZMAJ వద్ద నిర్మించిన ఆర్. ఫిజిర్ మరియు డి. స్టాంకోవ్ రూపొందించారు. 1933 లో, యుగోస్లావ్ రాయల్ ఎయిర్ ఫోర్స్ (వైఆర్‌ఎఫ్) యొక్క ఆదేశం ఆధునిక పాఠశాల విమానాలతో, బేసిక్ నుండి పరివర్తన శిక్షణ కోసం పాత విమానాలను భర్తీ చేయాలని నిర్ణయించింది పోరాడటానికి శిక్షణ. ZMAJ ఫ్యాక్టరీ 1993 లో ట్రాన్సిషనల్ పైలట్ శిక్షణ కోసం ఫిజిర్ FP-1 అనే ప్రోటోటైప్ బిప్‌లేన్‌ను రూపొందించింది, అయితే ఇది YRAF నిర్దేశించిన అన్ని అవసరాలను తీర్చలేదు. తత్ఫలితంగా, విమాన డిజైనర్లు మరియు ఇంజనీర్లు, రుడాల్ఫ్ ఫిజిర్ మరియు డుకాన్ స్టాంకోవ్, FIZIR FP-1 కు సర్దుబాట్లు చేసారు మరియు అందువల్ల విమానం ZMAJ FIZIR FP-2 గా మారింది. డిజైనర్లు కాన్సెప్ట్ ఎయిర్క్రాఫ్ట్ బిప్‌లేన్‌ను ఎంచుకున్నారు, అయినప్పటికీ YRAF ఒక తక్కువ రెక్కతో ఒక విమానానికి ప్రాధాన్యత ఇచ్చింది (ఆధునిక పోరాట విమానాల అభివృద్ధి కారణంగా). చివరికి, కొత్త పరివర్తన పాఠశాల విమానం యొక్క భావన అంగీకరించబడింది. 300 కిలోవాట్ల (400 హెచ్‌పి) గ్నోమ్-రోన్ 7 కె ఇంజిన్‌తో ప్రోటోటైప్ ZMAJ FIZIR FP-2 (FIZIR PRELAZNI) 1933 చివరిలో పరీక్షలు పూర్తయ్యాయి. మరిన్ని పరీక్షా విమానాలు తరువాత, మరియు 1934 నాటికి విమానం మంచి ఫలితాలను చూపించింది. ZMAJ 1934 లో 235 kW (315 HP) వాల్టర్ పొలక్స్ II ఇంజిన్‌ను ఉపయోగించి FP-2 ను సవరించింది, కాని ఫలితాలు సంతృప్తికరంగా లేవు. ZMAJ FIZIR FP-2 అనేది రెండు-సీట్ల సింగిల్-ఇంజిన్ బైప్‌లాన్ విమానం, ఎయిర్-కూల్డ్, 7 సిలిండర్ రేడియల్ ఇంజిన్ (గ్నోమ్-రోన్ K-7 308 kW), మరియు ప్రతి వైపు ఒక జత స్ట్రట్‌లతో. ఇది ఎగువ మరియు దిగువ రెక్కలపై ఫ్లాప్‌లను కలిగి ఉంది. ల్యాండింగ్ గేర్ షాఫ్ట్కు పరిష్కరించబడుతుంది మరియు విస్తరణ రబ్బరు తాడును ఉపయోగిస్తుంది. ఫ్యూజ్‌లేజ్ మరియు రెక్కలు కాన్వాస్‌తో కప్పబడిన కలప. ఈ విమానం ఒక శాస్త్రీయ "యుగోస్లావ్ తయారీదారుల పాఠశాల" "ను సూచిస్తుంది - రెండు సీట్ల, రెండు రెక్కలు, ఘన చెక్క నిర్మాణం మరియు మెరుగుపెట్టిన ఏరోడైనమిక్ ఆకారం, ఎగరడం సులభం, స్థిరమైన మరియు నమ్మదగిన విమానాలు పైలట్ లోపాలకు ఎక్కువగా సున్నితంగా ఉంటాయి. 22 మే 1936 న, ZMAJ ఫ్యాక్టరీ నేవీకి ఒక సీప్లేన్ ZMAJ FIZIR FP-2H ను గ్నోమ్-రోన్ K-9 ఇంజిన్‌తో అందించింది, కాని ఈ ప్రాజెక్ట్ అంగీకరించబడలేదు. [2] ఈ రకమైన మొత్తం 66 విమానాలు 1936 నుండి 1941 వరకు యుగోస్లావ్ రాయల్ వైమానిక దళంలో ఉత్పత్తి చేయబడ్డాయి మరియు అందించబడ్డాయి. వాటిని సైనిక పైలట్లకు శిక్షణ ఇవ్వడానికి ఉపయోగించారు. ఈ విమానాలలో 20 యొక్క మొదటి సిరీస్ 1936 ప్రారంభంలో YRAF కి పంపబడింది మరియు వెంటనే మొదటి మరియు రెండవ పైలట్ పాఠశాలలో ప్రవేశపెట్టబడింది. 1938 నుండి 1940 వరకు 45 ఎక్కువ విమానాలు పంపిణీ చేయబడ్డాయి. మూడు సిరీస్ విమానాలు ఒకే విధంగా ఉన్నాయి, ఐదు విమానాల మూడవ సిరీస్ మినహా అంధులుగా ఎగురుతుంది. [3] ఈ విమానాలలో కొత్త పైలట్ ప్యానెల్ మరియు జెమున్ టెలియోప్టిక్ (రోగోసార్స్కి ప్రైవేట్ ప్రైవేట్ మాదిరిగానే) ఉన్నాయి. ఐదవ సిరీస్ ZMAJ FIZIR FP-2 (1940 లో 15 కాపీలు ఆర్డర్ చేసిన 15 కాపీలు) ఏప్రిల్ యుద్ధం ప్రారంభమయ్యే నాటికి పూర్తి కాలేదు. 1943 ప్రారంభంలో, జర్మన్లు ​​క్రొయేషియన్ వైమానిక దళం కోసం ఐదవ సిరీస్ విమానం ZMAJ FIZIR FP-2 ను పూర్తి చేయడానికి ఫ్యాక్టరీని అనుమతించారు, కాని 22 అక్టోబర్ 1944 నాటికి (లిబరేషన్ డే జెమున్) 8 విమానాలు మాత్రమే పంపిణీ చేయబడ్డాయి. యుగోస్లావ్ సైన్యం ఉపయోగం కోసం పీపుల్స్ లిబరేషన్ ఆర్మీ వైమానిక దళం తరువాత చివరి 7 విమానాలు పూర్తయ్యాయి మరియు అప్పగించబడ్డాయి. అందువల్ల ఉత్పత్తి చేయబడిన మొత్తం ZMAJ FIZIR FP-2 విమానం 81. ఇటాలియన్లు 13 ZMAJ FIZIR FP-2 విమానాలను మరియు రోగోసార్స్కి ప్రైవేట్ విమానంతో మే 1941 నుండి జూన్ 1943 వరకు మాంటినెగ్రో మరియు అల్బేనియాలోని తిరుగుబాటుదారులపై ఉపయోగించారు. జర్మన్లు ​​బుట్మీర్ విమానాశ్రయంలో 7 ZMAJ FIZIR FP-2 ను స్వాధీనం చేసుకున్నారు మరియు వాటిని 1941 నుండి ప్రారంభమయ్యే యుద్ధం అంతటా ఉపయోగించిన వారి మిత్రదేశమైన క్రొయేట్స్ (NDH) కు అప్పగించారు. యుద్ధం నుండి బయటపడిన ఈ రకమైన అన్ని విమానాలు చేర్చబడ్డాయి యుగోస్లావ్ ఆర్మీ వైమానిక దళం (ఆర్‌వి జెఎ) మరియు 1947 వరకు అక్కడకు వెళ్లింది. యుద్ధానంతర రిజిస్ట్రీలో 12 ZMAJ FIZIR FP-2 విమానాలు ఉన్నాయి. ఈ విమానాలలో ఒకదాని యొక్క అవశేషాలు యుగోస్లావ్ ఏవియేషన్ మ్యూజియంలో ఉంచబడ్డాయి. సాధారణ లక్షణాల పనితీరు</v>
      </c>
      <c r="E121" s="1" t="s">
        <v>2280</v>
      </c>
      <c r="F121" s="1" t="s">
        <v>2281</v>
      </c>
      <c r="G121" s="1" t="str">
        <f>IFERROR(__xludf.DUMMYFUNCTION("GOOGLETRANSLATE(F:F,""en"", ""te"")"),"అధునాతన శిక్షకుడు")</f>
        <v>అధునాతన శిక్షకుడు</v>
      </c>
      <c r="H121" s="1" t="s">
        <v>2282</v>
      </c>
      <c r="I121" s="1" t="s">
        <v>2283</v>
      </c>
      <c r="J121" s="1" t="str">
        <f>IFERROR(__xludf.DUMMYFUNCTION("GOOGLETRANSLATE(I:I,""en"", ""te"")"),"యుగోస్లేవియా")</f>
        <v>యుగోస్లేవియా</v>
      </c>
      <c r="K121" s="2" t="s">
        <v>2284</v>
      </c>
      <c r="L121" s="1" t="s">
        <v>2285</v>
      </c>
      <c r="M121" s="1" t="str">
        <f>IFERROR(__xludf.DUMMYFUNCTION("GOOGLETRANSLATE(L:L,""en"", ""te"")"),"Zmaj zemun")</f>
        <v>Zmaj zemun</v>
      </c>
      <c r="N121" s="1" t="s">
        <v>2286</v>
      </c>
      <c r="O121" s="1">
        <v>1936.0</v>
      </c>
      <c r="P121" s="1" t="s">
        <v>2287</v>
      </c>
      <c r="Q121" s="1"/>
      <c r="R121" s="1" t="s">
        <v>2288</v>
      </c>
      <c r="S121" s="1">
        <v>2.0</v>
      </c>
      <c r="U121" s="1" t="s">
        <v>2289</v>
      </c>
      <c r="V121" s="1" t="s">
        <v>2290</v>
      </c>
      <c r="W121" s="1" t="s">
        <v>2291</v>
      </c>
      <c r="X121" s="1" t="s">
        <v>2292</v>
      </c>
      <c r="Y121" s="1" t="s">
        <v>2293</v>
      </c>
      <c r="AA121" s="1" t="s">
        <v>2294</v>
      </c>
      <c r="AB121" s="1" t="s">
        <v>977</v>
      </c>
      <c r="AE121" s="1" t="s">
        <v>375</v>
      </c>
      <c r="AH121" s="1" t="s">
        <v>2295</v>
      </c>
      <c r="AK121" s="1" t="s">
        <v>2296</v>
      </c>
      <c r="AL121" s="1" t="s">
        <v>2297</v>
      </c>
      <c r="AM121" s="1" t="s">
        <v>2298</v>
      </c>
      <c r="AN121" s="1" t="s">
        <v>2299</v>
      </c>
      <c r="AO121" s="1">
        <v>1933.0</v>
      </c>
      <c r="AQ121" s="1" t="s">
        <v>2300</v>
      </c>
      <c r="AR121" s="1" t="s">
        <v>2301</v>
      </c>
      <c r="BA121" s="1" t="s">
        <v>2302</v>
      </c>
      <c r="BC121" s="1">
        <v>1947.0</v>
      </c>
    </row>
    <row r="122">
      <c r="A122" s="1" t="s">
        <v>2303</v>
      </c>
      <c r="B122" s="1" t="str">
        <f>IFERROR(__xludf.DUMMYFUNCTION("GOOGLETRANSLATE(A:A,""en"", ""te"")"),"లైర్డ్-టర్నర్ ఉల్కాపాతం LTR-14")</f>
        <v>లైర్డ్-టర్నర్ ఉల్కాపాతం LTR-14</v>
      </c>
      <c r="C122" s="1" t="s">
        <v>2304</v>
      </c>
      <c r="D122" s="1" t="str">
        <f>IFERROR(__xludf.DUMMYFUNCTION("GOOGLETRANSLATE(C:C,""en"", ""te"")"),"లైర్డ్-టర్నర్ RT-14 ఉల్కాపాతం, టర్నర్ టిఆర్ -14, రింగ్ ఫ్రీ మెటియర్, పెస్కో స్పెషల్, మిస్ ఛాంపియన్, టర్నర్ స్పెషల్ మరియు టర్నర్ ఉల్కాపాతం 1938 మరియు 1939 థాంప్సన్ ట్రోఫీ రేసుల్లో గెలిచిన విమానం. [1] ఈ విమానం 1936 లో రోస్కో టర్నర్ చేత నియమించబడింది మరియు ర"&amp;"ూపొందించబడింది. [2] ఉల్కాపాతం మాటీ లైర్డ్ రేసు విమానాలతో పాటు రోస్కో టర్నర్ ఎగురవేసిన చివరి రేసు విమానం. [3] ఈ విమానం కాలిఫోర్నియాలో నిర్మించిన రేడియల్ ఇంజిన్‌తో సాంప్రదాయిక గేర్డ్ మిడ్-వింగ్ మోనోప్లేన్. దీనిని 1936 లో మాటీ లైర్డ్ చికాగోలోని E. M. లైర్డ్ "&amp;"ఎయిర్‌ప్లేన్ కంపెనీలో మూడు అడుగుల పొడవైన రెక్కలు, వింగ్ ఫ్లాప్‌లు, పొడవైన ఫ్యూజ్‌లేజ్ మరియు 50 యు.ఎస్. 1938 లో ఓక్లాండ్ రేసుల కోసం వీల్ ప్యాంటు చేర్చబడింది. ఈ విమానం చాలా పేర్లతో పిలువబడింది. ప్రారంభంలో ""రోస్కో-టర్నర్ 14 సిలిండర్"" కోసం RT-14. [5] ఎయిర్ "&amp;"కామర్స్ బ్యూరో దీనిని మోడల్ నెం. ఎల్‌టిఆర్ -14, సీరియల్ నం 11, టైప్ 1 పోల్మ్ అని లేబుల్ చేసింది. [6] మొదటి స్పాన్సర్ రింగ్ లేని చమురు సంస్థ, విమానం రింగ్-ఫ్రీ ఉల్కాపాతం అని పేరు పెట్టారు. [7] 1938 స్పాన్సర్, పంప్ ఇంజనీరింగ్ సర్వీస్ కార్ప్ ఈ విమానం ""ది పె"&amp;"స్కో స్పెషల్"" అని పేరు మార్చింది. 1939 లో, ఛాంపియన్ స్పార్క్ ప్లగ్ కో దాని 1931 పిట్‌కైర్న్ పిసిఎ -2 ఆటోజీరో నుండి ఈ పేరును అరువుగా తీసుకుంది, ఈ విమానం ""మిస్ ఛాంపియన్"" అనే పేరును ఇచ్చింది. అసలు విమానాన్ని వీర్ కుక్ విమానాశ్రయంలో 29 సంవత్సరాలు పునరుద్ధర"&amp;"ించబడే వరకు నిల్వ చేశారు, తరువాత క్రాఫోర్డ్ ఆటో-ఏవియేషన్ మ్యూజియంకు విరాళంగా ఇచ్చారు. [9] డిసెంబర్ 1972 లో, రోస్కో టర్నర్ యొక్క ట్రోఫీలతో పాటు విమానం స్మిత్సోనియన్‌కు బదిలీ చేయబడింది. [10] విమానం 30 గంటల కన్నా తక్కువ ఎగురుతున్న సమయంతో పదవీ విరమణ చేసింది. "&amp;"[11] కుక్ ఐలాండ్స్ 2008 లో $ 2 నాణెంను ముద్రించింది, ఇందులో లైర్డ్-టర్నర్ ఉల్కాపాతం ఎల్‌టిఆర్ -14 ఉంది, దాని 1930 ల ఎయిర్ రేసింగ్ సేకరణలో భాగంగా [12] స్మిత్సోనియన్ జననేరల్ లక్షణాల పనితీరు నుండి డేటా")</f>
        <v>లైర్డ్-టర్నర్ RT-14 ఉల్కాపాతం, టర్నర్ టిఆర్ -14, రింగ్ ఫ్రీ మెటియర్, పెస్కో స్పెషల్, మిస్ ఛాంపియన్, టర్నర్ స్పెషల్ మరియు టర్నర్ ఉల్కాపాతం 1938 మరియు 1939 థాంప్సన్ ట్రోఫీ రేసుల్లో గెలిచిన విమానం. [1] ఈ విమానం 1936 లో రోస్కో టర్నర్ చేత నియమించబడింది మరియు రూపొందించబడింది. [2] ఉల్కాపాతం మాటీ లైర్డ్ రేసు విమానాలతో పాటు రోస్కో టర్నర్ ఎగురవేసిన చివరి రేసు విమానం. [3] ఈ విమానం కాలిఫోర్నియాలో నిర్మించిన రేడియల్ ఇంజిన్‌తో సాంప్రదాయిక గేర్డ్ మిడ్-వింగ్ మోనోప్లేన్. దీనిని 1936 లో మాటీ లైర్డ్ చికాగోలోని E. M. లైర్డ్ ఎయిర్‌ప్లేన్ కంపెనీలో మూడు అడుగుల పొడవైన రెక్కలు, వింగ్ ఫ్లాప్‌లు, పొడవైన ఫ్యూజ్‌లేజ్ మరియు 50 యు.ఎస్. 1938 లో ఓక్లాండ్ రేసుల కోసం వీల్ ప్యాంటు చేర్చబడింది. ఈ విమానం చాలా పేర్లతో పిలువబడింది. ప్రారంభంలో "రోస్కో-టర్నర్ 14 సిలిండర్" కోసం RT-14. [5] ఎయిర్ కామర్స్ బ్యూరో దీనిని మోడల్ నెం. ఎల్‌టిఆర్ -14, సీరియల్ నం 11, టైప్ 1 పోల్మ్ అని లేబుల్ చేసింది. [6] మొదటి స్పాన్సర్ రింగ్ లేని చమురు సంస్థ, విమానం రింగ్-ఫ్రీ ఉల్కాపాతం అని పేరు పెట్టారు. [7] 1938 స్పాన్సర్, పంప్ ఇంజనీరింగ్ సర్వీస్ కార్ప్ ఈ విమానం "ది పెస్కో స్పెషల్" అని పేరు మార్చింది. 1939 లో, ఛాంపియన్ స్పార్క్ ప్లగ్ కో దాని 1931 పిట్‌కైర్న్ పిసిఎ -2 ఆటోజీరో నుండి ఈ పేరును అరువుగా తీసుకుంది, ఈ విమానం "మిస్ ఛాంపియన్" అనే పేరును ఇచ్చింది. అసలు విమానాన్ని వీర్ కుక్ విమానాశ్రయంలో 29 సంవత్సరాలు పునరుద్ధరించబడే వరకు నిల్వ చేశారు, తరువాత క్రాఫోర్డ్ ఆటో-ఏవియేషన్ మ్యూజియంకు విరాళంగా ఇచ్చారు. [9] డిసెంబర్ 1972 లో, రోస్కో టర్నర్ యొక్క ట్రోఫీలతో పాటు విమానం స్మిత్సోనియన్‌కు బదిలీ చేయబడింది. [10] విమానం 30 గంటల కన్నా తక్కువ ఎగురుతున్న సమయంతో పదవీ విరమణ చేసింది. [11] కుక్ ఐలాండ్స్ 2008 లో $ 2 నాణెంను ముద్రించింది, ఇందులో లైర్డ్-టర్నర్ ఉల్కాపాతం ఎల్‌టిఆర్ -14 ఉంది, దాని 1930 ల ఎయిర్ రేసింగ్ సేకరణలో భాగంగా [12] స్మిత్సోనియన్ జననేరల్ లక్షణాల పనితీరు నుండి డేటా</v>
      </c>
      <c r="E122" s="1" t="s">
        <v>2305</v>
      </c>
      <c r="F122" s="1" t="s">
        <v>1996</v>
      </c>
      <c r="G122" s="1" t="str">
        <f>IFERROR(__xludf.DUMMYFUNCTION("GOOGLETRANSLATE(F:F,""en"", ""te"")"),"రేసింగ్ విమానం")</f>
        <v>రేసింగ్ విమానం</v>
      </c>
      <c r="H122" s="1" t="s">
        <v>1997</v>
      </c>
      <c r="I122" s="1" t="s">
        <v>158</v>
      </c>
      <c r="J122" s="1" t="str">
        <f>IFERROR(__xludf.DUMMYFUNCTION("GOOGLETRANSLATE(I:I,""en"", ""te"")"),"అమెరికా")</f>
        <v>అమెరికా</v>
      </c>
      <c r="K122" s="2" t="s">
        <v>515</v>
      </c>
      <c r="L122" s="1" t="s">
        <v>2306</v>
      </c>
      <c r="M122" s="1" t="str">
        <f>IFERROR(__xludf.DUMMYFUNCTION("GOOGLETRANSLATE(L:L,""en"", ""te"")"),"లారెన్స్ బ్రౌన్ ఎయిర్క్రాఫ్ట్ కంపెనీ")</f>
        <v>లారెన్స్ బ్రౌన్ ఎయిర్క్రాఫ్ట్ కంపెనీ</v>
      </c>
      <c r="O122" s="1">
        <v>1936.0</v>
      </c>
      <c r="R122" s="1">
        <v>1.0</v>
      </c>
      <c r="T122" s="1" t="s">
        <v>164</v>
      </c>
      <c r="Z122" s="1" t="s">
        <v>2307</v>
      </c>
      <c r="AA122" s="1" t="s">
        <v>2308</v>
      </c>
      <c r="AE122" s="1" t="s">
        <v>2309</v>
      </c>
      <c r="AG122" s="1" t="s">
        <v>208</v>
      </c>
      <c r="AM122" s="1" t="s">
        <v>2310</v>
      </c>
      <c r="AN122" s="1" t="s">
        <v>2311</v>
      </c>
      <c r="AQ122" s="1" t="s">
        <v>2312</v>
      </c>
      <c r="AW122" s="1" t="s">
        <v>2313</v>
      </c>
    </row>
    <row r="123">
      <c r="A123" s="1" t="s">
        <v>2314</v>
      </c>
      <c r="B123" s="1" t="str">
        <f>IFERROR(__xludf.DUMMYFUNCTION("GOOGLETRANSLATE(A:A,""en"", ""te"")"),"LTV L450F")</f>
        <v>LTV L450F</v>
      </c>
      <c r="C123" s="1" t="s">
        <v>2315</v>
      </c>
      <c r="D123" s="1" t="str">
        <f>IFERROR(__xludf.DUMMYFUNCTION("GOOGLETRANSLATE(C:C,""en"", ""te"")"),"ఎల్‌టివి ఎల్ 450 ఎఫ్, ఎల్ 45 శబ్దం అని కూడా పిలుస్తారు, [1] ఒక ప్రోటోటైప్ నిశ్శబ్ద నిఘా విమానం, దీనిని యునైటెడ్ స్టేట్స్ వియత్నాం యుద్ధంలో ఉపయోగించినందుకు 1960 ల చివరలో లింగ్-టెంకో-క్యూట్ అభివృద్ధి చేసింది. ష్వీజర్ 2-32 సెయిల్‌ప్లేన్ యొక్క ఎయిర్‌ఫ్రేమ్ ఆధ"&amp;"ారంగా, ఈ విమానం 1970 లో ప్రయాణించింది మరియు ప్రాజెక్ట్ రద్దు చేయబడటానికి ముందు XQM-93 నిఘా డ్రోన్‌గా అభివృద్ధి చేయబడింది. ఇగ్లూ వైట్ ప్రోగ్రామ్‌ను అనుసరించే విధంగా అభివృద్ధి చేయబడిన L450F నిశ్శబ్ద నిఘా మరియు కమ్యూనికేషన్స్ రిలే విమానాలను అందించడానికి ఉద్ద"&amp;"ేశించబడింది. [1] LTV ఎలక్ట్రోసిస్టమ్స్ చేత million 1 మిలియన్ USD ఒప్పందం ప్రకారం, L450F ను ష్వీజర్ SGS 2-32 సెయిల్ ప్లేన్ నుండి అభివృద్ధి చేశారు, ష్వీజర్ చేత LTV యొక్క స్పెసిఫికేషన్లకు సవరించబడింది. [1] ఈ మార్పులలో బలమైన వింగ్ స్పార్స్, మందమైన వింగ్ స్కిన"&amp;"్, ప్రాట్ &amp; విట్నీ పిటి 6 ఎ టర్బోప్రాప్ ఇంజిన్ యొక్క సంస్థాపన మూడు-బ్లేడెడ్ ప్రొపెల్లర్‌ను నడుపుతోంది మరియు గ్రుమ్మన్ ఎగ్-క్యాట్ వ్యవసాయ విమానాల ఆధారంగా ప్రధాన ల్యాండింగ్ గేర్. [1] ప్రత్యామ్నాయ కాన్ఫిగరేషన్, పిస్టన్ ఇంజిన్ ఉపయోగించి కూడా ప్రతిపాదించబడింది"&amp;". [1] ప్రోటోటైప్ ఎల్ 450 ఎఫ్ మొదట ఫిబ్రవరి 1970 లో ప్రయాణించింది, కాని ఆ సంవత్సరం 23 మార్చిలో, దాని మూడవ విమానంలో నాశనం చేయబడింది, పైలట్ విజయవంతంగా బెయిల్ ఇచ్చాడు. రెండవ నమూనా పూర్తయింది మరియు ఎగిరింది, పరీక్షా కార్యక్రమాన్ని విజయవంతంగా పూర్తి చేసింది, మర"&amp;"ియు మూడవ నమూనాను మానవరహిత XQM-93 డ్రోన్‌గా ఆదేశించారు, కంపాస్ నివాస ప్రాజెక్ట్ కింద. XQM-93 యొక్క నాలుగు ఉదాహరణలు యునైటెడ్ స్టేట్స్ వైమానిక దళం చేత సంకోచించబడ్డాయి, అయితే దిక్సూచి నివాస ప్రాజెక్ట్ తరువాత రద్దు చేయబడింది. [1] [2] 27 మార్చి 1972 డొనాల్డ్ ఆర"&amp;"్. విల్సన్ మిగిలిన L450F ను ఎగురుతూ క్షితిజ సమాంతర విమానంలో 15,456 M (50,708 అడుగులు) ఎత్తుకు చేరుకున్నాడు, N2450F ను నమోదు చేశాడు, కొత్త ఫెడరేషన్ AYNORAUTIQUE ఇంటర్నేషనల్ ఇంటర్నేషనల్ రికార్డ్, క్లాస్ C-1C, గ్రూప్ II [3] , టేకాఫ్ బరువు 1000 నుండి 1750 కిల"&amp;"ోలు, టర్బోప్రాప్). ఈ రికార్డ్ ఇప్పటికీ 27 మార్చి 2012 నాటికి ఉంది. జేన్స్ నుండి డేటా [1] సాధారణ లక్షణాలు పనితీరు సంబంధిత అభివృద్ధి అభివృద్ధి విమానం పోల్చదగిన పాత్ర, కాన్ఫిగరేషన్ మరియు ERA సంబంధిత జాబితాలు వికీమీడియా కామన్స్ వద్ద LTV L450F కి సంబంధించిన మీ"&amp;"డియా")</f>
        <v>ఎల్‌టివి ఎల్ 450 ఎఫ్, ఎల్ 45 శబ్దం అని కూడా పిలుస్తారు, [1] ఒక ప్రోటోటైప్ నిశ్శబ్ద నిఘా విమానం, దీనిని యునైటెడ్ స్టేట్స్ వియత్నాం యుద్ధంలో ఉపయోగించినందుకు 1960 ల చివరలో లింగ్-టెంకో-క్యూట్ అభివృద్ధి చేసింది. ష్వీజర్ 2-32 సెయిల్‌ప్లేన్ యొక్క ఎయిర్‌ఫ్రేమ్ ఆధారంగా, ఈ విమానం 1970 లో ప్రయాణించింది మరియు ప్రాజెక్ట్ రద్దు చేయబడటానికి ముందు XQM-93 నిఘా డ్రోన్‌గా అభివృద్ధి చేయబడింది. ఇగ్లూ వైట్ ప్రోగ్రామ్‌ను అనుసరించే విధంగా అభివృద్ధి చేయబడిన L450F నిశ్శబ్ద నిఘా మరియు కమ్యూనికేషన్స్ రిలే విమానాలను అందించడానికి ఉద్దేశించబడింది. [1] LTV ఎలక్ట్రోసిస్టమ్స్ చేత million 1 మిలియన్ USD ఒప్పందం ప్రకారం, L450F ను ష్వీజర్ SGS 2-32 సెయిల్ ప్లేన్ నుండి అభివృద్ధి చేశారు, ష్వీజర్ చేత LTV యొక్క స్పెసిఫికేషన్లకు సవరించబడింది. [1] ఈ మార్పులలో బలమైన వింగ్ స్పార్స్, మందమైన వింగ్ స్కిన్, ప్రాట్ &amp; విట్నీ పిటి 6 ఎ టర్బోప్రాప్ ఇంజిన్ యొక్క సంస్థాపన మూడు-బ్లేడెడ్ ప్రొపెల్లర్‌ను నడుపుతోంది మరియు గ్రుమ్మన్ ఎగ్-క్యాట్ వ్యవసాయ విమానాల ఆధారంగా ప్రధాన ల్యాండింగ్ గేర్. [1] ప్రత్యామ్నాయ కాన్ఫిగరేషన్, పిస్టన్ ఇంజిన్ ఉపయోగించి కూడా ప్రతిపాదించబడింది. [1] ప్రోటోటైప్ ఎల్ 450 ఎఫ్ మొదట ఫిబ్రవరి 1970 లో ప్రయాణించింది, కాని ఆ సంవత్సరం 23 మార్చిలో, దాని మూడవ విమానంలో నాశనం చేయబడింది, పైలట్ విజయవంతంగా బెయిల్ ఇచ్చాడు. రెండవ నమూనా పూర్తయింది మరియు ఎగిరింది, పరీక్షా కార్యక్రమాన్ని విజయవంతంగా పూర్తి చేసింది, మరియు మూడవ నమూనాను మానవరహిత XQM-93 డ్రోన్‌గా ఆదేశించారు, కంపాస్ నివాస ప్రాజెక్ట్ కింద. XQM-93 యొక్క నాలుగు ఉదాహరణలు యునైటెడ్ స్టేట్స్ వైమానిక దళం చేత సంకోచించబడ్డాయి, అయితే దిక్సూచి నివాస ప్రాజెక్ట్ తరువాత రద్దు చేయబడింది. [1] [2] 27 మార్చి 1972 డొనాల్డ్ ఆర్. విల్సన్ మిగిలిన L450F ను ఎగురుతూ క్షితిజ సమాంతర విమానంలో 15,456 M (50,708 అడుగులు) ఎత్తుకు చేరుకున్నాడు, N2450F ను నమోదు చేశాడు, కొత్త ఫెడరేషన్ AYNORAUTIQUE ఇంటర్నేషనల్ ఇంటర్నేషనల్ రికార్డ్, క్లాస్ C-1C, గ్రూప్ II [3] , టేకాఫ్ బరువు 1000 నుండి 1750 కిలోలు, టర్బోప్రాప్). ఈ రికార్డ్ ఇప్పటికీ 27 మార్చి 2012 నాటికి ఉంది. జేన్స్ నుండి డేటా [1] సాధారణ లక్షణాలు పనితీరు సంబంధిత అభివృద్ధి అభివృద్ధి విమానం పోల్చదగిన పాత్ర, కాన్ఫిగరేషన్ మరియు ERA సంబంధిత జాబితాలు వికీమీడియా కామన్స్ వద్ద LTV L450F కి సంబంధించిన మీడియా</v>
      </c>
      <c r="E123" s="1" t="s">
        <v>2316</v>
      </c>
      <c r="F123" s="1" t="s">
        <v>2317</v>
      </c>
      <c r="G123" s="1" t="str">
        <f>IFERROR(__xludf.DUMMYFUNCTION("GOOGLETRANSLATE(F:F,""en"", ""te"")"),"నిఘా విమానం")</f>
        <v>నిఘా విమానం</v>
      </c>
      <c r="L123" s="1" t="s">
        <v>2318</v>
      </c>
      <c r="M123" s="1" t="str">
        <f>IFERROR(__xludf.DUMMYFUNCTION("GOOGLETRANSLATE(L:L,""en"", ""te"")"),"లింగ్-టెంకో-వాట్")</f>
        <v>లింగ్-టెంకో-వాట్</v>
      </c>
      <c r="N123" s="2" t="s">
        <v>2319</v>
      </c>
      <c r="S123" s="1" t="s">
        <v>2320</v>
      </c>
      <c r="U123" s="1" t="s">
        <v>2321</v>
      </c>
      <c r="X123" s="1" t="s">
        <v>874</v>
      </c>
      <c r="Z123" s="1" t="s">
        <v>2322</v>
      </c>
      <c r="AA123" s="1" t="s">
        <v>2323</v>
      </c>
      <c r="AB123" s="1" t="s">
        <v>315</v>
      </c>
      <c r="AC123" s="1">
        <v>28.0</v>
      </c>
      <c r="AD123" s="1" t="s">
        <v>2324</v>
      </c>
      <c r="AE123" s="1" t="s">
        <v>2325</v>
      </c>
      <c r="AH123" s="1" t="s">
        <v>2326</v>
      </c>
      <c r="AK123" s="1" t="s">
        <v>2327</v>
      </c>
      <c r="AL123" s="1" t="s">
        <v>2328</v>
      </c>
      <c r="AO123" s="3">
        <v>25600.0</v>
      </c>
      <c r="AR123" s="1" t="s">
        <v>1648</v>
      </c>
      <c r="AT123" s="1" t="s">
        <v>2329</v>
      </c>
      <c r="AU123" s="1" t="s">
        <v>1080</v>
      </c>
      <c r="AV123" s="1" t="s">
        <v>1081</v>
      </c>
      <c r="AX123" s="1" t="s">
        <v>2330</v>
      </c>
      <c r="AY123" s="1" t="s">
        <v>2331</v>
      </c>
      <c r="AZ123" s="1" t="s">
        <v>2332</v>
      </c>
      <c r="BA123" s="1" t="s">
        <v>1650</v>
      </c>
    </row>
    <row r="124">
      <c r="A124" s="1" t="s">
        <v>2333</v>
      </c>
      <c r="B124" s="1" t="str">
        <f>IFERROR(__xludf.DUMMYFUNCTION("GOOGLETRANSLATE(A:A,""en"", ""te"")"),"LWD జుచ్")</f>
        <v>LWD జుచ్</v>
      </c>
      <c r="C124" s="1" t="s">
        <v>2334</v>
      </c>
      <c r="D124" s="1" t="str">
        <f>IFERROR(__xludf.DUMMYFUNCTION("GOOGLETRANSLATE(C:C,""en"", ""te"")"),"జుచ్ ఒక పోలిష్ ఏరోబాటిక్స్ మరియు ట్రైనర్ విమానం, ఇది 1948 లో ఎల్‌డబ్ల్యుడి బ్యూరోలో నిర్మించబడింది మరియు ఒక చిన్న సిరీస్‌లో నిర్మించబడింది. ఈ విమానం ఒక సైనిక మరియు పౌర శిక్షకుల విమానం LWD జునాక్ -1 యొక్క అభివృద్ధి, ఇది పోలిష్ ఏరో క్లబ్ కోసం పౌర ఏరోబాటిక్స"&amp;"్ మరియు ట్రైనర్ విమానం. ఇది లోట్నిక్జీ వార్‌జ్‌టాటి డోవియాడిక్జాల్నే (ఎల్‌డబ్ల్యుడి - ఎయిర్‌క్రాఫ్ట్ ప్రయోగాత్మక వర్క్‌షాప్‌లు) లో రూపొందించబడింది, ఒక ప్రధాన డిజైనర్ తడియస్జ్ సోసిటెక్. డిజైన్ జునాక్ -1 ను పోలి ఉంటుంది, ప్రధాన వ్యత్యాసం EN ఇంజిన్. జునాక్ మ"&amp;"ాదిరిగా కాకుండా, దాని స్థిర ల్యాండింగ్ గేర్, భారీ కవర్లలో, స్ట్రట్స్ లేదు. ఇది స్ప్లిట్ ఫ్లాప్‌లతో కూడా అమర్చబడింది మరియు కొద్దిగా విస్తరించిన చుక్కాని కలిగి ఉంది (ఇలాంటి మెరుగుదలలు తరువాత జునాక్ -2 లో స్వీకరించబడ్డాయి). మిశ్రమ నిర్మాణం (ఉక్కు మరియు కలప) "&amp;"తక్కువ-వింగ్ మోనోప్లేన్, లేఅవుట్‌లో సాంప్రదాయిక. మెటల్ షీట్‌తో ముందు కాన్వాస్‌తో కప్పబడిన ఉక్కు ఫ్రేమ్ యొక్క ఫ్యూజ్‌లేజ్. చెక్క నిర్మాణం మరియు ట్రాపెజాయిడ్ ఆకారం, కాన్వాస్ మరియు ప్లైవుడ్ కప్పబడిన రెండు-స్పేర్ రెక్కలు, స్ప్లిట్ ఫ్లాప్‌లతో అమర్చబడి ఉంటాయి. "&amp;"బహుళ-భాగాల క్లోజ్డ్ పందిరి కింద, రెండు సీట్లతో కాక్‌పిట్. సాంప్రదాయిక స్థిర ల్యాండింగ్ గేర్ తోక చక్రంతో, భారీ కవర్లలో ప్రధాన గేర్. ముందు ఇంజిన్: జుచ్ -1: 6-సిలిండర్ ఇన్లైన్ ఇంజిన్ వాల్టర్ మైనర్ 6-III (118 kW / 160 HP), JUCH-2: 7-సిలిండర్ రేడియల్ ఇంజిన్ బ్"&amp;"రామో SH 14 (118 kW / 160 HP) తో రింగ్ కవర్‌తో సిలిండర్ల కోసం వ్యక్తిగత కౌల్స్. రెండు-బ్లేడ్ చెక్క ప్రొపెల్లర్. మొదటి వేరియంట్ జుచ్ -1 ను చెకోస్లోవాక్ 160 హెచ్‌పి వాల్టర్ మైనర్ 6-ఐఐఐ ఇన్లైన్ ఇంజిన్ పొడవైన, స్లాంట్ ముక్కులో నడిపించింది. ప్రోటోటైప్ సెప్టెంబర"&amp;"్ 1, 1948 న మొదట ఎగిరింది. డిజైన్ చాలా విజయవంతమైంది మరియు ఏరోబాటిక్స్‌కు సరిపోతుంది, కాని పోలాండ్‌లో వాల్టర్ మైనర్ ఇంజిన్‌లను ఉత్పత్తి చేయకూడదనే నిర్ణయం కారణంగా ఇది ఉత్పత్తిలోకి ప్రవేశించలేదు. ఈ నమూనా 1950 నుండి 1955 చివరి వరకు ఏరో క్లబ్‌లలో పనిచేసింది, గ"&amp;"ుర్తులు ఎస్పి-బాడ్‌తో. రెండవ ప్రోటోటైప్ జుచ్ -2 ను రేడియల్ ఇంజిన్ బ్రామో ఎస్హెచ్ 14 తో అమర్చారు. దీనిని ఏప్రిల్ 1, 1949 న ఎగురవేసింది మరియు గుర్తులు ఎస్పి-బ్యాగ్ తీసుకువెళ్లారు. పెరిగిన డ్రాగ్ కారణంగా, గరిష్ట వేగం తక్కువగా ఉంది - 222 కిమీ/గం 244 కిమీ/గం/గ"&amp;"ంటతో జూచ్ -1 తో పోల్చితే. అనేక SH 14 ఇంజన్లు అందుబాటులో ఉన్నందున, జర్మన్లు ​​వెనక్కి తగ్గడం ద్వారా దేశంలో మిగిలి ఉన్నందున, LWD తరువాత 1950 లో 5 జూచ్ -2 ల యొక్క చిన్న శ్రేణిని నిర్మించింది. వారు గుర్తులు SP-BAL-SP-BAP మరియు 1955 వరకు ఏరో క్లబ్‌లలో పనిచేశార"&amp;"ు, 1963 వరకు పనిచేసిన SP-BAM మినహా. [సైటేషన్ అవసరం] నుండి డేటా సాధారణ లక్షణాల పనితీరు సంబంధిత అభివృద్ధి విమానం పోల్చదగిన పాత్ర, కాన్ఫిగరేషన్ మరియు ERA")</f>
        <v>జుచ్ ఒక పోలిష్ ఏరోబాటిక్స్ మరియు ట్రైనర్ విమానం, ఇది 1948 లో ఎల్‌డబ్ల్యుడి బ్యూరోలో నిర్మించబడింది మరియు ఒక చిన్న సిరీస్‌లో నిర్మించబడింది. ఈ విమానం ఒక సైనిక మరియు పౌర శిక్షకుల విమానం LWD జునాక్ -1 యొక్క అభివృద్ధి, ఇది పోలిష్ ఏరో క్లబ్ కోసం పౌర ఏరోబాటిక్స్ మరియు ట్రైనర్ విమానం. ఇది లోట్నిక్జీ వార్‌జ్‌టాటి డోవియాడిక్జాల్నే (ఎల్‌డబ్ల్యుడి - ఎయిర్‌క్రాఫ్ట్ ప్రయోగాత్మక వర్క్‌షాప్‌లు) లో రూపొందించబడింది, ఒక ప్రధాన డిజైనర్ తడియస్జ్ సోసిటెక్. డిజైన్ జునాక్ -1 ను పోలి ఉంటుంది, ప్రధాన వ్యత్యాసం EN ఇంజిన్. జునాక్ మాదిరిగా కాకుండా, దాని స్థిర ల్యాండింగ్ గేర్, భారీ కవర్లలో, స్ట్రట్స్ లేదు. ఇది స్ప్లిట్ ఫ్లాప్‌లతో కూడా అమర్చబడింది మరియు కొద్దిగా విస్తరించిన చుక్కాని కలిగి ఉంది (ఇలాంటి మెరుగుదలలు తరువాత జునాక్ -2 లో స్వీకరించబడ్డాయి). మిశ్రమ నిర్మాణం (ఉక్కు మరియు కలప) తక్కువ-వింగ్ మోనోప్లేన్, లేఅవుట్‌లో సాంప్రదాయిక. మెటల్ షీట్‌తో ముందు కాన్వాస్‌తో కప్పబడిన ఉక్కు ఫ్రేమ్ యొక్క ఫ్యూజ్‌లేజ్. చెక్క నిర్మాణం మరియు ట్రాపెజాయిడ్ ఆకారం, కాన్వాస్ మరియు ప్లైవుడ్ కప్పబడిన రెండు-స్పేర్ రెక్కలు, స్ప్లిట్ ఫ్లాప్‌లతో అమర్చబడి ఉంటాయి. బహుళ-భాగాల క్లోజ్డ్ పందిరి కింద, రెండు సీట్లతో కాక్‌పిట్. సాంప్రదాయిక స్థిర ల్యాండింగ్ గేర్ తోక చక్రంతో, భారీ కవర్లలో ప్రధాన గేర్. ముందు ఇంజిన్: జుచ్ -1: 6-సిలిండర్ ఇన్లైన్ ఇంజిన్ వాల్టర్ మైనర్ 6-III (118 kW / 160 HP), JUCH-2: 7-సిలిండర్ రేడియల్ ఇంజిన్ బ్రామో SH 14 (118 kW / 160 HP) తో రింగ్ కవర్‌తో సిలిండర్ల కోసం వ్యక్తిగత కౌల్స్. రెండు-బ్లేడ్ చెక్క ప్రొపెల్లర్. మొదటి వేరియంట్ జుచ్ -1 ను చెకోస్లోవాక్ 160 హెచ్‌పి వాల్టర్ మైనర్ 6-ఐఐఐ ఇన్లైన్ ఇంజిన్ పొడవైన, స్లాంట్ ముక్కులో నడిపించింది. ప్రోటోటైప్ సెప్టెంబర్ 1, 1948 న మొదట ఎగిరింది. డిజైన్ చాలా విజయవంతమైంది మరియు ఏరోబాటిక్స్‌కు సరిపోతుంది, కాని పోలాండ్‌లో వాల్టర్ మైనర్ ఇంజిన్‌లను ఉత్పత్తి చేయకూడదనే నిర్ణయం కారణంగా ఇది ఉత్పత్తిలోకి ప్రవేశించలేదు. ఈ నమూనా 1950 నుండి 1955 చివరి వరకు ఏరో క్లబ్‌లలో పనిచేసింది, గుర్తులు ఎస్పి-బాడ్‌తో. రెండవ ప్రోటోటైప్ జుచ్ -2 ను రేడియల్ ఇంజిన్ బ్రామో ఎస్హెచ్ 14 తో అమర్చారు. దీనిని ఏప్రిల్ 1, 1949 న ఎగురవేసింది మరియు గుర్తులు ఎస్పి-బ్యాగ్ తీసుకువెళ్లారు. పెరిగిన డ్రాగ్ కారణంగా, గరిష్ట వేగం తక్కువగా ఉంది - 222 కిమీ/గం 244 కిమీ/గం/గంటతో జూచ్ -1 తో పోల్చితే. అనేక SH 14 ఇంజన్లు అందుబాటులో ఉన్నందున, జర్మన్లు ​​వెనక్కి తగ్గడం ద్వారా దేశంలో మిగిలి ఉన్నందున, LWD తరువాత 1950 లో 5 జూచ్ -2 ల యొక్క చిన్న శ్రేణిని నిర్మించింది. వారు గుర్తులు SP-BAL-SP-BAP మరియు 1955 వరకు ఏరో క్లబ్‌లలో పనిచేశారు, 1963 వరకు పనిచేసిన SP-BAM మినహా. [సైటేషన్ అవసరం] నుండి డేటా సాధారణ లక్షణాల పనితీరు సంబంధిత అభివృద్ధి విమానం పోల్చదగిన పాత్ర, కాన్ఫిగరేషన్ మరియు ERA</v>
      </c>
      <c r="E124" s="1" t="s">
        <v>2335</v>
      </c>
      <c r="F124" s="1" t="s">
        <v>2336</v>
      </c>
      <c r="G124" s="1" t="str">
        <f>IFERROR(__xludf.DUMMYFUNCTION("GOOGLETRANSLATE(F:F,""en"", ""te"")"),"ట్రైనర్/ఏరోబాటిక్స్ విమానం")</f>
        <v>ట్రైనర్/ఏరోబాటిక్స్ విమానం</v>
      </c>
      <c r="L124" s="1" t="s">
        <v>2337</v>
      </c>
      <c r="M124" s="1" t="str">
        <f>IFERROR(__xludf.DUMMYFUNCTION("GOOGLETRANSLATE(L:L,""en"", ""te"")"),"లోట్నిక్జీ వార్స్జ్‌టాటి డోవియాడిక్జాల్నే")</f>
        <v>లోట్నిక్జీ వార్స్జ్‌టాటి డోవియాడిక్జాల్నే</v>
      </c>
      <c r="N124" s="1" t="s">
        <v>2338</v>
      </c>
      <c r="O124" s="1">
        <v>1949.0</v>
      </c>
      <c r="R124" s="1">
        <v>7.0</v>
      </c>
      <c r="S124" s="1">
        <v>2.0</v>
      </c>
      <c r="U124" s="1" t="s">
        <v>2339</v>
      </c>
      <c r="V124" s="1" t="s">
        <v>2340</v>
      </c>
      <c r="W124" s="1" t="s">
        <v>2341</v>
      </c>
      <c r="AA124" s="1" t="s">
        <v>2342</v>
      </c>
      <c r="AB124" s="1" t="s">
        <v>2343</v>
      </c>
      <c r="AD124" s="1" t="s">
        <v>2344</v>
      </c>
      <c r="AE124" s="1" t="s">
        <v>2345</v>
      </c>
      <c r="AF124" s="1" t="s">
        <v>2346</v>
      </c>
      <c r="AH124" s="1" t="s">
        <v>1214</v>
      </c>
      <c r="AK124" s="1" t="s">
        <v>2347</v>
      </c>
      <c r="AL124" s="1" t="s">
        <v>2348</v>
      </c>
      <c r="AO124" s="4">
        <v>17777.0</v>
      </c>
      <c r="AQ124" s="1" t="s">
        <v>2349</v>
      </c>
      <c r="AR124" s="1" t="s">
        <v>1508</v>
      </c>
      <c r="AU124" s="1" t="s">
        <v>2350</v>
      </c>
      <c r="AV124" s="1" t="s">
        <v>2351</v>
      </c>
      <c r="BC124" s="1">
        <v>1963.0</v>
      </c>
      <c r="BG124" s="1" t="s">
        <v>2352</v>
      </c>
      <c r="CU124" s="2" t="s">
        <v>2353</v>
      </c>
      <c r="DT124" s="2" t="s">
        <v>2354</v>
      </c>
    </row>
    <row r="125">
      <c r="A125" s="1" t="s">
        <v>2355</v>
      </c>
      <c r="B125" s="1" t="str">
        <f>IFERROR(__xludf.DUMMYFUNCTION("GOOGLETRANSLATE(A:A,""en"", ""te"")"),"బ్రూగెట్ 270")</f>
        <v>బ్రూగెట్ 270</v>
      </c>
      <c r="C125" s="1" t="s">
        <v>2356</v>
      </c>
      <c r="D125" s="1" t="str">
        <f>IFERROR(__xludf.DUMMYFUNCTION("GOOGLETRANSLATE(C:C,""en"", ""te"")"),"బ్రెగెట్ 27 1930 ల ఫ్రెంచ్ బిప్‌లేన్ సైనిక నిఘా విమానం, ఇది ఆర్మీ డి ఎల్ ఎయిర్ (ఫ్రెంచ్ వైమానిక దళం) కోసం మరియు వెనిజులా మరియు చైనాకు ఎగుమతి చేయడానికి నిర్మించబడింది. బ్రూగెట్ 27 ను 1928 లో ఆర్మీ డి ఎల్ ఎయిర్ ప్రతిపాదనల కోసం రెండు-సీట్ల పరిశీలన విమానాల కో"&amp;"సం ప్రతిపాదనల కోసం రూపొందించారు, బ్రూగెట్ 19. [1] బ్రూగెట్ ఒక పెద్ద ఆల్-మెటల్ సెస్క్విప్లేన్‌ను అసాధారణమైన ఫ్యూజ్‌లేజ్‌తో సమర్పించాడు, ఇది అకస్మాత్తుగా ముగిసింది, రెండు ఓపెన్ కాక్‌పిట్‌ల వెనుక. సామ్రాజ్యం ఫ్యూజ్‌లేజ్ వెనుక ఒక విజృంభణపై అమర్చబడింది. నిర్మా"&amp;"ణం ఎక్కువగా ఉక్కు గొట్టాలతో నిర్మాణేతర అల్యూమినియం మిశ్రమం షీటింగ్ మరియు రెక్కలు మరియు సామ్రాజ్యం కోసం ఫాబ్రిక్ కవరింగ్. ఫ్లైట్ ట్రయల్స్ సమయంలో ప్రోటోటైప్ మధ్యస్థమైన పనితీరును ప్రదర్శించింది. ఏదేమైనా, మిలటరీ 1930 లో 85 విమానాలకు మరియు 1932 లో 45 కోసం ఆదేశ"&amp;"ాలు ఇచ్చింది, ఈ తరువాతి బ్యాచ్ మరింత శక్తివంతమైన ఇంజిన్ అమర్చారు. రెండు అధిక-ఎత్తులో ఉన్న నిఘా సంస్కరణలు కూడా బ్రెగెట్ 33 గా నిర్మించబడ్డాయి, అయితే ఇవి తదుపరి ఉత్పత్తికి దారితీయలేదు. రెండవ ప్రపంచ యుద్ధం వ్యాప్తి చెందడం ద్వారా బ్రెగెట్ 27 లు సైనిక సేవలో కొ"&amp;"నసాగాయి, ప్రారంభ జర్మన్ దాడి సమయంలో ఇప్పటికీ మూడు సమూహాలను సన్నద్ధం చేశాయి. వారు పోరాట నష్టాలను అనుభవించడం ప్రారంభించిన తరువాత, సైన్యం మిగిలిన అన్ని ఉదాహరణలను సేవ నుండి ఉపసంహరించుకుంది. రెండు బ్రెగెట్ 33 హై-ఎలిట్యూడ్ నిఘా ప్రోటోటైప్‌లను గణనీయమైన సుదూర విమ"&amp;"ానాలు చేయడానికి ఉపయోగించారు. మొదటి విమానాన్ని జనవరి 1932 లో పాల్ కోడోస్ మరియు హెన్రీ రాబిడా 7 రోజులు, 9 గంటలు 50 నిమిషాల్లో పారిస్ నుండి హనోయికి తరలించారు మరియు కేవలం 3 రోజుల 4 గంటలు 17 నిమిషాల్లో తిరిగి వచ్చారు. రెండవ విమానం (క్రిస్టెన్డ్ జో III) ఆసియా ప"&amp;"ర్యటనలో మేరీస్ హిల్స్జ్ చేత ఎగురవేయబడింది, కలకత్తా, సైగాన్, హనోయి మరియు టోక్యోలను సందర్శించారు, సైగాన్ ద్వారా పారిస్ తిరిగి రాకముందు, చివరికి 35,000 కి.మీ (22,000 మైళ్ళు) కప్పబడి ఉంది. హిల్స్జ్ 1936 కూపే హెలేన్ బౌచర్‌ను బ్రెగెట్ 27 ను ఎగురుతూ 277 కిమీ/గం "&amp;"(172 mph) వేగంతో గెలుచుకున్నాడు. ఫ్రెంచ్ సైన్యం 1930 లో 85 270 లను ఆదేశించింది. 1932 లో, 45 బ్రెగెట్ 271 లు, మరింత శక్తివంతమైన 484 కిలోవాట్ల (650 హెచ్‌పి) ఇంజిన్‌తో, మరియు పెద్ద ఉపయోగకరమైన లోడ్ ఆదేశించబడ్డాయి. విఐపి అనుసంధాన విధుల కోసం పాత 270 లు సవరించబడ"&amp;"్డాయి. [3] సాధారణ లక్షణాల నుండి డేటా పనితీరు ఆయుధ సంబంధిత జాబితాలు")</f>
        <v>బ్రెగెట్ 27 1930 ల ఫ్రెంచ్ బిప్‌లేన్ సైనిక నిఘా విమానం, ఇది ఆర్మీ డి ఎల్ ఎయిర్ (ఫ్రెంచ్ వైమానిక దళం) కోసం మరియు వెనిజులా మరియు చైనాకు ఎగుమతి చేయడానికి నిర్మించబడింది. బ్రూగెట్ 27 ను 1928 లో ఆర్మీ డి ఎల్ ఎయిర్ ప్రతిపాదనల కోసం రెండు-సీట్ల పరిశీలన విమానాల కోసం ప్రతిపాదనల కోసం రూపొందించారు, బ్రూగెట్ 19. [1] బ్రూగెట్ ఒక పెద్ద ఆల్-మెటల్ సెస్క్విప్లేన్‌ను అసాధారణమైన ఫ్యూజ్‌లేజ్‌తో సమర్పించాడు, ఇది అకస్మాత్తుగా ముగిసింది, రెండు ఓపెన్ కాక్‌పిట్‌ల వెనుక. సామ్రాజ్యం ఫ్యూజ్‌లేజ్ వెనుక ఒక విజృంభణపై అమర్చబడింది. నిర్మాణం ఎక్కువగా ఉక్కు గొట్టాలతో నిర్మాణేతర అల్యూమినియం మిశ్రమం షీటింగ్ మరియు రెక్కలు మరియు సామ్రాజ్యం కోసం ఫాబ్రిక్ కవరింగ్. ఫ్లైట్ ట్రయల్స్ సమయంలో ప్రోటోటైప్ మధ్యస్థమైన పనితీరును ప్రదర్శించింది. ఏదేమైనా, మిలటరీ 1930 లో 85 విమానాలకు మరియు 1932 లో 45 కోసం ఆదేశాలు ఇచ్చింది, ఈ తరువాతి బ్యాచ్ మరింత శక్తివంతమైన ఇంజిన్ అమర్చారు. రెండు అధిక-ఎత్తులో ఉన్న నిఘా సంస్కరణలు కూడా బ్రెగెట్ 33 గా నిర్మించబడ్డాయి, అయితే ఇవి తదుపరి ఉత్పత్తికి దారితీయలేదు. రెండవ ప్రపంచ యుద్ధం వ్యాప్తి చెందడం ద్వారా బ్రెగెట్ 27 లు సైనిక సేవలో కొనసాగాయి, ప్రారంభ జర్మన్ దాడి సమయంలో ఇప్పటికీ మూడు సమూహాలను సన్నద్ధం చేశాయి. వారు పోరాట నష్టాలను అనుభవించడం ప్రారంభించిన తరువాత, సైన్యం మిగిలిన అన్ని ఉదాహరణలను సేవ నుండి ఉపసంహరించుకుంది. రెండు బ్రెగెట్ 33 హై-ఎలిట్యూడ్ నిఘా ప్రోటోటైప్‌లను గణనీయమైన సుదూర విమానాలు చేయడానికి ఉపయోగించారు. మొదటి విమానాన్ని జనవరి 1932 లో పాల్ కోడోస్ మరియు హెన్రీ రాబిడా 7 రోజులు, 9 గంటలు 50 నిమిషాల్లో పారిస్ నుండి హనోయికి తరలించారు మరియు కేవలం 3 రోజుల 4 గంటలు 17 నిమిషాల్లో తిరిగి వచ్చారు. రెండవ విమానం (క్రిస్టెన్డ్ జో III) ఆసియా పర్యటనలో మేరీస్ హిల్స్జ్ చేత ఎగురవేయబడింది, కలకత్తా, సైగాన్, హనోయి మరియు టోక్యోలను సందర్శించారు, సైగాన్ ద్వారా పారిస్ తిరిగి రాకముందు, చివరికి 35,000 కి.మీ (22,000 మైళ్ళు) కప్పబడి ఉంది. హిల్స్జ్ 1936 కూపే హెలేన్ బౌచర్‌ను బ్రెగెట్ 27 ను ఎగురుతూ 277 కిమీ/గం (172 mph) వేగంతో గెలుచుకున్నాడు. ఫ్రెంచ్ సైన్యం 1930 లో 85 270 లను ఆదేశించింది. 1932 లో, 45 బ్రెగెట్ 271 లు, మరింత శక్తివంతమైన 484 కిలోవాట్ల (650 హెచ్‌పి) ఇంజిన్‌తో, మరియు పెద్ద ఉపయోగకరమైన లోడ్ ఆదేశించబడ్డాయి. విఐపి అనుసంధాన విధుల కోసం పాత 270 లు సవరించబడ్డాయి. [3] సాధారణ లక్షణాల నుండి డేటా పనితీరు ఆయుధ సంబంధిత జాబితాలు</v>
      </c>
      <c r="E125" s="1" t="s">
        <v>2357</v>
      </c>
      <c r="F125" s="1" t="s">
        <v>2317</v>
      </c>
      <c r="G125" s="1" t="str">
        <f>IFERROR(__xludf.DUMMYFUNCTION("GOOGLETRANSLATE(F:F,""en"", ""te"")"),"నిఘా విమానం")</f>
        <v>నిఘా విమానం</v>
      </c>
      <c r="L125" s="1" t="s">
        <v>1914</v>
      </c>
      <c r="M125" s="1" t="str">
        <f>IFERROR(__xludf.DUMMYFUNCTION("GOOGLETRANSLATE(L:L,""en"", ""te"")"),"బ్రెగెట్")</f>
        <v>బ్రెగెట్</v>
      </c>
      <c r="N125" s="2" t="s">
        <v>1915</v>
      </c>
      <c r="O125" s="1">
        <v>1930.0</v>
      </c>
      <c r="R125" s="1" t="s">
        <v>2358</v>
      </c>
      <c r="S125" s="1" t="s">
        <v>2359</v>
      </c>
      <c r="U125" s="1" t="s">
        <v>2360</v>
      </c>
      <c r="V125" s="1" t="s">
        <v>2361</v>
      </c>
      <c r="W125" s="1" t="s">
        <v>2362</v>
      </c>
      <c r="X125" s="1" t="s">
        <v>2363</v>
      </c>
      <c r="Y125" s="1" t="s">
        <v>2364</v>
      </c>
      <c r="Z125" s="1" t="s">
        <v>2365</v>
      </c>
      <c r="AA125" s="1" t="s">
        <v>2366</v>
      </c>
      <c r="AE125" s="1" t="s">
        <v>2367</v>
      </c>
      <c r="AG125" s="1" t="s">
        <v>2368</v>
      </c>
      <c r="AK125" s="1" t="s">
        <v>2369</v>
      </c>
      <c r="AL125" s="1" t="s">
        <v>2370</v>
      </c>
      <c r="AM125" s="1" t="s">
        <v>2371</v>
      </c>
      <c r="AO125" s="4">
        <v>10647.0</v>
      </c>
      <c r="AQ125" s="1" t="s">
        <v>2372</v>
      </c>
      <c r="AT125" s="1" t="s">
        <v>2373</v>
      </c>
      <c r="BC125" s="1">
        <v>1939.0</v>
      </c>
      <c r="BM125" s="1" t="s">
        <v>2374</v>
      </c>
      <c r="BN125" s="1" t="s">
        <v>2375</v>
      </c>
      <c r="BR125" s="1" t="s">
        <v>2376</v>
      </c>
      <c r="BT125" s="1" t="s">
        <v>2377</v>
      </c>
      <c r="CC125" s="1" t="s">
        <v>2378</v>
      </c>
      <c r="CM125" s="1" t="s">
        <v>2379</v>
      </c>
      <c r="CN125" s="1" t="s">
        <v>2380</v>
      </c>
    </row>
    <row r="126">
      <c r="A126" s="1" t="s">
        <v>2381</v>
      </c>
      <c r="B126" s="1" t="str">
        <f>IFERROR(__xludf.DUMMYFUNCTION("GOOGLETRANSLATE(A:A,""en"", ""te"")"),"బ్రూగెట్ 960 సంస్కృతి")</f>
        <v>బ్రూగెట్ 960 సంస్కృతి</v>
      </c>
      <c r="C126" s="1" t="s">
        <v>2382</v>
      </c>
      <c r="D126" s="1" t="str">
        <f>IFERROR(__xludf.DUMMYFUNCTION("GOOGLETRANSLATE(C:C,""en"", ""te"")"),"బ్రూగెట్ BR 960 సంస్కృతి ఒక ప్రోటోటైప్ రెండు-సీట్ల క్యారియర్-ఆధారిత దాడి మరియు 1950 ల ప్రారంభంలో ఫ్రెంచ్ నావికాదళం (మెరైన్ నేషనల్) కోసం నిర్మించిన సబ్‌మెరైన్ యాంటీ ఎయిర్‌క్రాఫ్ట్ (ASW). విరుద్ధమైన ఓర్పు మరియు వేగ అవసరాలను తీర్చడం, ఇది ముందు భాగంలో టర్బోప్"&amp;"రాప్ ఇంజిన్‌తో మరియు వెనుక భాగంలో టర్బోజెట్‌తో ""మిశ్రమ-శక్తి"" విమానం వలె రూపొందించబడింది. రెండు ఉదాహరణలు మాత్రమే నిర్మించబడ్డాయి, కాని రెండవ విమానం 1950 ల మధ్యలో టర్బోప్రాప్ దాడి విమానం యొక్క ఆలోచనను నావికాదళం వదిలివేసిన తరువాత బ్రూగెట్ 1050 అలీజ్ ASW వ"&amp;"ిమానం యొక్క నమూనాగా పునర్నిర్మించబడింది. 12 నవంబర్ 1947 న, నావల్ ఏవియేషన్ (ఏనానావాలే) బాంబులు, లోతు ఛార్జీలు, గైడెడ్ క్షిపణులు, రాకెట్లు మరియు టార్పెడోలను తీసుకెళ్లగల సామర్థ్యం గల క్యారియర్-ఆధారిత దాడి మరియు సబ్‌మెరైన్ వ్యతిరేక విమానాల కోసం ఒక స్పెసిఫికేష"&amp;"న్‌ను జారీ చేసింది మరియు దాని టేకాట్ ఆఫ్ రాకెట్లను ఉపయోగించడం. ఈ విమానం సముద్ర మట్టంలో నాలుగు గంటలు ఓర్పు చేయాల్సిన అవసరం ఉంది మరియు గంటకు 300 మరియు 700 కిలోమీటర్ల మధ్య (190 మరియు 430 mph) వేగంతో చేరుకోగలదు. దీని ల్యాండింగ్ వేగం గంటకు 155 కిమీ (96 mph) మర"&amp;"ియు కవచం ద్వారా రక్షించబడిన సిబ్బంది ఉండాలి. [1] స్పీడ్ అవసరాలు విరుద్ధమైనవని బ్రూగెట్ గుర్తించాడు మరియు మిశ్రమ-శక్తి రూపకల్పన ద్వారా మాత్రమే తీర్చవచ్చు, ఇది ముక్కులో చిన్న ఆర్మ్‌స్ట్రాంగ్ సిడ్లీ మాంబా టర్బోప్రాప్‌ను తోకలో రోల్స్ రాయిస్ నేనే టర్బోజెట్‌తో "&amp;"కలిపింది. BR 960 సంస్కృతి (""రాబందు"") ఓవల్ ఆకారంలో ఉన్న మోనోకోక్ ఫ్యూజ్‌లేజ్ మరియు ట్రైసైకిల్ ల్యాండింగ్ గేర్‌తో తక్కువ-వింగ్ మోనోప్లేన్. దీని రెండు-స్పేర్ వింగ్‌లో తుడిచిపెట్టిన ప్రముఖ అంచు మరియు సూటిగా వెనుకంజలో ఉన్న అంచు ఉంది, ఇది హైడ్రాలిక్ మెకానిజమ్"&amp;"‌లను నిలువుగా మడవటానికి ఉపయోగించింది. టెయిల్‌ప్లేన్ అదేవిధంగా తుడిచిపెట్టుకుపోయింది మరియు 16 ° డైహెడ్రల్ కలిగి ఉంది. ఫ్యూజ్‌లేజ్‌లో 600-లీటర్ (130 ఇంప్ గల్; 160 యుఎస్ గాల్) స్వీయ-సీలింగ్ ఇంధన ట్యాంక్ మరియు ప్రతి బాహ్య వింగ్ ప్యానెల్‌లో 350-లీటర్ (77 ఇంప్ "&amp;"గల్; 92 యుఎస్ గాల్) స్వీయ-సీలింగ్ ట్యాంక్ ఉన్నాయి. ఈ విమానం ఒక పైలట్ మరియు కాపిలోట్ను పక్కపక్కనే కూర్చున్న పందిరిలో కలిగి ఉంది. [2] మొదటి నమూనా 970-షాఫ్ట్-హార్స్‌పవర్ (720 kW) మాంబా I ఇంజిన్ మరియు 21.6 కిలోన్‌వన్ (4,900 ఎల్బిఎఫ్) నేనే 101 టర్బోజెట్‌తో అమర"&amp;"్చారు, ఇది రెక్కల మూలాల్లో నాళాల ద్వారా గాలిని సరఫరా చేసింది. ఈ విమానం 4 ఆగస్టు 1951 న తన మొదటి విమానంలో సాధించింది మరియు చాలా తక్కువ శక్తి లేదని నిరూపించబడింది, తద్వారా ఇది నేనే రన్నింగ్ లేకుండా పూర్తి లోడ్ వద్ద ఎగురవేయబడదు. రెండవ నమూనా మునుపటి విమానం యొ"&amp;"క్క విమాన పరీక్ష ద్వారా వెల్లడించిన కొన్ని సమస్యలను పరిష్కరించే మార్పులను కలిగి ఉంది. ఇది మొదట 15 సెప్టెంబర్ 1952 న మరింత శక్తివంతమైన ఇంజిన్లతో, 1,320 SHP (980 kW) మాంబా III తో 1.8 kN (400 lbf) అవశేష థ్రస్ట్ మరియు 22.2 kN (5,000 lbf) నేనేతో ప్రయాణించింది."&amp;" దాని వింగ్‌టిప్స్‌లో ఇన్‌స్టాల్ చేయబడినది చిన్న నాసెల్లెస్; పోర్ట్ వన్ 100-లీటర్ (22 ఇంప్ గల్; 26 యుఎస్ గాల్) అసురక్షిత ఇంధన ట్యాంక్ కలిగి ఉండగా, స్టార్‌బోర్డ్ నాసెల్లె దాడి రాడార్‌ను కలిగి ఉంది. మొట్టమొదటి నమూనా పేలవమైన ఎగిరే లక్షణాలను కలిగి ఉందని నిరూప"&amp;"ించబడింది, కాని రెండవ విమానం స్పెసిఫికేషన్ల యొక్క అన్ని అవసరాలను తీర్చింది మరియు 1953 ప్రారంభంలో ఫర్న్‌బరో ఎయిర్‌ఫీల్డ్‌లోని రాయల్ ఎయిర్‌క్రాఫ్ట్ ఎస్టాబ్లిష్‌మెంట్ సౌకర్యం వద్ద సంతృప్తికరమైన క్యారియర్ కాటాపుల్టింగ్ మరియు ల్యాండింగ్ లక్షణాలను ప్రదర్శించింద"&amp;"ి (ఫ్రెంచ్ సదుపాయాన్ని అంచనా వేయడానికి ఏవీ లేవు ఆ సమయంలో ఆ విషయాలు). రెండు విమానాలు రాబోయే స్టాల్ గురించి ఎటువంటి హెచ్చరిక ఇవ్వలేదు. మొదటి ప్రోటోటైప్ తరువాత రెక్క యొక్క ఎగువ ఉపరితలంలో స్లాట్ల ద్వారా ఎగిరిన ఇంజిన్ గాలిని పరీక్షించడానికి సవరించబడింది, BR 96"&amp;"3 గా లిఫ్ట్ మెరుగుపరచడానికి ఉద్దేశించబడింది. [3] ఈ విమానం 1,000 కిలోల (2,200 ఎల్బి) పేలోడ్‌ను మోయగల ఫ్యూజ్‌లేజ్ క్రింద ఒకే హార్డ్ పాయింట్ అమర్చారు. రెక్కల క్రింద నాలుగు లాంచర్లు ఉన్నాయి, అవి రెండు రాకెట్లను తీసుకువెళ్ళగలవు. బాంబులతో పాటు, కంటైనర్‌లో మరింత"&amp;" శక్తివంతమైన సెర్చ్ రాడార్‌ను తీసుకెళ్లడానికి అండర్-ఫ్యూజ్‌లేజ్ హార్డ్ పాయింట్ అమర్చబడింది. [4] 1953-1954లో టర్బోప్రాప్ అటాక్ విమానంలో ఏనానావాలే ఆసక్తిని కోల్పోయినప్పుడు, కానీ కొత్త అంకితమైన సబ్‌మైరైన్ యాంటీ వార్ఫేర్ ప్లాట్‌ఫామ్‌ను కొనుగోలు చేయడానికి ఆసక్"&amp;"తిగా ఉన్నప్పుడు, బ్రూగెట్ రెండవ నమూనాను ప్రూఫ్-ఆఫ్-కాన్సెప్ట్ ప్రదర్శనకారుడిగా సవరించాడు. టర్బోప్రాప్ మరింత శక్తివంతమైన మాంబా VI మోడల్‌కు అప్‌గ్రేడ్ చేయబడినప్పుడు నేనే తొలగించబడింది మరియు దాని టెయిల్ పైప్ ఖాళీ చేయబడింది. ఫ్యూజ్‌లేజ్‌లో ముడుచుకునే AN/APS-1"&amp;"5 సెర్చ్ రాడార్ వ్యవస్థాపించబడింది, రెండు వింగ్‌టిప్ నాసెల్లలు తొలగించబడ్డాయి. అదనపు ఇంధన ట్యాంకులు లోపలి వింగ్ విభాగాలలో ఇంజిన్ ఎయిర్ డక్ట్స్ మరియు వీల్ బావులను భర్తీ చేశాయి మరియు ల్యాండింగ్ గేర్ రెక్క ప్రముఖ అంచులలో పెద్ద నాసెల్స్‌గా ముందుకు సాగడానికి స"&amp;"వరించబడింది. ఇప్పుడు BR 965 éPaulard (""కిల్లర్ వేల్"") అని పిలుస్తారు, ఇది 26 మార్చి 1956 న తన మొదటి విమానంలో సాధించింది మరియు బ్రూగెట్ 1050 అలీజ్ యొక్క తక్షణ ముందున్నది. మే 2 న ల్యాండింగ్ ప్రమాదం జరిగే వరకు ఇది ఎగురుతూనే ఉంది, తరువాత ఇది మొదటి నమూనా యొక"&amp;"్క విడిభాగాల మూలంగా ఉపయోగించబడింది. [5] యూరప్ యొక్క ఎక్స్-ప్లానెస్ నుండి డేటా; [9] లెస్ ఏవియన్స్ బ్రెగెట్ (1940/1971) [10] సాధారణ లక్షణాలు పనితీరు ఆయుధ సంబంధిత అభివృద్ధి విమానం పోల్చదగిన పాత్ర, కాన్ఫిగరేషన్ మరియు యుగం యొక్క ప్రారంభ సంస్కరణ పబ్లిక్ డొమైన్ "&amp;"మీద ఆధారపడింది గ్రెగ్ గోబెల్ యొక్క వెక్టర్సైట్ నుండి వ్యాసం.")</f>
        <v>బ్రూగెట్ BR 960 సంస్కృతి ఒక ప్రోటోటైప్ రెండు-సీట్ల క్యారియర్-ఆధారిత దాడి మరియు 1950 ల ప్రారంభంలో ఫ్రెంచ్ నావికాదళం (మెరైన్ నేషనల్) కోసం నిర్మించిన సబ్‌మెరైన్ యాంటీ ఎయిర్‌క్రాఫ్ట్ (ASW). విరుద్ధమైన ఓర్పు మరియు వేగ అవసరాలను తీర్చడం, ఇది ముందు భాగంలో టర్బోప్రాప్ ఇంజిన్‌తో మరియు వెనుక భాగంలో టర్బోజెట్‌తో "మిశ్రమ-శక్తి" విమానం వలె రూపొందించబడింది. రెండు ఉదాహరణలు మాత్రమే నిర్మించబడ్డాయి, కాని రెండవ విమానం 1950 ల మధ్యలో టర్బోప్రాప్ దాడి విమానం యొక్క ఆలోచనను నావికాదళం వదిలివేసిన తరువాత బ్రూగెట్ 1050 అలీజ్ ASW విమానం యొక్క నమూనాగా పునర్నిర్మించబడింది. 12 నవంబర్ 1947 న, నావల్ ఏవియేషన్ (ఏనానావాలే) బాంబులు, లోతు ఛార్జీలు, గైడెడ్ క్షిపణులు, రాకెట్లు మరియు టార్పెడోలను తీసుకెళ్లగల సామర్థ్యం గల క్యారియర్-ఆధారిత దాడి మరియు సబ్‌మెరైన్ వ్యతిరేక విమానాల కోసం ఒక స్పెసిఫికేషన్‌ను జారీ చేసింది మరియు దాని టేకాట్ ఆఫ్ రాకెట్లను ఉపయోగించడం. ఈ విమానం సముద్ర మట్టంలో నాలుగు గంటలు ఓర్పు చేయాల్సిన అవసరం ఉంది మరియు గంటకు 300 మరియు 700 కిలోమీటర్ల మధ్య (190 మరియు 430 mph) వేగంతో చేరుకోగలదు. దీని ల్యాండింగ్ వేగం గంటకు 155 కిమీ (96 mph) మరియు కవచం ద్వారా రక్షించబడిన సిబ్బంది ఉండాలి. [1] స్పీడ్ అవసరాలు విరుద్ధమైనవని బ్రూగెట్ గుర్తించాడు మరియు మిశ్రమ-శక్తి రూపకల్పన ద్వారా మాత్రమే తీర్చవచ్చు, ఇది ముక్కులో చిన్న ఆర్మ్‌స్ట్రాంగ్ సిడ్లీ మాంబా టర్బోప్రాప్‌ను తోకలో రోల్స్ రాయిస్ నేనే టర్బోజెట్‌తో కలిపింది. BR 960 సంస్కృతి ("రాబందు") ఓవల్ ఆకారంలో ఉన్న మోనోకోక్ ఫ్యూజ్‌లేజ్ మరియు ట్రైసైకిల్ ల్యాండింగ్ గేర్‌తో తక్కువ-వింగ్ మోనోప్లేన్. దీని రెండు-స్పేర్ వింగ్‌లో తుడిచిపెట్టిన ప్రముఖ అంచు మరియు సూటిగా వెనుకంజలో ఉన్న అంచు ఉంది, ఇది హైడ్రాలిక్ మెకానిజమ్‌లను నిలువుగా మడవటానికి ఉపయోగించింది. టెయిల్‌ప్లేన్ అదేవిధంగా తుడిచిపెట్టుకుపోయింది మరియు 16 ° డైహెడ్రల్ కలిగి ఉంది. ఫ్యూజ్‌లేజ్‌లో 600-లీటర్ (130 ఇంప్ గల్; 160 యుఎస్ గాల్) స్వీయ-సీలింగ్ ఇంధన ట్యాంక్ మరియు ప్రతి బాహ్య వింగ్ ప్యానెల్‌లో 350-లీటర్ (77 ఇంప్ గల్; 92 యుఎస్ గాల్) స్వీయ-సీలింగ్ ట్యాంక్ ఉన్నాయి. ఈ విమానం ఒక పైలట్ మరియు కాపిలోట్ను పక్కపక్కనే కూర్చున్న పందిరిలో కలిగి ఉంది. [2] మొదటి నమూనా 970-షాఫ్ట్-హార్స్‌పవర్ (720 kW) మాంబా I ఇంజిన్ మరియు 21.6 కిలోన్‌వన్ (4,900 ఎల్బిఎఫ్) నేనే 101 టర్బోజెట్‌తో అమర్చారు, ఇది రెక్కల మూలాల్లో నాళాల ద్వారా గాలిని సరఫరా చేసింది. ఈ విమానం 4 ఆగస్టు 1951 న తన మొదటి విమానంలో సాధించింది మరియు చాలా తక్కువ శక్తి లేదని నిరూపించబడింది, తద్వారా ఇది నేనే రన్నింగ్ లేకుండా పూర్తి లోడ్ వద్ద ఎగురవేయబడదు. రెండవ నమూనా మునుపటి విమానం యొక్క విమాన పరీక్ష ద్వారా వెల్లడించిన కొన్ని సమస్యలను పరిష్కరించే మార్పులను కలిగి ఉంది. ఇది మొదట 15 సెప్టెంబర్ 1952 న మరింత శక్తివంతమైన ఇంజిన్లతో, 1,320 SHP (980 kW) మాంబా III తో 1.8 kN (400 lbf) అవశేష థ్రస్ట్ మరియు 22.2 kN (5,000 lbf) నేనేతో ప్రయాణించింది. దాని వింగ్‌టిప్స్‌లో ఇన్‌స్టాల్ చేయబడినది చిన్న నాసెల్లెస్; పోర్ట్ వన్ 100-లీటర్ (22 ఇంప్ గల్; 26 యుఎస్ గాల్) అసురక్షిత ఇంధన ట్యాంక్ కలిగి ఉండగా, స్టార్‌బోర్డ్ నాసెల్లె దాడి రాడార్‌ను కలిగి ఉంది. మొట్టమొదటి నమూనా పేలవమైన ఎగిరే లక్షణాలను కలిగి ఉందని నిరూపించబడింది, కాని రెండవ విమానం స్పెసిఫికేషన్ల యొక్క అన్ని అవసరాలను తీర్చింది మరియు 1953 ప్రారంభంలో ఫర్న్‌బరో ఎయిర్‌ఫీల్డ్‌లోని రాయల్ ఎయిర్‌క్రాఫ్ట్ ఎస్టాబ్లిష్‌మెంట్ సౌకర్యం వద్ద సంతృప్తికరమైన క్యారియర్ కాటాపుల్టింగ్ మరియు ల్యాండింగ్ లక్షణాలను ప్రదర్శించింది (ఫ్రెంచ్ సదుపాయాన్ని అంచనా వేయడానికి ఏవీ లేవు ఆ సమయంలో ఆ విషయాలు). రెండు విమానాలు రాబోయే స్టాల్ గురించి ఎటువంటి హెచ్చరిక ఇవ్వలేదు. మొదటి ప్రోటోటైప్ తరువాత రెక్క యొక్క ఎగువ ఉపరితలంలో స్లాట్ల ద్వారా ఎగిరిన ఇంజిన్ గాలిని పరీక్షించడానికి సవరించబడింది, BR 963 గా లిఫ్ట్ మెరుగుపరచడానికి ఉద్దేశించబడింది. [3] ఈ విమానం 1,000 కిలోల (2,200 ఎల్బి) పేలోడ్‌ను మోయగల ఫ్యూజ్‌లేజ్ క్రింద ఒకే హార్డ్ పాయింట్ అమర్చారు. రెక్కల క్రింద నాలుగు లాంచర్లు ఉన్నాయి, అవి రెండు రాకెట్లను తీసుకువెళ్ళగలవు. బాంబులతో పాటు, కంటైనర్‌లో మరింత శక్తివంతమైన సెర్చ్ రాడార్‌ను తీసుకెళ్లడానికి అండర్-ఫ్యూజ్‌లేజ్ హార్డ్ పాయింట్ అమర్చబడింది. [4] 1953-1954లో టర్బోప్రాప్ అటాక్ విమానంలో ఏనానావాలే ఆసక్తిని కోల్పోయినప్పుడు, కానీ కొత్త అంకితమైన సబ్‌మైరైన్ యాంటీ వార్ఫేర్ ప్లాట్‌ఫామ్‌ను కొనుగోలు చేయడానికి ఆసక్తిగా ఉన్నప్పుడు, బ్రూగెట్ రెండవ నమూనాను ప్రూఫ్-ఆఫ్-కాన్సెప్ట్ ప్రదర్శనకారుడిగా సవరించాడు. టర్బోప్రాప్ మరింత శక్తివంతమైన మాంబా VI మోడల్‌కు అప్‌గ్రేడ్ చేయబడినప్పుడు నేనే తొలగించబడింది మరియు దాని టెయిల్ పైప్ ఖాళీ చేయబడింది. ఫ్యూజ్‌లేజ్‌లో ముడుచుకునే AN/APS-15 సెర్చ్ రాడార్ వ్యవస్థాపించబడింది, రెండు వింగ్‌టిప్ నాసెల్లలు తొలగించబడ్డాయి. అదనపు ఇంధన ట్యాంకులు లోపలి వింగ్ విభాగాలలో ఇంజిన్ ఎయిర్ డక్ట్స్ మరియు వీల్ బావులను భర్తీ చేశాయి మరియు ల్యాండింగ్ గేర్ రెక్క ప్రముఖ అంచులలో పెద్ద నాసెల్స్‌గా ముందుకు సాగడానికి సవరించబడింది. ఇప్పుడు BR 965 éPaulard ("కిల్లర్ వేల్") అని పిలుస్తారు, ఇది 26 మార్చి 1956 న తన మొదటి విమానంలో సాధించింది మరియు బ్రూగెట్ 1050 అలీజ్ యొక్క తక్షణ ముందున్నది. మే 2 న ల్యాండింగ్ ప్రమాదం జరిగే వరకు ఇది ఎగురుతూనే ఉంది, తరువాత ఇది మొదటి నమూనా యొక్క విడిభాగాల మూలంగా ఉపయోగించబడింది. [5] యూరప్ యొక్క ఎక్స్-ప్లానెస్ నుండి డేటా; [9] లెస్ ఏవియన్స్ బ్రెగెట్ (1940/1971) [10] సాధారణ లక్షణాలు పనితీరు ఆయుధ సంబంధిత అభివృద్ధి విమానం పోల్చదగిన పాత్ర, కాన్ఫిగరేషన్ మరియు యుగం యొక్క ప్రారంభ సంస్కరణ పబ్లిక్ డొమైన్ మీద ఆధారపడింది గ్రెగ్ గోబెల్ యొక్క వెక్టర్సైట్ నుండి వ్యాసం.</v>
      </c>
      <c r="E126" s="1" t="s">
        <v>2383</v>
      </c>
      <c r="F126" s="1" t="s">
        <v>2384</v>
      </c>
      <c r="G126" s="1" t="str">
        <f>IFERROR(__xludf.DUMMYFUNCTION("GOOGLETRANSLATE(F:F,""en"", ""te"")"),"దాడి మరియు ASW విమానం")</f>
        <v>దాడి మరియు ASW విమానం</v>
      </c>
      <c r="L126" s="1" t="s">
        <v>2385</v>
      </c>
      <c r="M126" s="1" t="str">
        <f>IFERROR(__xludf.DUMMYFUNCTION("GOOGLETRANSLATE(L:L,""en"", ""te"")"),"బ్రూగెట్ ఏవియేషన్")</f>
        <v>బ్రూగెట్ ఏవియేషన్</v>
      </c>
      <c r="N126" s="1" t="s">
        <v>2386</v>
      </c>
      <c r="R126" s="1">
        <v>2.0</v>
      </c>
      <c r="S126" s="1" t="s">
        <v>2387</v>
      </c>
      <c r="U126" s="1" t="s">
        <v>2388</v>
      </c>
      <c r="W126" s="1" t="s">
        <v>2389</v>
      </c>
      <c r="AA126" s="1" t="s">
        <v>2390</v>
      </c>
      <c r="AE126" s="1" t="s">
        <v>2391</v>
      </c>
      <c r="AG126" s="1" t="s">
        <v>2392</v>
      </c>
      <c r="AH126" s="1" t="s">
        <v>2393</v>
      </c>
      <c r="AL126" s="1" t="s">
        <v>2394</v>
      </c>
      <c r="AO126" s="4">
        <v>18844.0</v>
      </c>
      <c r="AQ126" s="1" t="s">
        <v>2395</v>
      </c>
      <c r="AT126" s="1" t="s">
        <v>2396</v>
      </c>
      <c r="AX126" s="1" t="s">
        <v>2397</v>
      </c>
      <c r="AY126" s="1" t="s">
        <v>2398</v>
      </c>
      <c r="DU126" s="1" t="s">
        <v>2399</v>
      </c>
    </row>
    <row r="127">
      <c r="A127" s="1" t="s">
        <v>2400</v>
      </c>
      <c r="B127" s="1" t="str">
        <f>IFERROR(__xludf.DUMMYFUNCTION("GOOGLETRANSLATE(A:A,""en"", ""te"")"),"బ్రండ్లి బిఎక్స్ -2 చెర్రీ")</f>
        <v>బ్రండ్లి బిఎక్స్ -2 చెర్రీ</v>
      </c>
      <c r="C127" s="1" t="s">
        <v>2401</v>
      </c>
      <c r="D127" s="1" t="str">
        <f>IFERROR(__xludf.DUMMYFUNCTION("GOOGLETRANSLATE(C:C,""en"", ""te"")"),"బ్రుండ్లీ బిఎక్స్ -2 చెర్రీ రెండు-సీట్ల స్పోర్ట్ హోమ్‌బిల్ట్ విమానం, దీనిని మాక్స్ బ్రుండ్లీ రూపొందించారు. వందకు పైగా వందకు పైగా 2010 నాటికి నిర్మించబడింది. మాక్స్ బ్రుండ్లీ 1979 లో చెర్రీని 55 సంవత్సరాల వయస్సులో రూపొందించాడు మరియు దాని నిర్మాణాన్ని అతని "&amp;"సెల్లార్‌లో ప్రారంభించాడు. అతను అన్ని నిర్మాణ మరియు ఏరోడైనమిక్ లెక్కలను నిర్వహించాడు మరియు భవనాన్ని పర్యవేక్షించాడు, దీనికి 3½ సంవత్సరాలు మరియు 5,500 గంటల పని పట్టింది. [1] అతను 24 ఏప్రిల్ 1982 న దాని మొదటి విమానంలో కూడా ప్రయాణించాడు. [2] చెర్రీ తక్కువ వి"&amp;"ంగ్ మోనోప్లేన్. ఇది చెక్కతో కూడిన ఫ్యూజ్‌లేజ్ మరియు చెక్క స్పార్స్, స్టైరోఫోమ్ కోర్లు మరియు గ్లాస్ ఫైబర్ కవరింగ్‌తో రెక్కలను కలిగి ఉంది. రెక్కల లోపలి విభాగాలు స్థిరమైన తీగను కలిగి ఉంటాయి మరియు ఫ్లాప్‌లను కలిగి ఉంటాయి; బయటి విభాగాలు నేరుగా ఐలెరాన్‌లతో దెబ్"&amp;"బతింటాయి. రవాణా కోసం రెక్కలను వేగంగా తొలగించవచ్చు. తోక ఉపరితలాలు నేరుగా దెబ్బతింటాయి మరియు స్టెబిలేటర్‌ను పూర్తి-స్పాన్ యాంటీ-సర్వో టాబ్‌తో అమర్చారు. [2] [3] చెర్రీ సీట్లు రెండు, పెద్ద, దాదాపు పూర్తిగా పారదర్శక, ఫార్వర్డ్ స్లైడింగ్ పందిరి కింద పక్కపక్కనే "&amp;"కాన్ఫిగరేషన్. ఇది సరళమైన, బాహ్య మడత ప్రధాన గేర్‌తో ముడుచుకునే ట్రైసైకిల్ అండర్ క్యారేజీని కలిగి ఉంది. [2] తిరిగి పొందలేని అండర్ క్యారేజ్ ఒక ఎంపిక. [1] ఈ నమూనా 65 హెచ్‌పి (49 కిలోవాట్ల) కాంటినెంటల్ ఎ 65 ఫ్లాట్ ఫోర్ ఇంజిన్ ద్వారా శక్తినిచ్చింది; అప్పటి నుండ"&amp;"ి, చెర్రీస్ 100 హెచ్‌పి (75 కిలోవాట్ల) శక్తితో ఫ్లాట్ ఫోర్లను ఉపయోగించారు, వీటిలో కాంటినెంటల్ రేంజ్, వోక్స్వ్యాగన్-ఉత్పన్నమైన లింబాచ్ ఎల్ .2400 మరియు రోటాక్స్ 912 నుండి కొన్ని ఉన్నాయి. [2] [3] ఫ్లాట్ 2-సిలిండర్ మోటారుసైకిల్ BMW R1200G లు ఉపయోగించబడ్డాయి. "&amp;"[4] చెర్రీ ప్రణాళికల నుండి కిట్ నిర్మించబడింది, కొన్ని భాగాలు అందించబడ్డాయి. [2] 2010 నాటికి, 240 కంటే ఎక్కువ సెట్ల ప్రణాళికలు అమ్ముడయ్యాయి మరియు 100 కి పైగా విమానాలు పూర్తయ్యాయి. [1] 2010 మధ్యలో, 76 యూరప్‌లో రష్యాకు పశ్చిమాన ఐరోపాలో నమోదు చేయబడ్డాయి, [5]"&amp;" [6] ఆస్ట్రియా, చెక్ రిపబ్లిక్, ఫ్రాన్స్, జర్మనీ, నెదర్లాండ్స్, స్విట్జర్లాండ్, స్లోవేనియా మరియు యుకెలో ఎగురుతూ. [1] ప్రోటోటైప్ చెర్రీ, HB-YBX యూరప్ చుట్టూ 25 సంవత్సరాలు ప్రయాణించారు; 2009 లో, ఇది స్వీడన్‌లోని సుండ్స్‌వాల్-హార్నాసాండ్ విమానాశ్రయం నుండి టే"&amp;"కాఫ్ చేసిన తరువాత క్రాష్ అయ్యింది, డాని గెర్వెర్ మరియు దాని డిజైనర్ మాక్స్ బ్రుండ్లీ రెండింటినీ చంపింది. [1] సింప్సన్ నుండి డేటా p.114 [2] సాధారణ లక్షణాల పనితీరు")</f>
        <v>బ్రుండ్లీ బిఎక్స్ -2 చెర్రీ రెండు-సీట్ల స్పోర్ట్ హోమ్‌బిల్ట్ విమానం, దీనిని మాక్స్ బ్రుండ్లీ రూపొందించారు. వందకు పైగా వందకు పైగా 2010 నాటికి నిర్మించబడింది. మాక్స్ బ్రుండ్లీ 1979 లో చెర్రీని 55 సంవత్సరాల వయస్సులో రూపొందించాడు మరియు దాని నిర్మాణాన్ని అతని సెల్లార్‌లో ప్రారంభించాడు. అతను అన్ని నిర్మాణ మరియు ఏరోడైనమిక్ లెక్కలను నిర్వహించాడు మరియు భవనాన్ని పర్యవేక్షించాడు, దీనికి 3½ సంవత్సరాలు మరియు 5,500 గంటల పని పట్టింది. [1] అతను 24 ఏప్రిల్ 1982 న దాని మొదటి విమానంలో కూడా ప్రయాణించాడు. [2] చెర్రీ తక్కువ వింగ్ మోనోప్లేన్. ఇది చెక్కతో కూడిన ఫ్యూజ్‌లేజ్ మరియు చెక్క స్పార్స్, స్టైరోఫోమ్ కోర్లు మరియు గ్లాస్ ఫైబర్ కవరింగ్‌తో రెక్కలను కలిగి ఉంది. రెక్కల లోపలి విభాగాలు స్థిరమైన తీగను కలిగి ఉంటాయి మరియు ఫ్లాప్‌లను కలిగి ఉంటాయి; బయటి విభాగాలు నేరుగా ఐలెరాన్‌లతో దెబ్బతింటాయి. రవాణా కోసం రెక్కలను వేగంగా తొలగించవచ్చు. తోక ఉపరితలాలు నేరుగా దెబ్బతింటాయి మరియు స్టెబిలేటర్‌ను పూర్తి-స్పాన్ యాంటీ-సర్వో టాబ్‌తో అమర్చారు. [2] [3] చెర్రీ సీట్లు రెండు, పెద్ద, దాదాపు పూర్తిగా పారదర్శక, ఫార్వర్డ్ స్లైడింగ్ పందిరి కింద పక్కపక్కనే కాన్ఫిగరేషన్. ఇది సరళమైన, బాహ్య మడత ప్రధాన గేర్‌తో ముడుచుకునే ట్రైసైకిల్ అండర్ క్యారేజీని కలిగి ఉంది. [2] తిరిగి పొందలేని అండర్ క్యారేజ్ ఒక ఎంపిక. [1] ఈ నమూనా 65 హెచ్‌పి (49 కిలోవాట్ల) కాంటినెంటల్ ఎ 65 ఫ్లాట్ ఫోర్ ఇంజిన్ ద్వారా శక్తినిచ్చింది; అప్పటి నుండి, చెర్రీస్ 100 హెచ్‌పి (75 కిలోవాట్ల) శక్తితో ఫ్లాట్ ఫోర్లను ఉపయోగించారు, వీటిలో కాంటినెంటల్ రేంజ్, వోక్స్వ్యాగన్-ఉత్పన్నమైన లింబాచ్ ఎల్ .2400 మరియు రోటాక్స్ 912 నుండి కొన్ని ఉన్నాయి. [2] [3] ఫ్లాట్ 2-సిలిండర్ మోటారుసైకిల్ BMW R1200G లు ఉపయోగించబడ్డాయి. [4] చెర్రీ ప్రణాళికల నుండి కిట్ నిర్మించబడింది, కొన్ని భాగాలు అందించబడ్డాయి. [2] 2010 నాటికి, 240 కంటే ఎక్కువ సెట్ల ప్రణాళికలు అమ్ముడయ్యాయి మరియు 100 కి పైగా విమానాలు పూర్తయ్యాయి. [1] 2010 మధ్యలో, 76 యూరప్‌లో రష్యాకు పశ్చిమాన ఐరోపాలో నమోదు చేయబడ్డాయి, [5] [6] ఆస్ట్రియా, చెక్ రిపబ్లిక్, ఫ్రాన్స్, జర్మనీ, నెదర్లాండ్స్, స్విట్జర్లాండ్, స్లోవేనియా మరియు యుకెలో ఎగురుతూ. [1] ప్రోటోటైప్ చెర్రీ, HB-YBX యూరప్ చుట్టూ 25 సంవత్సరాలు ప్రయాణించారు; 2009 లో, ఇది స్వీడన్‌లోని సుండ్స్‌వాల్-హార్నాసాండ్ విమానాశ్రయం నుండి టేకాఫ్ చేసిన తరువాత క్రాష్ అయ్యింది, డాని గెర్వెర్ మరియు దాని డిజైనర్ మాక్స్ బ్రుండ్లీ రెండింటినీ చంపింది. [1] సింప్సన్ నుండి డేటా p.114 [2] సాధారణ లక్షణాల పనితీరు</v>
      </c>
      <c r="E127" s="1" t="s">
        <v>2402</v>
      </c>
      <c r="F127" s="1" t="s">
        <v>2403</v>
      </c>
      <c r="G127" s="1" t="str">
        <f>IFERROR(__xludf.DUMMYFUNCTION("GOOGLETRANSLATE(F:F,""en"", ""te"")"),"2-సీట్ల స్పోర్ట్ హోమ్‌బిల్ట్ విమానం")</f>
        <v>2-సీట్ల స్పోర్ట్ హోమ్‌బిల్ట్ విమానం</v>
      </c>
      <c r="H127" s="1" t="s">
        <v>2404</v>
      </c>
      <c r="I127" s="1" t="s">
        <v>2149</v>
      </c>
      <c r="J127" s="1" t="str">
        <f>IFERROR(__xludf.DUMMYFUNCTION("GOOGLETRANSLATE(I:I,""en"", ""te"")"),"స్విట్జర్లాండ్")</f>
        <v>స్విట్జర్లాండ్</v>
      </c>
      <c r="K127" s="2" t="s">
        <v>2150</v>
      </c>
      <c r="R127" s="1" t="s">
        <v>2405</v>
      </c>
      <c r="T127" s="1">
        <v>2.0</v>
      </c>
      <c r="U127" s="1" t="s">
        <v>2406</v>
      </c>
      <c r="V127" s="1" t="s">
        <v>2407</v>
      </c>
      <c r="X127" s="1" t="s">
        <v>2408</v>
      </c>
      <c r="AA127" s="1" t="s">
        <v>2409</v>
      </c>
      <c r="AB127" s="1" t="s">
        <v>205</v>
      </c>
      <c r="AD127" s="1" t="s">
        <v>2410</v>
      </c>
      <c r="AH127" s="1" t="s">
        <v>2411</v>
      </c>
      <c r="AK127" s="1" t="s">
        <v>2412</v>
      </c>
      <c r="AM127" s="1" t="s">
        <v>2413</v>
      </c>
      <c r="AN127" s="1" t="s">
        <v>2414</v>
      </c>
      <c r="AO127" s="4">
        <v>30065.0</v>
      </c>
      <c r="AQ127" s="1" t="s">
        <v>2415</v>
      </c>
      <c r="AT127" s="1" t="s">
        <v>1319</v>
      </c>
      <c r="AZ127" s="1" t="s">
        <v>2416</v>
      </c>
    </row>
    <row r="128">
      <c r="A128" s="1" t="s">
        <v>2417</v>
      </c>
      <c r="B128" s="1" t="str">
        <f>IFERROR(__xludf.DUMMYFUNCTION("GOOGLETRANSLATE(A:A,""en"", ""te"")"),"కర్టిస్ రాబిన్")</f>
        <v>కర్టిస్ రాబిన్</v>
      </c>
      <c r="C128" s="1" t="s">
        <v>2418</v>
      </c>
      <c r="D128" s="1" t="str">
        <f>IFERROR(__xludf.DUMMYFUNCTION("GOOGLETRANSLATE(C:C,""en"", ""te"")"),"1928 లో ప్రవేశపెట్టిన కర్టిస్ రాబిన్, కర్టిస్-రాబర్ట్‌సన్ విమానం తయారీ సంస్థ నిర్మించిన హై-వింగ్ మోనోప్లేన్. J-1 సంస్కరణను తప్పు మార్గం కొరిగాన్ ఎగురవేసింది, అతను అనుమతి నిరాకరించిన తరువాత అట్లాంటిక్ దాటింది. రాబిన్ అనే పనివాడిలాంటి క్యాబిన్ మోనోప్లేన్, చ"&amp;"ెక్క వింగ్ మరియు స్టీల్ ట్యూబింగ్ ఫ్యూజ్‌లేజ్ కలిగి ఉంది. క్యాబిన్ ముగ్గురు వ్యక్తులకు వసతి కల్పించారు; పైలట్ వెనుక ఇద్దరు ప్రయాణికులు పక్కపక్కనే కూర్చున్నారు. ప్రారంభ రాబిన్లు సమాంతర వికర్ణ వింగ్ బ్రేసింగ్ స్ట్రట్‌లపై పెద్ద ఫ్లాట్ ఫెయిరింగ్‌ల ద్వారా వేరు"&amp;" చేయబడ్డాయి; ఫెయిరింగ్‌లు తరువాతి సంస్కరణల్లో వదిలివేయబడ్డాయి, లిఫ్ట్ సృష్టించడంలో పనికిరానివిగా గుర్తించబడ్డాయి. [1] అసలు ల్యాండింగ్ గేర్‌లో బంగీ రబ్బరు త్రాడు షాక్ అబ్జార్బర్స్ ఉన్నాయి, తరువాత భర్తీ ఒలియో-న్యూమాటిక్ సిస్టమ్; చాలా మంది రాబిన్లలో జంట ఫ్లో"&amp;"ట్లు జోడించబడ్డాయి. [2] రాబిన్ యొక్క వైవిధ్యాలు 90–185 హెచ్‌పి (67–138 కిలోవాట్) ను అభివృద్ధి చేసిన ఇంజిన్‌లతో అమర్చబడ్డాయి. [2] ఒకే సవరించిన రాబిన్ (110 HP (82 kW) వార్నర్ R-420-1 తో) యునైటెడ్ స్టేట్స్ ఆర్మీ ఎయిర్ కార్ప్స్ చేత ఉపయోగించబడింది మరియు XC-10 "&amp;"ను నియమించింది. ఈ విమానం రేడియో-నియంత్రిత (మరియు మానవరహిత) విమానానికి పరీక్షా కార్యక్రమంలో ఉపయోగించబడింది. [2] క్యూబా యొక్క జాతీయ విమానయాన సంస్థ, కాంపాసియా నేషనల్ క్యూబానా డి ఏవియాసియన్ కర్టిస్ 1929 లో స్థాపించబడింది, కర్టిస్-రైట్ సంస్థ దాని సహ వ్యవస్థాపక"&amp;"ుడు మరియు ప్రధాన పెట్టుబడిదారుడిగా పనిచేస్తోంది. ఎయిర్లైన్స్ యొక్క మొట్టమొదటి విమానం కర్టిస్ రాబిన్ మరియు దీనిని దేశీయ మార్గాల్లో మెయిల్ మరియు ప్రయాణీకుల రవాణాగా ఎగురవేయారు. సెప్టెంబర్ 1929 నుండి మే 1930 వరకు రాబిన్ సి -1 ను మెక్‌కూక్, నెబ్రాస్కా డైలీ గెజ"&amp;"ిట్‌ను గ్రామీణ నెబ్రాస్కా మరియు కాన్సాస్‌లలోని కమ్యూనిటీలకు అందించడానికి ఉపయోగించారు. ఈ విమానం ప్రతిరోజూ 380 మైళ్ళు (610 కిమీ) నాన్‌స్టాప్ మార్గంలో ప్రయాణించింది, వార్తాపత్రికల కట్టలను 500 అడుగుల (150 మీ) ఎత్తు నుండి స్థానిక క్యారియర్‌లకు వదిలివేసింది. [3"&amp;"] ఒక కర్టిస్ రాబిన్ సి ను పరాగ్వేయన్ ప్రభుత్వం 1932 లో దాని ఎయిర్ ఆర్మ్ యొక్క ట్రాన్స్పోర్ట్ స్క్వాడ్రన్ కోసం కొనుగోలు చేసింది. చాకో యుద్ధం (1923-1935) సమయంలో దీనిని విఐపి రవాణా విమానం మరియు ఎయిర్ అంబులెన్స్‌గా తీవ్రంగా ఉపయోగించారు. నుండి డేటా: కర్టిస్ వి"&amp;"మానం: 1907-1947 [2] కర్టిస్ విమానం 1907-1947 నుండి డేటా, [2] జేన్ యొక్క ఆల్ ది వరల్డ్ విమానాలు 1928 [39] సాధారణ లక్షణాల పనితీరు సంబంధిత అభివృద్ధి సంబంధిత జాబితాలు")</f>
        <v>1928 లో ప్రవేశపెట్టిన కర్టిస్ రాబిన్, కర్టిస్-రాబర్ట్‌సన్ విమానం తయారీ సంస్థ నిర్మించిన హై-వింగ్ మోనోప్లేన్. J-1 సంస్కరణను తప్పు మార్గం కొరిగాన్ ఎగురవేసింది, అతను అనుమతి నిరాకరించిన తరువాత అట్లాంటిక్ దాటింది. రాబిన్ అనే పనివాడిలాంటి క్యాబిన్ మోనోప్లేన్, చెక్క వింగ్ మరియు స్టీల్ ట్యూబింగ్ ఫ్యూజ్‌లేజ్ కలిగి ఉంది. క్యాబిన్ ముగ్గురు వ్యక్తులకు వసతి కల్పించారు; పైలట్ వెనుక ఇద్దరు ప్రయాణికులు పక్కపక్కనే కూర్చున్నారు. ప్రారంభ రాబిన్లు సమాంతర వికర్ణ వింగ్ బ్రేసింగ్ స్ట్రట్‌లపై పెద్ద ఫ్లాట్ ఫెయిరింగ్‌ల ద్వారా వేరు చేయబడ్డాయి; ఫెయిరింగ్‌లు తరువాతి సంస్కరణల్లో వదిలివేయబడ్డాయి, లిఫ్ట్ సృష్టించడంలో పనికిరానివిగా గుర్తించబడ్డాయి. [1] అసలు ల్యాండింగ్ గేర్‌లో బంగీ రబ్బరు త్రాడు షాక్ అబ్జార్బర్స్ ఉన్నాయి, తరువాత భర్తీ ఒలియో-న్యూమాటిక్ సిస్టమ్; చాలా మంది రాబిన్లలో జంట ఫ్లోట్లు జోడించబడ్డాయి. [2] రాబిన్ యొక్క వైవిధ్యాలు 90–185 హెచ్‌పి (67–138 కిలోవాట్) ను అభివృద్ధి చేసిన ఇంజిన్‌లతో అమర్చబడ్డాయి. [2] ఒకే సవరించిన రాబిన్ (110 HP (82 kW) వార్నర్ R-420-1 తో) యునైటెడ్ స్టేట్స్ ఆర్మీ ఎయిర్ కార్ప్స్ చేత ఉపయోగించబడింది మరియు XC-10 ను నియమించింది. ఈ విమానం రేడియో-నియంత్రిత (మరియు మానవరహిత) విమానానికి పరీక్షా కార్యక్రమంలో ఉపయోగించబడింది. [2] క్యూబా యొక్క జాతీయ విమానయాన సంస్థ, కాంపాసియా నేషనల్ క్యూబానా డి ఏవియాసియన్ కర్టిస్ 1929 లో స్థాపించబడింది, కర్టిస్-రైట్ సంస్థ దాని సహ వ్యవస్థాపకుడు మరియు ప్రధాన పెట్టుబడిదారుడిగా పనిచేస్తోంది. ఎయిర్లైన్స్ యొక్క మొట్టమొదటి విమానం కర్టిస్ రాబిన్ మరియు దీనిని దేశీయ మార్గాల్లో మెయిల్ మరియు ప్రయాణీకుల రవాణాగా ఎగురవేయారు. సెప్టెంబర్ 1929 నుండి మే 1930 వరకు రాబిన్ సి -1 ను మెక్‌కూక్, నెబ్రాస్కా డైలీ గెజిట్‌ను గ్రామీణ నెబ్రాస్కా మరియు కాన్సాస్‌లలోని కమ్యూనిటీలకు అందించడానికి ఉపయోగించారు. ఈ విమానం ప్రతిరోజూ 380 మైళ్ళు (610 కిమీ) నాన్‌స్టాప్ మార్గంలో ప్రయాణించింది, వార్తాపత్రికల కట్టలను 500 అడుగుల (150 మీ) ఎత్తు నుండి స్థానిక క్యారియర్‌లకు వదిలివేసింది. [3] ఒక కర్టిస్ రాబిన్ సి ను పరాగ్వేయన్ ప్రభుత్వం 1932 లో దాని ఎయిర్ ఆర్మ్ యొక్క ట్రాన్స్పోర్ట్ స్క్వాడ్రన్ కోసం కొనుగోలు చేసింది. చాకో యుద్ధం (1923-1935) సమయంలో దీనిని విఐపి రవాణా విమానం మరియు ఎయిర్ అంబులెన్స్‌గా తీవ్రంగా ఉపయోగించారు. నుండి డేటా: కర్టిస్ విమానం: 1907-1947 [2] కర్టిస్ విమానం 1907-1947 నుండి డేటా, [2] జేన్ యొక్క ఆల్ ది వరల్డ్ విమానాలు 1928 [39] సాధారణ లక్షణాల పనితీరు సంబంధిత అభివృద్ధి సంబంధిత జాబితాలు</v>
      </c>
      <c r="E128" s="1" t="s">
        <v>2419</v>
      </c>
      <c r="F128" s="1" t="s">
        <v>2420</v>
      </c>
      <c r="G128" s="1" t="str">
        <f>IFERROR(__xludf.DUMMYFUNCTION("GOOGLETRANSLATE(F:F,""en"", ""te"")"),"పర్యటన")</f>
        <v>పర్యటన</v>
      </c>
      <c r="L128" s="1" t="s">
        <v>2421</v>
      </c>
      <c r="M128" s="1" t="str">
        <f>IFERROR(__xludf.DUMMYFUNCTION("GOOGLETRANSLATE(L:L,""en"", ""te"")"),"కర్టిస్-రాబర్ట్సన్ విమానం తయారీ సంస్థ")</f>
        <v>కర్టిస్-రాబర్ట్సన్ విమానం తయారీ సంస్థ</v>
      </c>
      <c r="N128" s="1" t="s">
        <v>2422</v>
      </c>
      <c r="O128" s="1">
        <v>1928.0</v>
      </c>
      <c r="P128" s="1" t="s">
        <v>2423</v>
      </c>
      <c r="Q128" s="1"/>
      <c r="R128" s="1" t="s">
        <v>2424</v>
      </c>
      <c r="S128" s="1">
        <v>1.0</v>
      </c>
      <c r="T128" s="1" t="s">
        <v>2425</v>
      </c>
      <c r="U128" s="1" t="s">
        <v>652</v>
      </c>
      <c r="V128" s="1" t="s">
        <v>2426</v>
      </c>
      <c r="W128" s="1" t="s">
        <v>2427</v>
      </c>
      <c r="X128" s="1" t="s">
        <v>2428</v>
      </c>
      <c r="Z128" s="1" t="s">
        <v>2429</v>
      </c>
      <c r="AA128" s="1" t="s">
        <v>2430</v>
      </c>
      <c r="AB128" s="1" t="s">
        <v>2055</v>
      </c>
      <c r="AD128" s="1" t="s">
        <v>2431</v>
      </c>
      <c r="AE128" s="1" t="s">
        <v>2432</v>
      </c>
      <c r="AF128" s="1" t="s">
        <v>2433</v>
      </c>
      <c r="AH128" s="1" t="s">
        <v>2434</v>
      </c>
      <c r="AK128" s="1" t="s">
        <v>2435</v>
      </c>
      <c r="AL128" s="1" t="s">
        <v>1766</v>
      </c>
      <c r="AO128" s="1" t="s">
        <v>2436</v>
      </c>
      <c r="AQ128" s="1" t="s">
        <v>2437</v>
      </c>
      <c r="AR128" s="1" t="s">
        <v>2438</v>
      </c>
      <c r="AT128" s="1" t="s">
        <v>2439</v>
      </c>
      <c r="AW128" s="1" t="s">
        <v>2440</v>
      </c>
      <c r="BH128" s="1" t="s">
        <v>2441</v>
      </c>
      <c r="CC128" s="1" t="s">
        <v>2442</v>
      </c>
      <c r="CE128" s="1" t="s">
        <v>2443</v>
      </c>
    </row>
    <row r="129">
      <c r="A129" s="1" t="s">
        <v>2444</v>
      </c>
      <c r="B129" s="1" t="str">
        <f>IFERROR(__xludf.DUMMYFUNCTION("GOOGLETRANSLATE(A:A,""en"", ""te"")"),"గైల్స్ జి -202")</f>
        <v>గైల్స్ జి -202</v>
      </c>
      <c r="C129" s="1" t="s">
        <v>2445</v>
      </c>
      <c r="D129" s="1" t="str">
        <f>IFERROR(__xludf.DUMMYFUNCTION("GOOGLETRANSLATE(C:C,""en"", ""te"")"),"గైల్స్ జి -202 అనేది రిచర్డ్ గైల్స్ రూపొందించిన అపరిమిత-స్థాయి ఏరోబాటిక్ విమానం. ఈ కార్బన్ ఫైబర్ మిశ్రమ మోనోప్లేన్‌ను ఒరెగాన్‌లోని ట్రౌట్‌డేల్‌లో అక్రోటెక్ ఏవియేషన్ తయారు చేసింది. టెన్డం టూ-సీటర్ సింగిల్-సీటర్ గైల్స్ జి -200 పై ఆధారపడింది. [2] G-202 ను అక"&amp;"్రోటెక్ కిట్ విమానం వలె ఉత్పత్తి చేసి విక్రయించింది మరియు ఏవియన్ల మడ్రీ (ఫ్రాన్స్) చేత క్యాప్ 222 గా కొద్దిగా సవరించబడింది. [3] [4] [8] [9] నుండి డేటా వికీమీడియా కామన్స్ వద్ద గైల్స్ జి -202 కు సంబంధించిన సాధారణ లక్షణాల పనితీరు మీడియా")</f>
        <v>గైల్స్ జి -202 అనేది రిచర్డ్ గైల్స్ రూపొందించిన అపరిమిత-స్థాయి ఏరోబాటిక్ విమానం. ఈ కార్బన్ ఫైబర్ మిశ్రమ మోనోప్లేన్‌ను ఒరెగాన్‌లోని ట్రౌట్‌డేల్‌లో అక్రోటెక్ ఏవియేషన్ తయారు చేసింది. టెన్డం టూ-సీటర్ సింగిల్-సీటర్ గైల్స్ జి -200 పై ఆధారపడింది. [2] G-202 ను అక్రోటెక్ కిట్ విమానం వలె ఉత్పత్తి చేసి విక్రయించింది మరియు ఏవియన్ల మడ్రీ (ఫ్రాన్స్) చేత క్యాప్ 222 గా కొద్దిగా సవరించబడింది. [3] [4] [8] [9] నుండి డేటా వికీమీడియా కామన్స్ వద్ద గైల్స్ జి -202 కు సంబంధించిన సాధారణ లక్షణాల పనితీరు మీడియా</v>
      </c>
      <c r="E129" s="1" t="s">
        <v>2446</v>
      </c>
      <c r="F129" s="1" t="s">
        <v>2447</v>
      </c>
      <c r="G129" s="1" t="str">
        <f>IFERROR(__xludf.DUMMYFUNCTION("GOOGLETRANSLATE(F:F,""en"", ""te"")"),"ఏరోబాటిక్ విమానం")</f>
        <v>ఏరోబాటిక్ విమానం</v>
      </c>
      <c r="H129" s="1" t="s">
        <v>2448</v>
      </c>
      <c r="L129" s="1" t="s">
        <v>2449</v>
      </c>
      <c r="M129" s="1" t="str">
        <f>IFERROR(__xludf.DUMMYFUNCTION("GOOGLETRANSLATE(L:L,""en"", ""te"")"),"అక్రోటెక్ ఏవియేషన్అవియన్స్ మడ్రీ")</f>
        <v>అక్రోటెక్ ఏవియేషన్అవియన్స్ మడ్రీ</v>
      </c>
      <c r="N129" s="1" t="s">
        <v>2450</v>
      </c>
      <c r="R129" s="1" t="s">
        <v>2451</v>
      </c>
      <c r="S129" s="1" t="s">
        <v>2452</v>
      </c>
      <c r="U129" s="1" t="s">
        <v>2453</v>
      </c>
      <c r="V129" s="1" t="s">
        <v>2454</v>
      </c>
      <c r="X129" s="1" t="s">
        <v>2455</v>
      </c>
      <c r="AA129" s="1" t="s">
        <v>2456</v>
      </c>
      <c r="AB129" s="1" t="s">
        <v>2457</v>
      </c>
      <c r="AH129" s="1" t="s">
        <v>2458</v>
      </c>
      <c r="AI129" s="1" t="s">
        <v>2459</v>
      </c>
      <c r="AJ129" s="1" t="s">
        <v>2460</v>
      </c>
      <c r="AM129" s="1" t="s">
        <v>2461</v>
      </c>
      <c r="AT129" s="1" t="s">
        <v>2462</v>
      </c>
      <c r="AU129" s="1" t="s">
        <v>2463</v>
      </c>
      <c r="AV129" s="1" t="s">
        <v>2464</v>
      </c>
      <c r="BF129" s="1" t="s">
        <v>2465</v>
      </c>
      <c r="CF129" s="1" t="s">
        <v>2466</v>
      </c>
      <c r="DV129" s="1" t="s">
        <v>2467</v>
      </c>
      <c r="DW129" s="1" t="s">
        <v>2468</v>
      </c>
    </row>
    <row r="130">
      <c r="A130" s="1" t="s">
        <v>2469</v>
      </c>
      <c r="B130" s="1" t="str">
        <f>IFERROR(__xludf.DUMMYFUNCTION("GOOGLETRANSLATE(A:A,""en"", ""te"")"),"బ్రెడా బా .19")</f>
        <v>బ్రెడా బా .19</v>
      </c>
      <c r="C130" s="1" t="s">
        <v>2470</v>
      </c>
      <c r="D130" s="1" t="str">
        <f>IFERROR(__xludf.DUMMYFUNCTION("GOOGLETRANSLATE(C:C,""en"", ""te"")"),"బ్రెడా బా .19 అనేది ఇటాలియన్ సింగిల్-సీట్ ఏరోబాటిక్ బైప్‌లాన్ విమానం, ఇది 1928 లో వైమానిక దళ శిక్షకుడిగా అభివృద్ధి చేయబడింది. బ్రెడా బా .19 అనేది సింగిల్-బే, అసమాన-స్పాన్, సాంప్రదాయిక కాన్ఫిగరేషన్ యొక్క అన్‌స్టాగర్డ్ బిప్‌లేన్, ఇది దాని పైలట్‌ను ఓపెన్‌లో "&amp;"కూర్చుంది కాక్‌పిట్. కొన్ని BA.19 లను రెండు సీటర్లుగా ఉత్పత్తి చేశారు, రెండవ ఓపెన్ కాక్‌పిట్‌తో మొదటి స్థానంలో ఉంది. BA.19 లను 1930 లలో స్క్వాడ్రిగ్లియా డి ఆల్టా అక్రోబాజియా ఎరియా ప్రదర్శన విమానాల కోసం ఉపయోగించారు, ఇది నిర్మాణ ఏరోబాటిక్స్ను నిర్వహించింది."&amp;" సాధారణ లక్షణాల పనితీరు")</f>
        <v>బ్రెడా బా .19 అనేది ఇటాలియన్ సింగిల్-సీట్ ఏరోబాటిక్ బైప్‌లాన్ విమానం, ఇది 1928 లో వైమానిక దళ శిక్షకుడిగా అభివృద్ధి చేయబడింది. బ్రెడా బా .19 అనేది సింగిల్-బే, అసమాన-స్పాన్, సాంప్రదాయిక కాన్ఫిగరేషన్ యొక్క అన్‌స్టాగర్డ్ బిప్‌లేన్, ఇది దాని పైలట్‌ను ఓపెన్‌లో కూర్చుంది కాక్‌పిట్. కొన్ని BA.19 లను రెండు సీటర్లుగా ఉత్పత్తి చేశారు, రెండవ ఓపెన్ కాక్‌పిట్‌తో మొదటి స్థానంలో ఉంది. BA.19 లను 1930 లలో స్క్వాడ్రిగ్లియా డి ఆల్టా అక్రోబాజియా ఎరియా ప్రదర్శన విమానాల కోసం ఉపయోగించారు, ఇది నిర్మాణ ఏరోబాటిక్స్ను నిర్వహించింది. సాధారణ లక్షణాల పనితీరు</v>
      </c>
      <c r="E130" s="1" t="s">
        <v>2471</v>
      </c>
      <c r="F130" s="1" t="s">
        <v>2472</v>
      </c>
      <c r="G130" s="1" t="str">
        <f>IFERROR(__xludf.DUMMYFUNCTION("GOOGLETRANSLATE(F:F,""en"", ""te"")"),"మిలిటరీ ఏరోబాటిక్ ట్రైనర్")</f>
        <v>మిలిటరీ ఏరోబాటిక్ ట్రైనర్</v>
      </c>
      <c r="L130" s="1" t="s">
        <v>2473</v>
      </c>
      <c r="M130" s="1" t="str">
        <f>IFERROR(__xludf.DUMMYFUNCTION("GOOGLETRANSLATE(L:L,""en"", ""te"")"),"బ్రెడా")</f>
        <v>బ్రెడా</v>
      </c>
      <c r="N130" s="2" t="s">
        <v>2474</v>
      </c>
      <c r="O130" s="1">
        <v>1931.0</v>
      </c>
      <c r="R130" s="1">
        <v>42.0</v>
      </c>
      <c r="S130" s="1" t="s">
        <v>2475</v>
      </c>
      <c r="U130" s="1" t="s">
        <v>2476</v>
      </c>
      <c r="V130" s="1" t="s">
        <v>2477</v>
      </c>
      <c r="W130" s="1" t="s">
        <v>2478</v>
      </c>
      <c r="X130" s="1" t="s">
        <v>2479</v>
      </c>
      <c r="AA130" s="1" t="s">
        <v>2480</v>
      </c>
      <c r="AH130" s="1" t="s">
        <v>2481</v>
      </c>
      <c r="AK130" s="1" t="s">
        <v>2482</v>
      </c>
      <c r="AL130" s="1" t="s">
        <v>2483</v>
      </c>
      <c r="AM130" s="1" t="s">
        <v>2484</v>
      </c>
      <c r="AN130" s="1" t="s">
        <v>2485</v>
      </c>
      <c r="AO130" s="1">
        <v>1928.0</v>
      </c>
      <c r="AQ130" s="1" t="s">
        <v>2486</v>
      </c>
      <c r="AR130" s="1" t="s">
        <v>2487</v>
      </c>
      <c r="BA130" s="1" t="s">
        <v>2488</v>
      </c>
      <c r="CD130" s="2" t="s">
        <v>2489</v>
      </c>
      <c r="CU130" s="2" t="s">
        <v>2490</v>
      </c>
    </row>
    <row r="131">
      <c r="A131" s="1" t="s">
        <v>2491</v>
      </c>
      <c r="B131" s="1" t="str">
        <f>IFERROR(__xludf.DUMMYFUNCTION("GOOGLETRANSLATE(A:A,""en"", ""te"")"),"సుఖోయి సు -28")</f>
        <v>సుఖోయి సు -28</v>
      </c>
      <c r="C131" s="1" t="s">
        <v>2492</v>
      </c>
      <c r="D131" s="1" t="str">
        <f>IFERROR(__xludf.DUMMYFUNCTION("GOOGLETRANSLATE(C:C,""en"", ""te"")"),"సుఖోయ్ సు -28 అనేది SU-25UB / SU-25T యొక్క డౌన్గ్రేడ్ వేరియంట్, ఏవియానిక్స్ మరియు విమాన వ్యవస్థల తగ్గింపులతో పాటు, అన్ని ఆయుధ-మోసే సామర్ధ్యం యొక్క తొలగింపుతో పాటు. SU-28 ట్రైనర్ సాంకేతిక నైపుణ్యం, జనరల్ ఫ్లైట్ మరియు ఫార్మేషన్ ఫ్లయింగ్ ట్రైనింగ్ కోసం ఉద్దే"&amp;"శించబడింది. ఇది ఏరోబాటిక్ విమానంగా కూడా ఉపయోగించబడుతుంది, ఇది SU-28 చాలా యుక్తి మరియు బలమైన విమానం, ఇది టేకాఫ్ చేయగల సామర్థ్యం మరియు దాని రెండు ఇంజిన్లలో ఒకటి మాత్రమే నడుస్తుంది. విమానం యొక్క ఇంజన్లు మరింత సాంప్రదాయ విమానయాన ఇంధనానికి విరుద్ధంగా డీజిల్ ఆధ"&amp;"ారిత ఇంధనంపై కూడా నడుస్తాయి. MIG-29 మాదిరిగానే, అధిక విశ్వసనీయత మరియు తక్కువ నిర్వహణ అవసరాన్ని కొనసాగిస్తూ ఇది చదును చేయని రన్‌వేల నుండి పనిచేసే సామర్థ్యాన్ని కలిగి ఉంది. అదనంగా, SU-28 భారీ ల్యాండింగ్‌లను తట్టుకోగలదు, ఇది శిక్షణ పాత్రలో మరింత క్షమించటానిక"&amp;"ి వీలు కల్పిస్తుంది. పరిధిని నాలుగు పిటిబి -800 డ్రాప్ ట్యాంకులు వరకు విస్తరించవచ్చు, ప్రతి 800 ఎల్ సామర్థ్యం. SU-28 మరియు దాని మాతృ SU-25UB మోడల్ మధ్య తేడాలు టార్గెటింగ్ సిస్టమ్స్, ఆయుధ-ఆపరేటింగ్ సిస్టమ్స్, అంతర్గత తుపాకులు, వింగ్ పైలాన్లు (బాంబులు మరియు"&amp;" క్షిపణులు వంటి మౌంట్ ఆయుధాలకు సైనిక విమానాలలో ఉపయోగిస్తారు) లేకపోవడం. ఇది ఇంజన్లు, ఎలక్ట్రానిక్ కౌంటర్మెజర్స్ మరియు గ్రౌండ్ అటాక్ కార్యకలాపాలకు అంకితమైన ఏదైనా వ్యవస్థలకు కవచ రక్షణ కూడా లేదు. AIRWAR నుండి డేటా. ర్యూజెనరల్ లక్షణాలు పనితీరు సంబంధిత అభివృద్ధ"&amp;"ి")</f>
        <v>సుఖోయ్ సు -28 అనేది SU-25UB / SU-25T యొక్క డౌన్గ్రేడ్ వేరియంట్, ఏవియానిక్స్ మరియు విమాన వ్యవస్థల తగ్గింపులతో పాటు, అన్ని ఆయుధ-మోసే సామర్ధ్యం యొక్క తొలగింపుతో పాటు. SU-28 ట్రైనర్ సాంకేతిక నైపుణ్యం, జనరల్ ఫ్లైట్ మరియు ఫార్మేషన్ ఫ్లయింగ్ ట్రైనింగ్ కోసం ఉద్దేశించబడింది. ఇది ఏరోబాటిక్ విమానంగా కూడా ఉపయోగించబడుతుంది, ఇది SU-28 చాలా యుక్తి మరియు బలమైన విమానం, ఇది టేకాఫ్ చేయగల సామర్థ్యం మరియు దాని రెండు ఇంజిన్లలో ఒకటి మాత్రమే నడుస్తుంది. విమానం యొక్క ఇంజన్లు మరింత సాంప్రదాయ విమానయాన ఇంధనానికి విరుద్ధంగా డీజిల్ ఆధారిత ఇంధనంపై కూడా నడుస్తాయి. MIG-29 మాదిరిగానే, అధిక విశ్వసనీయత మరియు తక్కువ నిర్వహణ అవసరాన్ని కొనసాగిస్తూ ఇది చదును చేయని రన్‌వేల నుండి పనిచేసే సామర్థ్యాన్ని కలిగి ఉంది. అదనంగా, SU-28 భారీ ల్యాండింగ్‌లను తట్టుకోగలదు, ఇది శిక్షణ పాత్రలో మరింత క్షమించటానికి వీలు కల్పిస్తుంది. పరిధిని నాలుగు పిటిబి -800 డ్రాప్ ట్యాంకులు వరకు విస్తరించవచ్చు, ప్రతి 800 ఎల్ సామర్థ్యం. SU-28 మరియు దాని మాతృ SU-25UB మోడల్ మధ్య తేడాలు టార్గెటింగ్ సిస్టమ్స్, ఆయుధ-ఆపరేటింగ్ సిస్టమ్స్, అంతర్గత తుపాకులు, వింగ్ పైలాన్లు (బాంబులు మరియు క్షిపణులు వంటి మౌంట్ ఆయుధాలకు సైనిక విమానాలలో ఉపయోగిస్తారు) లేకపోవడం. ఇది ఇంజన్లు, ఎలక్ట్రానిక్ కౌంటర్మెజర్స్ మరియు గ్రౌండ్ అటాక్ కార్యకలాపాలకు అంకితమైన ఏదైనా వ్యవస్థలకు కవచ రక్షణ కూడా లేదు. AIRWAR నుండి డేటా. ర్యూజెనరల్ లక్షణాలు పనితీరు సంబంధిత అభివృద్ధి</v>
      </c>
      <c r="E131" s="1" t="s">
        <v>2493</v>
      </c>
      <c r="F131" s="1" t="s">
        <v>2494</v>
      </c>
      <c r="G131" s="1" t="str">
        <f>IFERROR(__xludf.DUMMYFUNCTION("GOOGLETRANSLATE(F:F,""en"", ""te"")"),"శిక్షకుడు")</f>
        <v>శిక్షకుడు</v>
      </c>
      <c r="L131" s="1" t="s">
        <v>2495</v>
      </c>
      <c r="M131" s="1" t="str">
        <f>IFERROR(__xludf.DUMMYFUNCTION("GOOGLETRANSLATE(L:L,""en"", ""te"")"),"సుఖోయి")</f>
        <v>సుఖోయి</v>
      </c>
      <c r="N131" s="2" t="s">
        <v>2496</v>
      </c>
      <c r="S131" s="1">
        <v>2.0</v>
      </c>
      <c r="U131" s="1" t="s">
        <v>2497</v>
      </c>
      <c r="V131" s="1" t="s">
        <v>2498</v>
      </c>
      <c r="W131" s="1" t="s">
        <v>2499</v>
      </c>
      <c r="X131" s="1" t="s">
        <v>2500</v>
      </c>
      <c r="Y131" s="1" t="s">
        <v>2501</v>
      </c>
      <c r="Z131" s="1" t="s">
        <v>2502</v>
      </c>
      <c r="AA131" s="1" t="s">
        <v>2503</v>
      </c>
      <c r="AD131" s="1" t="s">
        <v>2504</v>
      </c>
      <c r="AH131" s="1" t="s">
        <v>2505</v>
      </c>
      <c r="AK131" s="1" t="s">
        <v>2506</v>
      </c>
      <c r="AL131" s="1" t="s">
        <v>976</v>
      </c>
      <c r="AO131" s="1">
        <v>1987.0</v>
      </c>
      <c r="AQ131" s="1" t="s">
        <v>2507</v>
      </c>
      <c r="AR131" s="1" t="s">
        <v>2508</v>
      </c>
      <c r="AT131" s="1" t="s">
        <v>2509</v>
      </c>
      <c r="AU131" s="1" t="s">
        <v>2510</v>
      </c>
      <c r="AV131" s="1" t="s">
        <v>2511</v>
      </c>
      <c r="BA131" s="1" t="s">
        <v>2512</v>
      </c>
      <c r="BE131" s="1" t="s">
        <v>2513</v>
      </c>
      <c r="DR131" s="1" t="s">
        <v>2514</v>
      </c>
    </row>
    <row r="132">
      <c r="A132" s="1" t="s">
        <v>2515</v>
      </c>
      <c r="B132" s="1" t="str">
        <f>IFERROR(__xludf.DUMMYFUNCTION("GOOGLETRANSLATE(A:A,""en"", ""te"")"),"అకాఫ్లీగ్ బెర్లిన్ బి 9")</f>
        <v>అకాఫ్లీగ్ బెర్లిన్ బి 9</v>
      </c>
      <c r="C132" s="1" t="s">
        <v>2516</v>
      </c>
      <c r="D132" s="1" t="str">
        <f>IFERROR(__xludf.DUMMYFUNCTION("GOOGLETRANSLATE(C:C,""en"", ""te"")"),"అకాఫ్లీగ్ బెర్లిన్ బి 9 అనేది ట్విన్-ఇంజిన్డ్ [1] ప్రయోగాత్మక విమానం, దీనిని 1940 లలో అకాఫ్లీగ్ బెర్లిన్ మరియు ఫ్లగ్టెక్నిస్చే ఫాచ్‌గ్రుప్పే అభివృద్ధి చేశారు. పైలట్ కలిగి ఉండటం వల్ల కలిగే ప్రయోజనాలను పరిశీలించడానికి ఇది రూపొందించబడింది. ఈ విమానం 1943 లో ఎ"&amp;"గురవేయబడింది, కాని చివరికి వదిలివేయబడింది. FFG- బెర్లిన్ B9 నుండి డేటా [2] పోల్చదగిన పాత్ర, కాన్ఫిగరేషన్ మరియు ERA సంబంధిత జాబితాల సాధారణ లక్షణాల పనితీరు విమానం")</f>
        <v>అకాఫ్లీగ్ బెర్లిన్ బి 9 అనేది ట్విన్-ఇంజిన్డ్ [1] ప్రయోగాత్మక విమానం, దీనిని 1940 లలో అకాఫ్లీగ్ బెర్లిన్ మరియు ఫ్లగ్టెక్నిస్చే ఫాచ్‌గ్రుప్పే అభివృద్ధి చేశారు. పైలట్ కలిగి ఉండటం వల్ల కలిగే ప్రయోజనాలను పరిశీలించడానికి ఇది రూపొందించబడింది. ఈ విమానం 1943 లో ఎగురవేయబడింది, కాని చివరికి వదిలివేయబడింది. FFG- బెర్లిన్ B9 నుండి డేటా [2] పోల్చదగిన పాత్ర, కాన్ఫిగరేషన్ మరియు ERA సంబంధిత జాబితాల సాధారణ లక్షణాల పనితీరు విమానం</v>
      </c>
      <c r="E132" s="1" t="s">
        <v>2517</v>
      </c>
      <c r="F132" s="1" t="s">
        <v>1604</v>
      </c>
      <c r="G132" s="1" t="str">
        <f>IFERROR(__xludf.DUMMYFUNCTION("GOOGLETRANSLATE(F:F,""en"", ""te"")"),"ప్రయోగాత్మక విమానం")</f>
        <v>ప్రయోగాత్మక విమానం</v>
      </c>
      <c r="H132" s="1" t="s">
        <v>2518</v>
      </c>
      <c r="I132" s="1" t="s">
        <v>2060</v>
      </c>
      <c r="J132" s="1" t="str">
        <f>IFERROR(__xludf.DUMMYFUNCTION("GOOGLETRANSLATE(I:I,""en"", ""te"")"),"జర్మనీ")</f>
        <v>జర్మనీ</v>
      </c>
      <c r="K132" s="2" t="s">
        <v>2061</v>
      </c>
      <c r="L132" s="1" t="s">
        <v>2519</v>
      </c>
      <c r="M132" s="1" t="str">
        <f>IFERROR(__xludf.DUMMYFUNCTION("GOOGLETRANSLATE(L:L,""en"", ""te"")"),"అకాఫ్లీగ్ బెర్లిన్")</f>
        <v>అకాఫ్లీగ్ బెర్లిన్</v>
      </c>
      <c r="N132" s="1" t="s">
        <v>2520</v>
      </c>
      <c r="P132" s="1" t="s">
        <v>2521</v>
      </c>
      <c r="Q132" s="1"/>
      <c r="R132" s="1">
        <v>1.0</v>
      </c>
      <c r="S132" s="1" t="s">
        <v>685</v>
      </c>
      <c r="U132" s="1" t="s">
        <v>2522</v>
      </c>
      <c r="V132" s="1" t="s">
        <v>2523</v>
      </c>
      <c r="W132" s="1" t="s">
        <v>2524</v>
      </c>
      <c r="X132" s="1" t="s">
        <v>2525</v>
      </c>
      <c r="Y132" s="1" t="s">
        <v>2526</v>
      </c>
      <c r="Z132" s="1" t="s">
        <v>2527</v>
      </c>
      <c r="AA132" s="1" t="s">
        <v>2528</v>
      </c>
      <c r="AH132" s="1" t="s">
        <v>2529</v>
      </c>
      <c r="AL132" s="1" t="s">
        <v>213</v>
      </c>
      <c r="AO132" s="1">
        <v>1943.0</v>
      </c>
      <c r="AQ132" s="1" t="s">
        <v>2530</v>
      </c>
    </row>
    <row r="133">
      <c r="A133" s="1" t="s">
        <v>2531</v>
      </c>
      <c r="B133" s="1" t="str">
        <f>IFERROR(__xludf.DUMMYFUNCTION("GOOGLETRANSLATE(A:A,""en"", ""te"")"),"మైల్స్ M.30")</f>
        <v>మైల్స్ M.30</v>
      </c>
      <c r="C133" s="1" t="s">
        <v>2532</v>
      </c>
      <c r="D133" s="1" t="str">
        <f>IFERROR(__xludf.DUMMYFUNCTION("GOOGLETRANSLATE(C:C,""en"", ""te"")"),"మైల్స్ M.30 X- మైనర్ ఒక ప్రయోగాత్మక విమానం, ఇది బ్లెండెడ్ ఫ్యూజ్‌లేజ్ మరియు వింగ్ ఖండనల లక్షణాలను అంచనా వేయడానికి మైళ్ల విమానం రూపొందించింది. 1938 లో ప్రారంభమైన, X సిరీస్ డిజైన్లు మైల్స్ హోదా M.26, చిన్న ఫీడర్-లైనర్‌ల నుండి చాలా పెద్ద 8-ఇంజిన్ల అట్లాంటిక్"&amp;" రవాణా వరకు విస్తృత శ్రేణి విమాన డిజైన్లను కవర్ చేస్తాయి. బ్లెండెడ్ వింగ్/బాడీ మైల్స్ యొక్క డిజైన్ ఫిలాసఫీని పరిశోధించడానికి X.9 డిజైన్ యొక్క ఉప-స్థాయి ఎగిరే నమూనాను రూపొందించడానికి మరియు నిర్మించడానికి ఒక ఒప్పందం ఇవ్వబడింది, ఇది M.30 X- మైనర్ గా ఉద్భవించ"&amp;"ింది. X మైనర్ యొక్క చిన్న పరిమాణం ఖననం చేసిన ఇంజిన్ డిజైన్‌ను ఖచ్చితంగా అనుసరించడం అసాధ్యం; ఇంజన్లు చాలా పెద్దవి మరియు బాహ్యంగా అమర్చవలసి వచ్చింది, ఫలితంగా లేఅవుట్లో సమానమైన విమానం ఉంటుంది, కానీ ఏరోడైనమిక్స్లో భిన్నంగా ఉంటుంది. X మైనర్ ఫిబ్రవరి 1942 లో ఎగ"&amp;"ిరింది, మైల్స్ చాలా సంవత్సరాలు ఉపయోగకరమైన డేటాను అందిస్తుంది. X రవాణా యొక్క పెద్ద స్థాయి నమూనా ప్రణాళిక చేయబడింది, కానీ ఎప్పుడూ నిర్మించబడలేదు. 1925 నుండి మైల్స్ విమానం నుండి డేటా [1] పోల్చదగిన పాత్ర, కాన్ఫిగరేషన్ మరియు ERA సంబంధిత జాబితాల యొక్క సాధారణ లక"&amp;"్షణాలు పనితీరు విమానం")</f>
        <v>మైల్స్ M.30 X- మైనర్ ఒక ప్రయోగాత్మక విమానం, ఇది బ్లెండెడ్ ఫ్యూజ్‌లేజ్ మరియు వింగ్ ఖండనల లక్షణాలను అంచనా వేయడానికి మైళ్ల విమానం రూపొందించింది. 1938 లో ప్రారంభమైన, X సిరీస్ డిజైన్లు మైల్స్ హోదా M.26, చిన్న ఫీడర్-లైనర్‌ల నుండి చాలా పెద్ద 8-ఇంజిన్ల అట్లాంటిక్ రవాణా వరకు విస్తృత శ్రేణి విమాన డిజైన్లను కవర్ చేస్తాయి. బ్లెండెడ్ వింగ్/బాడీ మైల్స్ యొక్క డిజైన్ ఫిలాసఫీని పరిశోధించడానికి X.9 డిజైన్ యొక్క ఉప-స్థాయి ఎగిరే నమూనాను రూపొందించడానికి మరియు నిర్మించడానికి ఒక ఒప్పందం ఇవ్వబడింది, ఇది M.30 X- మైనర్ గా ఉద్భవించింది. X మైనర్ యొక్క చిన్న పరిమాణం ఖననం చేసిన ఇంజిన్ డిజైన్‌ను ఖచ్చితంగా అనుసరించడం అసాధ్యం; ఇంజన్లు చాలా పెద్దవి మరియు బాహ్యంగా అమర్చవలసి వచ్చింది, ఫలితంగా లేఅవుట్లో సమానమైన విమానం ఉంటుంది, కానీ ఏరోడైనమిక్స్లో భిన్నంగా ఉంటుంది. X మైనర్ ఫిబ్రవరి 1942 లో ఎగిరింది, మైల్స్ చాలా సంవత్సరాలు ఉపయోగకరమైన డేటాను అందిస్తుంది. X రవాణా యొక్క పెద్ద స్థాయి నమూనా ప్రణాళిక చేయబడింది, కానీ ఎప్పుడూ నిర్మించబడలేదు. 1925 నుండి మైల్స్ విమానం నుండి డేటా [1] పోల్చదగిన పాత్ర, కాన్ఫిగరేషన్ మరియు ERA సంబంధిత జాబితాల యొక్క సాధారణ లక్షణాలు పనితీరు విమానం</v>
      </c>
      <c r="E133" s="1" t="s">
        <v>2533</v>
      </c>
      <c r="F133" s="1" t="s">
        <v>1604</v>
      </c>
      <c r="G133" s="1" t="str">
        <f>IFERROR(__xludf.DUMMYFUNCTION("GOOGLETRANSLATE(F:F,""en"", ""te"")"),"ప్రయోగాత్మక విమానం")</f>
        <v>ప్రయోగాత్మక విమానం</v>
      </c>
      <c r="I133" s="1" t="s">
        <v>480</v>
      </c>
      <c r="J133" s="1" t="str">
        <f>IFERROR(__xludf.DUMMYFUNCTION("GOOGLETRANSLATE(I:I,""en"", ""te"")"),"యునైటెడ్ కింగ్‌డమ్")</f>
        <v>యునైటెడ్ కింగ్‌డమ్</v>
      </c>
      <c r="K133" s="1" t="s">
        <v>481</v>
      </c>
      <c r="L133" s="1" t="s">
        <v>2534</v>
      </c>
      <c r="M133" s="1" t="str">
        <f>IFERROR(__xludf.DUMMYFUNCTION("GOOGLETRANSLATE(L:L,""en"", ""te"")"),"మైల్స్ విమానం")</f>
        <v>మైల్స్ విమానం</v>
      </c>
      <c r="N133" s="1" t="s">
        <v>2535</v>
      </c>
      <c r="R133" s="1">
        <v>1.0</v>
      </c>
      <c r="S133" s="1">
        <v>2.0</v>
      </c>
      <c r="U133" s="1" t="s">
        <v>2536</v>
      </c>
      <c r="V133" s="1" t="s">
        <v>2537</v>
      </c>
      <c r="W133" s="1" t="s">
        <v>370</v>
      </c>
      <c r="X133" s="1" t="s">
        <v>2538</v>
      </c>
      <c r="Y133" s="1" t="s">
        <v>2539</v>
      </c>
      <c r="AA133" s="1" t="s">
        <v>2540</v>
      </c>
      <c r="AE133" s="1" t="s">
        <v>2541</v>
      </c>
      <c r="AF133" s="1" t="s">
        <v>2542</v>
      </c>
      <c r="AG133" s="1" t="s">
        <v>2543</v>
      </c>
      <c r="AH133" s="1" t="s">
        <v>2544</v>
      </c>
      <c r="AO133" s="3">
        <v>15373.0</v>
      </c>
      <c r="AS133" s="1" t="s">
        <v>2545</v>
      </c>
      <c r="BD133" s="1">
        <v>5.4</v>
      </c>
      <c r="BH133" s="1" t="s">
        <v>2546</v>
      </c>
    </row>
    <row r="134">
      <c r="A134" s="1" t="s">
        <v>2547</v>
      </c>
      <c r="B134" s="1" t="str">
        <f>IFERROR(__xludf.DUMMYFUNCTION("GOOGLETRANSLATE(A:A,""en"", ""te"")"),"బ్రూగెట్ 16")</f>
        <v>బ్రూగెట్ 16</v>
      </c>
      <c r="C134" s="1" t="s">
        <v>2548</v>
      </c>
      <c r="D134" s="1" t="str">
        <f>IFERROR(__xludf.DUMMYFUNCTION("GOOGLETRANSLATE(C:C,""en"", ""te"")"),"బ్రెగెట్ 16 ప్రపంచ యుద్ధం ముగిసే సమయానికి ఫ్రాన్స్‌లో ఉత్పత్తి చేయబడిన బాంబర్ బైప్‌లేన్. బ్రెగెట్ 16 యొక్క రూపకల్పన తప్పనిసరిగా బ్రెగెట్ యొక్క అత్యంత విజయవంతమైన 14 యొక్క స్కేల్-అప్ వెర్షన్-సాంప్రదాయకంగా కాన్ఫిగర్ చేయబడిన బైప్‌లేన్ రెండు-బే, అన్‌స్టాగర్డ్,"&amp;" సమాన- స్పాన్ రెక్కలు. 1918 లో ట్రయల్స్ ఆశాజనకంగా నిరూపించబడ్డాయి మరియు బ్రెగెట్ నుండి లైసెన్స్ కింద అనేక మంది ఫ్రెంచ్ తయారీదారులు 1919 కొరకు ప్రణాళిక చేయబడ్డారు. ఈ ప్రణాళికలు యుద్ధ విరమణపై విస్మరించబడ్డాయి, అయితే 1920 ల ప్రారంభంలో ఫ్రెంచ్ వైమానిక దళం ఒక "&amp;"కార్యక్రమాన్ని ప్రారంభించినప్పుడు మరింత పరిమిత ఉత్పత్తి పునరుద్ధరించబడింది. ఆధునికీకరణ. [1] సేవలో, సింగిల్-ఇంజిన్ బ్రెగెట్ 16 ను వాడుకలో లేని జంట-ఇంజిన్ ఫార్మాన్ F.50 లను రాత్రి బాంబర్ పాత్రలో BRE.16BN.2 గా మార్చడానికి ఉపయోగించారు. నిర్మించిన 200 విమానాలల"&amp;"ో కొన్ని సిరియా మరియు మొరాకోలకు మోహరించబడ్డాయి, మరియు బ్రెగెట్ కూడా చైనా మరియు చెకోస్లోవేకియా యొక్క సైనిక వాయు ఆయుధాలకు కొన్నింటిని విక్రయించగలిగాడు. [2] పోర్చుగల్ మరియు మకావుల మధ్య విమానంలో ప్రయాణించడానికి 1924 లో పోర్చుగీస్ వైమానిక దళం ఒకే బ్రెగెట్ 16 న"&amp;"ు కొనుగోలు చేసింది, కాని ఈ ప్రయత్నం విఫలమైంది, భారతదేశంలో బలవంతంగా ల్యాండింగ్‌లో విమానం నాశనమైంది. [3] సాధారణ లక్షణాలు")</f>
        <v>బ్రెగెట్ 16 ప్రపంచ యుద్ధం ముగిసే సమయానికి ఫ్రాన్స్‌లో ఉత్పత్తి చేయబడిన బాంబర్ బైప్‌లేన్. బ్రెగెట్ 16 యొక్క రూపకల్పన తప్పనిసరిగా బ్రెగెట్ యొక్క అత్యంత విజయవంతమైన 14 యొక్క స్కేల్-అప్ వెర్షన్-సాంప్రదాయకంగా కాన్ఫిగర్ చేయబడిన బైప్‌లేన్ రెండు-బే, అన్‌స్టాగర్డ్, సమాన- స్పాన్ రెక్కలు. 1918 లో ట్రయల్స్ ఆశాజనకంగా నిరూపించబడ్డాయి మరియు బ్రెగెట్ నుండి లైసెన్స్ కింద అనేక మంది ఫ్రెంచ్ తయారీదారులు 1919 కొరకు ప్రణాళిక చేయబడ్డారు. ఈ ప్రణాళికలు యుద్ధ విరమణపై విస్మరించబడ్డాయి, అయితే 1920 ల ప్రారంభంలో ఫ్రెంచ్ వైమానిక దళం ఒక కార్యక్రమాన్ని ప్రారంభించినప్పుడు మరింత పరిమిత ఉత్పత్తి పునరుద్ధరించబడింది. ఆధునికీకరణ. [1] సేవలో, సింగిల్-ఇంజిన్ బ్రెగెట్ 16 ను వాడుకలో లేని జంట-ఇంజిన్ ఫార్మాన్ F.50 లను రాత్రి బాంబర్ పాత్రలో BRE.16BN.2 గా మార్చడానికి ఉపయోగించారు. నిర్మించిన 200 విమానాలలో కొన్ని సిరియా మరియు మొరాకోలకు మోహరించబడ్డాయి, మరియు బ్రెగెట్ కూడా చైనా మరియు చెకోస్లోవేకియా యొక్క సైనిక వాయు ఆయుధాలకు కొన్నింటిని విక్రయించగలిగాడు. [2] పోర్చుగల్ మరియు మకావుల మధ్య విమానంలో ప్రయాణించడానికి 1924 లో పోర్చుగీస్ వైమానిక దళం ఒకే బ్రెగెట్ 16 ను కొనుగోలు చేసింది, కాని ఈ ప్రయత్నం విఫలమైంది, భారతదేశంలో బలవంతంగా ల్యాండింగ్‌లో విమానం నాశనమైంది. [3] సాధారణ లక్షణాలు</v>
      </c>
      <c r="E134" s="1" t="s">
        <v>2549</v>
      </c>
      <c r="F134" s="1" t="s">
        <v>2550</v>
      </c>
      <c r="G134" s="1" t="str">
        <f>IFERROR(__xludf.DUMMYFUNCTION("GOOGLETRANSLATE(F:F,""en"", ""te"")"),"నైట్ బాంబర్")</f>
        <v>నైట్ బాంబర్</v>
      </c>
      <c r="H134" s="1" t="s">
        <v>2551</v>
      </c>
      <c r="L134" s="1" t="s">
        <v>1914</v>
      </c>
      <c r="M134" s="1" t="str">
        <f>IFERROR(__xludf.DUMMYFUNCTION("GOOGLETRANSLATE(L:L,""en"", ""te"")"),"బ్రెగెట్")</f>
        <v>బ్రెగెట్</v>
      </c>
      <c r="N134" s="2" t="s">
        <v>1915</v>
      </c>
      <c r="O134" s="1">
        <v>1921.0</v>
      </c>
      <c r="R134" s="1" t="s">
        <v>2552</v>
      </c>
      <c r="S134" s="1" t="s">
        <v>2553</v>
      </c>
      <c r="U134" s="1" t="s">
        <v>1598</v>
      </c>
      <c r="V134" s="1" t="s">
        <v>2554</v>
      </c>
      <c r="W134" s="1" t="s">
        <v>2555</v>
      </c>
      <c r="X134" s="1" t="s">
        <v>2556</v>
      </c>
      <c r="Y134" s="1" t="s">
        <v>2557</v>
      </c>
      <c r="AA134" s="1" t="s">
        <v>2558</v>
      </c>
      <c r="AG134" s="1" t="s">
        <v>208</v>
      </c>
      <c r="AH134" s="1" t="s">
        <v>2559</v>
      </c>
      <c r="AK134" s="1" t="s">
        <v>2560</v>
      </c>
      <c r="AL134" s="1" t="s">
        <v>2561</v>
      </c>
      <c r="AM134" s="1" t="s">
        <v>2562</v>
      </c>
      <c r="AN134" s="1" t="s">
        <v>2563</v>
      </c>
      <c r="AO134" s="4">
        <v>6727.0</v>
      </c>
      <c r="AQ134" s="1" t="s">
        <v>2160</v>
      </c>
      <c r="BC134" s="1">
        <v>1926.0</v>
      </c>
      <c r="CU134" s="2" t="s">
        <v>2564</v>
      </c>
      <c r="DT134" s="2" t="s">
        <v>2565</v>
      </c>
    </row>
    <row r="135">
      <c r="A135" s="1" t="s">
        <v>2566</v>
      </c>
      <c r="B135" s="1" t="str">
        <f>IFERROR(__xludf.DUMMYFUNCTION("GOOGLETRANSLATE(A:A,""en"", ""te"")"),"బ్రోచెట్ MB.100")</f>
        <v>బ్రోచెట్ MB.100</v>
      </c>
      <c r="C135" s="1" t="s">
        <v>2567</v>
      </c>
      <c r="D135" s="1" t="str">
        <f>IFERROR(__xludf.DUMMYFUNCTION("GOOGLETRANSLATE(C:C,""en"", ""te"")"),"బ్రోచెట్ MB.100 అనేది 1950 ల ప్రారంభంలో ఫ్రాన్స్‌లో అభివృద్ధి చేయబడిన మూడు సీట్ల తేలికపాటి విమానం. బ్రోచెట్ MB.70 యొక్క మరో ఉత్పన్నం, MB.100 తప్పనిసరిగా MB.80 వలె అదే ఎయిర్‌ఫ్రేమ్‌ను ఉపయోగిస్తుంది, కాని సవరించిన తోక మరియు క్యాబిన్‌తో, రెండోది ఇప్పుడు మూడవ"&amp;" సీటుతో సహా. సర్వీస్ డి ఎల్ ఏవియేషన్ లెగెర్ ఎట్ స్పోర్టివ్ ఫ్రెంచ్ ఏరోక్లబ్‌లకు పంపిణీ చేయడానికి అనేక ఉదాహరణలను కొనుగోలు చేసింది, ఉత్తర ఆఫ్రికాలో ఉపయోగం కోసం అనేక ఉష్ణమండల సంస్కరణలతో సహా. దాని పూర్వీకుల మాదిరిగా కాకుండా, MB.100 హోమ్‌బిల్డింగ్ కోసం రూపొంది"&amp;"ంచబడలేదు. జేన్స్ యొక్క అన్ని ప్రపంచ విమానాల నుండి డేటా 1956–57 [1] సాధారణ లక్షణాల పనితీరు")</f>
        <v>బ్రోచెట్ MB.100 అనేది 1950 ల ప్రారంభంలో ఫ్రాన్స్‌లో అభివృద్ధి చేయబడిన మూడు సీట్ల తేలికపాటి విమానం. బ్రోచెట్ MB.70 యొక్క మరో ఉత్పన్నం, MB.100 తప్పనిసరిగా MB.80 వలె అదే ఎయిర్‌ఫ్రేమ్‌ను ఉపయోగిస్తుంది, కాని సవరించిన తోక మరియు క్యాబిన్‌తో, రెండోది ఇప్పుడు మూడవ సీటుతో సహా. సర్వీస్ డి ఎల్ ఏవియేషన్ లెగెర్ ఎట్ స్పోర్టివ్ ఫ్రెంచ్ ఏరోక్లబ్‌లకు పంపిణీ చేయడానికి అనేక ఉదాహరణలను కొనుగోలు చేసింది, ఉత్తర ఆఫ్రికాలో ఉపయోగం కోసం అనేక ఉష్ణమండల సంస్కరణలతో సహా. దాని పూర్వీకుల మాదిరిగా కాకుండా, MB.100 హోమ్‌బిల్డింగ్ కోసం రూపొందించబడలేదు. జేన్స్ యొక్క అన్ని ప్రపంచ విమానాల నుండి డేటా 1956–57 [1] సాధారణ లక్షణాల పనితీరు</v>
      </c>
      <c r="F135" s="1" t="s">
        <v>949</v>
      </c>
      <c r="G135" s="1" t="str">
        <f>IFERROR(__xludf.DUMMYFUNCTION("GOOGLETRANSLATE(F:F,""en"", ""te"")"),"స్పోర్ట్స్ ప్లేన్")</f>
        <v>స్పోర్ట్స్ ప్లేన్</v>
      </c>
      <c r="L135" s="1" t="s">
        <v>2568</v>
      </c>
      <c r="M135" s="1" t="str">
        <f>IFERROR(__xludf.DUMMYFUNCTION("GOOGLETRANSLATE(L:L,""en"", ""te"")"),"బ్రోచెట్")</f>
        <v>బ్రోచెట్</v>
      </c>
      <c r="N135" s="2" t="s">
        <v>2569</v>
      </c>
      <c r="R135" s="1">
        <v>21.0</v>
      </c>
      <c r="S135" s="1">
        <v>1.0</v>
      </c>
      <c r="T135" s="1" t="s">
        <v>2570</v>
      </c>
      <c r="U135" s="1" t="s">
        <v>2571</v>
      </c>
      <c r="V135" s="1" t="s">
        <v>2572</v>
      </c>
      <c r="W135" s="1" t="s">
        <v>2573</v>
      </c>
      <c r="X135" s="1" t="s">
        <v>2574</v>
      </c>
      <c r="Y135" s="1" t="s">
        <v>2575</v>
      </c>
      <c r="AA135" s="1" t="s">
        <v>2576</v>
      </c>
      <c r="AB135" s="1" t="s">
        <v>2240</v>
      </c>
      <c r="AD135" s="1" t="s">
        <v>2085</v>
      </c>
      <c r="AG135" s="1" t="s">
        <v>2577</v>
      </c>
      <c r="AH135" s="1" t="s">
        <v>2578</v>
      </c>
      <c r="AK135" s="1" t="s">
        <v>2165</v>
      </c>
      <c r="AL135" s="1" t="s">
        <v>2579</v>
      </c>
      <c r="AM135" s="1" t="s">
        <v>2580</v>
      </c>
      <c r="AN135" s="1" t="s">
        <v>2581</v>
      </c>
      <c r="AO135" s="4">
        <v>18631.0</v>
      </c>
      <c r="AQ135" s="1" t="s">
        <v>2275</v>
      </c>
      <c r="CD135" s="1" t="s">
        <v>2582</v>
      </c>
    </row>
    <row r="136">
      <c r="A136" s="1" t="s">
        <v>2583</v>
      </c>
      <c r="B136" s="1" t="str">
        <f>IFERROR(__xludf.DUMMYFUNCTION("GOOGLETRANSLATE(A:A,""en"", ""te"")"),"పోటెజ్ 29")</f>
        <v>పోటెజ్ 29</v>
      </c>
      <c r="C136" s="1" t="s">
        <v>2584</v>
      </c>
      <c r="D136" s="1" t="str">
        <f>IFERROR(__xludf.DUMMYFUNCTION("GOOGLETRANSLATE(C:C,""en"", ""te"")"),"పోటెజ్ 29 1920 ల ఫ్రెంచ్ ప్రయాణీకుల బైప్‌లేన్, ఇది ఏవియన్లు హెన్రీ పోటెజ్ రూపొందించారు మరియు నిర్మించారు. పౌర విమానంగా రూపొందించబడినప్పటికీ, పెద్ద సంఖ్యలో ఫ్రెంచ్ వైమానిక దళంతో సేవలోకి ప్రవేశించింది. పోటెజ్ 29 అనేది ముక్కు-మౌంటెడ్ 335 కిలోవాట్ (450 హెచ్‌ప"&amp;"ి) లోరైన్ 12eb బ్రాడ్-బాణం పిస్టన్ ఇంజిన్‌తో నడిచే బిప్‌లేన్, స్థిర టెయిల్‌స్కిడ్ ల్యాండింగ్ గేర్‌తో. మునుపటి పోటెజ్ 25 ఆధారంగా, అదే రెక్కలు మరియు ఇంజిన్‌తో, పోటెజ్ 29 లో ఇద్దరు సిబ్బందికి పరివేష్టిత కాక్‌పిట్ మరియు ఐదుగురు ప్రయాణీకులకు క్యాబిన్ ఉన్నాయి. "&amp;"29 విజయవంతమైందని నిరూపించబడింది; ఇది పౌర విమానయాన సంస్థలతో సేవలోకి ప్రవేశించింది, మరియు 120 మంది ఫ్రెంచ్ వైమానిక దళానికి, ప్రధానంగా ఎయిర్ అంబులెన్స్ మరియు తేలికపాటి రవాణాగా పంపిణీ చేయబడ్డాయి. సాధారణ లక్షణాలు పనితీరు సంబంధిత జాబితాలు")</f>
        <v>పోటెజ్ 29 1920 ల ఫ్రెంచ్ ప్రయాణీకుల బైప్‌లేన్, ఇది ఏవియన్లు హెన్రీ పోటెజ్ రూపొందించారు మరియు నిర్మించారు. పౌర విమానంగా రూపొందించబడినప్పటికీ, పెద్ద సంఖ్యలో ఫ్రెంచ్ వైమానిక దళంతో సేవలోకి ప్రవేశించింది. పోటెజ్ 29 అనేది ముక్కు-మౌంటెడ్ 335 కిలోవాట్ (450 హెచ్‌పి) లోరైన్ 12eb బ్రాడ్-బాణం పిస్టన్ ఇంజిన్‌తో నడిచే బిప్‌లేన్, స్థిర టెయిల్‌స్కిడ్ ల్యాండింగ్ గేర్‌తో. మునుపటి పోటెజ్ 25 ఆధారంగా, అదే రెక్కలు మరియు ఇంజిన్‌తో, పోటెజ్ 29 లో ఇద్దరు సిబ్బందికి పరివేష్టిత కాక్‌పిట్ మరియు ఐదుగురు ప్రయాణీకులకు క్యాబిన్ ఉన్నాయి. 29 విజయవంతమైందని నిరూపించబడింది; ఇది పౌర విమానయాన సంస్థలతో సేవలోకి ప్రవేశించింది, మరియు 120 మంది ఫ్రెంచ్ వైమానిక దళానికి, ప్రధానంగా ఎయిర్ అంబులెన్స్ మరియు తేలికపాటి రవాణాగా పంపిణీ చేయబడ్డాయి. సాధారణ లక్షణాలు పనితీరు సంబంధిత జాబితాలు</v>
      </c>
      <c r="E136" s="1" t="s">
        <v>2585</v>
      </c>
      <c r="F136" s="1" t="s">
        <v>2586</v>
      </c>
      <c r="G136" s="1" t="str">
        <f>IFERROR(__xludf.DUMMYFUNCTION("GOOGLETRANSLATE(F:F,""en"", ""te"")"),"రవాణా బిప్‌లేన్")</f>
        <v>రవాణా బిప్‌లేన్</v>
      </c>
      <c r="H136" s="1" t="s">
        <v>2587</v>
      </c>
      <c r="I136" s="1" t="s">
        <v>798</v>
      </c>
      <c r="J136" s="1" t="str">
        <f>IFERROR(__xludf.DUMMYFUNCTION("GOOGLETRANSLATE(I:I,""en"", ""te"")"),"ఫ్రాన్స్")</f>
        <v>ఫ్రాన్స్</v>
      </c>
      <c r="L136" s="1" t="s">
        <v>2588</v>
      </c>
      <c r="M136" s="1" t="str">
        <f>IFERROR(__xludf.DUMMYFUNCTION("GOOGLETRANSLATE(L:L,""en"", ""te"")"),"పోటెజ్")</f>
        <v>పోటెజ్</v>
      </c>
      <c r="N136" s="2" t="s">
        <v>2589</v>
      </c>
      <c r="R136" s="1">
        <v>146.0</v>
      </c>
      <c r="S136" s="1">
        <v>2.0</v>
      </c>
      <c r="T136" s="1">
        <v>5.0</v>
      </c>
      <c r="U136" s="1" t="s">
        <v>2590</v>
      </c>
      <c r="V136" s="1" t="s">
        <v>2591</v>
      </c>
      <c r="Y136" s="1" t="s">
        <v>2592</v>
      </c>
      <c r="AA136" s="1" t="s">
        <v>2593</v>
      </c>
      <c r="AB136" s="1" t="s">
        <v>2594</v>
      </c>
      <c r="AG136" s="1" t="s">
        <v>208</v>
      </c>
      <c r="AK136" s="1" t="s">
        <v>2595</v>
      </c>
      <c r="AL136" s="1" t="s">
        <v>2596</v>
      </c>
      <c r="AO136" s="1">
        <v>1927.0</v>
      </c>
      <c r="AQ136" s="1" t="s">
        <v>2597</v>
      </c>
      <c r="AR136" s="1" t="s">
        <v>1680</v>
      </c>
      <c r="BA136" s="1" t="s">
        <v>1681</v>
      </c>
      <c r="CD136" s="2" t="s">
        <v>2598</v>
      </c>
      <c r="CR136" s="1" t="s">
        <v>2599</v>
      </c>
    </row>
    <row r="137">
      <c r="A137" s="1" t="s">
        <v>2600</v>
      </c>
      <c r="B137" s="1" t="str">
        <f>IFERROR(__xludf.DUMMYFUNCTION("GOOGLETRANSLATE(A:A,""en"", ""te"")"),"డ్యూయిటిన్ D.332")</f>
        <v>డ్యూయిటిన్ D.332</v>
      </c>
      <c r="C137" s="1" t="s">
        <v>2601</v>
      </c>
      <c r="D137" s="1" t="str">
        <f>IFERROR(__xludf.DUMMYFUNCTION("GOOGLETRANSLATE(C:C,""en"", ""te"")"),"డ్యూయిటిన్ D.332 1930 ల ఫ్రెంచ్ ఎనిమిది-ప్రయాణీకుల విమానాలు, ఇది డ్యూయిటిన్ నిర్మించింది. D.332 ఆల్-మెటల్ కాంటిలివర్ లో-వింగ్ మోనోప్లేన్. పైలట్ మరియు కో-పైలట్ వింగ్ లీడింగ్ ఎడ్జ్ ముందుకు ఉన్న క్యాబిన్‌లో పక్కపక్కనే కూర్చున్నారు. ఒక రేడియో ఆపరేటర్ స్టేషన్ "&amp;"పైలట్ల వెనుక ఉంది, మరియు ఇది ఎనిమిది మంది ప్రయాణికులకు ప్రయాణీకుల క్యాబిన్ కలిగి ఉంది. ల్యాండింగ్ గేర్‌లో ప్రధాన గేర్ కాళ్ళపై ప్యాంటు-రకం ఫెయిరింగ్‌లు ఉన్నాయి. ఈ విమానం మొదట 11 జూలై 1933 న మూడు హిస్పానో-సుజా 9 వి రేడియల్ ఇంజన్లతో నడిచింది. ఈ నమూనాకు ఎమెరా"&amp;"డ్ (ఫ్రెంచ్‌లో ""ఎమరాల్డ్"") అని పేరు పెట్టారు మరియు యూరోపియన్ రాజధానుల చుట్టూ ప్రదర్శన విమానాలను నిర్వహించింది. 7 సెప్టెంబర్ 1933 న ఎమెరాడ్ ప్రపంచ స్థాయి రికార్డును సంపాదించింది, ఇది 1,000 కిలోమీటర్ల (621-మైలు) కోర్సును 2,000 కిలోగ్రాముల (4,410 పౌండ్లు) "&amp;"ఉపయోగకరమైన లోడ్‌తో సగటున 159.56 కిమీ/గం (99.1 mph) వేగంతో ఎగురవేసింది. ఫ్రెంచ్ ఇండోచైనా మార్గంలో ఉపయోగం కోసం ఎయిర్ ఫ్రాన్స్ అవసరాన్ని తీర్చడానికి రూపొందించబడిన ఈ విమానం 21 డిసెంబర్ 1933 న సైగాన్ కోసం బయలుదేరింది. ఈ విమానం 28 డిసెంబర్ 1933 న సైగాన్ వద్దకు "&amp;"చేరుకుంది. తిరిగి వచ్చే విమానంలో, దాని గమ్యం నుండి 400 కిలోమీటర్ల (250 మైళ్ళు) మాత్రమే, లే బౌర్గెట్ విమానాశ్రయం, ఎమెరాడ్ కార్బిగ్ని సమీపంలో ఒక కొండను హింసాత్మక మంచు తుఫానులో కొట్టాడు మరియు నాశనమయ్యాయి. ప్రమాదం ఉన్నప్పటికీ, ఎయిర్ ఫ్రాన్స్ డి .333 ను నియమిం"&amp;"చే మెరుగైన సంస్కరణలో మూడు ఆర్డర్ చేయాలని నిర్ణయించింది. D.333 ఒక భారీ మరియు బలోపేతం అయిన పది-సీట్ల వెర్షన్, పూర్తిగా లోడ్ చేయబడిన బరువు 1,650 కిలోలు (3,640 పౌండ్లు) పెరుగుతుంది. మూడు డి .333 లు ఎయిర్ ఫ్రాన్స్ సౌత్ అమెరికన్ మార్గంలో టౌలౌస్-డాకర్ రంగంలో చాల"&amp;"ా సంవత్సరాలు ఉపయోగించబడ్డాయి. ఈ విమానాలలో రెండు రెండవ ప్రపంచ యుద్ధం తరువాత అర్జెంటీనా వైమానిక దళానికి బదిలీ చేయబడ్డాయి మరియు రెండు 338 లతో పాటు ఉపయోగించబడ్డాయి. జనవరి 15, 1934 న అర్జెంటీనా మొత్తం రెండు రకాలను కలిగి ఉంది, ఫ్రాన్స్‌లోని లియోన్ నుండి పారిస్ "&amp;"వెలుపల పారిస్-లే బౌర్గెట్ విమానాశ్రయానికి ఎగురుతున్నప్పుడు-జనవరి 5 న ఫ్రెంచ్ ఇండోచైనాలో స్టాప్‌లతో ప్రారంభమైన ఫ్లైట్ యొక్క చివరి దశ-స్టాప్‌లతో బ్రిటిష్ ఇండియాలోని కరాచీ వద్ద; భాగ్దాద్, ఇరాక్; మార్సెల్లెస్, ఫ్రాన్స్; మరియు లియోన్స్-ఎయిర్ ఫ్రాన్స్ కోసం పనిచ"&amp;"ేసే మరియు ఎఫ్-అమిగా నమోదు చేయబడిన ప్రోటోటైప్ ఎమెరాడ్, ఫ్రాన్స్‌లోని కార్బిగ్ని వద్ద మంచు తుఫానులో కుప్పకూలింది, విమానంలో ఉన్న పది మందిని చంపింది. ఐసింగ్ కారణంగా క్రాష్ బహుశా సంభవించింది. [1] ఇలస్ట్రేటెడ్ ఎన్సైక్లోపీడియా ఆఫ్ ఎయిర్‌క్రాఫ్ట్ నుండి డేటా, [2] "&amp;"ఫ్లైట్: ది న్యూ డోవోయిటిన్ ట్రాన్స్‌పోర్ట్ మోనోప్లేన్, డి .332, [3] ఏవియాఫ్రాన్స్: డ్యూయిటిన్ డి .332 'ఎమెరాడ్'")</f>
        <v>డ్యూయిటిన్ D.332 1930 ల ఫ్రెంచ్ ఎనిమిది-ప్రయాణీకుల విమానాలు, ఇది డ్యూయిటిన్ నిర్మించింది. D.332 ఆల్-మెటల్ కాంటిలివర్ లో-వింగ్ మోనోప్లేన్. పైలట్ మరియు కో-పైలట్ వింగ్ లీడింగ్ ఎడ్జ్ ముందుకు ఉన్న క్యాబిన్‌లో పక్కపక్కనే కూర్చున్నారు. ఒక రేడియో ఆపరేటర్ స్టేషన్ పైలట్ల వెనుక ఉంది, మరియు ఇది ఎనిమిది మంది ప్రయాణికులకు ప్రయాణీకుల క్యాబిన్ కలిగి ఉంది. ల్యాండింగ్ గేర్‌లో ప్రధాన గేర్ కాళ్ళపై ప్యాంటు-రకం ఫెయిరింగ్‌లు ఉన్నాయి. ఈ విమానం మొదట 11 జూలై 1933 న మూడు హిస్పానో-సుజా 9 వి రేడియల్ ఇంజన్లతో నడిచింది. ఈ నమూనాకు ఎమెరాడ్ (ఫ్రెంచ్‌లో "ఎమరాల్డ్") అని పేరు పెట్టారు మరియు యూరోపియన్ రాజధానుల చుట్టూ ప్రదర్శన విమానాలను నిర్వహించింది. 7 సెప్టెంబర్ 1933 న ఎమెరాడ్ ప్రపంచ స్థాయి రికార్డును సంపాదించింది, ఇది 1,000 కిలోమీటర్ల (621-మైలు) కోర్సును 2,000 కిలోగ్రాముల (4,410 పౌండ్లు) ఉపయోగకరమైన లోడ్‌తో సగటున 159.56 కిమీ/గం (99.1 mph) వేగంతో ఎగురవేసింది. ఫ్రెంచ్ ఇండోచైనా మార్గంలో ఉపయోగం కోసం ఎయిర్ ఫ్రాన్స్ అవసరాన్ని తీర్చడానికి రూపొందించబడిన ఈ విమానం 21 డిసెంబర్ 1933 న సైగాన్ కోసం బయలుదేరింది. ఈ విమానం 28 డిసెంబర్ 1933 న సైగాన్ వద్దకు చేరుకుంది. తిరిగి వచ్చే విమానంలో, దాని గమ్యం నుండి 400 కిలోమీటర్ల (250 మైళ్ళు) మాత్రమే, లే బౌర్గెట్ విమానాశ్రయం, ఎమెరాడ్ కార్బిగ్ని సమీపంలో ఒక కొండను హింసాత్మక మంచు తుఫానులో కొట్టాడు మరియు నాశనమయ్యాయి. ప్రమాదం ఉన్నప్పటికీ, ఎయిర్ ఫ్రాన్స్ డి .333 ను నియమించే మెరుగైన సంస్కరణలో మూడు ఆర్డర్ చేయాలని నిర్ణయించింది. D.333 ఒక భారీ మరియు బలోపేతం అయిన పది-సీట్ల వెర్షన్, పూర్తిగా లోడ్ చేయబడిన బరువు 1,650 కిలోలు (3,640 పౌండ్లు) పెరుగుతుంది. మూడు డి .333 లు ఎయిర్ ఫ్రాన్స్ సౌత్ అమెరికన్ మార్గంలో టౌలౌస్-డాకర్ రంగంలో చాలా సంవత్సరాలు ఉపయోగించబడ్డాయి. ఈ విమానాలలో రెండు రెండవ ప్రపంచ యుద్ధం తరువాత అర్జెంటీనా వైమానిక దళానికి బదిలీ చేయబడ్డాయి మరియు రెండు 338 లతో పాటు ఉపయోగించబడ్డాయి. జనవరి 15, 1934 న అర్జెంటీనా మొత్తం రెండు రకాలను కలిగి ఉంది, ఫ్రాన్స్‌లోని లియోన్ నుండి పారిస్ వెలుపల పారిస్-లే బౌర్గెట్ విమానాశ్రయానికి ఎగురుతున్నప్పుడు-జనవరి 5 న ఫ్రెంచ్ ఇండోచైనాలో స్టాప్‌లతో ప్రారంభమైన ఫ్లైట్ యొక్క చివరి దశ-స్టాప్‌లతో బ్రిటిష్ ఇండియాలోని కరాచీ వద్ద; భాగ్దాద్, ఇరాక్; మార్సెల్లెస్, ఫ్రాన్స్; మరియు లియోన్స్-ఎయిర్ ఫ్రాన్స్ కోసం పనిచేసే మరియు ఎఫ్-అమిగా నమోదు చేయబడిన ప్రోటోటైప్ ఎమెరాడ్, ఫ్రాన్స్‌లోని కార్బిగ్ని వద్ద మంచు తుఫానులో కుప్పకూలింది, విమానంలో ఉన్న పది మందిని చంపింది. ఐసింగ్ కారణంగా క్రాష్ బహుశా సంభవించింది. [1] ఇలస్ట్రేటెడ్ ఎన్సైక్లోపీడియా ఆఫ్ ఎయిర్‌క్రాఫ్ట్ నుండి డేటా, [2] ఫ్లైట్: ది న్యూ డోవోయిటిన్ ట్రాన్స్‌పోర్ట్ మోనోప్లేన్, డి .332, [3] ఏవియాఫ్రాన్స్: డ్యూయిటిన్ డి .332 'ఎమెరాడ్'</v>
      </c>
      <c r="E137" s="1" t="s">
        <v>2602</v>
      </c>
      <c r="F137" s="1" t="s">
        <v>384</v>
      </c>
      <c r="G137" s="1" t="str">
        <f>IFERROR(__xludf.DUMMYFUNCTION("GOOGLETRANSLATE(F:F,""en"", ""te"")"),"విమానాల")</f>
        <v>విమానాల</v>
      </c>
      <c r="H137" s="2" t="s">
        <v>2603</v>
      </c>
      <c r="L137" s="1" t="s">
        <v>2604</v>
      </c>
      <c r="M137" s="1" t="str">
        <f>IFERROR(__xludf.DUMMYFUNCTION("GOOGLETRANSLATE(L:L,""en"", ""te"")"),"డ్యూయిటిన్")</f>
        <v>డ్యూయిటిన్</v>
      </c>
      <c r="N137" s="2" t="s">
        <v>2605</v>
      </c>
      <c r="R137" s="1" t="s">
        <v>2606</v>
      </c>
      <c r="S137" s="1" t="s">
        <v>2607</v>
      </c>
      <c r="T137" s="1" t="s">
        <v>388</v>
      </c>
      <c r="U137" s="1" t="s">
        <v>2608</v>
      </c>
      <c r="V137" s="1" t="s">
        <v>2609</v>
      </c>
      <c r="W137" s="1" t="s">
        <v>2610</v>
      </c>
      <c r="X137" s="1" t="s">
        <v>2611</v>
      </c>
      <c r="AA137" s="1" t="s">
        <v>2612</v>
      </c>
      <c r="AB137" s="1" t="s">
        <v>2530</v>
      </c>
      <c r="AE137" s="1" t="s">
        <v>2613</v>
      </c>
      <c r="AG137" s="1" t="s">
        <v>2614</v>
      </c>
      <c r="AH137" s="1" t="s">
        <v>2615</v>
      </c>
      <c r="AK137" s="1" t="s">
        <v>2616</v>
      </c>
      <c r="AL137" s="1" t="s">
        <v>2617</v>
      </c>
      <c r="AO137" s="4">
        <v>12246.0</v>
      </c>
      <c r="AQ137" s="1" t="s">
        <v>2618</v>
      </c>
      <c r="AR137" s="1" t="s">
        <v>2619</v>
      </c>
      <c r="AS137" s="2" t="s">
        <v>2620</v>
      </c>
      <c r="AT137" s="1" t="s">
        <v>2621</v>
      </c>
      <c r="BA137" s="1" t="s">
        <v>2622</v>
      </c>
      <c r="CC137" s="1" t="s">
        <v>2623</v>
      </c>
      <c r="CD137" s="1" t="s">
        <v>2624</v>
      </c>
    </row>
    <row r="138">
      <c r="A138" s="1" t="s">
        <v>2625</v>
      </c>
      <c r="B138" s="1" t="str">
        <f>IFERROR(__xludf.DUMMYFUNCTION("GOOGLETRANSLATE(A:A,""en"", ""te"")"),"ఇండోనేషియా ఏరోస్పేస్ N-219")</f>
        <v>ఇండోనేషియా ఏరోస్పేస్ N-219</v>
      </c>
      <c r="C138" s="1" t="s">
        <v>2626</v>
      </c>
      <c r="D138" s="1" t="str">
        <f>IFERROR(__xludf.DUMMYFUNCTION("GOOGLETRANSLATE(C:C,""en"", ""te"")"),"ఇండోనేషియా ఏరోస్పేస్ N-219 నూర్తానియో ఇండోనేషియా ఏరోస్పేస్ రూపొందించిన యుటిలిటీ విమానం. 2003 లో, IPTN N-250 ప్రోగ్రామ్ హాల్ట్ తరువాత, ఇండోనేషియా ఏరోస్పేస్ (IAE) ప్లాన్బిడి 19-సీట్ల విమానాన్ని అభివృద్ధి చేయడానికి IPTN NC-212 ఉత్పత్తి ముగింపును అధిగమించడాని"&amp;"కి. [1] 2004 ప్రారంభంలో, IAE మలేషియా ఏరోస్పేస్ కంపెనీలతో చర్చలు జరుపుతోంది మరియు N219 అభివృద్ధిని 60-80 మిలియన్ డాలర్లుగా అంచనా వేసింది, ఏప్రిల్ 2006 లో ఒక ప్రోటోటైప్‌ను ఎగురవేయడానికి మరియు ఆగస్టు 2007 లో ధృవీకరించడానికి. [2] 2006 లో, ఖతార్-ఇండోనేషియా జాయ"&amp;"ింట్ ఇన్వెస్ట్‌మెంట్ ఫండ్, 70% ఖతార్ మరియు 30% ఇండోనేషియా చేత రెండేళ్లలో ఒక నమూనా కోసం 19 సీట్ల N-219 అభివృద్ధికి M 65 మిలియన్ల నిధులు ప్రతిపాదించబడ్డాయి. [3] జూన్ 2011 నాటికి, దాని ధర ఒక్కొక్కటి US $ 4 మిలియన్లుగా అంచనా వేయబడింది మరియు ఇది 2014 లో ఎగురుత"&amp;"ుందని అంచనా. [4] ఇండోనేషియా పరిశ్రమ మంత్రి ప్రోటోటైప్‌ను నిర్మించాలని RP59 బిలియన్లను అభ్యర్థించారు. [5] [6] జనవరి 2012 లో, అభివృద్ధి బడ్జెట్ 15 విమానాలకు సుమారు million 30 మిలియన్లు. [7] ఆగష్టు 2014 లో, సూచన ధర million 5 మిలియన్లకు పెరిగింది. [8] మొదటి ల"&amp;"ోహం సెప్టెంబర్ 2014 లో, ఆగస్టు 2015 లో ప్రణాళికాబద్ధమైన రోల్-అవుట్ మరియు 2016 లో ధృవీకరణకు ముందు, ఎగుమతి కోసం ఎయిర్‌బస్ మద్దతుతో EASA ధృవీకరణకు ముందు. [9] మొదటి డెలివరీలు 2017 కి షెడ్యూల్ చేయబడ్డాయి. రోల్-అవుట్ నవంబర్ 2015 లో షెడ్యూల్ చేయబడింది. [10] ఆగష్"&amp;"టు 2016 లో, ఎయిర్‌బస్ ధృవీకరణతో సహాయం అందించడానికి నిశ్చితార్థం జరిగింది. [11] నవంబర్ 2015 పబ్లిక్ పరిచయం తర్వాత ప్రోటోటైప్ పరీక్షలో ప్రవేశించింది. [12] మొట్టమొదటి ప్రోటోటైప్ నిర్మాణం 2016 చివరిలో కన్య విమానంలో 2016 మధ్యలో పూర్తి కావాలని యోచిస్తోంది, అయిత"&amp;"ే ఈ మొదటి ఫ్లైట్ అదే సంవత్సరంలో ధృవీకరణ కోసం మార్చి 2017 వరకు ఆలస్యం అయింది మరియు 2018 లో ఉత్పత్తి ప్రారంభమైంది. [13] ఫిబ్రవరిలో, ఇది మళ్ళీ ఏప్రిల్‌కు ఆలస్యం అయింది. [14] బాండుంగ్‌లోని హుసిన్ శాస్త్రేనేగరా అంతర్జాతీయ విమానాశ్రయంలో 11 ఆగస్టు 2017 న వరుసగా "&amp;"హై-స్పీడ్ టాక్సీంగ్ పరుగుల తరువాత, ప్రోటోటైప్ 16 ఆగస్టు 2017 న 26 నిమిషాల విమానానికి బయలుదేరింది. [15] ఇండోనేషియా రవాణా మంత్రిత్వ శాఖ నుండి ధృవీకరణ కోసం 200 గంటల విమాన పరీక్షలను పూర్తి చేయడానికి కనీసం RP 200 బిలియన్లు అవసరమని ఆ సమయంలో అంచనా వేయబడింది. [16"&amp;"] ఈక్విటీ పాల్గొనడం, ప్రైవేట్-పబ్లిక్ పార్ట్‌నర్‌షిప్‌లు, తయారీ అనుబంధ సంస్థలు మరియు జాయింట్ వెంచర్ల ద్వారా సేకరించిన కొత్త $ 90-100 మిలియన్ల సదుపాయంలో 2020 లో 16 మరియు 36 కి పెరిగే కొత్త $ 90-100 మిలియన్ల సదుపాయంలో 2020 లో 16 మరియు 36 కి పెరిగిందని 2019 "&amp;"లో ఉత్పత్తి అంచనా వేయబడింది. [17] ఇండోనేషియా డైరెక్టరేట్ జనరల్ ఆఫ్ సివిల్ ఏవియేషన్ 18 డిసెంబర్ 2020 న ఒక రకం ధృవీకరణ పత్రాన్ని జారీ చేసింది. [18] N-219 అనేది జంట-ఇంజిన్, 19-సీట్ల రవాణా విమానం, మారుమూల ప్రాంతాలలో బహుళ-ప్రయోజన మిషన్ల కోసం రూపొందించబడింది. ["&amp;"19] ఇది రిమోట్, సెమీ తయారుచేసిన ఎయిర్‌స్ట్రిప్స్‌లో మరియు వెలుపల పనిచేయడానికి ఉద్దేశించబడింది; ఇండోనేషియా యొక్క ద్వీపసమూహంలో పరిస్థితులకు అనుకూలం. [20] ఇది CASA C-212 అవియోకార్ నుండి అభివృద్ధి చేయబడింది మరియు ఆ రూపకల్పన వలె, అన్ని లోహ నిర్మాణాలలో కూడా ఉంద"&amp;"ి. ఇది దాని తరగతిలో (6.50 x 1.82 x 1.70 మీ) అతిపెద్ద క్యాబిన్ వాల్యూమ్ కలిగి ఉంటుందని పేర్కొన్నారు. [9] ప్రయాణీకులు మరియు సరుకులను రవాణా చేయడానికి బహుళ-ప్రయోజన మిషన్లను అనుమతించడానికి సౌకర్యవంతమైన తలుపు వ్యవస్థ. ఈ విమానం FAR 23 (ప్రయాణికుల వర్గం విమానం) క"&amp;"ు అనుగుణంగా రూపొందించబడింది. Wiking 5.8-6 మిలియన్ల ధర, వైకింగ్ DHC-6 ట్విన్ ఓటర్ కంటే కొంచెం తక్కువ, 190 kN (350 కిమీ/గం) క్రూయిజ్ విమానం సరుకు మరియు ప్రయాణీకుల రవాణా, దళాల రవాణా, సైనిక నిఘా, శోధన మరియు రెస్క్యూ మరియు మెడెవాక్ ఆపరేషన్ల కోసం ఉద్దేశించబడింద"&amp;"ి , తరువాత ఉభయచర సంస్కరణతో. అరవై శాతం పదార్థాలు దేశీయంగా ఉత్పత్తి చేయబడతాయి మరియు స్థానిక సరఫరాదారులు ల్యాండింగ్ గేర్ భాగాలు, రబ్బరు భాగాలు మరియు సాధనాన్ని ఉత్పత్తి చేస్తారు. [17] ఆగష్టు 2013 లో, లయన్ ఎయిర్ 100 $ 4.5-5 మిలియన్ N219 లకు అవగాహన యొక్క మెమోరా"&amp;"ండంపై సంతకం చేయవలసి ఉంది. [21] N-219 యొక్క మొత్తం మార్కెట్ 97 సివిల్ మరియు 57 సైనిక విమానాలుగా అంచనా వేయబడింది. 13 ఏప్రిల్ 2015 న, మూడు మెమోరాండా అవగాహన సంతకం చేయబడింది: 20 విమానాలు మరియు పది ఎంపికలకు నుసంతారా బువానా ఎయిర్‌తో, 20 విమానాలు మరియు పది ఎంపికల"&amp;"కు అవియస్టార్ మాండిరి మరియు పది విమానాలు మరియు ఐదు ఎంపికలకు త్రిపానా ఎయిర్ సర్వీసుతో. [22] ఇండోనేషియా చైనా మరియు మెక్సికోలతో N-219 ను ఆ దేశాలకు ఎగుమతి చేయడానికి ఒప్పందాలు కుదుర్చుకుంది. [23] 2017 లో ఆగ్నేయాసియా దేశాలైన థాయిలాండ్ మరియు మయన్మార్ ఈ విమానం పట"&amp;"్ల ఆసక్తిని వ్యక్తం చేశారు. [16] అక్టోబర్ 2018 నాటికి, దేశీయ విమానయాన సంస్థ అవిస్టార్ మరో 20 మందికి అవగాహన మెమోరాండం సంతకం చేయగా, N219 కి 120 ఆర్డర్లు ఉన్నాయి మరియు ఏప్రిల్ లేదా మే 2019 లో ధృవీకరించబడతారు. [17] ఇతర కస్టమర్లలో లయన్ ఎయిర్, ట్రిచానా ఎయిర్ సర"&amp;"్వీస్, నుసంతారా బువానా ఎయిర్, పెలిటా ఎయిర్, ఎయిర్, ఎయిర్ బర్న్ మరియు థాయిలాండ్ ప్రభుత్వం. [17] 9 డిసెంబర్ 2019 న, ACEH ప్రభుత్వం N219 విమానం, సిబ్బంది శిక్షణ మరియు ACEH యొక్క వాయు రవాణా స్విర్విస్ యొక్క ఆపరేషన్ కోసం సహకార ఒప్పందం లేదా అవగాహన (MOU) కు సహకా"&amp;"ర ఒప్పందం లేదా మెమోరాండం (MOU) కు సంతకం చేసింది. [24] 8 డిసెంబర్ 2021 న, ఎన్ 219 లో సముద్ర నిఘా విమానం (ఎంఎస్‌ఎ) మిషన్ వ్యవస్థలను అనుసంధానించడానికి పిటి డైర్గంటారా ఇండోనేషియా (పిటిడిఐ) మరియు పిటి ఇన్ఫోగ్లోబల్ టెక్నోలాజి సెమిస్టా/ఇన్ఫోగ్లోబల్ ఒక మెమోరాండం "&amp;"ఆఫ్ అండర్స్టాండింగ్ (MOU) కు సంతకం చేసింది. ఇది మునుపటి వ్యవస్థపై ఆధారపడి ఉంటుంది, ఇది నేవీ యొక్క IPTN NC-212 మారిటైమ్ పెట్రోల్ విమానంలో కూడా వ్యవస్థాపించబడింది. [25] తయారీదారు నుండి డేటా [26] సాధారణ లక్షణాలు పనితీరు సంబంధిత అభివృద్ధి అభివృద్ధి విమానం పోల"&amp;"్చదగిన పాత్ర, కాన్ఫిగరేషన్ మరియు ERA")</f>
        <v>ఇండోనేషియా ఏరోస్పేస్ N-219 నూర్తానియో ఇండోనేషియా ఏరోస్పేస్ రూపొందించిన యుటిలిటీ విమానం. 2003 లో, IPTN N-250 ప్రోగ్రామ్ హాల్ట్ తరువాత, ఇండోనేషియా ఏరోస్పేస్ (IAE) ప్లాన్బిడి 19-సీట్ల విమానాన్ని అభివృద్ధి చేయడానికి IPTN NC-212 ఉత్పత్తి ముగింపును అధిగమించడానికి. [1] 2004 ప్రారంభంలో, IAE మలేషియా ఏరోస్పేస్ కంపెనీలతో చర్చలు జరుపుతోంది మరియు N219 అభివృద్ధిని 60-80 మిలియన్ డాలర్లుగా అంచనా వేసింది, ఏప్రిల్ 2006 లో ఒక ప్రోటోటైప్‌ను ఎగురవేయడానికి మరియు ఆగస్టు 2007 లో ధృవీకరించడానికి. [2] 2006 లో, ఖతార్-ఇండోనేషియా జాయింట్ ఇన్వెస్ట్‌మెంట్ ఫండ్, 70% ఖతార్ మరియు 30% ఇండోనేషియా చేత రెండేళ్లలో ఒక నమూనా కోసం 19 సీట్ల N-219 అభివృద్ధికి M 65 మిలియన్ల నిధులు ప్రతిపాదించబడ్డాయి. [3] జూన్ 2011 నాటికి, దాని ధర ఒక్కొక్కటి US $ 4 మిలియన్లుగా అంచనా వేయబడింది మరియు ఇది 2014 లో ఎగురుతుందని అంచనా. [4] ఇండోనేషియా పరిశ్రమ మంత్రి ప్రోటోటైప్‌ను నిర్మించాలని RP59 బిలియన్లను అభ్యర్థించారు. [5] [6] జనవరి 2012 లో, అభివృద్ధి బడ్జెట్ 15 విమానాలకు సుమారు million 30 మిలియన్లు. [7] ఆగష్టు 2014 లో, సూచన ధర million 5 మిలియన్లకు పెరిగింది. [8] మొదటి లోహం సెప్టెంబర్ 2014 లో, ఆగస్టు 2015 లో ప్రణాళికాబద్ధమైన రోల్-అవుట్ మరియు 2016 లో ధృవీకరణకు ముందు, ఎగుమతి కోసం ఎయిర్‌బస్ మద్దతుతో EASA ధృవీకరణకు ముందు. [9] మొదటి డెలివరీలు 2017 కి షెడ్యూల్ చేయబడ్డాయి. రోల్-అవుట్ నవంబర్ 2015 లో షెడ్యూల్ చేయబడింది. [10] ఆగష్టు 2016 లో, ఎయిర్‌బస్ ధృవీకరణతో సహాయం అందించడానికి నిశ్చితార్థం జరిగింది. [11] నవంబర్ 2015 పబ్లిక్ పరిచయం తర్వాత ప్రోటోటైప్ పరీక్షలో ప్రవేశించింది. [12] మొట్టమొదటి ప్రోటోటైప్ నిర్మాణం 2016 చివరిలో కన్య విమానంలో 2016 మధ్యలో పూర్తి కావాలని యోచిస్తోంది, అయితే ఈ మొదటి ఫ్లైట్ అదే సంవత్సరంలో ధృవీకరణ కోసం మార్చి 2017 వరకు ఆలస్యం అయింది మరియు 2018 లో ఉత్పత్తి ప్రారంభమైంది. [13] ఫిబ్రవరిలో, ఇది మళ్ళీ ఏప్రిల్‌కు ఆలస్యం అయింది. [14] బాండుంగ్‌లోని హుసిన్ శాస్త్రేనేగరా అంతర్జాతీయ విమానాశ్రయంలో 11 ఆగస్టు 2017 న వరుసగా హై-స్పీడ్ టాక్సీంగ్ పరుగుల తరువాత, ప్రోటోటైప్ 16 ఆగస్టు 2017 న 26 నిమిషాల విమానానికి బయలుదేరింది. [15] ఇండోనేషియా రవాణా మంత్రిత్వ శాఖ నుండి ధృవీకరణ కోసం 200 గంటల విమాన పరీక్షలను పూర్తి చేయడానికి కనీసం RP 200 బిలియన్లు అవసరమని ఆ సమయంలో అంచనా వేయబడింది. [16] ఈక్విటీ పాల్గొనడం, ప్రైవేట్-పబ్లిక్ పార్ట్‌నర్‌షిప్‌లు, తయారీ అనుబంధ సంస్థలు మరియు జాయింట్ వెంచర్ల ద్వారా సేకరించిన కొత్త $ 90-100 మిలియన్ల సదుపాయంలో 2020 లో 16 మరియు 36 కి పెరిగే కొత్త $ 90-100 మిలియన్ల సదుపాయంలో 2020 లో 16 మరియు 36 కి పెరిగిందని 2019 లో ఉత్పత్తి అంచనా వేయబడింది. [17] ఇండోనేషియా డైరెక్టరేట్ జనరల్ ఆఫ్ సివిల్ ఏవియేషన్ 18 డిసెంబర్ 2020 న ఒక రకం ధృవీకరణ పత్రాన్ని జారీ చేసింది. [18] N-219 అనేది జంట-ఇంజిన్, 19-సీట్ల రవాణా విమానం, మారుమూల ప్రాంతాలలో బహుళ-ప్రయోజన మిషన్ల కోసం రూపొందించబడింది. [19] ఇది రిమోట్, సెమీ తయారుచేసిన ఎయిర్‌స్ట్రిప్స్‌లో మరియు వెలుపల పనిచేయడానికి ఉద్దేశించబడింది; ఇండోనేషియా యొక్క ద్వీపసమూహంలో పరిస్థితులకు అనుకూలం. [20] ఇది CASA C-212 అవియోకార్ నుండి అభివృద్ధి చేయబడింది మరియు ఆ రూపకల్పన వలె, అన్ని లోహ నిర్మాణాలలో కూడా ఉంది. ఇది దాని తరగతిలో (6.50 x 1.82 x 1.70 మీ) అతిపెద్ద క్యాబిన్ వాల్యూమ్ కలిగి ఉంటుందని పేర్కొన్నారు. [9] ప్రయాణీకులు మరియు సరుకులను రవాణా చేయడానికి బహుళ-ప్రయోజన మిషన్లను అనుమతించడానికి సౌకర్యవంతమైన తలుపు వ్యవస్థ. ఈ విమానం FAR 23 (ప్రయాణికుల వర్గం విమానం) కు అనుగుణంగా రూపొందించబడింది. Wiking 5.8-6 మిలియన్ల ధర, వైకింగ్ DHC-6 ట్విన్ ఓటర్ కంటే కొంచెం తక్కువ, 190 kN (350 కిమీ/గం) క్రూయిజ్ విమానం సరుకు మరియు ప్రయాణీకుల రవాణా, దళాల రవాణా, సైనిక నిఘా, శోధన మరియు రెస్క్యూ మరియు మెడెవాక్ ఆపరేషన్ల కోసం ఉద్దేశించబడింది , తరువాత ఉభయచర సంస్కరణతో. అరవై శాతం పదార్థాలు దేశీయంగా ఉత్పత్తి చేయబడతాయి మరియు స్థానిక సరఫరాదారులు ల్యాండింగ్ గేర్ భాగాలు, రబ్బరు భాగాలు మరియు సాధనాన్ని ఉత్పత్తి చేస్తారు. [17] ఆగష్టు 2013 లో, లయన్ ఎయిర్ 100 $ 4.5-5 మిలియన్ N219 లకు అవగాహన యొక్క మెమోరాండంపై సంతకం చేయవలసి ఉంది. [21] N-219 యొక్క మొత్తం మార్కెట్ 97 సివిల్ మరియు 57 సైనిక విమానాలుగా అంచనా వేయబడింది. 13 ఏప్రిల్ 2015 న, మూడు మెమోరాండా అవగాహన సంతకం చేయబడింది: 20 విమానాలు మరియు పది ఎంపికలకు నుసంతారా బువానా ఎయిర్‌తో, 20 విమానాలు మరియు పది ఎంపికలకు అవియస్టార్ మాండిరి మరియు పది విమానాలు మరియు ఐదు ఎంపికలకు త్రిపానా ఎయిర్ సర్వీసుతో. [22] ఇండోనేషియా చైనా మరియు మెక్సికోలతో N-219 ను ఆ దేశాలకు ఎగుమతి చేయడానికి ఒప్పందాలు కుదుర్చుకుంది. [23] 2017 లో ఆగ్నేయాసియా దేశాలైన థాయిలాండ్ మరియు మయన్మార్ ఈ విమానం పట్ల ఆసక్తిని వ్యక్తం చేశారు. [16] అక్టోబర్ 2018 నాటికి, దేశీయ విమానయాన సంస్థ అవిస్టార్ మరో 20 మందికి అవగాహన మెమోరాండం సంతకం చేయగా, N219 కి 120 ఆర్డర్లు ఉన్నాయి మరియు ఏప్రిల్ లేదా మే 2019 లో ధృవీకరించబడతారు. [17] ఇతర కస్టమర్లలో లయన్ ఎయిర్, ట్రిచానా ఎయిర్ సర్వీస్, నుసంతారా బువానా ఎయిర్, పెలిటా ఎయిర్, ఎయిర్, ఎయిర్ బర్న్ మరియు థాయిలాండ్ ప్రభుత్వం. [17] 9 డిసెంబర్ 2019 న, ACEH ప్రభుత్వం N219 విమానం, సిబ్బంది శిక్షణ మరియు ACEH యొక్క వాయు రవాణా స్విర్విస్ యొక్క ఆపరేషన్ కోసం సహకార ఒప్పందం లేదా అవగాహన (MOU) కు సహకార ఒప్పందం లేదా మెమోరాండం (MOU) కు సంతకం చేసింది. [24] 8 డిసెంబర్ 2021 న, ఎన్ 219 లో సముద్ర నిఘా విమానం (ఎంఎస్‌ఎ) మిషన్ వ్యవస్థలను అనుసంధానించడానికి పిటి డైర్గంటారా ఇండోనేషియా (పిటిడిఐ) మరియు పిటి ఇన్ఫోగ్లోబల్ టెక్నోలాజి సెమిస్టా/ఇన్ఫోగ్లోబల్ ఒక మెమోరాండం ఆఫ్ అండర్స్టాండింగ్ (MOU) కు సంతకం చేసింది. ఇది మునుపటి వ్యవస్థపై ఆధారపడి ఉంటుంది, ఇది నేవీ యొక్క IPTN NC-212 మారిటైమ్ పెట్రోల్ విమానంలో కూడా వ్యవస్థాపించబడింది. [25] తయారీదారు నుండి డేటా [26] సాధారణ లక్షణాలు పనితీరు సంబంధిత అభివృద్ధి అభివృద్ధి విమానం పోల్చదగిన పాత్ర, కాన్ఫిగరేషన్ మరియు ERA</v>
      </c>
      <c r="E138" s="1" t="s">
        <v>2627</v>
      </c>
      <c r="F138" s="1" t="s">
        <v>2628</v>
      </c>
      <c r="G138" s="1" t="str">
        <f>IFERROR(__xludf.DUMMYFUNCTION("GOOGLETRANSLATE(F:F,""en"", ""te"")"),"యుటిలిటీ విమానం")</f>
        <v>యుటిలిటీ విమానం</v>
      </c>
      <c r="H138" s="1" t="s">
        <v>2629</v>
      </c>
      <c r="I138" s="1" t="s">
        <v>2630</v>
      </c>
      <c r="J138" s="1" t="str">
        <f>IFERROR(__xludf.DUMMYFUNCTION("GOOGLETRANSLATE(I:I,""en"", ""te"")"),"ఇండోనేషియా")</f>
        <v>ఇండోనేషియా</v>
      </c>
      <c r="L138" s="1" t="s">
        <v>1363</v>
      </c>
      <c r="M138" s="1" t="str">
        <f>IFERROR(__xludf.DUMMYFUNCTION("GOOGLETRANSLATE(L:L,""en"", ""te"")"),"ఇండోనేషియా ఏరోస్పేస్")</f>
        <v>ఇండోనేషియా ఏరోస్పేస్</v>
      </c>
      <c r="N138" s="1" t="s">
        <v>1364</v>
      </c>
      <c r="P138" s="1" t="s">
        <v>162</v>
      </c>
      <c r="Q138" s="1"/>
      <c r="R138" s="1" t="s">
        <v>2631</v>
      </c>
      <c r="S138" s="1">
        <v>2.0</v>
      </c>
      <c r="T138" s="1" t="s">
        <v>2632</v>
      </c>
      <c r="U138" s="1" t="s">
        <v>2633</v>
      </c>
      <c r="V138" s="1" t="s">
        <v>2634</v>
      </c>
      <c r="X138" s="1" t="s">
        <v>2635</v>
      </c>
      <c r="Z138" s="1" t="s">
        <v>2636</v>
      </c>
      <c r="AA138" s="1" t="s">
        <v>2637</v>
      </c>
      <c r="AB138" s="1" t="s">
        <v>2638</v>
      </c>
      <c r="AD138" s="1" t="s">
        <v>2639</v>
      </c>
      <c r="AE138" s="1" t="s">
        <v>2640</v>
      </c>
      <c r="AH138" s="1" t="s">
        <v>2641</v>
      </c>
      <c r="AI138" s="1" t="s">
        <v>2642</v>
      </c>
      <c r="AK138" s="1" t="s">
        <v>2643</v>
      </c>
      <c r="AL138" s="1" t="s">
        <v>2644</v>
      </c>
      <c r="AO138" s="4">
        <v>42963.0</v>
      </c>
      <c r="AQ138" s="1" t="s">
        <v>2645</v>
      </c>
      <c r="AT138" s="1" t="s">
        <v>2646</v>
      </c>
      <c r="AU138" s="1" t="s">
        <v>2647</v>
      </c>
      <c r="AV138" s="1" t="s">
        <v>2648</v>
      </c>
      <c r="BG138" s="1" t="s">
        <v>2649</v>
      </c>
      <c r="DR138" s="1" t="s">
        <v>2650</v>
      </c>
    </row>
    <row r="139">
      <c r="A139" s="1" t="s">
        <v>2651</v>
      </c>
      <c r="B139" s="1" t="str">
        <f>IFERROR(__xludf.DUMMYFUNCTION("GOOGLETRANSLATE(A:A,""en"", ""te"")"),"సూపర్ మేరిన్ కమర్షియల్ ఉభయచర")</f>
        <v>సూపర్ మేరిన్ కమర్షియల్ ఉభయచర</v>
      </c>
      <c r="C139" s="1" t="s">
        <v>2652</v>
      </c>
      <c r="D139" s="1" t="str">
        <f>IFERROR(__xludf.DUMMYFUNCTION("GOOGLETRANSLATE(C:C,""en"", ""te"")"),"సూపర్ మేరిన్ కమర్షియల్ ఉభయచరాలు (మొదట సూపర్ మేరిన్ ఉభయచర పేరు పెట్టారు, తరువాత బ్రిటిష్ వైమానిక మంత్రిత్వ శాఖ N147 ను నియమించారు) ప్రయాణీకుల మోసే ఎగిరే పడవ. సూపర్ మేరిన్ యొక్క రెజినాల్డ్ మిచెల్ రూపొందించిన మొట్టమొదటి విమానం, ఇది సెప్టెంబర్ 1920 లో జరిగిన "&amp;"వైమానిక మంత్రిత్వ శాఖ పోటీ కోసం సౌతాంప్టన్లోని వూల్స్టన్ వద్ద ఉన్న సంస్థ యొక్క రచనలలో నిర్మించబడింది. సింగిల్ ఇంజిన్, చెక్క పొట్టు, అసమాన రెక్కలు మరియు 350 హార్స్‌పవర్ (260 కిలోవాట్ల) రోల్స్ రాయిస్ ఈగిల్ ఇంజిన్. టేక్-ఆఫ్ చేయడానికి ముందు నీటిని స్పష్టంగా ఎ"&amp;"త్తడానికి విమానం ముందు భాగం రూపొందించబడింది. పైలట్ ఇద్దరు ప్రయాణీకుల వెనుక ఓపెన్ కాక్‌పిట్‌లో కూర్చున్నాడు. వాణిజ్య ఉభయచరం పోటీలో రెండవ స్థానంలో నిలిచింది, కాని డిజైన్ మరియు విశ్వసనీయత పరంగా ముగ్గురు ప్రవేశించిన వారిలో ఉత్తమమైనదిగా నిర్ణయించబడింది మరియు ఫ"&amp;"లితంగా GB £ 4,000 బహుమతి డబ్బు (2019 లో GB £ 159,400 కు సమానం) [1] రెట్టింపు చేయబడింది . అక్టోబర్ 1920 లో ఇది క్రాష్ అయ్యింది మరియు మరమ్మత్తుకు మించి దెబ్బతింది, మరియు మరింత వాణిజ్య ఉభయచరాలు నిర్మించబడలేదు, కాని పోటీ సమయంలో విమానం యొక్క పనితీరు యొక్క బలం "&amp;"మీద, సూపర్మారైన్ ఒక ప్రోటోటైప్ త్రీ-సీట్ల ఫ్లీట్ స్పాటర్ ఉభయచరాలను తయారు చేయడానికి నియమించబడింది. తరువాత సూపర్ మేరిన్ సీల్ II అని పేరు పెట్టారు. ఏప్రిల్ 1920 లో, బ్రిటిష్ వైమానిక మంత్రిత్వ శాఖ వాణిజ్య విమానాల కోసం రెండు పోటీలను నిర్వహిస్తుందని, ఒకటి ల్యాం"&amp;"డ్ విమానాలకు మరియు ఒకటి సీప్లేన్ల కోసం ప్రకటించింది. మొదటి ప్రపంచ యుద్ధం ముగిసినప్పటి నుండి కష్టపడిన బ్రిటన్ యొక్క విమాన పరిశ్రమను ఉత్తేజపరిచే ప్రయత్నం చేయడం మంత్రిత్వ శాఖ యొక్క లక్ష్యం. సూపర్మారిన్ వాణిజ్య ఉభయచరాలు -సూపర్ మెరైన్ ఉభయచర -సూపర్ మెరైన్ ఉభయచర"&amp;"ం అని పిలుస్తారు -సూపర్ మెరైన్ యొక్క చీఫ్ డిజైనర్ రెజినాల్డ్ మిచెల్ రూపొందించిన సీక్‌ప్లేన్ ప్రైజ్ కోసం పోటీ పడటానికి రూపొందించబడింది, మరియు అతని మొదటి విమాన రూపకల్పన. [2] [3] ప్రవేశించినవారికి వైమానిక మంత్రిత్వ శాఖ యొక్క అవసరాలు భూమిపై లేదా నీటిపై విమానా"&amp;"లను ఎక్కగల కనీసం ఇద్దరు ప్రయాణీకులను కలిగి ఉండవలసిన అవసరాన్ని కలిగి ఉన్నాయి. ప్రయాణీకులు మరియు సిబ్బంది ఇద్దరికీ లైఫ్‌బెల్ట్స్‌కు ప్రాప్యత ఉండాల్సి వచ్చింది. ఈ విమానం 300 నాటికల్ మైళ్ళు (650 కిమీ; 400 మైళ్ళు) 300 మీటర్లు (980 అడుగులు) వద్ద కనీసం 70 నాట్ల "&amp;"(130 కిమీ/గం; 81 mph) వేగంతో ఎగరగలిగింది, అదే సమయంలో కనీసం 230 లోడ్ మోసుకెళ్ళింది కిలోగ్రాములు (510 పౌండ్లు). ఈ విమానం 914 మీటర్లు (3,000 అడుగులు) వద్ద మూడు నిమిషాలు ఎగురుతుందని, మరియు భూమికి 7.6 మీటర్లు (25 అడుగులు) ఉంచిన టెథర్డ్ బెలూన్లపై భూమిని చూపించవ"&amp;"లసి వచ్చింది. [2] మిచెల్ తన రూపకల్పనను ఉభయచరం కోసం సూపర్ మేరిన్ యొక్క ఛానల్ ఫ్లయింగ్ బోట్ మీద ఆధారపడ్డాడు, ఇది ప్రకటన ఎగిరే పడవ యొక్క సవరించిన సంస్కరణ. మొదటి ప్రపంచ యుద్ధం ముగింపులో ఉత్పత్తి చేయబడిన ఒక నిఘా మరియు పెట్రోలింగ్ విమానం, ప్రకటన ఎగిరే పడవ యుద్ధ"&amp;" సమయంలో ఎప్పుడూ చర్యను చూడలేదు. [4] ఉభయచరాలు ఒక చెక్క పొట్టు మరియు అసమాన రెక్కలతో సింగిల్-ఇంజిన్ బిప్‌లేన్ ఫ్లయింగ్ బోట్. 350 హార్స్‌పవర్ (260 కిలోవాట్ల) రోల్స్ రాయిస్ ఈగిల్ ఇంజిన్ రెక్కల మధ్య పషర్ కాన్ఫిగరేషన్‌లో అమర్చబడింది (ఇంజిన్ వెనుక ప్రొపెల్లర్‌తో)"&amp;". తోకలో ఒకే నిలువు ఫిన్ ఉంది, మరియు సింగిల్ టెయిల్‌ప్లేన్ ఫిన్ పైకి సగం వరకు అమర్చబడింది. [4] [5] విమానం ముందు భాగం టేకాఫ్ చేయడానికి ముందు నీటిని స్పష్టంగా ఎత్తివేసింది, మరియు ముక్కు ప్రొఫైల్ పడవ మాదిరిగానే ఉంటుంది. మిచెల్ ప్రవేశపెట్టిన ఒక ఆవిష్కరణ ఏకకాలం"&amp;"లో ఐలెరాన్‌లను ఆపరేట్ చేసే విధానం. అండర్ క్యారేజ్ పాక్షికంగా ముడుచుకునేలా రూపొందించబడింది. [4] ఉభయచర పైలట్ రెక్కల కోసం ఒక ఓపెన్ కాక్‌పిట్‌లో ఉంచబడింది, ఇద్దరు ప్రయాణీకులకు పరివేష్టిత క్యాబిన్లో స్థలం మరింత ముందుకు ఉంది. విమానం నీటిపై ఉన్నప్పుడు పైలట్ ఉపయో"&amp;"గించడానికి ఒక టిల్లర్ ఉంది, తద్వారా ఇరుకైన జలాల ద్వారా మరింత సులభంగా నావిగేట్ చేయవచ్చు. [4] [5] మార్ట్లెషామ్ హీత్ మరియు ఫెలిక్స్టోవ్ వద్ద జరిగిన ప్రయోగాత్మక రాయల్ ఎయిర్ ఫోర్స్ స్టేషన్లలో 1920 సెప్టెంబర్లో వైమానిక మంత్రిత్వ శాఖ పోటీ జరిగింది. సూపర్ మేరిన్ "&amp;"ఉభయచరం (రిజిస్ట్రేషన్ జి-ఈవ్) హెర్బర్ట్ హోరే చేత పైలట్ చేయబడింది. [6] [7] ఇది మరో రెండు సీప్లాన్లు, విక్కర్స్ వైకింగ్ మరియు ఫైరీ III లతో పోటీ పడింది. [8] [9] మరో రెండు సీప్లేన్లు పోటీకి రావడంలో విఫలమయ్యాయి. [10] దాని ఇద్దరు పోటీదారులతో పోల్చితే దాని పెద్ద"&amp;" బరువు మరియు నెమ్మదిగా వేగం ఉన్నందున, సూపర్ మేరిన్ ఉభయచరాలు గాలిలో పేలవంగా ప్రదర్శించాయి, అయితే ఇది పోటీ యొక్క ఉత్తమంగా నిర్మించిన మరియు అత్యంత నమ్మదగిన విమానంగా నిర్ణయించబడింది. ఇది అన్ని పరీక్షలను పూర్తి చేసిన ఏకైక ప్రవేశం, మరియు పోటీ అంతటా విమానాన్ని స"&amp;"ర్దుబాటు చేయవలసిన అవసరం లేదు. ఈ పోటీని విక్కర్స్ వైకింగ్ గెలుచుకుంది, ఇది విజేత యొక్క GB £ 10,000 (2019 లో GB £ 398,500 కు సమానం) [1], మరియు ఉభయచర రెండవ స్థానంలో నిలిచింది. £ 4,000 యొక్క ఉభయచర బహుమతి GB £ 8,000 (2019 లో GB £ 318,800 కు సమానం) [1] వైమానిక "&amp;"మంత్రిత్వ శాఖ, మిచెల్ యొక్క రూపకల్పన అద్భుతమైనదని మరియు విమానం బాగా పని చేసిందని, అది కలిగి ఉందని భావించి, ఇది £ 8,000 (2019 లో GB £ 318,800 కు సమానం) కు రెట్టింపు చేయబడింది. ముగ్గురు పోటీదారుల యొక్క అతి తక్కువ శక్తితో పనిచేసే ఇంజిన్. [7] [11] వాణిజ్య ఉభయ"&amp;"చరాలు పోటీ జరిగిన ఒక నెల తరువాత క్రాష్ అయ్యాయి, [12] అక్టోబర్ 13, 1920 న, సౌతాంప్టన్ నుండి బయలుదేరిన తరువాత, ఇది సర్రేలోని గ్రేట్ బుక్‌హామ్‌లో జరిగిన ప్రమాదంలో పాల్గొంది. ఇది మరమ్మత్తుకు మించి దెబ్బతింది, [13] మరియు ఇతర ఉభయచరాలు ఉత్పత్తి చేయబడలేదు. [7] పో"&amp;"టీ తరువాత, వైమానిక మంత్రిత్వ శాఖ విక్కర్స్ వైకింగ్‌ను N146 గా, మరియు సూపర్ మేరిన్ ఉభయచరాన్ని N147 గా నియమించింది. [14] ఉభయచర పనితీరు యొక్క బలం మీద, వైమానిక మంత్రిత్వ శాఖ సూపర్మారిన్‌ను ఒక ప్రోటోటైప్ త్రీ-సీట్ల ఫ్లీట్ స్పాటర్ ఉభయచరాన్ని తయారు చేసింది. సూపర"&amp;"్ మేరిన్ సీల్ II అని పేరు పెట్టబడిన ప్రోటోటైప్ కోసం మంత్రిత్వ శాఖ 7/20 ను ఉత్పత్తి చేసింది మరియు డ్రాయింగ్లను నవంబర్ 1920 లో సూపర్ మెరైన్ పూర్తి చేసింది. [15] ఉభయచరంలో కనిపించే లక్షణాలు తరువాత సూపర్ మేరిన్ వాల్రస్ను అభివృద్ధి చేయడానికి ఉపయోగించబడ్డాయి, వీ"&amp;"టిలో వందలాది నిర్మించబడ్డాయి మరియు రెండవ ప్రపంచ యుద్ధం అంతటా కార్యాచరణ సేవలో ఉన్నాయి. [16] 1920 లో ఓడ పని కోసం ఉభయచర ఎగిరే పడవను రూపొందించడానికి మిచెల్ ఉభయచర మరియు సూపర్ మేరిన్ ఛానల్ II నుండి ఆలోచనలను ఉపయోగించాడు. [17] 1914 నుండి సూపర్ మేరిన్ విమానాల నుండ"&amp;"ి డేటా. [18] పోల్చదగిన పాత్ర, కాన్ఫిగరేషన్ మరియు ERA సంబంధిత జాబితాల సాధారణ లక్షణాలు పనితీరు విమానం పనితీరు")</f>
        <v>సూపర్ మేరిన్ కమర్షియల్ ఉభయచరాలు (మొదట సూపర్ మేరిన్ ఉభయచర పేరు పెట్టారు, తరువాత బ్రిటిష్ వైమానిక మంత్రిత్వ శాఖ N147 ను నియమించారు) ప్రయాణీకుల మోసే ఎగిరే పడవ. సూపర్ మేరిన్ యొక్క రెజినాల్డ్ మిచెల్ రూపొందించిన మొట్టమొదటి విమానం, ఇది సెప్టెంబర్ 1920 లో జరిగిన వైమానిక మంత్రిత్వ శాఖ పోటీ కోసం సౌతాంప్టన్లోని వూల్స్టన్ వద్ద ఉన్న సంస్థ యొక్క రచనలలో నిర్మించబడింది. సింగిల్ ఇంజిన్, చెక్క పొట్టు, అసమాన రెక్కలు మరియు 350 హార్స్‌పవర్ (260 కిలోవాట్ల) రోల్స్ రాయిస్ ఈగిల్ ఇంజిన్. టేక్-ఆఫ్ చేయడానికి ముందు నీటిని స్పష్టంగా ఎత్తడానికి విమానం ముందు భాగం రూపొందించబడింది. పైలట్ ఇద్దరు ప్రయాణీకుల వెనుక ఓపెన్ కాక్‌పిట్‌లో కూర్చున్నాడు. వాణిజ్య ఉభయచరం పోటీలో రెండవ స్థానంలో నిలిచింది, కాని డిజైన్ మరియు విశ్వసనీయత పరంగా ముగ్గురు ప్రవేశించిన వారిలో ఉత్తమమైనదిగా నిర్ణయించబడింది మరియు ఫలితంగా GB £ 4,000 బహుమతి డబ్బు (2019 లో GB £ 159,400 కు సమానం) [1] రెట్టింపు చేయబడింది . అక్టోబర్ 1920 లో ఇది క్రాష్ అయ్యింది మరియు మరమ్మత్తుకు మించి దెబ్బతింది, మరియు మరింత వాణిజ్య ఉభయచరాలు నిర్మించబడలేదు, కాని పోటీ సమయంలో విమానం యొక్క పనితీరు యొక్క బలం మీద, సూపర్మారైన్ ఒక ప్రోటోటైప్ త్రీ-సీట్ల ఫ్లీట్ స్పాటర్ ఉభయచరాలను తయారు చేయడానికి నియమించబడింది. తరువాత సూపర్ మేరిన్ సీల్ II అని పేరు పెట్టారు. ఏప్రిల్ 1920 లో, బ్రిటిష్ వైమానిక మంత్రిత్వ శాఖ వాణిజ్య విమానాల కోసం రెండు పోటీలను నిర్వహిస్తుందని, ఒకటి ల్యాండ్ విమానాలకు మరియు ఒకటి సీప్లేన్ల కోసం ప్రకటించింది. మొదటి ప్రపంచ యుద్ధం ముగిసినప్పటి నుండి కష్టపడిన బ్రిటన్ యొక్క విమాన పరిశ్రమను ఉత్తేజపరిచే ప్రయత్నం చేయడం మంత్రిత్వ శాఖ యొక్క లక్ష్యం. సూపర్మారిన్ వాణిజ్య ఉభయచరాలు -సూపర్ మెరైన్ ఉభయచర -సూపర్ మెరైన్ ఉభయచరం అని పిలుస్తారు -సూపర్ మెరైన్ యొక్క చీఫ్ డిజైనర్ రెజినాల్డ్ మిచెల్ రూపొందించిన సీక్‌ప్లేన్ ప్రైజ్ కోసం పోటీ పడటానికి రూపొందించబడింది, మరియు అతని మొదటి విమాన రూపకల్పన. [2] [3] ప్రవేశించినవారికి వైమానిక మంత్రిత్వ శాఖ యొక్క అవసరాలు భూమిపై లేదా నీటిపై విమానాలను ఎక్కగల కనీసం ఇద్దరు ప్రయాణీకులను కలిగి ఉండవలసిన అవసరాన్ని కలిగి ఉన్నాయి. ప్రయాణీకులు మరియు సిబ్బంది ఇద్దరికీ లైఫ్‌బెల్ట్స్‌కు ప్రాప్యత ఉండాల్సి వచ్చింది. ఈ విమానం 300 నాటికల్ మైళ్ళు (650 కిమీ; 400 మైళ్ళు) 300 మీటర్లు (980 అడుగులు) వద్ద కనీసం 70 నాట్ల (130 కిమీ/గం; 81 mph) వేగంతో ఎగరగలిగింది, అదే సమయంలో కనీసం 230 లోడ్ మోసుకెళ్ళింది కిలోగ్రాములు (510 పౌండ్లు). ఈ విమానం 914 మీటర్లు (3,000 అడుగులు) వద్ద మూడు నిమిషాలు ఎగురుతుందని, మరియు భూమికి 7.6 మీటర్లు (25 అడుగులు) ఉంచిన టెథర్డ్ బెలూన్లపై భూమిని చూపించవలసి వచ్చింది. [2] మిచెల్ తన రూపకల్పనను ఉభయచరం కోసం సూపర్ మేరిన్ యొక్క ఛానల్ ఫ్లయింగ్ బోట్ మీద ఆధారపడ్డాడు, ఇది ప్రకటన ఎగిరే పడవ యొక్క సవరించిన సంస్కరణ. మొదటి ప్రపంచ యుద్ధం ముగింపులో ఉత్పత్తి చేయబడిన ఒక నిఘా మరియు పెట్రోలింగ్ విమానం, ప్రకటన ఎగిరే పడవ యుద్ధ సమయంలో ఎప్పుడూ చర్యను చూడలేదు. [4] ఉభయచరాలు ఒక చెక్క పొట్టు మరియు అసమాన రెక్కలతో సింగిల్-ఇంజిన్ బిప్‌లేన్ ఫ్లయింగ్ బోట్. 350 హార్స్‌పవర్ (260 కిలోవాట్ల) రోల్స్ రాయిస్ ఈగిల్ ఇంజిన్ రెక్కల మధ్య పషర్ కాన్ఫిగరేషన్‌లో అమర్చబడింది (ఇంజిన్ వెనుక ప్రొపెల్లర్‌తో). తోకలో ఒకే నిలువు ఫిన్ ఉంది, మరియు సింగిల్ టెయిల్‌ప్లేన్ ఫిన్ పైకి సగం వరకు అమర్చబడింది. [4] [5] విమానం ముందు భాగం టేకాఫ్ చేయడానికి ముందు నీటిని స్పష్టంగా ఎత్తివేసింది, మరియు ముక్కు ప్రొఫైల్ పడవ మాదిరిగానే ఉంటుంది. మిచెల్ ప్రవేశపెట్టిన ఒక ఆవిష్కరణ ఏకకాలంలో ఐలెరాన్‌లను ఆపరేట్ చేసే విధానం. అండర్ క్యారేజ్ పాక్షికంగా ముడుచుకునేలా రూపొందించబడింది. [4] ఉభయచర పైలట్ రెక్కల కోసం ఒక ఓపెన్ కాక్‌పిట్‌లో ఉంచబడింది, ఇద్దరు ప్రయాణీకులకు పరివేష్టిత క్యాబిన్లో స్థలం మరింత ముందుకు ఉంది. విమానం నీటిపై ఉన్నప్పుడు పైలట్ ఉపయోగించడానికి ఒక టిల్లర్ ఉంది, తద్వారా ఇరుకైన జలాల ద్వారా మరింత సులభంగా నావిగేట్ చేయవచ్చు. [4] [5] మార్ట్లెషామ్ హీత్ మరియు ఫెలిక్స్టోవ్ వద్ద జరిగిన ప్రయోగాత్మక రాయల్ ఎయిర్ ఫోర్స్ స్టేషన్లలో 1920 సెప్టెంబర్లో వైమానిక మంత్రిత్వ శాఖ పోటీ జరిగింది. సూపర్ మేరిన్ ఉభయచరం (రిజిస్ట్రేషన్ జి-ఈవ్) హెర్బర్ట్ హోరే చేత పైలట్ చేయబడింది. [6] [7] ఇది మరో రెండు సీప్లాన్లు, విక్కర్స్ వైకింగ్ మరియు ఫైరీ III లతో పోటీ పడింది. [8] [9] మరో రెండు సీప్లేన్లు పోటీకి రావడంలో విఫలమయ్యాయి. [10] దాని ఇద్దరు పోటీదారులతో పోల్చితే దాని పెద్ద బరువు మరియు నెమ్మదిగా వేగం ఉన్నందున, సూపర్ మేరిన్ ఉభయచరాలు గాలిలో పేలవంగా ప్రదర్శించాయి, అయితే ఇది పోటీ యొక్క ఉత్తమంగా నిర్మించిన మరియు అత్యంత నమ్మదగిన విమానంగా నిర్ణయించబడింది. ఇది అన్ని పరీక్షలను పూర్తి చేసిన ఏకైక ప్రవేశం, మరియు పోటీ అంతటా విమానాన్ని సర్దుబాటు చేయవలసిన అవసరం లేదు. ఈ పోటీని విక్కర్స్ వైకింగ్ గెలుచుకుంది, ఇది విజేత యొక్క GB £ 10,000 (2019 లో GB £ 398,500 కు సమానం) [1], మరియు ఉభయచర రెండవ స్థానంలో నిలిచింది. £ 4,000 యొక్క ఉభయచర బహుమతి GB £ 8,000 (2019 లో GB £ 318,800 కు సమానం) [1] వైమానిక మంత్రిత్వ శాఖ, మిచెల్ యొక్క రూపకల్పన అద్భుతమైనదని మరియు విమానం బాగా పని చేసిందని, అది కలిగి ఉందని భావించి, ఇది £ 8,000 (2019 లో GB £ 318,800 కు సమానం) కు రెట్టింపు చేయబడింది. ముగ్గురు పోటీదారుల యొక్క అతి తక్కువ శక్తితో పనిచేసే ఇంజిన్. [7] [11] వాణిజ్య ఉభయచరాలు పోటీ జరిగిన ఒక నెల తరువాత క్రాష్ అయ్యాయి, [12] అక్టోబర్ 13, 1920 న, సౌతాంప్టన్ నుండి బయలుదేరిన తరువాత, ఇది సర్రేలోని గ్రేట్ బుక్‌హామ్‌లో జరిగిన ప్రమాదంలో పాల్గొంది. ఇది మరమ్మత్తుకు మించి దెబ్బతింది, [13] మరియు ఇతర ఉభయచరాలు ఉత్పత్తి చేయబడలేదు. [7] పోటీ తరువాత, వైమానిక మంత్రిత్వ శాఖ విక్కర్స్ వైకింగ్‌ను N146 గా, మరియు సూపర్ మేరిన్ ఉభయచరాన్ని N147 గా నియమించింది. [14] ఉభయచర పనితీరు యొక్క బలం మీద, వైమానిక మంత్రిత్వ శాఖ సూపర్మారిన్‌ను ఒక ప్రోటోటైప్ త్రీ-సీట్ల ఫ్లీట్ స్పాటర్ ఉభయచరాన్ని తయారు చేసింది. సూపర్ మేరిన్ సీల్ II అని పేరు పెట్టబడిన ప్రోటోటైప్ కోసం మంత్రిత్వ శాఖ 7/20 ను ఉత్పత్తి చేసింది మరియు డ్రాయింగ్లను నవంబర్ 1920 లో సూపర్ మెరైన్ పూర్తి చేసింది. [15] ఉభయచరంలో కనిపించే లక్షణాలు తరువాత సూపర్ మేరిన్ వాల్రస్ను అభివృద్ధి చేయడానికి ఉపయోగించబడ్డాయి, వీటిలో వందలాది నిర్మించబడ్డాయి మరియు రెండవ ప్రపంచ యుద్ధం అంతటా కార్యాచరణ సేవలో ఉన్నాయి. [16] 1920 లో ఓడ పని కోసం ఉభయచర ఎగిరే పడవను రూపొందించడానికి మిచెల్ ఉభయచర మరియు సూపర్ మేరిన్ ఛానల్ II నుండి ఆలోచనలను ఉపయోగించాడు. [17] 1914 నుండి సూపర్ మేరిన్ విమానాల నుండి డేటా. [18] పోల్చదగిన పాత్ర, కాన్ఫిగరేషన్ మరియు ERA సంబంధిత జాబితాల సాధారణ లక్షణాలు పనితీరు విమానం పనితీరు</v>
      </c>
      <c r="E139" s="1" t="s">
        <v>2653</v>
      </c>
      <c r="F139" s="1" t="s">
        <v>2654</v>
      </c>
      <c r="G139" s="1" t="str">
        <f>IFERROR(__xludf.DUMMYFUNCTION("GOOGLETRANSLATE(F:F,""en"", ""te"")"),"ప్రయాణీకుల ఎగిరే పడవ")</f>
        <v>ప్రయాణీకుల ఎగిరే పడవ</v>
      </c>
      <c r="H139" s="1" t="s">
        <v>2655</v>
      </c>
      <c r="L139" s="1" t="s">
        <v>827</v>
      </c>
      <c r="M139" s="1" t="str">
        <f>IFERROR(__xludf.DUMMYFUNCTION("GOOGLETRANSLATE(L:L,""en"", ""te"")"),"సూపర్ మెరైన్")</f>
        <v>సూపర్ మెరైన్</v>
      </c>
      <c r="N139" s="2" t="s">
        <v>828</v>
      </c>
      <c r="P139" s="1" t="s">
        <v>2656</v>
      </c>
      <c r="Q139" s="1"/>
      <c r="R139" s="1">
        <v>1.0</v>
      </c>
      <c r="S139" s="1">
        <v>1.0</v>
      </c>
      <c r="T139" s="1" t="s">
        <v>2570</v>
      </c>
      <c r="U139" s="1" t="s">
        <v>2657</v>
      </c>
      <c r="V139" s="1" t="s">
        <v>2658</v>
      </c>
      <c r="W139" s="1" t="s">
        <v>2659</v>
      </c>
      <c r="X139" s="1" t="s">
        <v>2660</v>
      </c>
      <c r="Y139" s="1" t="s">
        <v>2661</v>
      </c>
      <c r="AA139" s="1" t="s">
        <v>2662</v>
      </c>
      <c r="AB139" s="1" t="s">
        <v>472</v>
      </c>
      <c r="AE139" s="1" t="s">
        <v>2663</v>
      </c>
      <c r="AK139" s="1" t="s">
        <v>2664</v>
      </c>
      <c r="AM139" s="1" t="s">
        <v>2665</v>
      </c>
      <c r="AN139" s="1" t="s">
        <v>2666</v>
      </c>
      <c r="AO139" s="3">
        <v>7550.0</v>
      </c>
      <c r="AQ139" s="1" t="s">
        <v>2667</v>
      </c>
      <c r="AU139" s="1" t="s">
        <v>2668</v>
      </c>
      <c r="AV139" s="1" t="s">
        <v>2669</v>
      </c>
      <c r="AX139" s="1" t="s">
        <v>2670</v>
      </c>
      <c r="AY139" s="1" t="s">
        <v>2671</v>
      </c>
      <c r="BC139" s="1">
        <v>1920.0</v>
      </c>
      <c r="BM139" s="1" t="s">
        <v>2672</v>
      </c>
      <c r="BN139" s="1" t="s">
        <v>2673</v>
      </c>
      <c r="DX139" s="1" t="s">
        <v>2674</v>
      </c>
    </row>
    <row r="140">
      <c r="A140" s="1" t="s">
        <v>2675</v>
      </c>
      <c r="B140" s="1" t="str">
        <f>IFERROR(__xludf.DUMMYFUNCTION("GOOGLETRANSLATE(A:A,""en"", ""te"")"),"సూపర్ మెరైన్ సీగల్ (1948)")</f>
        <v>సూపర్ మెరైన్ సీగల్ (1948)</v>
      </c>
      <c r="C140" s="1" t="s">
        <v>2676</v>
      </c>
      <c r="D140" s="1" t="str">
        <f>IFERROR(__xludf.DUMMYFUNCTION("GOOGLETRANSLATE(C:C,""en"", ""te"")"),"సూపర్ మేరిన్ సీగల్ ఒక బ్రిటిష్ ఉభయచర, సైనిక ఎగిరే పడవ మరియు చివరిది సూపర్ మేరిన్ కంపెనీ నిర్మించింది. రెండవ ప్రపంచ యుద్ధంలో డిజైన్ ప్రారంభమైంది, కాని యుద్ధం ముగిసిన మూడు సంవత్సరాల వరకు ఇది ఎగరలేదు మరియు ఈ ప్రాజెక్ట్ సేవ కోసం స్వీకరించకుండా రద్దు చేయబడింది"&amp;". అక్టోబర్ 1940 లో, బ్రిటిష్ వైమానిక మంత్రిత్వ శాఖ సూపర్ మేరిన్ మరియు ఫెయిరీలకు స్పెసిఫికేషన్ S.12/40 ను కాటాపుల్ట్-లాంచ్డ్, ఉభయచర, నిఘా మరియు స్పాటర్ విమానాల కోసం జారీ చేసింది. సూపర్ మేరిన్ విమానం యొక్క మూడు ప్రోటోటైప్‌ల కోసం ఒక ఉత్తర్వు మార్చి 1943 లో జ"&amp;"ారీ చేయబడింది. [1] వూల్స్టన్ వద్ద సదుపాయంపై బాంబు దాడి చేసిన తరువాత, సూపర్ మేరిన్ డిజైన్ కార్యాలయాన్ని తరలించాల్సిన అవసరం ఉన్నందున డిజైన్‌లో అంతరాయం ఉంది. అవసరమయ్యే విస్తృతమైన విండ్ టన్నెల్ పరీక్ష మరియు రోల్స్ రాయిస్ మెర్లిన్ నుండి మరింత శక్తివంతమైన రోల్స"&amp;"్ రాయిస్ గ్రిఫ్ఫోన్‌కు మార్పు కారణంగా మరింత ఆలస్యం జరిగింది. అలాగే, డిజైన్ స్పెసిఫికేషన్ 1944 లో కొత్త అవసరానికి మార్చబడింది, s.14/44 (తరువాత s.14/44/2 [1]) - ఓడ ఆధారిత నిఘా మరియు గన్లీ స్పాటింగ్ నుండి విమానం యొక్క పాత్రను భూమికి మార్చడం -ఆధారిత గాలి-సముద"&amp;"్ర రెస్క్యూ. [2] ఈ మార్పు డిజైన్ కలిగి ఉన్న నాలుగు-గన్ టరెట్‌ను తొలగించింది. [3] మొదటి నమూనా - సీగల్ సీరియల్ PA143 - మొదట 14 జూలై 1948 న సౌతాంప్టన్ వాటర్ నుండి బయలుదేరింది, టెస్ట్ పైలట్ మైక్ లిత్గో చేత ఎగిరింది. [4] రెండవ విమానం - PA147 - సెప్టెంబర్ 1949 "&amp;"లో ప్రయాణించింది, మరియు ఆ సంవత్సరం తరువాత HMS ఆర్క్ రాయల్ పై క్యారియర్ ట్రయల్స్ కోసం ఉపయోగించబడింది, [4] ఈ సమయంలో ఇది ఐదుగురు ప్రయాణీకులను తీసుకువెళ్ళే సామర్థ్యాన్ని ప్రదర్శించింది. [5] రాకెట్ అసిస్టెడ్ టేకాఫ్లతో ప్రయోగాలు కూడా జరిగాయి. [6] 1950 ల ప్రారంభ"&amp;"ంలో, హెలికాప్టర్లు గాలి-సముద్ర రెస్క్యూ పాత్రను స్వాధీనం చేసుకున్నాయి. 1952 లో, పూర్తి చేసిన రెండు ప్రోటోటైప్‌లు మరియు పాక్షికంగా నిర్మించిన మూడవ విమానం, PA152 స్క్రాప్ చేయబడ్డాయి. [6] సీగల్ ఆల్-మెటల్ నిర్మాణాన్ని కలిగి ఉంది, రెండు స్పార్ పారాసోల్ వింగ్ ప"&amp;"ైలాన్ మీద అమర్చబడి, దానిని ఫ్యూజ్‌లేజ్‌కు అనుసంధానిస్తుంది. సింగిల్ ఇంజిన్, రోల్స్ రాయిస్ గ్రిఫ్ఫోన్ కాంట్రా-రొటేటింగ్ ప్రొపెల్లర్లను నడిపింది; రేడియేటర్లను పైలాన్లోని ఇంజిన్ క్రింద అమర్చారు. పైలాన్ వెనుక భాగంలో ఒక పరిశీలకుడి స్థానాన్ని రెండు కిటికీలతో ఉం"&amp;"చారు. ఇంజిన్ వెనుక, రెక్కపై కంటి బోల్ట్ అమర్చబడింది, కాబట్టి విమానం నీటి నుండి క్రేన్ ద్వారా సులభంగా ఎత్తవచ్చు. రెక్కలు స్లాట్డ్ ఫ్లాప్స్ మరియు పూర్తి పొడవు ప్రముఖ అంచు స్లాట్లతో అమర్చబడ్డాయి మరియు కాంపాక్ట్, షిప్-బోర్డ్ స్టోవేజ్ కోసం మడవవచ్చు. వారు సంభవం"&amp;" యొక్క వేరియబుల్ కోణాన్ని కలిగి ఉన్నారు, ముందు స్పార్ వద్ద పివోట్ చేసి, వెనుక స్పార్‌కు జతచేయబడిన విద్యుత్తుతో నడిచే జాక్‌స్క్రూ ద్వారా పనిచేస్తారు. ఈ అమరిక స్టాలింగ్ వేగాన్ని తగ్గించింది మరియు పెరిగిన లిఫ్ట్, విమానం చిన్న రెక్కను ఉపయోగించడానికి వీలు కల్ప"&amp;"ిస్తుంది-ఓడ ద్వారా కలిగే విమానానికి కాంపాక్ట్నెస్ ఒక ముఖ్యమైన లక్షణం. [1] సూపర్మారైన్ టైప్ 322 లో ఈ అమరికను పరీక్షించింది మరియు టెస్ట్ పైలట్ మైక్ లిత్గో గంటకు 35 మైళ్ళు (56 కిమీ/గం) మాత్రమే సీగల్ ను ఎగరవేసినప్పుడు దాని సామర్ధ్యం ప్రదర్శించబడింది. [4] జూలై"&amp;" 1950 లో, ఎయిర్ లీగ్ కప్ రేసులో పోటీ పడుతున్న లెస్ కోల్‌కౌన్ [7] ఎగిరిన సీగల్ 100 కిలోమీటర్ల (62 మైళ్ళు) కోర్సులో ఉభయచర విమానాల కోసం ఎయిర్-స్పీడ్ రికార్డును పొందింది, సగటున 241.9 మైళ్ల వేగంతో ఎగురుతూ గంటకు (389.3 కిమీ/గం). [6] హల్ ఒక సాధారణ ఫ్రేమ్ మరియు చ"&amp;"ైన్స్ తో లాంగన్ డిజైన్. ఫిన్ పైన తీసుకువెళ్ళబడిన టెయిల్‌ప్లేన్ చాలా పెద్ద డైహెడ్రల్ కలిగి ఉంది, చిన్న రెక్కలు దాని చిట్కాలపై దాని ఉపరితలానికి లంబంగా అమర్చబడి ఉంటాయి. మొదటి ప్రోటోటైప్ యొక్క పరీక్ష తర్వాత మూడవ ఫిన్ తరువాత కేంద్రానికి జోడించబడింది. ఇది నిర్మ"&amp;"ించబడుతున్నప్పుడు ఇది రెండవ నమూనాకు జోడించబడింది. అండర్ క్యారేజ్ ఫ్యూజ్‌లేజ్‌కు ఇరువైపులా బేలుగా ఉపసంహరించబడింది మరియు సులభంగా తొలగించబడుతుంది, విమానం స్వచ్ఛమైన ఎగిరే-పడవగా పనిచేస్తున్నప్పుడు 180 కిలోగ్రాముల (400 పౌండ్లు) బరువును ఆదా చేస్తుంది. [5] సీగల్ "&amp;"క్యారియర్ ల్యాండింగ్ల కోసం అరెస్టర్ హుక్‌తో కూడా అమర్చారు; జాటో రాకెట్ల కోసం మౌంటు పాయింట్లు వీల్ బావుల పైన ఉన్నాయి. సిబ్బంది సాధారణంగా మూడు కలిగి ఉంటారు. [1] గాలి-సముద్ర రెస్క్యూ పని సమయంలో, సీగల్ పైలట్, నావిగేటర్ మరియు మెడిసిన్ మరియు ఏడుగురు వరకు ప్రాణా"&amp;"లతో బయటపడగలదు. [5] .")</f>
        <v>సూపర్ మేరిన్ సీగల్ ఒక బ్రిటిష్ ఉభయచర, సైనిక ఎగిరే పడవ మరియు చివరిది సూపర్ మేరిన్ కంపెనీ నిర్మించింది. రెండవ ప్రపంచ యుద్ధంలో డిజైన్ ప్రారంభమైంది, కాని యుద్ధం ముగిసిన మూడు సంవత్సరాల వరకు ఇది ఎగరలేదు మరియు ఈ ప్రాజెక్ట్ సేవ కోసం స్వీకరించకుండా రద్దు చేయబడింది. అక్టోబర్ 1940 లో, బ్రిటిష్ వైమానిక మంత్రిత్వ శాఖ సూపర్ మేరిన్ మరియు ఫెయిరీలకు స్పెసిఫికేషన్ S.12/40 ను కాటాపుల్ట్-లాంచ్డ్, ఉభయచర, నిఘా మరియు స్పాటర్ విమానాల కోసం జారీ చేసింది. సూపర్ మేరిన్ విమానం యొక్క మూడు ప్రోటోటైప్‌ల కోసం ఒక ఉత్తర్వు మార్చి 1943 లో జారీ చేయబడింది. [1] వూల్స్టన్ వద్ద సదుపాయంపై బాంబు దాడి చేసిన తరువాత, సూపర్ మేరిన్ డిజైన్ కార్యాలయాన్ని తరలించాల్సిన అవసరం ఉన్నందున డిజైన్‌లో అంతరాయం ఉంది. అవసరమయ్యే విస్తృతమైన విండ్ టన్నెల్ పరీక్ష మరియు రోల్స్ రాయిస్ మెర్లిన్ నుండి మరింత శక్తివంతమైన రోల్స్ రాయిస్ గ్రిఫ్ఫోన్‌కు మార్పు కారణంగా మరింత ఆలస్యం జరిగింది. అలాగే, డిజైన్ స్పెసిఫికేషన్ 1944 లో కొత్త అవసరానికి మార్చబడింది, s.14/44 (తరువాత s.14/44/2 [1]) - ఓడ ఆధారిత నిఘా మరియు గన్లీ స్పాటింగ్ నుండి విమానం యొక్క పాత్రను భూమికి మార్చడం -ఆధారిత గాలి-సముద్ర రెస్క్యూ. [2] ఈ మార్పు డిజైన్ కలిగి ఉన్న నాలుగు-గన్ టరెట్‌ను తొలగించింది. [3] మొదటి నమూనా - సీగల్ సీరియల్ PA143 - మొదట 14 జూలై 1948 న సౌతాంప్టన్ వాటర్ నుండి బయలుదేరింది, టెస్ట్ పైలట్ మైక్ లిత్గో చేత ఎగిరింది. [4] రెండవ విమానం - PA147 - సెప్టెంబర్ 1949 లో ప్రయాణించింది, మరియు ఆ సంవత్సరం తరువాత HMS ఆర్క్ రాయల్ పై క్యారియర్ ట్రయల్స్ కోసం ఉపయోగించబడింది, [4] ఈ సమయంలో ఇది ఐదుగురు ప్రయాణీకులను తీసుకువెళ్ళే సామర్థ్యాన్ని ప్రదర్శించింది. [5] రాకెట్ అసిస్టెడ్ టేకాఫ్లతో ప్రయోగాలు కూడా జరిగాయి. [6] 1950 ల ప్రారంభంలో, హెలికాప్టర్లు గాలి-సముద్ర రెస్క్యూ పాత్రను స్వాధీనం చేసుకున్నాయి. 1952 లో, పూర్తి చేసిన రెండు ప్రోటోటైప్‌లు మరియు పాక్షికంగా నిర్మించిన మూడవ విమానం, PA152 స్క్రాప్ చేయబడ్డాయి. [6] సీగల్ ఆల్-మెటల్ నిర్మాణాన్ని కలిగి ఉంది, రెండు స్పార్ పారాసోల్ వింగ్ పైలాన్ మీద అమర్చబడి, దానిని ఫ్యూజ్‌లేజ్‌కు అనుసంధానిస్తుంది. సింగిల్ ఇంజిన్, రోల్స్ రాయిస్ గ్రిఫ్ఫోన్ కాంట్రా-రొటేటింగ్ ప్రొపెల్లర్లను నడిపింది; రేడియేటర్లను పైలాన్లోని ఇంజిన్ క్రింద అమర్చారు. పైలాన్ వెనుక భాగంలో ఒక పరిశీలకుడి స్థానాన్ని రెండు కిటికీలతో ఉంచారు. ఇంజిన్ వెనుక, రెక్కపై కంటి బోల్ట్ అమర్చబడింది, కాబట్టి విమానం నీటి నుండి క్రేన్ ద్వారా సులభంగా ఎత్తవచ్చు. రెక్కలు స్లాట్డ్ ఫ్లాప్స్ మరియు పూర్తి పొడవు ప్రముఖ అంచు స్లాట్లతో అమర్చబడ్డాయి మరియు కాంపాక్ట్, షిప్-బోర్డ్ స్టోవేజ్ కోసం మడవవచ్చు. వారు సంభవం యొక్క వేరియబుల్ కోణాన్ని కలిగి ఉన్నారు, ముందు స్పార్ వద్ద పివోట్ చేసి, వెనుక స్పార్‌కు జతచేయబడిన విద్యుత్తుతో నడిచే జాక్‌స్క్రూ ద్వారా పనిచేస్తారు. ఈ అమరిక స్టాలింగ్ వేగాన్ని తగ్గించింది మరియు పెరిగిన లిఫ్ట్, విమానం చిన్న రెక్కను ఉపయోగించడానికి వీలు కల్పిస్తుంది-ఓడ ద్వారా కలిగే విమానానికి కాంపాక్ట్నెస్ ఒక ముఖ్యమైన లక్షణం. [1] సూపర్మారైన్ టైప్ 322 లో ఈ అమరికను పరీక్షించింది మరియు టెస్ట్ పైలట్ మైక్ లిత్గో గంటకు 35 మైళ్ళు (56 కిమీ/గం) మాత్రమే సీగల్ ను ఎగరవేసినప్పుడు దాని సామర్ధ్యం ప్రదర్శించబడింది. [4] జూలై 1950 లో, ఎయిర్ లీగ్ కప్ రేసులో పోటీ పడుతున్న లెస్ కోల్‌కౌన్ [7] ఎగిరిన సీగల్ 100 కిలోమీటర్ల (62 మైళ్ళు) కోర్సులో ఉభయచర విమానాల కోసం ఎయిర్-స్పీడ్ రికార్డును పొందింది, సగటున 241.9 మైళ్ల వేగంతో ఎగురుతూ గంటకు (389.3 కిమీ/గం). [6] హల్ ఒక సాధారణ ఫ్రేమ్ మరియు చైన్స్ తో లాంగన్ డిజైన్. ఫిన్ పైన తీసుకువెళ్ళబడిన టెయిల్‌ప్లేన్ చాలా పెద్ద డైహెడ్రల్ కలిగి ఉంది, చిన్న రెక్కలు దాని చిట్కాలపై దాని ఉపరితలానికి లంబంగా అమర్చబడి ఉంటాయి. మొదటి ప్రోటోటైప్ యొక్క పరీక్ష తర్వాత మూడవ ఫిన్ తరువాత కేంద్రానికి జోడించబడింది. ఇది నిర్మించబడుతున్నప్పుడు ఇది రెండవ నమూనాకు జోడించబడింది. అండర్ క్యారేజ్ ఫ్యూజ్‌లేజ్‌కు ఇరువైపులా బేలుగా ఉపసంహరించబడింది మరియు సులభంగా తొలగించబడుతుంది, విమానం స్వచ్ఛమైన ఎగిరే-పడవగా పనిచేస్తున్నప్పుడు 180 కిలోగ్రాముల (400 పౌండ్లు) బరువును ఆదా చేస్తుంది. [5] సీగల్ క్యారియర్ ల్యాండింగ్ల కోసం అరెస్టర్ హుక్‌తో కూడా అమర్చారు; జాటో రాకెట్ల కోసం మౌంటు పాయింట్లు వీల్ బావుల పైన ఉన్నాయి. సిబ్బంది సాధారణంగా మూడు కలిగి ఉంటారు. [1] గాలి-సముద్ర రెస్క్యూ పని సమయంలో, సీగల్ పైలట్, నావిగేటర్ మరియు మెడిసిన్ మరియు ఏడుగురు వరకు ప్రాణాలతో బయటపడగలదు. [5] .</v>
      </c>
      <c r="E140" s="1" t="s">
        <v>2677</v>
      </c>
      <c r="F140" s="1" t="s">
        <v>2678</v>
      </c>
      <c r="G140" s="1" t="str">
        <f>IFERROR(__xludf.DUMMYFUNCTION("GOOGLETRANSLATE(F:F,""en"", ""te"")"),"ఎయిర్-సీ రెస్క్యూ ఉభయచర")</f>
        <v>ఎయిర్-సీ రెస్క్యూ ఉభయచర</v>
      </c>
      <c r="H140" s="1" t="s">
        <v>2679</v>
      </c>
      <c r="L140" s="1" t="s">
        <v>827</v>
      </c>
      <c r="M140" s="1" t="str">
        <f>IFERROR(__xludf.DUMMYFUNCTION("GOOGLETRANSLATE(L:L,""en"", ""te"")"),"సూపర్ మెరైన్")</f>
        <v>సూపర్ మెరైన్</v>
      </c>
      <c r="N140" s="2" t="s">
        <v>828</v>
      </c>
      <c r="P140" s="1" t="s">
        <v>2680</v>
      </c>
      <c r="Q140" s="1"/>
      <c r="R140" s="1" t="s">
        <v>2681</v>
      </c>
      <c r="S140" s="1">
        <v>3.0</v>
      </c>
      <c r="T140" s="1" t="s">
        <v>2682</v>
      </c>
      <c r="U140" s="1" t="s">
        <v>2683</v>
      </c>
      <c r="V140" s="1" t="s">
        <v>2684</v>
      </c>
      <c r="W140" s="1" t="s">
        <v>2685</v>
      </c>
      <c r="X140" s="1" t="s">
        <v>2686</v>
      </c>
      <c r="Y140" s="1" t="s">
        <v>2687</v>
      </c>
      <c r="AA140" s="1" t="s">
        <v>2688</v>
      </c>
      <c r="AB140" s="1" t="s">
        <v>2689</v>
      </c>
      <c r="AD140" s="1" t="s">
        <v>2690</v>
      </c>
      <c r="AE140" s="1" t="s">
        <v>2691</v>
      </c>
      <c r="AH140" s="1" t="s">
        <v>2692</v>
      </c>
      <c r="AK140" s="1" t="s">
        <v>2693</v>
      </c>
      <c r="AL140" s="1" t="s">
        <v>2694</v>
      </c>
      <c r="AO140" s="4">
        <v>17728.0</v>
      </c>
      <c r="AQ140" s="1" t="s">
        <v>2695</v>
      </c>
      <c r="AR140" s="1" t="s">
        <v>2696</v>
      </c>
      <c r="AW140" s="1" t="s">
        <v>2697</v>
      </c>
      <c r="BA140" s="1" t="s">
        <v>2698</v>
      </c>
      <c r="BC140" s="1">
        <v>1952.0</v>
      </c>
      <c r="DY140" s="1" t="s">
        <v>2699</v>
      </c>
      <c r="DZ140" s="1" t="s">
        <v>2700</v>
      </c>
    </row>
    <row r="141">
      <c r="A141" s="1" t="s">
        <v>2701</v>
      </c>
      <c r="B141" s="1" t="str">
        <f>IFERROR(__xludf.DUMMYFUNCTION("GOOGLETRANSLATE(A:A,""en"", ""te"")"),"స్జెకెలీ ఎగురుతున్న డచ్మాన్")</f>
        <v>స్జెకెలీ ఎగురుతున్న డచ్మాన్</v>
      </c>
      <c r="C141" s="1" t="s">
        <v>2702</v>
      </c>
      <c r="D141" s="1" t="str">
        <f>IFERROR(__xludf.DUMMYFUNCTION("GOOGLETRANSLATE(C:C,""en"", ""te"")"),"స్జెకెలీ మోడల్ V ఫ్లయింగ్ డచ్మాన్ అనేది సింగిల్ సీట్ స్పోర్ట్ విమానం, దీనిని 1928-29లో మిచిగాన్‌లోని హాలండ్‌లో విమాన ఇంజిన్ తయారీదారు స్జెకెలీ నిర్మించారు. [1] ఫ్లయింగ్ డచ్మాన్ 1927 లో డెట్రాయిట్ విశ్వవిద్యాలయంలో ప్రొఫెసర్ పీటర్ ఆల్ట్మాన్ చేత రూపొందించబడి"&amp;"ంది. [2] ఈ విమానం మొదట నైల్స్ ఎయిర్క్రాఫ్ట్ కార్పొరేషన్ చేత విలియమ్స్ గోల్డ్ టిప్ గా విక్రయించింది, దీనిని మూడు సిలిండర్ అంజాని ఇంజిన్ ద్వారా నడిపించింది. దాని స్వంత ఇంజిన్ డిజైన్‌ను ఉపయోగించి విమానం ఉత్పత్తి చేయడానికి స్జెకెలీ ఈ హక్కులను కొనుగోలు చేసింది"&amp;". [3] 1928 ఆగస్టు 28 న ప్రారంభమైన సంస్థకు వసతి కల్పించడానికి హాలండ్‌లో ఒక విమానాశ్రయం నిర్మించబడింది, 1929 లో స్జెకెలీ విమానాశ్రయం పేరును కొనుగోలు చేసింది. స్జెకెలీ వారానికి 24 విమానాల ఉత్పత్తి సామర్థ్యాన్ని పేర్కొన్నారు, అయినప్పటికీ మొత్తం 21 విమానాలు మా"&amp;"త్రమే ఉత్పత్తి చేయబడ్డాయి. స్జెకెలీ కంపెనీ మార్చి 1932 లో దివాలా కోసం దాఖలు చేసింది, మరియు ఫ్యాక్టరీ ఆస్తులను మిచిగాన్ బంపర్ 1936 లో కొనుగోలు చేసింది. [4] ఫ్లయింగ్ డచ్మాన్ ఒకే ప్రదేశం, తక్కువ వింగ్, సాంప్రదాయిక ల్యాండింగ్ గేర్‌తో ఓపెన్ కాక్‌పిట్ మోనోప్లేన"&amp;"్ మరియు 3-సిలిండర్ స్జెకెలి ఇంజిన్. ఫ్యూజ్‌లేజ్ విమాన ఫాబ్రిక్ కవరింగ్‌తో వెల్డెడ్ స్టీల్ గొట్టాలతో తయారు చేయబడింది. [5] ఎగిరే డచ్మాన్ 1938 చిత్రం మెన్ విత్ వింగ్స్‌లో కనిపించాడు. [6] పోల్చదగిన పాత్ర, కాన్ఫిగరేషన్ మరియు ERA యొక్క ఏరోనాటిక్స్ జనరల్ లక్షణాల"&amp;" నుండి డేటా పనితీరు విమానం")</f>
        <v>స్జెకెలీ మోడల్ V ఫ్లయింగ్ డచ్మాన్ అనేది సింగిల్ సీట్ స్పోర్ట్ విమానం, దీనిని 1928-29లో మిచిగాన్‌లోని హాలండ్‌లో విమాన ఇంజిన్ తయారీదారు స్జెకెలీ నిర్మించారు. [1] ఫ్లయింగ్ డచ్మాన్ 1927 లో డెట్రాయిట్ విశ్వవిద్యాలయంలో ప్రొఫెసర్ పీటర్ ఆల్ట్మాన్ చేత రూపొందించబడింది. [2] ఈ విమానం మొదట నైల్స్ ఎయిర్క్రాఫ్ట్ కార్పొరేషన్ చేత విలియమ్స్ గోల్డ్ టిప్ గా విక్రయించింది, దీనిని మూడు సిలిండర్ అంజాని ఇంజిన్ ద్వారా నడిపించింది. దాని స్వంత ఇంజిన్ డిజైన్‌ను ఉపయోగించి విమానం ఉత్పత్తి చేయడానికి స్జెకెలీ ఈ హక్కులను కొనుగోలు చేసింది. [3] 1928 ఆగస్టు 28 న ప్రారంభమైన సంస్థకు వసతి కల్పించడానికి హాలండ్‌లో ఒక విమానాశ్రయం నిర్మించబడింది, 1929 లో స్జెకెలీ విమానాశ్రయం పేరును కొనుగోలు చేసింది. స్జెకెలీ వారానికి 24 విమానాల ఉత్పత్తి సామర్థ్యాన్ని పేర్కొన్నారు, అయినప్పటికీ మొత్తం 21 విమానాలు మాత్రమే ఉత్పత్తి చేయబడ్డాయి. స్జెకెలీ కంపెనీ మార్చి 1932 లో దివాలా కోసం దాఖలు చేసింది, మరియు ఫ్యాక్టరీ ఆస్తులను మిచిగాన్ బంపర్ 1936 లో కొనుగోలు చేసింది. [4] ఫ్లయింగ్ డచ్మాన్ ఒకే ప్రదేశం, తక్కువ వింగ్, సాంప్రదాయిక ల్యాండింగ్ గేర్‌తో ఓపెన్ కాక్‌పిట్ మోనోప్లేన్ మరియు 3-సిలిండర్ స్జెకెలి ఇంజిన్. ఫ్యూజ్‌లేజ్ విమాన ఫాబ్రిక్ కవరింగ్‌తో వెల్డెడ్ స్టీల్ గొట్టాలతో తయారు చేయబడింది. [5] ఎగిరే డచ్మాన్ 1938 చిత్రం మెన్ విత్ వింగ్స్‌లో కనిపించాడు. [6] పోల్చదగిన పాత్ర, కాన్ఫిగరేషన్ మరియు ERA యొక్క ఏరోనాటిక్స్ జనరల్ లక్షణాల నుండి డేటా పనితీరు విమానం</v>
      </c>
      <c r="E141" s="1" t="s">
        <v>2703</v>
      </c>
      <c r="F141" s="1" t="s">
        <v>815</v>
      </c>
      <c r="G141" s="1" t="str">
        <f>IFERROR(__xludf.DUMMYFUNCTION("GOOGLETRANSLATE(F:F,""en"", ""te"")"),"స్పోర్ట్‌ప్లేన్")</f>
        <v>స్పోర్ట్‌ప్లేన్</v>
      </c>
      <c r="I141" s="1" t="s">
        <v>158</v>
      </c>
      <c r="J141" s="1" t="str">
        <f>IFERROR(__xludf.DUMMYFUNCTION("GOOGLETRANSLATE(I:I,""en"", ""te"")"),"అమెరికా")</f>
        <v>అమెరికా</v>
      </c>
      <c r="K141" s="1" t="s">
        <v>159</v>
      </c>
      <c r="L141" s="1" t="s">
        <v>2704</v>
      </c>
      <c r="M141" s="1" t="str">
        <f>IFERROR(__xludf.DUMMYFUNCTION("GOOGLETRANSLATE(L:L,""en"", ""te"")"),"స్జెకెలీ ఎయిర్క్రాఫ్ట్ అండ్ ఇంజిన్ కంపెనీ")</f>
        <v>స్జెకెలీ ఎయిర్క్రాఫ్ట్ అండ్ ఇంజిన్ కంపెనీ</v>
      </c>
      <c r="N141" s="1" t="s">
        <v>2705</v>
      </c>
      <c r="O141" s="1" t="s">
        <v>2706</v>
      </c>
      <c r="R141" s="1">
        <v>21.0</v>
      </c>
      <c r="S141" s="1">
        <v>1.0</v>
      </c>
      <c r="U141" s="1" t="s">
        <v>2707</v>
      </c>
      <c r="Y141" s="1" t="s">
        <v>1192</v>
      </c>
      <c r="AA141" s="1" t="s">
        <v>2708</v>
      </c>
      <c r="AE141" s="1" t="s">
        <v>375</v>
      </c>
      <c r="AG141" s="1" t="s">
        <v>208</v>
      </c>
      <c r="AH141" s="1" t="s">
        <v>2709</v>
      </c>
      <c r="AI141" s="1" t="s">
        <v>1955</v>
      </c>
      <c r="AM141" s="1" t="s">
        <v>2710</v>
      </c>
      <c r="AQ141" s="1" t="s">
        <v>2711</v>
      </c>
      <c r="AU141" s="1" t="s">
        <v>2712</v>
      </c>
      <c r="BG141" s="1" t="s">
        <v>2713</v>
      </c>
    </row>
    <row r="142">
      <c r="A142" s="1" t="s">
        <v>2714</v>
      </c>
      <c r="B142" s="1" t="str">
        <f>IFERROR(__xludf.DUMMYFUNCTION("GOOGLETRANSLATE(A:A,""en"", ""te"")"),"గాలొపింగ్ దెయ్యం (విమానం)")</f>
        <v>గాలొపింగ్ దెయ్యం (విమానం)</v>
      </c>
      <c r="C142" s="1" t="s">
        <v>2715</v>
      </c>
      <c r="D142" s="1" t="str">
        <f>IFERROR(__xludf.DUMMYFUNCTION("GOOGLETRANSLATE(C:C,""en"", ""te"")"),"గాలోపింగ్ దెయ్యం ఒక పి -51 డి ముస్తాంగ్ ఎయిర్ రేసర్, ఇది వివిధ ఎయిర్‌స్పీడ్ రికార్డులను కలిగి ఉంది మరియు 2011 లో ప్రాణాంతకమైన క్రాష్ గాలి ప్రదర్శనలను సురక్షితంగా చేయడానికి అనేక మార్పులకు దారితీసింది. ఆర్మీ వైమానిక దళం కోసం 1944 లో నార్త్ అమెరికన్ ఏవియేషన్"&amp;" నిర్మించిన ఈ విమానం యుద్ధానంతర మిగులుగా విక్రయించబడింది. తరువాతి అర్ధ-శతాబ్దంలో, ఇది ఫ్లోరిడాలోని ఓకాలాలో చివరకు, ఏరో ట్రాన్స్ కార్పొరేషన్ DBA తో సహా, ఇది వరుస యజమానులచే సవరించబడింది మరియు పందెం చేసింది. [1] నెవాడాలోని రెనోకు ఉత్తరాన ఉన్న రెనో స్టీడ్ విమ"&amp;"ానాశ్రయంలో రెనో ఎయిర్ రేసుల్లో ప్రేక్షకులను ras ీకొనడంతో ఇది సెప్టెంబర్ 16, 2011 న నాశనం చేయబడింది. గాలపింగ్ దెయ్యాన్ని ఉత్తర అమెరికా ఏవియేషన్ పి -51 డి -15-నాగా నిర్మించింది, ఆర్మీ ఎయిర్ ఫోర్స్ సీరియల్ నంబర్ 44-15651, [2], కాలిఫోర్నియాలోని నా యొక్క ఇంగిల"&amp;"్‌వుడ్ వద్ద [2], రెండవ ప్రపంచ యుద్ధంలో సైనిక ఉపయోగం కోసం ప్లాంట్ [3]. విమానం పంపిణీ చేసిన తర్వాత, దీనిని అర్కాన్సాస్‌లోని వాల్‌నట్ రిడ్జ్‌లోని వాల్‌నట్ రిడ్జ్ ఆర్మీ ఎయిర్ ఫీల్డ్‌కు బదిలీ చేశారు. ఇది తరువాత మిగులు స్టాక్‌గా వర్గీకరించబడింది మరియు ప్రజలకు స"&amp;"ుమారు, 500 3,500 (ఈ రోజు, 6 46,600) కు ఇచ్చింది. ఆ సమయంలో, స్టీవ్ బెవిల్లే మరియు బ్రూస్ రేమండ్ సెప్టెంబరులో జరగబోయే ఒహియోలోని క్లీవ్‌ల్యాండ్‌లోని నేషనల్ ఎయిర్ రేసుల్లో పోటీ పడాలని చూస్తున్నారు. వాల్నట్ రిడ్జ్ ఆర్మీ ఎయిర్ ఫీల్డ్‌లో పి -51 అమ్మకాలు అధికారిక"&amp;"ంగా ముగిసినప్పటికీ, జూలై 22, 1946 న బెవిల్లే WAA నుండి విమానాన్ని భద్రపరచగలిగాడు. ఈ విధంగా, ఈ విమానం ప్రజలకు చివరిగా విక్రయించబడింది. [4] [5] బెవిల్లే మరియు రేమండ్ విమానం NX79111 గా నమోదు చేసుకున్నారు మరియు దీనికి ఫుట్‌బాల్ స్టార్ రెడ్ గ్రాంజ్ తర్వాత గాలొ"&amp;"పింగ్ దెయ్యం అని పేరు పెట్టారు. రేమండ్ ఈ విమానాన్ని తన మొదటి రేసు, 1946 థాంప్సన్ ట్రోఫీలో పైలట్ చేసింది, ఇది 1939 నుండి మొదటిది, రెండవ ప్రపంచ యుద్ధం వార్షిక కార్యక్రమాన్ని నిలిపివేసింది. రేమండ్ క్లోజ్డ్-కోర్సు ట్రాక్‌లో నాల్గవ స్థానంలో నిలిచాడు, $ 3,000 గ"&amp;"ెలిచాడు. [6] మరుసటి సంవత్సరం, బెవిల్లే కెండల్ ట్రోఫీ రేసులో విమానాన్ని పైలట్ చేశాడు. అతను ఆగష్టు 31, 1947 న వేగంగా క్లోజ్డ్-కోర్సు వేగంతో రికార్డును బద్దలు కొట్టాడు, గంటకు 384.6 మైళ్ళు (619 కిమీ/గం), థాంప్సన్ లో ఆల్విన్ ""టెక్స్"" జాన్సన్ సెట్ చేసిన 601.7"&amp;" కిమీ/గం (374 mph) రికార్డును బద్దలు కొట్టాడు. ట్రోఫీ రేసు మునుపటి సంవత్సరం, $ 2,500 గెలుచుకుంది. [7] [8] [9] బెవిల్లే 1947 థాంప్సన్ ట్రోఫీ కోసం నాల్గవ స్థానంలో నిలిచాడు. 1948 కొరకు, రేమండ్ సోహియో (నాల్గవది), థాంప్సన్ (రెండవ) మరియు టిన్నెర్మాన్ (మొదటి) ట్"&amp;"రోఫీలలో పరుగెత్తాడు. అతను టిన్నెర్మాన్ ను సెకనులోపు గెలుచుకున్నాడు, [10] $ 3,150 తీసుకున్నాడు మరియు మూడు రేసులకు మొత్తం, 8 11,850 సంపాదించాడు. 1949 లో, బెవిల్లే సోహియో మరియు థాంప్సన్ ట్రోఫీలలో పాల్గొన్నాడు, రెండింటికీ నాల్గవ స్థానంలో నిలిచాడు మరియు మొత్తం"&amp;", 7 3,700 సంపాదించాడు. [6] 1963 లో, ఈ విమానాన్ని డాక్టర్ క్లిఫ్ కమ్మిన్స్ తీసివేసిన హల్క్ గా కొనుగోలు చేశారు. [11] అతను విమానాన్ని పునరుద్ధరించాడు మరియు రేసింగ్ కోసం సవరించాడు, తక్కువ ప్రొఫైల్ పందిరిని చేర్చడం మరియు రెక్కలు నాలుగు అడుగుల (120 సెం.మీ) తగ్గ"&amp;"ించడం వంటివి ఉన్నాయి. అతను మొదట దీనిని 1969 లో రెనో ఎయిర్ రేసుల్లో మిస్ కాండస్ (అతని కుమార్తె పేరు పెట్టారు) రేసు సంఖ్య 69. 1970 రేసుల్లో, అతను ఇంజిన్ వైఫల్యానికి గురయ్యాడు మరియు రన్వేకు తక్కువ దిగి, విమానాన్ని దెబ్బతీశాడు. [12] [13 ] ఈ విమానం మళ్లీ పునర్"&amp;"నిర్మించబడింది, ఈసారి ఫార్ములా వన్ ఎయిర్ రేసర్ మరియు చిన్న బొడ్డు శీతలీకరణ స్కూప్ నుండి తీసిన చాలా చిన్న పందిరితో. ఈ కాన్ఫిగరేషన్‌లో, కమ్మిన్స్ మొట్టమొదట 1972 లో ఈ విమానాన్ని పందెం చేశాడు. 1973 లో అతను అపరిమిత క్లాస్ గోల్డ్ రేసు కోసం మూడవ స్థానంలో విమానం "&amp;"అర్హత సాధించాడు మరియు అతను లైల్ షెల్టాన్ గెలిచిన బేర్‌కాట్ వెనుక రెండవ స్థానంలో నిలిచాడు. అతను కాలిఫోర్నియాలోని మొజావేలో 1976 జాతీయ ఎయిర్ రేసులను గెలుచుకున్నాడు, గంటకు 422 మైళ్ళు (గంటకు 679 కిమీ) వేగంతో. పరిమిత విజయంతో విమానాన్ని చాలా సంవత్సరాలు రేసింగ్ చ"&amp;"ేసిన తరువాత, అతను 1979 లో విమానాన్ని సాండర్స్ ట్రక్ లైన్ల విలే సాండర్స్ కు విక్రయించాడు. [12] సాండర్స్ తన భార్య తర్వాత జెన్నీ విమానం పేరు మార్చాడు. ఈ విమానం బరువు తగ్గింపుకు కన్నుతో పునర్నిర్మించబడింది. చివరికి, ఎయిర్ఫ్రేమ్ నుండి 600 పౌండ్లు (270 కిలోలు) "&amp;"తొలగించబడ్డాయి. [13] రాయ్ ""మాక్"" మెక్లైన్ 1979 లో రెనో ఎయిర్ రేసుల్లో ఈ విమానం ప్రయాణించారు. 1980 వాయు రేసులకు కొంతకాలం ముందు, వాన్ న్యూస్ విమానాశ్రయంలో జరిగిన ప్రమాదంలో విమానం దెబ్బతింది. ఒక ఉన్మాద ప్రయత్నంలో, ఈ విమానం పునర్నిర్మించబడింది మరియు మళ్ళీ మ"&amp;"ెక్లైన్ చేత ఎగిరింది, కొద్ది రోజుల తరువాత రెనోలో బంగారు రేసును గెలుచుకుంది. 1981 రెనో ఎయిర్ రేసుల్లో, అపరిమిత తరగతి బంగారు రేసులో హోల్మ్ విమానాన్ని విజయానికి పైలట్ చేశాడు. మరుసటి సంవత్సరం, విమానం ఇంజిన్ వైఫల్యానికి గురైంది మరియు బంగారు రేసులో పాల్గొనలేదు."&amp;" [12] విమానం యొక్క రెక్కల వ్యవధి మరో ఆరు అడుగులు (180 సెం.మీ) తగ్గించబడిన కొద్దిసేపటికే, ఈ విమానం 1983 లో జిమ్మీ లీవార్డ్‌కు విక్రయించబడింది. [14] లీవార్డ్ మొదట్లో విమానం స్పెక్టర్, రేస్ నంబర్ X గా పరుగెత్తాడు. [15] తరువాత అతను రెనో వద్ద విమానాన్ని రేస్ న"&amp;"ంబర్ 9 మరియు తరువాత రేస్ నంబర్ 44 ""లీవార్డ్ ఎయిర్ రాంచ్ స్పెషల్"" గా పందెం చేశాడు. ] ఈ విమానం 1990 మరియు 2009 మధ్య రేసుల్లో కనిపించలేదు. 2010 లో, గాలపింగ్ దెయ్యం రెనో రేసులకు తిరిగి వచ్చింది. [11] 2011 లో, లెవార్డ్ రెనో ఎయిర్ రేసుల్లో మళ్ళీ విమానాన్ని ఎగ"&amp;"రేశాడు. సెప్టెంబర్ 16, 2011 న, గాలపింగ్ దెయ్యం రేసుల్లో ప్రేక్షకులను ras ీకొట్టి, లెవార్డ్ మరియు 10 మంది ప్రేక్షకులను చంపి 69 మంది గాయపడ్డారు. [16] ఈ విమానం చివరి పైలాన్ పైకి పిచ్ చేసి, విలోమంగా వెళ్ళినప్పుడు చుట్టుముట్టింది. విలోమం చేస్తున్నప్పుడు, విమాన"&amp;"ం దాని రెక్కలను కదిలించి, అకస్మాత్తుగా భూమి మరియు గ్రాండ్‌స్టాండ్‌ల వైపుకు పిచ్ చేసి, గ్రాండ్‌స్టాండ్ల ముందు బాక్స్ సీటింగ్ ప్రదేశంలోకి దూసుకెళ్లింది. నేషనల్ ట్రాన్స్‌పోర్టేషన్ సేఫ్టీ బోర్డ్ (ఎన్‌టిఎస్‌బి) తోక యొక్క ఒక భాగాన్ని కోల్పోవడం గాలొపింగ్ దెయ్యం "&amp;"యొక్క ప్రమాదంలో పాత్ర పోషించిందా అని పరిశీలించింది. [17] వార్తల నివేదికలలో క్రాష్‌కు ముందు తీసిన ఛాయాచిత్రం ఉంది, అయితే విమానం విలోమంగా ఉంది, తప్పిపోయిన ఎడమ ఎలివేటర్ ట్రిమ్ టాబ్‌ను చూపించు. [17] [18] ఇదే విధమైన సంఘటన 1998 లో జరిగింది: రెనో ఎయిర్ రేసుల్లో "&amp;"""హరికేన్"" బాబ్ హన్నా చేత పైలట్ చేయబడిన ood డూ చిలీ అనే సవరించిన పి -51 ముస్తాంగ్ లెఫ్ట్ ట్రిమ్ టాబ్‌ను కోల్పోయింది. 1998 సంఘటన క్రాష్‌కు దారితీయలేదు, కాని ఎలివేటర్ ట్రిమ్ టాబ్ వచ్చినప్పుడు, విమానం పిచ్ చేసి, అతన్ని 10 గ్రాముల కంటే ఎక్కువ మరియు స్పృహ కోల"&amp;"్పోయిందని హన్నా నివేదించాడు. అతను స్పృహ తిరిగి వచ్చినప్పుడు, విమానం 9,000 అడుగుల (2,750 మీ) కు చేరుకుంది. ఆ సంఘటనలో, హన్నా దెబ్బతిన్న విమానాన్ని సురక్షితమైన ల్యాండింగ్ కోసం తీసుకురాగలిగాడు. [19] [20] NTSB దర్యాప్తు నివేదికలో, ట్రిమ్ టాబ్ మౌంట్స్‌లో ధరించడ"&amp;"ం వల్ల పోర్ట్ ఎలివేటర్ ట్రిమ్ టాబ్ కోల్పోవడం వల్ల 17 G+ కి విపరీతమైన పిచ్-అప్ కారణమని చెప్పబడింది, మౌంటు బోల్ట్‌లపై లాక్-గింజల ద్వారా తీవ్రతరం అవుతుంది వారి సాధారణ జీవితాన్ని దాటడం వల్ల లాకింగ్ సామర్థ్యం. [21] సాధారణ లక్షణాలు పోల్చదగిన పాత్ర, ఆకృతీకరణ మరి"&amp;"యు యుగం యొక్క పనితీరు విమానం")</f>
        <v>గాలోపింగ్ దెయ్యం ఒక పి -51 డి ముస్తాంగ్ ఎయిర్ రేసర్, ఇది వివిధ ఎయిర్‌స్పీడ్ రికార్డులను కలిగి ఉంది మరియు 2011 లో ప్రాణాంతకమైన క్రాష్ గాలి ప్రదర్శనలను సురక్షితంగా చేయడానికి అనేక మార్పులకు దారితీసింది. ఆర్మీ వైమానిక దళం కోసం 1944 లో నార్త్ అమెరికన్ ఏవియేషన్ నిర్మించిన ఈ విమానం యుద్ధానంతర మిగులుగా విక్రయించబడింది. తరువాతి అర్ధ-శతాబ్దంలో, ఇది ఫ్లోరిడాలోని ఓకాలాలో చివరకు, ఏరో ట్రాన్స్ కార్పొరేషన్ DBA తో సహా, ఇది వరుస యజమానులచే సవరించబడింది మరియు పందెం చేసింది. [1] నెవాడాలోని రెనోకు ఉత్తరాన ఉన్న రెనో స్టీడ్ విమానాశ్రయంలో రెనో ఎయిర్ రేసుల్లో ప్రేక్షకులను ras ీకొనడంతో ఇది సెప్టెంబర్ 16, 2011 న నాశనం చేయబడింది. గాలపింగ్ దెయ్యాన్ని ఉత్తర అమెరికా ఏవియేషన్ పి -51 డి -15-నాగా నిర్మించింది, ఆర్మీ ఎయిర్ ఫోర్స్ సీరియల్ నంబర్ 44-15651, [2], కాలిఫోర్నియాలోని నా యొక్క ఇంగిల్‌వుడ్ వద్ద [2], రెండవ ప్రపంచ యుద్ధంలో సైనిక ఉపయోగం కోసం ప్లాంట్ [3]. విమానం పంపిణీ చేసిన తర్వాత, దీనిని అర్కాన్సాస్‌లోని వాల్‌నట్ రిడ్జ్‌లోని వాల్‌నట్ రిడ్జ్ ఆర్మీ ఎయిర్ ఫీల్డ్‌కు బదిలీ చేశారు. ఇది తరువాత మిగులు స్టాక్‌గా వర్గీకరించబడింది మరియు ప్రజలకు సుమారు, 500 3,500 (ఈ రోజు, 6 46,600) కు ఇచ్చింది. ఆ సమయంలో, స్టీవ్ బెవిల్లే మరియు బ్రూస్ రేమండ్ సెప్టెంబరులో జరగబోయే ఒహియోలోని క్లీవ్‌ల్యాండ్‌లోని నేషనల్ ఎయిర్ రేసుల్లో పోటీ పడాలని చూస్తున్నారు. వాల్నట్ రిడ్జ్ ఆర్మీ ఎయిర్ ఫీల్డ్‌లో పి -51 అమ్మకాలు అధికారికంగా ముగిసినప్పటికీ, జూలై 22, 1946 న బెవిల్లే WAA నుండి విమానాన్ని భద్రపరచగలిగాడు. ఈ విధంగా, ఈ విమానం ప్రజలకు చివరిగా విక్రయించబడింది. [4] [5] బెవిల్లే మరియు రేమండ్ విమానం NX79111 గా నమోదు చేసుకున్నారు మరియు దీనికి ఫుట్‌బాల్ స్టార్ రెడ్ గ్రాంజ్ తర్వాత గాలొపింగ్ దెయ్యం అని పేరు పెట్టారు. రేమండ్ ఈ విమానాన్ని తన మొదటి రేసు, 1946 థాంప్సన్ ట్రోఫీలో పైలట్ చేసింది, ఇది 1939 నుండి మొదటిది, రెండవ ప్రపంచ యుద్ధం వార్షిక కార్యక్రమాన్ని నిలిపివేసింది. రేమండ్ క్లోజ్డ్-కోర్సు ట్రాక్‌లో నాల్గవ స్థానంలో నిలిచాడు, $ 3,000 గెలిచాడు. [6] మరుసటి సంవత్సరం, బెవిల్లే కెండల్ ట్రోఫీ రేసులో విమానాన్ని పైలట్ చేశాడు. అతను ఆగష్టు 31, 1947 న వేగంగా క్లోజ్డ్-కోర్సు వేగంతో రికార్డును బద్దలు కొట్టాడు, గంటకు 384.6 మైళ్ళు (619 కిమీ/గం), థాంప్సన్ లో ఆల్విన్ "టెక్స్" జాన్సన్ సెట్ చేసిన 601.7 కిమీ/గం (374 mph) రికార్డును బద్దలు కొట్టాడు. ట్రోఫీ రేసు మునుపటి సంవత్సరం, $ 2,500 గెలుచుకుంది. [7] [8] [9] బెవిల్లే 1947 థాంప్సన్ ట్రోఫీ కోసం నాల్గవ స్థానంలో నిలిచాడు. 1948 కొరకు, రేమండ్ సోహియో (నాల్గవది), థాంప్సన్ (రెండవ) మరియు టిన్నెర్మాన్ (మొదటి) ట్రోఫీలలో పరుగెత్తాడు. అతను టిన్నెర్మాన్ ను సెకనులోపు గెలుచుకున్నాడు, [10] $ 3,150 తీసుకున్నాడు మరియు మూడు రేసులకు మొత్తం, 8 11,850 సంపాదించాడు. 1949 లో, బెవిల్లే సోహియో మరియు థాంప్సన్ ట్రోఫీలలో పాల్గొన్నాడు, రెండింటికీ నాల్గవ స్థానంలో నిలిచాడు మరియు మొత్తం, 7 3,700 సంపాదించాడు. [6] 1963 లో, ఈ విమానాన్ని డాక్టర్ క్లిఫ్ కమ్మిన్స్ తీసివేసిన హల్క్ గా కొనుగోలు చేశారు. [11] అతను విమానాన్ని పునరుద్ధరించాడు మరియు రేసింగ్ కోసం సవరించాడు, తక్కువ ప్రొఫైల్ పందిరిని చేర్చడం మరియు రెక్కలు నాలుగు అడుగుల (120 సెం.మీ) తగ్గించడం వంటివి ఉన్నాయి. అతను మొదట దీనిని 1969 లో రెనో ఎయిర్ రేసుల్లో మిస్ కాండస్ (అతని కుమార్తె పేరు పెట్టారు) రేసు సంఖ్య 69. 1970 రేసుల్లో, అతను ఇంజిన్ వైఫల్యానికి గురయ్యాడు మరియు రన్వేకు తక్కువ దిగి, విమానాన్ని దెబ్బతీశాడు. [12] [13 ] ఈ విమానం మళ్లీ పునర్నిర్మించబడింది, ఈసారి ఫార్ములా వన్ ఎయిర్ రేసర్ మరియు చిన్న బొడ్డు శీతలీకరణ స్కూప్ నుండి తీసిన చాలా చిన్న పందిరితో. ఈ కాన్ఫిగరేషన్‌లో, కమ్మిన్స్ మొట్టమొదట 1972 లో ఈ విమానాన్ని పందెం చేశాడు. 1973 లో అతను అపరిమిత క్లాస్ గోల్డ్ రేసు కోసం మూడవ స్థానంలో విమానం అర్హత సాధించాడు మరియు అతను లైల్ షెల్టాన్ గెలిచిన బేర్‌కాట్ వెనుక రెండవ స్థానంలో నిలిచాడు. అతను కాలిఫోర్నియాలోని మొజావేలో 1976 జాతీయ ఎయిర్ రేసులను గెలుచుకున్నాడు, గంటకు 422 మైళ్ళు (గంటకు 679 కిమీ) వేగంతో. పరిమిత విజయంతో విమానాన్ని చాలా సంవత్సరాలు రేసింగ్ చేసిన తరువాత, అతను 1979 లో విమానాన్ని సాండర్స్ ట్రక్ లైన్ల విలే సాండర్స్ కు విక్రయించాడు. [12] సాండర్స్ తన భార్య తర్వాత జెన్నీ విమానం పేరు మార్చాడు. ఈ విమానం బరువు తగ్గింపుకు కన్నుతో పునర్నిర్మించబడింది. చివరికి, ఎయిర్ఫ్రేమ్ నుండి 600 పౌండ్లు (270 కిలోలు) తొలగించబడ్డాయి. [13] రాయ్ "మాక్" మెక్లైన్ 1979 లో రెనో ఎయిర్ రేసుల్లో ఈ విమానం ప్రయాణించారు. 1980 వాయు రేసులకు కొంతకాలం ముందు, వాన్ న్యూస్ విమానాశ్రయంలో జరిగిన ప్రమాదంలో విమానం దెబ్బతింది. ఒక ఉన్మాద ప్రయత్నంలో, ఈ విమానం పునర్నిర్మించబడింది మరియు మళ్ళీ మెక్లైన్ చేత ఎగిరింది, కొద్ది రోజుల తరువాత రెనోలో బంగారు రేసును గెలుచుకుంది. 1981 రెనో ఎయిర్ రేసుల్లో, అపరిమిత తరగతి బంగారు రేసులో హోల్మ్ విమానాన్ని విజయానికి పైలట్ చేశాడు. మరుసటి సంవత్సరం, విమానం ఇంజిన్ వైఫల్యానికి గురైంది మరియు బంగారు రేసులో పాల్గొనలేదు. [12] విమానం యొక్క రెక్కల వ్యవధి మరో ఆరు అడుగులు (180 సెం.మీ) తగ్గించబడిన కొద్దిసేపటికే, ఈ విమానం 1983 లో జిమ్మీ లీవార్డ్‌కు విక్రయించబడింది. [14] లీవార్డ్ మొదట్లో విమానం స్పెక్టర్, రేస్ నంబర్ X గా పరుగెత్తాడు. [15] తరువాత అతను రెనో వద్ద విమానాన్ని రేస్ నంబర్ 9 మరియు తరువాత రేస్ నంబర్ 44 "లీవార్డ్ ఎయిర్ రాంచ్ స్పెషల్" గా పందెం చేశాడు. ] ఈ విమానం 1990 మరియు 2009 మధ్య రేసుల్లో కనిపించలేదు. 2010 లో, గాలపింగ్ దెయ్యం రెనో రేసులకు తిరిగి వచ్చింది. [11] 2011 లో, లెవార్డ్ రెనో ఎయిర్ రేసుల్లో మళ్ళీ విమానాన్ని ఎగరేశాడు. సెప్టెంబర్ 16, 2011 న, గాలపింగ్ దెయ్యం రేసుల్లో ప్రేక్షకులను ras ీకొట్టి, లెవార్డ్ మరియు 10 మంది ప్రేక్షకులను చంపి 69 మంది గాయపడ్డారు. [16] ఈ విమానం చివరి పైలాన్ పైకి పిచ్ చేసి, విలోమంగా వెళ్ళినప్పుడు చుట్టుముట్టింది. విలోమం చేస్తున్నప్పుడు, విమానం దాని రెక్కలను కదిలించి, అకస్మాత్తుగా భూమి మరియు గ్రాండ్‌స్టాండ్‌ల వైపుకు పిచ్ చేసి, గ్రాండ్‌స్టాండ్ల ముందు బాక్స్ సీటింగ్ ప్రదేశంలోకి దూసుకెళ్లింది. నేషనల్ ట్రాన్స్‌పోర్టేషన్ సేఫ్టీ బోర్డ్ (ఎన్‌టిఎస్‌బి) తోక యొక్క ఒక భాగాన్ని కోల్పోవడం గాలొపింగ్ దెయ్యం యొక్క ప్రమాదంలో పాత్ర పోషించిందా అని పరిశీలించింది. [17] వార్తల నివేదికలలో క్రాష్‌కు ముందు తీసిన ఛాయాచిత్రం ఉంది, అయితే విమానం విలోమంగా ఉంది, తప్పిపోయిన ఎడమ ఎలివేటర్ ట్రిమ్ టాబ్‌ను చూపించు. [17] [18] ఇదే విధమైన సంఘటన 1998 లో జరిగింది: రెనో ఎయిర్ రేసుల్లో "హరికేన్" బాబ్ హన్నా చేత పైలట్ చేయబడిన ood డూ చిలీ అనే సవరించిన పి -51 ముస్తాంగ్ లెఫ్ట్ ట్రిమ్ టాబ్‌ను కోల్పోయింది. 1998 సంఘటన క్రాష్‌కు దారితీయలేదు, కాని ఎలివేటర్ ట్రిమ్ టాబ్ వచ్చినప్పుడు, విమానం పిచ్ చేసి, అతన్ని 10 గ్రాముల కంటే ఎక్కువ మరియు స్పృహ కోల్పోయిందని హన్నా నివేదించాడు. అతను స్పృహ తిరిగి వచ్చినప్పుడు, విమానం 9,000 అడుగుల (2,750 మీ) కు చేరుకుంది. ఆ సంఘటనలో, హన్నా దెబ్బతిన్న విమానాన్ని సురక్షితమైన ల్యాండింగ్ కోసం తీసుకురాగలిగాడు. [19] [20] NTSB దర్యాప్తు నివేదికలో, ట్రిమ్ టాబ్ మౌంట్స్‌లో ధరించడం వల్ల పోర్ట్ ఎలివేటర్ ట్రిమ్ టాబ్ కోల్పోవడం వల్ల 17 G+ కి విపరీతమైన పిచ్-అప్ కారణమని చెప్పబడింది, మౌంటు బోల్ట్‌లపై లాక్-గింజల ద్వారా తీవ్రతరం అవుతుంది వారి సాధారణ జీవితాన్ని దాటడం వల్ల లాకింగ్ సామర్థ్యం. [21] సాధారణ లక్షణాలు పోల్చదగిన పాత్ర, ఆకృతీకరణ మరియు యుగం యొక్క పనితీరు విమానం</v>
      </c>
      <c r="E142" s="1" t="s">
        <v>2716</v>
      </c>
      <c r="G142" s="1" t="str">
        <f>IFERROR(__xludf.DUMMYFUNCTION("GOOGLETRANSLATE(F:F,""en"", ""te"")"),"#VALUE!")</f>
        <v>#VALUE!</v>
      </c>
      <c r="L142" s="1" t="s">
        <v>2717</v>
      </c>
      <c r="M142" s="1" t="str">
        <f>IFERROR(__xludf.DUMMYFUNCTION("GOOGLETRANSLATE(L:L,""en"", ""te"")"),"నార్త్ అమెరికన్ ఏవియేషన్")</f>
        <v>నార్త్ అమెరికన్ ఏవియేషన్</v>
      </c>
      <c r="N142" s="1" t="s">
        <v>2718</v>
      </c>
      <c r="S142" s="1">
        <v>1.0</v>
      </c>
      <c r="AA142" s="1" t="s">
        <v>2719</v>
      </c>
      <c r="AQ142" s="1" t="s">
        <v>2720</v>
      </c>
      <c r="BV142" s="1" t="s">
        <v>2721</v>
      </c>
      <c r="BW142" s="1" t="s">
        <v>2722</v>
      </c>
      <c r="BX142" s="1" t="s">
        <v>2723</v>
      </c>
      <c r="CB142" s="1" t="s">
        <v>2724</v>
      </c>
      <c r="DJ142" s="1" t="s">
        <v>2725</v>
      </c>
    </row>
    <row r="143">
      <c r="A143" s="1" t="s">
        <v>2726</v>
      </c>
      <c r="B143" s="1" t="str">
        <f>IFERROR(__xludf.DUMMYFUNCTION("GOOGLETRANSLATE(A:A,""en"", ""te"")"),"సూపర్ మేరిన్ 545")</f>
        <v>సూపర్ మేరిన్ 545</v>
      </c>
      <c r="C143" s="1" t="s">
        <v>2727</v>
      </c>
      <c r="D143" s="1" t="str">
        <f>IFERROR(__xludf.DUMMYFUNCTION("GOOGLETRANSLATE(C:C,""en"", ""te"")"),"సూపర్ మేరిన్ 545 అనేది బ్రిటిష్ ఎయిర్క్రాఫ్ట్ తయారీదారు సూపర్ మేరిన్ రూపొందించిన సూపర్సోనిక్ జెట్ ఫైటర్ ప్రాజెక్ట్. ఒకే విమానం నిర్మించబడింది, కానీ విరుచుకుపడలేదు, ఈ ప్రాజెక్ట్ రాజకీయ అనుకూలంగా బయటపడింది. రాయల్ వైమానిక దళంలో ట్రాన్సోనిక్ విమానాలపై ఆసక్తిక"&amp;"ి ప్రతిస్పందనగా 1950 ల ప్రారంభంలో ఈ ప్రాజెక్ట్ ప్రారంభమైంది. ఆ సమయంలో మరొక ఫ్రంట్-లైన్ ఫైటర్, స్విఫ్ట్ అభివృద్ధిలో నిమగ్నమై ఉన్న సూపర్మారైన్, ఈ ప్రోగ్రామ్‌ను టైప్ 545 యొక్క ప్రారంభ బిందువుగా ఉపయోగించాలని నిర్ణయించుకుంది. కొనసాగింపు స్విఫ్ట్ నుండి ప్రధాన త"&amp;"ేడాలు ఒక నెలవంక రెక్కను స్వీకరించడం మరియు తిరిగి వేడిచేసిన రోల్స్ రాయిస్ అవాన్ టర్బోజెట్ ఇంజిన్ రూపంలో మరింత శక్తివంతమైన పవర్‌ప్లాంట్; దాని పనితీరు సామర్థ్యాలలో, సూపర్ మేరైన్ ఈ విమానం మాక్ 1.3 ను సాధించగల సామర్థ్యాన్ని కలిగి ఉంటుందని పేర్కొంది. ఫిబ్రవరి 1"&amp;"952 లో, కంపెనీ ఒక జత ప్రోటోటైప్‌లను నిర్మించమని ఒక ఆర్డర్ అందుకుంది. ఏదేమైనా, మొదటిది పూర్తయ్యే సమయానికి, స్విఫ్ట్ యొక్క గణనీయమైన లోపాల కారణంగా ఈ ప్రాజెక్ట్ రాజకీయంగా అవాంఛనీయమైనదిగా మారింది. సూపర్మారిన్‌పై విశ్వాసం కోల్పోయిన తరువాత, 25 మార్చి 1956 న, విమ"&amp;"ానంలో ప్రయాణించే మొదటి విమానానికి ముందు ఈ ఒప్పందం రద్దు చేయబడింది. నిల్వలో కొంతకాలం తరువాత, ఏకైక టైప్ 545 ను బెడ్‌ఫోర్డ్‌షైర్‌లోని క్రాన్ఫీల్డ్ విమానాశ్రయంలో కాలేజ్ ఆఫ్ ఏరోనాటిక్స్‌కు బోధనా సహాయంగా విరాళంగా ఇచ్చారు; ఇది చివరికి 1967 లో రద్దు చేయబడింది. కొ"&amp;"న్ని సంవత్సరాల తరువాత, సూపర్మారైన్ ఒక స్వతంత్ర సంస్థగా ఉనికిలో ఉంది. టైప్ 545 యొక్క మూలాలు 1950 ల ప్రారంభంలో మరియు ట్రాన్సోనిక్ విమానాలను అభివృద్ధి చేయడంలో రాయల్ ఎయిర్ ఫోర్స్ (RAF) ఆసక్తిని స్టాప్‌గ్యాప్‌గా పనిచేయడానికి గుర్తించవచ్చు, తరువాతి తరం సూపర్సోన"&amp;"ిక్ యోధులు అభివృద్ధి చెందుతున్నారు. ఇద్దరు ప్రత్యర్థి విమానాల తయారీదారులు, సూపర్మారైన్ మరియు హాకర్, విడిగా తయారుచేసినవి అటువంటి విమానాలను ప్రతిపాదించాయి, ఇద్దరూ తమ స్విఫ్ట్ మరియు హంటర్ ఫైటర్ విమానాల రూపకల్పనలను ఎంచుకుంటున్నారు, ఇవి వరుసగా టైప్ 545 మరియు హ"&amp;"ాకర్ పేజి 1083. [1] ఫిబ్రవరి 1951 లో, సూపర్మారైన్ దాని ప్రారంభ సమర్పణ చేసింది; దీనిని ఒక నెల తరువాత వాయు మంత్రిత్వ శాఖ అధికారికంగా అంగీకరించారు. [2] ఈ దశలో, స్విఫ్ట్ ప్రోగ్రామ్ అభివృద్ధిలో ఉంది మరియు దాని లోపాలు ఇంకా స్పష్టంగా కనిపించలేదు, ఈ అదృష్ట సమయం, "&amp;"ఏవియేషన్ రచయిత డెరెక్ వుడ్ అక్రెడిట్స్ సూపర్ మేరైన్ సమర్పణకు ప్రధాన కారణం, RAF అధికారులలో హాకర్ యొక్క బిడ్ కంటే ఎక్కువ అనుకూలంగా లభిస్తుంది. రెండు ప్రతిపాదనలు. [3] 545 రకం వాయు మంత్రిత్వ శాఖ యొక్క స్పెసిఫికేషన్ F.105D లో నిర్దేశించిన అవసరాలకు అనుగుణంగా రూ"&amp;"పొందించబడింది; ఇది మాక్ 1.3 ను సాధించగల సామర్థ్యం ఉందని అంచనా వేయబడింది; ప్రత్యర్థి p.1083 తో పోల్చితే, సంస్థ దీనిని ఉన్నతమైన పనితీరును సాధించాలని అంచనా వేసింది. [3] బాహ్యంగా, 545 రకం స్విఫ్ట్‌తో ముడి పోలికను కలిగి ఉంది మరియు దానికి ఆధ్యాత్మిక వారసుడిగా ప"&amp;"నిచేసేది. ఏదేమైనా, ఈ విమానం తీవ్రంగా పున es రూపకల్పన చేయబడింది, ఇతర మార్పులలో ఏరియా-పాలక ఫ్యూజ్‌లేజ్‌తో అమర్చారు. [4] టైప్ 545 యొక్క దృశ్యపరంగా ప్రముఖ లక్షణాలలో ఒకటి దాని అసాధారణమైన నెలవంక ఆకారపు వింగ్, ఇది విమానం యొక్క పనితీరు లక్షణాలకు, ముఖ్యంగా సూపర్సో"&amp;"నిక్ వేగంతో భారీగా దోహదపడుతుందని was హించబడింది. [5] [6] ఇది కొంతవరకు బుల్లెట్ ఆకారపు ఫ్యూజ్‌లేజ్‌తో జత చేయబడింది; ఫ్యూజ్‌లేజ్ యొక్క దిగువ భాగం జంక్షన్ చుట్టూ రెక్కలతో చదునుగా ఉండే వాయు ప్రవాహాన్ని సున్నితంగా చేయడానికి మరియు స్విఫ్ట్ యొక్క తక్కువ-వేగ నిర్"&amp;"వహణ లక్షణాలను నివారించడానికి. [7] విమానం యొక్క నిర్మాణం సాపేక్షంగా మందపాటి బాహ్య చర్మాన్ని కలిగి ఉంది, దాని క్రింద ఉన్న సన్నని దగ్గరి-స్థాన స్పాన్వైస్ వెబ్ మద్దతు ఉంది, ఇది ఫ్యూజ్‌లేజ్‌ను దాని సమకాలీనులలో సగటు కంటే ఎక్కువ బలం-నుండి-బరువు నిష్పత్తితో అందిస"&amp;"్తుందని పేర్కొంది. [2] ఈ విమానం ఒకే రోల్స్ రాయిస్ అవాన్ టర్బోజెట్ చేత శక్తిని పొందింది, ఇది తిరిగి వేడితో అమర్చబడింది మరియు ముక్కు దగ్గర ఎలిప్టికల్ తీసుకోవడం ద్వారా గాలితో సరఫరా చేయబడింది. ఏవియేషన్ రచయిత ఫ్రాన్సిస్ మాసన్ ప్రకారం, ఈ తీసుకోవడం యొక్క విభిన్న"&amp;" రూపకల్పన టైప్ 545 మరియు దాని పూర్వగామి మధ్య చాలా స్పష్టమైన వ్యత్యాసం, ఇది సైడ్ తీసుకోవడం కలిగి ఉంది. [6] [8] నెలవంక రెక్కలో మూడు విభాగాలు ఉన్నాయి, 50 ° స్వీప్ ఇన్బోర్డ్, మధ్యలో 40 ° మరియు 30 ° అవుట్‌బోర్డ్, సగటు కారక నిష్పత్తి 7.5 శాతం మరియు మందం/తీగ నిష"&amp;"్పత్తి రూట్ వద్ద 8 శాతం నుండి 6 శాతానికి తగ్గుతుంది చిట్కాల వద్ద. [9] ఫిబ్రవరి 1952 లో, సూపర్మారిన్ రెండు ప్రోటోటైప్ టైప్ 545 లకు కాంట్రాక్ట్ 6/ACFT/7711 కింద పూర్తి చేయమని ఒక ఆర్డర్ అందుకుంది. [10] 1955 లో, టైప్ 545 ప్రాజెక్టు పనులను రద్దు చేయాలని ప్రకటి"&amp;"ంచారు. వుడ్ ప్రకారం, స్విఫ్ట్‌తో అనుభవించిన గణనీయమైన ఇబ్బందుల కారణంగా ఇది కొంతవరకు ఉంది, ఇది ఎక్కువగా పరిష్కరించబడలేదు. [4] ప్రత్యేకించి, వుడ్ 1955 ప్రారంభంలో స్విఫ్ట్ జాతీయ కుంభకోణంగా మారిందని గమనించాడు, ఇది విమానం మరియు RAF మరియు బ్రిటిష్ విమాన పరిశ్రమన"&amp;"ు కూడా దెబ్బతీసింది, ప్రజలు మరియు మంత్రులు సాధారణంగా విమానయాన మరియు ఇతర విమాన ప్రాజెక్టులకు మరింత విముఖ స్వభావాన్ని అవలంబిస్తారు. టైప్ 545, స్విఫ్ట్‌కు దగ్గరి అనుబంధంతో, సంశయవాదానికి ఒక నిర్దిష్ట లక్ష్యంగా మారింది. [1] కోతలను బలవంతం చేసిన బడ్జెట్ పరిమితుల"&amp;"ు వంటివి ఆ సమయంలో బహిరంగంగా మాట్లాడబడ్డాయి. [11] ప్రోటోటైప్‌లలో మొదటిది, సీరియల్ నంబర్ XA181, హర్స్లీ పార్క్‌లో పూర్తయింది మరియు 25 మార్చి 1956 న కాంట్రాక్ట్ యొక్క అధికారిక రద్దు గురించి వార్తలు వచ్చినప్పుడు దాని తొలి విమానానికి సిద్ధమవుతోంది. రెండవ విమాన"&amp;"ం XA186, ఇది ఒక అవాన్ ఇంజిన్ యొక్క మరింత శక్తివంతమైన మోడల్ మాక్ 1.6 యొక్క గరిష్ట వేగాన్ని సాధించడానికి వీలు కల్పించింది, ఎయిర్ఫ్రేమ్ నిర్మాణానికి ముందు రద్దు చేయబడింది. [10] [11] సుమారు రెండు సంవత్సరాల తరువాత, సూపర్మారిన్ సమర్థవంతంగా కరిగిపోయింది, ప్రభుత్"&amp;"వ యాజమాన్యంలోని బ్రిటిష్ ఎయిర్క్రాఫ్ట్ కార్పొరేషన్ (BAC) గా ఉద్భవించిన వాటిలో కలిసిపోయింది. [12] కొంతకాలం పూర్తయిన తరువాత, ఏకైక పూర్తయిన ప్రోటోటైప్‌ను 1950 ల మధ్యలో సూపర్ మెరైన్ నిల్వ చేసింది. చాలా సంవత్సరాల తరువాత, ఈ విమానం బెడ్‌ఫోర్డ్‌షైర్‌లోని క్రాన్ఫీ"&amp;"ల్డ్ విమానాశ్రయంలోని కాలేజ్ ఆఫ్ ఏరోనాటిక్స్‌కు విరాళంగా ఇవ్వబడింది, అక్కడ కళాశాలకు హాజరయ్యే విమాన ఇంజనీరింగ్ విద్యార్థులకు బోధనా సహాయంగా దీనిని ఉపయోగించారు. [6] 1967 లో, ఏకైక రకం 545 రద్దు చేయబడింది. [సైటేషన్ అవసరం] 1912 నుండి బ్రిటిష్ ఫైటర్ నుండి డేటా, ["&amp;"8] 1914 నుండి సూపర్ మెరైన్ విమానం [13] సాధారణ లక్షణాల పనితీరు ఆయుధాలు")</f>
        <v>సూపర్ మేరిన్ 545 అనేది బ్రిటిష్ ఎయిర్క్రాఫ్ట్ తయారీదారు సూపర్ మేరిన్ రూపొందించిన సూపర్సోనిక్ జెట్ ఫైటర్ ప్రాజెక్ట్. ఒకే విమానం నిర్మించబడింది, కానీ విరుచుకుపడలేదు, ఈ ప్రాజెక్ట్ రాజకీయ అనుకూలంగా బయటపడింది. రాయల్ వైమానిక దళంలో ట్రాన్సోనిక్ విమానాలపై ఆసక్తికి ప్రతిస్పందనగా 1950 ల ప్రారంభంలో ఈ ప్రాజెక్ట్ ప్రారంభమైంది. ఆ సమయంలో మరొక ఫ్రంట్-లైన్ ఫైటర్, స్విఫ్ట్ అభివృద్ధిలో నిమగ్నమై ఉన్న సూపర్మారైన్, ఈ ప్రోగ్రామ్‌ను టైప్ 545 యొక్క ప్రారంభ బిందువుగా ఉపయోగించాలని నిర్ణయించుకుంది. కొనసాగింపు స్విఫ్ట్ నుండి ప్రధాన తేడాలు ఒక నెలవంక రెక్కను స్వీకరించడం మరియు తిరిగి వేడిచేసిన రోల్స్ రాయిస్ అవాన్ టర్బోజెట్ ఇంజిన్ రూపంలో మరింత శక్తివంతమైన పవర్‌ప్లాంట్; దాని పనితీరు సామర్థ్యాలలో, సూపర్ మేరైన్ ఈ విమానం మాక్ 1.3 ను సాధించగల సామర్థ్యాన్ని కలిగి ఉంటుందని పేర్కొంది. ఫిబ్రవరి 1952 లో, కంపెనీ ఒక జత ప్రోటోటైప్‌లను నిర్మించమని ఒక ఆర్డర్ అందుకుంది. ఏదేమైనా, మొదటిది పూర్తయ్యే సమయానికి, స్విఫ్ట్ యొక్క గణనీయమైన లోపాల కారణంగా ఈ ప్రాజెక్ట్ రాజకీయంగా అవాంఛనీయమైనదిగా మారింది. సూపర్మారిన్‌పై విశ్వాసం కోల్పోయిన తరువాత, 25 మార్చి 1956 న, విమానంలో ప్రయాణించే మొదటి విమానానికి ముందు ఈ ఒప్పందం రద్దు చేయబడింది. నిల్వలో కొంతకాలం తరువాత, ఏకైక టైప్ 545 ను బెడ్‌ఫోర్డ్‌షైర్‌లోని క్రాన్ఫీల్డ్ విమానాశ్రయంలో కాలేజ్ ఆఫ్ ఏరోనాటిక్స్‌కు బోధనా సహాయంగా విరాళంగా ఇచ్చారు; ఇది చివరికి 1967 లో రద్దు చేయబడింది. కొన్ని సంవత్సరాల తరువాత, సూపర్మారైన్ ఒక స్వతంత్ర సంస్థగా ఉనికిలో ఉంది. టైప్ 545 యొక్క మూలాలు 1950 ల ప్రారంభంలో మరియు ట్రాన్సోనిక్ విమానాలను అభివృద్ధి చేయడంలో రాయల్ ఎయిర్ ఫోర్స్ (RAF) ఆసక్తిని స్టాప్‌గ్యాప్‌గా పనిచేయడానికి గుర్తించవచ్చు, తరువాతి తరం సూపర్సోనిక్ యోధులు అభివృద్ధి చెందుతున్నారు. ఇద్దరు ప్రత్యర్థి విమానాల తయారీదారులు, సూపర్మారైన్ మరియు హాకర్, విడిగా తయారుచేసినవి అటువంటి విమానాలను ప్రతిపాదించాయి, ఇద్దరూ తమ స్విఫ్ట్ మరియు హంటర్ ఫైటర్ విమానాల రూపకల్పనలను ఎంచుకుంటున్నారు, ఇవి వరుసగా టైప్ 545 మరియు హాకర్ పేజి 1083. [1] ఫిబ్రవరి 1951 లో, సూపర్మారైన్ దాని ప్రారంభ సమర్పణ చేసింది; దీనిని ఒక నెల తరువాత వాయు మంత్రిత్వ శాఖ అధికారికంగా అంగీకరించారు. [2] ఈ దశలో, స్విఫ్ట్ ప్రోగ్రామ్ అభివృద్ధిలో ఉంది మరియు దాని లోపాలు ఇంకా స్పష్టంగా కనిపించలేదు, ఈ అదృష్ట సమయం, ఏవియేషన్ రచయిత డెరెక్ వుడ్ అక్రెడిట్స్ సూపర్ మేరైన్ సమర్పణకు ప్రధాన కారణం, RAF అధికారులలో హాకర్ యొక్క బిడ్ కంటే ఎక్కువ అనుకూలంగా లభిస్తుంది. రెండు ప్రతిపాదనలు. [3] 545 రకం వాయు మంత్రిత్వ శాఖ యొక్క స్పెసిఫికేషన్ F.105D లో నిర్దేశించిన అవసరాలకు అనుగుణంగా రూపొందించబడింది; ఇది మాక్ 1.3 ను సాధించగల సామర్థ్యం ఉందని అంచనా వేయబడింది; ప్రత్యర్థి p.1083 తో పోల్చితే, సంస్థ దీనిని ఉన్నతమైన పనితీరును సాధించాలని అంచనా వేసింది. [3] బాహ్యంగా, 545 రకం స్విఫ్ట్‌తో ముడి పోలికను కలిగి ఉంది మరియు దానికి ఆధ్యాత్మిక వారసుడిగా పనిచేసేది. ఏదేమైనా, ఈ విమానం తీవ్రంగా పున es రూపకల్పన చేయబడింది, ఇతర మార్పులలో ఏరియా-పాలక ఫ్యూజ్‌లేజ్‌తో అమర్చారు. [4] టైప్ 545 యొక్క దృశ్యపరంగా ప్రముఖ లక్షణాలలో ఒకటి దాని అసాధారణమైన నెలవంక ఆకారపు వింగ్, ఇది విమానం యొక్క పనితీరు లక్షణాలకు, ముఖ్యంగా సూపర్సోనిక్ వేగంతో భారీగా దోహదపడుతుందని was హించబడింది. [5] [6] ఇది కొంతవరకు బుల్లెట్ ఆకారపు ఫ్యూజ్‌లేజ్‌తో జత చేయబడింది; ఫ్యూజ్‌లేజ్ యొక్క దిగువ భాగం జంక్షన్ చుట్టూ రెక్కలతో చదునుగా ఉండే వాయు ప్రవాహాన్ని సున్నితంగా చేయడానికి మరియు స్విఫ్ట్ యొక్క తక్కువ-వేగ నిర్వహణ లక్షణాలను నివారించడానికి. [7] విమానం యొక్క నిర్మాణం సాపేక్షంగా మందపాటి బాహ్య చర్మాన్ని కలిగి ఉంది, దాని క్రింద ఉన్న సన్నని దగ్గరి-స్థాన స్పాన్వైస్ వెబ్ మద్దతు ఉంది, ఇది ఫ్యూజ్‌లేజ్‌ను దాని సమకాలీనులలో సగటు కంటే ఎక్కువ బలం-నుండి-బరువు నిష్పత్తితో అందిస్తుందని పేర్కొంది. [2] ఈ విమానం ఒకే రోల్స్ రాయిస్ అవాన్ టర్బోజెట్ చేత శక్తిని పొందింది, ఇది తిరిగి వేడితో అమర్చబడింది మరియు ముక్కు దగ్గర ఎలిప్టికల్ తీసుకోవడం ద్వారా గాలితో సరఫరా చేయబడింది. ఏవియేషన్ రచయిత ఫ్రాన్సిస్ మాసన్ ప్రకారం, ఈ తీసుకోవడం యొక్క విభిన్న రూపకల్పన టైప్ 545 మరియు దాని పూర్వగామి మధ్య చాలా స్పష్టమైన వ్యత్యాసం, ఇది సైడ్ తీసుకోవడం కలిగి ఉంది. [6] [8] నెలవంక రెక్కలో మూడు విభాగాలు ఉన్నాయి, 50 ° స్వీప్ ఇన్బోర్డ్, మధ్యలో 40 ° మరియు 30 ° అవుట్‌బోర్డ్, సగటు కారక నిష్పత్తి 7.5 శాతం మరియు మందం/తీగ నిష్పత్తి రూట్ వద్ద 8 శాతం నుండి 6 శాతానికి తగ్గుతుంది చిట్కాల వద్ద. [9] ఫిబ్రవరి 1952 లో, సూపర్మారిన్ రెండు ప్రోటోటైప్ టైప్ 545 లకు కాంట్రాక్ట్ 6/ACFT/7711 కింద పూర్తి చేయమని ఒక ఆర్డర్ అందుకుంది. [10] 1955 లో, టైప్ 545 ప్రాజెక్టు పనులను రద్దు చేయాలని ప్రకటించారు. వుడ్ ప్రకారం, స్విఫ్ట్‌తో అనుభవించిన గణనీయమైన ఇబ్బందుల కారణంగా ఇది కొంతవరకు ఉంది, ఇది ఎక్కువగా పరిష్కరించబడలేదు. [4] ప్రత్యేకించి, వుడ్ 1955 ప్రారంభంలో స్విఫ్ట్ జాతీయ కుంభకోణంగా మారిందని గమనించాడు, ఇది విమానం మరియు RAF మరియు బ్రిటిష్ విమాన పరిశ్రమను కూడా దెబ్బతీసింది, ప్రజలు మరియు మంత్రులు సాధారణంగా విమానయాన మరియు ఇతర విమాన ప్రాజెక్టులకు మరింత విముఖ స్వభావాన్ని అవలంబిస్తారు. టైప్ 545, స్విఫ్ట్‌కు దగ్గరి అనుబంధంతో, సంశయవాదానికి ఒక నిర్దిష్ట లక్ష్యంగా మారింది. [1] కోతలను బలవంతం చేసిన బడ్జెట్ పరిమితులు వంటివి ఆ సమయంలో బహిరంగంగా మాట్లాడబడ్డాయి. [11] ప్రోటోటైప్‌లలో మొదటిది, సీరియల్ నంబర్ XA181, హర్స్లీ పార్క్‌లో పూర్తయింది మరియు 25 మార్చి 1956 న కాంట్రాక్ట్ యొక్క అధికారిక రద్దు గురించి వార్తలు వచ్చినప్పుడు దాని తొలి విమానానికి సిద్ధమవుతోంది. రెండవ విమానం XA186, ఇది ఒక అవాన్ ఇంజిన్ యొక్క మరింత శక్తివంతమైన మోడల్ మాక్ 1.6 యొక్క గరిష్ట వేగాన్ని సాధించడానికి వీలు కల్పించింది, ఎయిర్ఫ్రేమ్ నిర్మాణానికి ముందు రద్దు చేయబడింది. [10] [11] సుమారు రెండు సంవత్సరాల తరువాత, సూపర్మారిన్ సమర్థవంతంగా కరిగిపోయింది, ప్రభుత్వ యాజమాన్యంలోని బ్రిటిష్ ఎయిర్క్రాఫ్ట్ కార్పొరేషన్ (BAC) గా ఉద్భవించిన వాటిలో కలిసిపోయింది. [12] కొంతకాలం పూర్తయిన తరువాత, ఏకైక పూర్తయిన ప్రోటోటైప్‌ను 1950 ల మధ్యలో సూపర్ మెరైన్ నిల్వ చేసింది. చాలా సంవత్సరాల తరువాత, ఈ విమానం బెడ్‌ఫోర్డ్‌షైర్‌లోని క్రాన్ఫీల్డ్ విమానాశ్రయంలోని కాలేజ్ ఆఫ్ ఏరోనాటిక్స్‌కు విరాళంగా ఇవ్వబడింది, అక్కడ కళాశాలకు హాజరయ్యే విమాన ఇంజనీరింగ్ విద్యార్థులకు బోధనా సహాయంగా దీనిని ఉపయోగించారు. [6] 1967 లో, ఏకైక రకం 545 రద్దు చేయబడింది. [సైటేషన్ అవసరం] 1912 నుండి బ్రిటిష్ ఫైటర్ నుండి డేటా, [8] 1914 నుండి సూపర్ మెరైన్ విమానం [13] సాధారణ లక్షణాల పనితీరు ఆయుధాలు</v>
      </c>
      <c r="E143" s="1" t="s">
        <v>2728</v>
      </c>
      <c r="F143" s="1" t="s">
        <v>2729</v>
      </c>
      <c r="G143" s="1" t="str">
        <f>IFERROR(__xludf.DUMMYFUNCTION("GOOGLETRANSLATE(F:F,""en"", ""te"")"),"సూపర్సోనిక్ ఫైటర్ విమానం")</f>
        <v>సూపర్సోనిక్ ఫైటర్ విమానం</v>
      </c>
      <c r="H143" s="1" t="s">
        <v>2730</v>
      </c>
      <c r="I143" s="1" t="s">
        <v>480</v>
      </c>
      <c r="J143" s="1" t="str">
        <f>IFERROR(__xludf.DUMMYFUNCTION("GOOGLETRANSLATE(I:I,""en"", ""te"")"),"యునైటెడ్ కింగ్‌డమ్")</f>
        <v>యునైటెడ్ కింగ్‌డమ్</v>
      </c>
      <c r="L143" s="1" t="s">
        <v>827</v>
      </c>
      <c r="M143" s="1" t="str">
        <f>IFERROR(__xludf.DUMMYFUNCTION("GOOGLETRANSLATE(L:L,""en"", ""te"")"),"సూపర్ మెరైన్")</f>
        <v>సూపర్ మెరైన్</v>
      </c>
      <c r="N143" s="2" t="s">
        <v>828</v>
      </c>
      <c r="P143" s="1" t="s">
        <v>2731</v>
      </c>
      <c r="Q143" s="1"/>
      <c r="R143" s="1">
        <v>1.0</v>
      </c>
      <c r="S143" s="1">
        <v>1.0</v>
      </c>
      <c r="U143" s="1" t="s">
        <v>2732</v>
      </c>
      <c r="Y143" s="1" t="s">
        <v>2733</v>
      </c>
      <c r="AA143" s="1" t="s">
        <v>2734</v>
      </c>
      <c r="AH143" s="1" t="s">
        <v>2735</v>
      </c>
      <c r="AL143" s="1" t="s">
        <v>2736</v>
      </c>
      <c r="AQ143" s="1" t="s">
        <v>2737</v>
      </c>
      <c r="AU143" s="1" t="s">
        <v>2738</v>
      </c>
      <c r="AV143" s="1" t="s">
        <v>2739</v>
      </c>
      <c r="BR143" s="1" t="s">
        <v>2740</v>
      </c>
    </row>
    <row r="144">
      <c r="A144" s="1" t="s">
        <v>2741</v>
      </c>
      <c r="B144" s="1" t="str">
        <f>IFERROR(__xludf.DUMMYFUNCTION("GOOGLETRANSLATE(A:A,""en"", ""te"")"),"స్లింగ్ ఎయిర్క్రాఫ్ట్ స్లింగ్ 2")</f>
        <v>స్లింగ్ ఎయిర్క్రాఫ్ట్ స్లింగ్ 2</v>
      </c>
      <c r="C144" s="1" t="s">
        <v>2742</v>
      </c>
      <c r="D144" s="1" t="str">
        <f>IFERROR(__xludf.DUMMYFUNCTION("GOOGLETRANSLATE(C:C,""en"", ""te"")"),"సోనాకా 200 ది స్లింగ్ ఎయిర్క్రాఫ్ట్ స్లింగ్ 2, గతంలో విమానం ఫ్యాక్టరీ స్లింగ్ 2 అని పిలుస్తారు, దక్షిణాఫ్రికాలోని జోహన్నెస్‌బర్గ్‌లో స్లింగ్ విమానాలు రూపొందించిన మరియు ఉత్పత్తి చేయబడిన దక్షిణాఫ్రికా రెండు-సీట్ల లైట్ విమానం. [2] 2009 లో ప్రత్యేకంగా సవరించి"&amp;"న రెండవ నమూనా ప్రపంచవ్యాప్తంగా ఒక పశ్చిమ ప్రదక్షిణలో 40 రోజులు పట్టింది. [3] ఈ తరగతి యొక్క ఏదైనా విమానం ఒక ప్రదక్షిణను సాధించడం ఇదే మొదటిసారి. [4] డిజైన్ నాలుగు వేర్వేరు నియంత్రణ విమాన తరగతుల అవసరాలకు అనుగుణంగా ఉంటుంది. [5] [6] ఈ డిజైన్‌ను మొదట స్లింగ్ అన"&amp;"ి పిలుస్తారు, కాని తరువాత నాలుగు-సీట్ల స్లింగ్ 4 నుండి వేరు చేయడానికి స్లింగ్ 2 గా తిరిగి రూపొందించారు. స్లింగ్ 2 కిట్‌గా మరియు రెడీ-టు-ఫ్లై విమానం వలె సరఫరా చేయబడుతుంది మరియు ఇది కావచ్చు లైట్-స్పోర్ట్ విమానం లేదా హోమ్‌బిల్ట్ విమానంగా పనిచేస్తుంది. స్లింగ"&amp;"్ 2 యొక్క అభివృద్ధి 2006 లో ప్రారంభమైంది. స్లింగ్ అనేది రెండు-సీట్ల, తక్కువ వింగ్, అన్ని లోహ విమానాలు, ఇది ట్రైసైకిల్ ల్యాండింగ్ గేర్‌తో మిశ్రమాలతో తయారు చేయబడింది. ఈ విమానం 80 హెచ్‌పి (60 కిలోవాట్ల) రోటాక్స్ 912UL, 100 హెచ్‌పి (75 కిలోవాట్), రోటాక్స్ 912"&amp;"లు లేదా 912IS ఇంజిన్, లేదా ఐచ్ఛికంగా టర్బోచార్జ్డ్ 115 హెచ్‌పి (86 కిలోవాట్) రోటాక్స్ 914 యుఎల్, 3-బ్లేడ్ డ్రైవింగ్ వార్ప్ డ్రైవ్ ఇంక్ ప్రొపెల్లర్. ఫ్యాక్టరీ తరువాత 80 హెచ్‌పి (60 కిలోవాట్ల) రోటాక్స్ 912UL మోడల్‌ను నిలిపివేసింది. విమానం స్లైడింగ్ పందిరి, "&amp;"పెద్ద ఇంధన ట్యాంకులను కలిగి ఉంది మరియు ప్రామాణిక పరికరాలలో ""గ్లాస్ కాక్‌పిట్"" స్టైల్ డిస్ప్లే ఉంటుంది. [7] [2] [8] [9] [10] మైక్ బ్లైత్ 2006 లో స్లింగ్ 2 రూపకల్పనపై పనిచేయడం ప్రారంభించాడు; మొట్టమొదటి ప్రోటోటైప్ మొదట నవంబర్ 18, 2008 న ప్రయాణించింది. 2009"&amp;" లో పూర్తయిన దక్షిణాఫ్రికా మిలిటరీ ఏరోడైనమిసిస్ట్ సహాయంతో పూర్తి పరీక్షా కార్యక్రమం జరిగింది. బ్లైత్ మరియు భాగస్వామి జేమ్స్ పిట్మాన్ అప్పుడు ప్రపంచవ్యాప్తంగా రెండవ నమూనాను సవాలుగా సాధించడానికి ప్రపంచవ్యాప్తంగా రెండవ నమూనాను ఎగరారు. ప్రదక్షిణ. [4] [11] 310"&amp;" స్లింగ్ 2 లు పూర్తయ్యాయి మరియు 2019 చివరి నాటికి ఎగిరిపోయాయి. [1] రెండవ ప్రోటోటైప్ స్లింగ్ 2 ను 2009 లో ఒక పశ్చిమ ప్రపంచ ప్రదక్షిణలో ఎగురవేయబడింది. బ్లైత్ మరియు పిట్మాన్ దక్షిణాఫ్రికా నుండి పశ్చిమ ఆఫ్రికా నుండి, అట్లాంటిక్ మీదుగా బ్రెజిల్ మరియు గయానా వరక"&amp;"ు, యుఎస్ వర్జిన్ దీవులు మరియు యునైటెడ్ స్టేట్స్ యొక్క తూర్పు తీరం ద్వారా బయలుదేరారు EAA ఎయిర్‌వెంచర్ ఓష్కోష్ 2009 కోసం విస్కాన్సిన్, ఓష్కోష్‌కు 2009 . వారు మొత్తం ప్రయాణాన్ని 40 రోజుల్లో పూర్తి చేశారు. [3] ప్రదక్షిణ కోసం ఉపయోగించే విమానం ప్రామాణిక ఉత్పత్త"&amp;"ి స్లింగ్, కానీ పెద్ద 118.8 యు.ఎస్. గ్యాలన్లు (450 ఎల్; 98.9 ఇంప్ గల్) ఇంధన ట్యాంకులు, బలోపేతం చేసిన ల్యాండింగ్ గేర్, నిద్ర మరియు తొలగించగల నియంత్రణ కర్రలకు ఫ్లాట్ అయిన సీట్లు. [12] [13] సవరించిన తరువాత, విమానం సుమారు 24 గంటల ప్రామాణిక క్రూయిజ్ వద్ద ఓర్పు"&amp;"ను కలిగి ఉంది. 89 నాట్ల వద్ద క్రూజ్ చేసిన విమానం దాదాపు పూర్తి ఇంధనంతో ఎయిర్‌స్పీడ్ (IAS) (98 నాట్స్ ట్రూ ఎయిర్‌స్పీడ్ (TAS)) ను సూచించింది. మరింత ఖాళీగా ఉన్నప్పుడు, ఇది 96 నాట్ల IAS (105 నాట్ల TAS) వద్ద క్రూజ్ అవుతుంది. పూర్తి ఇంధనంతో, సిబ్బందితో పూర్తిగ"&amp;"ా లోడ్ చేయబడిన స్లింగ్ సుమారు 1,984 పౌండ్లు (900 కిలోలు) లేదా 600 పౌండ్ల అధిక బరువు. సముద్ర మట్టంలో విమానం నిమిషానికి 350 అడుగుల చొప్పున నెమ్మదిగా పెరుగుతుంది. [7] [4] [13] విమానం ఫ్యాక్టరీ నుండి డేటా [17] పోల్చదగిన పాత్ర, కాన్ఫిగరేషన్ మరియు ERA యొక్క సాధ"&amp;"ారణ లక్షణాల పనితీరు విమానం")</f>
        <v>సోనాకా 200 ది స్లింగ్ ఎయిర్క్రాఫ్ట్ స్లింగ్ 2, గతంలో విమానం ఫ్యాక్టరీ స్లింగ్ 2 అని పిలుస్తారు, దక్షిణాఫ్రికాలోని జోహన్నెస్‌బర్గ్‌లో స్లింగ్ విమానాలు రూపొందించిన మరియు ఉత్పత్తి చేయబడిన దక్షిణాఫ్రికా రెండు-సీట్ల లైట్ విమానం. [2] 2009 లో ప్రత్యేకంగా సవరించిన రెండవ నమూనా ప్రపంచవ్యాప్తంగా ఒక పశ్చిమ ప్రదక్షిణలో 40 రోజులు పట్టింది. [3] ఈ తరగతి యొక్క ఏదైనా విమానం ఒక ప్రదక్షిణను సాధించడం ఇదే మొదటిసారి. [4] డిజైన్ నాలుగు వేర్వేరు నియంత్రణ విమాన తరగతుల అవసరాలకు అనుగుణంగా ఉంటుంది. [5] [6] ఈ డిజైన్‌ను మొదట స్లింగ్ అని పిలుస్తారు, కాని తరువాత నాలుగు-సీట్ల స్లింగ్ 4 నుండి వేరు చేయడానికి స్లింగ్ 2 గా తిరిగి రూపొందించారు. స్లింగ్ 2 కిట్‌గా మరియు రెడీ-టు-ఫ్లై విమానం వలె సరఫరా చేయబడుతుంది మరియు ఇది కావచ్చు లైట్-స్పోర్ట్ విమానం లేదా హోమ్‌బిల్ట్ విమానంగా పనిచేస్తుంది. స్లింగ్ 2 యొక్క అభివృద్ధి 2006 లో ప్రారంభమైంది. స్లింగ్ అనేది రెండు-సీట్ల, తక్కువ వింగ్, అన్ని లోహ విమానాలు, ఇది ట్రైసైకిల్ ల్యాండింగ్ గేర్‌తో మిశ్రమాలతో తయారు చేయబడింది. ఈ విమానం 80 హెచ్‌పి (60 కిలోవాట్ల) రోటాక్స్ 912UL, 100 హెచ్‌పి (75 కిలోవాట్), రోటాక్స్ 912లు లేదా 912IS ఇంజిన్, లేదా ఐచ్ఛికంగా టర్బోచార్జ్డ్ 115 హెచ్‌పి (86 కిలోవాట్) రోటాక్స్ 914 యుఎల్, 3-బ్లేడ్ డ్రైవింగ్ వార్ప్ డ్రైవ్ ఇంక్ ప్రొపెల్లర్. ఫ్యాక్టరీ తరువాత 80 హెచ్‌పి (60 కిలోవాట్ల) రోటాక్స్ 912UL మోడల్‌ను నిలిపివేసింది. విమానం స్లైడింగ్ పందిరి, పెద్ద ఇంధన ట్యాంకులను కలిగి ఉంది మరియు ప్రామాణిక పరికరాలలో "గ్లాస్ కాక్‌పిట్" స్టైల్ డిస్ప్లే ఉంటుంది. [7] [2] [8] [9] [10] మైక్ బ్లైత్ 2006 లో స్లింగ్ 2 రూపకల్పనపై పనిచేయడం ప్రారంభించాడు; మొట్టమొదటి ప్రోటోటైప్ మొదట నవంబర్ 18, 2008 న ప్రయాణించింది. 2009 లో పూర్తయిన దక్షిణాఫ్రికా మిలిటరీ ఏరోడైనమిసిస్ట్ సహాయంతో పూర్తి పరీక్షా కార్యక్రమం జరిగింది. బ్లైత్ మరియు భాగస్వామి జేమ్స్ పిట్మాన్ అప్పుడు ప్రపంచవ్యాప్తంగా రెండవ నమూనాను సవాలుగా సాధించడానికి ప్రపంచవ్యాప్తంగా రెండవ నమూనాను ఎగరారు. ప్రదక్షిణ. [4] [11] 310 స్లింగ్ 2 లు పూర్తయ్యాయి మరియు 2019 చివరి నాటికి ఎగిరిపోయాయి. [1] రెండవ ప్రోటోటైప్ స్లింగ్ 2 ను 2009 లో ఒక పశ్చిమ ప్రపంచ ప్రదక్షిణలో ఎగురవేయబడింది. బ్లైత్ మరియు పిట్మాన్ దక్షిణాఫ్రికా నుండి పశ్చిమ ఆఫ్రికా నుండి, అట్లాంటిక్ మీదుగా బ్రెజిల్ మరియు గయానా వరకు, యుఎస్ వర్జిన్ దీవులు మరియు యునైటెడ్ స్టేట్స్ యొక్క తూర్పు తీరం ద్వారా బయలుదేరారు EAA ఎయిర్‌వెంచర్ ఓష్కోష్ 2009 కోసం విస్కాన్సిన్, ఓష్కోష్‌కు 2009 . వారు మొత్తం ప్రయాణాన్ని 40 రోజుల్లో పూర్తి చేశారు. [3] ప్రదక్షిణ కోసం ఉపయోగించే విమానం ప్రామాణిక ఉత్పత్తి స్లింగ్, కానీ పెద్ద 118.8 యు.ఎస్. గ్యాలన్లు (450 ఎల్; 98.9 ఇంప్ గల్) ఇంధన ట్యాంకులు, బలోపేతం చేసిన ల్యాండింగ్ గేర్, నిద్ర మరియు తొలగించగల నియంత్రణ కర్రలకు ఫ్లాట్ అయిన సీట్లు. [12] [13] సవరించిన తరువాత, విమానం సుమారు 24 గంటల ప్రామాణిక క్రూయిజ్ వద్ద ఓర్పును కలిగి ఉంది. 89 నాట్ల వద్ద క్రూజ్ చేసిన విమానం దాదాపు పూర్తి ఇంధనంతో ఎయిర్‌స్పీడ్ (IAS) (98 నాట్స్ ట్రూ ఎయిర్‌స్పీడ్ (TAS)) ను సూచించింది. మరింత ఖాళీగా ఉన్నప్పుడు, ఇది 96 నాట్ల IAS (105 నాట్ల TAS) వద్ద క్రూజ్ అవుతుంది. పూర్తి ఇంధనంతో, సిబ్బందితో పూర్తిగా లోడ్ చేయబడిన స్లింగ్ సుమారు 1,984 పౌండ్లు (900 కిలోలు) లేదా 600 పౌండ్ల అధిక బరువు. సముద్ర మట్టంలో విమానం నిమిషానికి 350 అడుగుల చొప్పున నెమ్మదిగా పెరుగుతుంది. [7] [4] [13] విమానం ఫ్యాక్టరీ నుండి డేటా [17] పోల్చదగిన పాత్ర, కాన్ఫిగరేషన్ మరియు ERA యొక్క సాధారణ లక్షణాల పనితీరు విమానం</v>
      </c>
      <c r="E144" s="1" t="s">
        <v>2743</v>
      </c>
      <c r="F144" s="1" t="s">
        <v>764</v>
      </c>
      <c r="G144" s="1" t="str">
        <f>IFERROR(__xludf.DUMMYFUNCTION("GOOGLETRANSLATE(F:F,""en"", ""te"")"),"#VALUE!")</f>
        <v>#VALUE!</v>
      </c>
      <c r="H144" s="1" t="s">
        <v>765</v>
      </c>
      <c r="L144" s="1" t="s">
        <v>2744</v>
      </c>
      <c r="M144" s="1" t="str">
        <f>IFERROR(__xludf.DUMMYFUNCTION("GOOGLETRANSLATE(L:L,""en"", ""te"")"),"స్లింగ్ విమానం")</f>
        <v>స్లింగ్ విమానం</v>
      </c>
      <c r="N144" s="1" t="s">
        <v>2745</v>
      </c>
      <c r="O144" s="1">
        <v>2009.0</v>
      </c>
      <c r="R144" s="1" t="s">
        <v>2746</v>
      </c>
      <c r="S144" s="1" t="s">
        <v>164</v>
      </c>
      <c r="T144" s="1" t="s">
        <v>165</v>
      </c>
      <c r="U144" s="1" t="s">
        <v>2747</v>
      </c>
      <c r="V144" s="1" t="s">
        <v>2748</v>
      </c>
      <c r="W144" s="1" t="s">
        <v>2749</v>
      </c>
      <c r="X144" s="1" t="s">
        <v>2750</v>
      </c>
      <c r="Y144" s="1" t="s">
        <v>2751</v>
      </c>
      <c r="Z144" s="1" t="s">
        <v>2752</v>
      </c>
      <c r="AA144" s="1" t="s">
        <v>2753</v>
      </c>
      <c r="AB144" s="1" t="s">
        <v>2754</v>
      </c>
      <c r="AE144" s="1" t="s">
        <v>2755</v>
      </c>
      <c r="AF144" s="1" t="s">
        <v>2756</v>
      </c>
      <c r="AG144" s="1" t="s">
        <v>208</v>
      </c>
      <c r="AH144" s="1" t="s">
        <v>2757</v>
      </c>
      <c r="AI144" s="1" t="s">
        <v>2758</v>
      </c>
      <c r="AJ144" s="1" t="s">
        <v>2759</v>
      </c>
      <c r="AL144" s="1" t="s">
        <v>2760</v>
      </c>
      <c r="AM144" s="1" t="s">
        <v>2761</v>
      </c>
      <c r="AO144" s="4">
        <v>39770.0</v>
      </c>
      <c r="AS144" s="1" t="s">
        <v>2762</v>
      </c>
      <c r="BD144" s="1">
        <v>7.04</v>
      </c>
      <c r="BE144" s="1" t="s">
        <v>2763</v>
      </c>
    </row>
    <row r="145">
      <c r="A145" s="1" t="s">
        <v>2764</v>
      </c>
      <c r="B145" s="1" t="str">
        <f>IFERROR(__xludf.DUMMYFUNCTION("GOOGLETRANSLATE(A:A,""en"", ""te"")"),"చిత్తడి దెయ్యం")</f>
        <v>చిత్తడి దెయ్యం</v>
      </c>
      <c r="C145" s="1" t="s">
        <v>2765</v>
      </c>
      <c r="D145" s="1" t="str">
        <f>IFERROR(__xludf.DUMMYFUNCTION("GOOGLETRANSLATE(C:C,""en"", ""te"")"),"స్వాంప్ ఘోస్ట్ అనేది బోయింగ్ బి -17 ఇ ఫ్లయింగ్ కోట, కెప్టెన్ ఫ్రెడరిక్ 'ఫ్రెడ్' సి. ఫిబ్రవరి 23, 1942 న. రబౌల్ మీదుగా ఎగురుతున్నప్పుడు, అది అడ్డగించబడింది మరియు చివరికి, ఇంధనం అయిపోయిన తరువాత, న్యూ గినియా యొక్క ఉత్తర తీరానికి సమీపంలో ఉన్న మారుమూల చిత్తడిల"&amp;"ో బలవంతం చేయవలసి వచ్చింది. సిబ్బంది అందరూ క్రాష్ ల్యాండింగ్ మరియు కఠినమైన ట్రెక్ నుండి బయటపడ్డారు. [1] ఈ విమానం 1972 లో అగాంబో స్వాంప్‌లో తిరిగి కనుగొనబడింది, అక్కడ ఇది చిత్తడి దెయ్యం అనే మారుపేరు సంపాదించింది. 1989 లో, ట్రావిస్ ఎయిర్ ఫోర్స్ బేస్ హెరిటేజ్"&amp;" సెంటర్ దానిని తిరిగి పొందటానికి ప్రణాళిక వేసింది. [2] ఇది 2006 లో రక్షించబడింది మరియు లే వార్ఫ్‌కు తరలించబడింది, అక్కడ ఇది యునైటెడ్ స్టేట్స్కు అనుమతి కోసం వేచి ఉంది. [3] ఫిబ్రవరి 2010 నాటికి, యునైటెడ్ స్టేట్స్కు దిగుమతి కోసం శిధిలాలు క్లియర్ చేయబడ్డాయి. "&amp;"[4] 2010 లో, ఈ విమానం యునైటెడ్ స్టేట్స్కు రవాణా చేయబడింది, మరియు జూన్ 11, 2010 న, కాలిఫోర్నియాలోని లాంగ్ బీచ్‌లో బహిరంగ సమావేశానికి చూపబడింది, ఇందులో అసలు సిబ్బంది కుటుంబ సభ్యులు ఉన్నారు. స్టాటిక్ డిస్ప్లేకి పునరుద్ధరణ కోసం టక్సన్ లోని పిమా ఎయిర్ &amp; స్పేస్"&amp;" మ్యూజియంకు చిత్తడి దెయ్యాన్ని తీసుకురావడానికి ప్రణాళికలు రూపొందించబడ్డాయి. లాంగ్ బీచ్ వద్దకు వచ్చిన తరువాత, ఈ విమానం చినో విమానాశ్రయంలోని ఫేమ్ ఎయిర్ మ్యూజియం యొక్క విమానాలకు నిరవధిక రుణం కలిగి ఉంది. [5] చిత్తడి దెయ్యాన్ని ఏప్రిల్ 10, 2013 న పెర్ల్ హార్బర"&amp;"్‌లోని పసిఫిక్ ఏవియేషన్ మ్యూజియం అందుకుంది. [1] ఆగష్టు 2013 నాటికి, ఫోర్డ్ ద్వీపంలోని హంగర్ 79 లో స్టాటిక్ డిస్ప్లే కోసం విమానాన్ని పునరుద్ధరించాలని మ్యూజియం ప్రణాళిక వేసింది. ఫిబ్రవరి 2022 నాటికి [నవీకరణ], ఈ విమానం పునరుద్ధరణకు గురైన హ్యాంగర్ 79 లో ప్రదర"&amp;"్శించబడింది. [6]")</f>
        <v>స్వాంప్ ఘోస్ట్ అనేది బోయింగ్ బి -17 ఇ ఫ్లయింగ్ కోట, కెప్టెన్ ఫ్రెడరిక్ 'ఫ్రెడ్' సి. ఫిబ్రవరి 23, 1942 న. రబౌల్ మీదుగా ఎగురుతున్నప్పుడు, అది అడ్డగించబడింది మరియు చివరికి, ఇంధనం అయిపోయిన తరువాత, న్యూ గినియా యొక్క ఉత్తర తీరానికి సమీపంలో ఉన్న మారుమూల చిత్తడిలో బలవంతం చేయవలసి వచ్చింది. సిబ్బంది అందరూ క్రాష్ ల్యాండింగ్ మరియు కఠినమైన ట్రెక్ నుండి బయటపడ్డారు. [1] ఈ విమానం 1972 లో అగాంబో స్వాంప్‌లో తిరిగి కనుగొనబడింది, అక్కడ ఇది చిత్తడి దెయ్యం అనే మారుపేరు సంపాదించింది. 1989 లో, ట్రావిస్ ఎయిర్ ఫోర్స్ బేస్ హెరిటేజ్ సెంటర్ దానిని తిరిగి పొందటానికి ప్రణాళిక వేసింది. [2] ఇది 2006 లో రక్షించబడింది మరియు లే వార్ఫ్‌కు తరలించబడింది, అక్కడ ఇది యునైటెడ్ స్టేట్స్కు అనుమతి కోసం వేచి ఉంది. [3] ఫిబ్రవరి 2010 నాటికి, యునైటెడ్ స్టేట్స్కు దిగుమతి కోసం శిధిలాలు క్లియర్ చేయబడ్డాయి. [4] 2010 లో, ఈ విమానం యునైటెడ్ స్టేట్స్కు రవాణా చేయబడింది, మరియు జూన్ 11, 2010 న, కాలిఫోర్నియాలోని లాంగ్ బీచ్‌లో బహిరంగ సమావేశానికి చూపబడింది, ఇందులో అసలు సిబ్బంది కుటుంబ సభ్యులు ఉన్నారు. స్టాటిక్ డిస్ప్లేకి పునరుద్ధరణ కోసం టక్సన్ లోని పిమా ఎయిర్ &amp; స్పేస్ మ్యూజియంకు చిత్తడి దెయ్యాన్ని తీసుకురావడానికి ప్రణాళికలు రూపొందించబడ్డాయి. లాంగ్ బీచ్ వద్దకు వచ్చిన తరువాత, ఈ విమానం చినో విమానాశ్రయంలోని ఫేమ్ ఎయిర్ మ్యూజియం యొక్క విమానాలకు నిరవధిక రుణం కలిగి ఉంది. [5] చిత్తడి దెయ్యాన్ని ఏప్రిల్ 10, 2013 న పెర్ల్ హార్బర్‌లోని పసిఫిక్ ఏవియేషన్ మ్యూజియం అందుకుంది. [1] ఆగష్టు 2013 నాటికి, ఫోర్డ్ ద్వీపంలోని హంగర్ 79 లో స్టాటిక్ డిస్ప్లే కోసం విమానాన్ని పునరుద్ధరించాలని మ్యూజియం ప్రణాళిక వేసింది. ఫిబ్రవరి 2022 నాటికి [నవీకరణ], ఈ విమానం పునరుద్ధరణకు గురైన హ్యాంగర్ 79 లో ప్రదర్శించబడింది. [6]</v>
      </c>
      <c r="E145" s="1" t="s">
        <v>2766</v>
      </c>
      <c r="G145" s="1" t="str">
        <f>IFERROR(__xludf.DUMMYFUNCTION("GOOGLETRANSLATE(F:F,""en"", ""te"")"),"#VALUE!")</f>
        <v>#VALUE!</v>
      </c>
      <c r="L145" s="1" t="s">
        <v>1635</v>
      </c>
      <c r="M145" s="1" t="str">
        <f>IFERROR(__xludf.DUMMYFUNCTION("GOOGLETRANSLATE(L:L,""en"", ""te"")"),"బోయింగ్")</f>
        <v>బోయింగ్</v>
      </c>
      <c r="N145" s="2" t="s">
        <v>1636</v>
      </c>
      <c r="AO145" s="1">
        <v>1941.0</v>
      </c>
      <c r="BV145" s="1" t="s">
        <v>2767</v>
      </c>
      <c r="BW145" s="1" t="s">
        <v>2768</v>
      </c>
      <c r="BX145" s="1" t="s">
        <v>2769</v>
      </c>
      <c r="BY145" s="1" t="s">
        <v>2770</v>
      </c>
      <c r="BZ145" s="1" t="s">
        <v>2771</v>
      </c>
      <c r="CA145" s="1" t="s">
        <v>2772</v>
      </c>
      <c r="CB145" s="1" t="s">
        <v>2773</v>
      </c>
      <c r="CP145" s="1" t="s">
        <v>2774</v>
      </c>
      <c r="DH145" s="1">
        <v>1941.0</v>
      </c>
      <c r="EA145" s="1">
        <v>2257.0</v>
      </c>
      <c r="EB145" s="1" t="s">
        <v>2775</v>
      </c>
    </row>
    <row r="146">
      <c r="A146" s="1" t="s">
        <v>2776</v>
      </c>
      <c r="B146" s="1" t="str">
        <f>IFERROR(__xludf.DUMMYFUNCTION("GOOGLETRANSLATE(A:A,""en"", ""te"")"),"సినర్జీ పారామోటర్లు సినర్జీ")</f>
        <v>సినర్జీ పారామోటర్లు సినర్జీ</v>
      </c>
      <c r="C146" s="1" t="s">
        <v>2777</v>
      </c>
      <c r="D146" s="1" t="str">
        <f>IFERROR(__xludf.DUMMYFUNCTION("GOOGLETRANSLATE(C:C,""en"", ""te"")"),"సినర్జీ పారామోటర్స్ సినర్జీ ఒక అమెరికన్ పారామోటర్, ఇది శక్తితో కూడిన పారాగ్లైడింగ్ కోసం కాలిఫోర్నియా యొక్క సినర్జీ పారామోటర్స్ చేత రూపొందించబడింది మరియు ఉత్పత్తి చేయబడింది. [1] ఈ విమానం 2012 లో మొదటిసారి ఎయిర్‌వెంచర్ వద్ద చూపబడింది. [1] సినర్జీ యుఎస్ ఫార్"&amp;" 103 అల్ట్రాలైట్ వెహికల్స్ నిబంధనలకు అనుగుణంగా రూపొందించబడింది. ఇది పారాగ్లైడర్ తరహా హై-వింగ్, సింగిల్-ప్లేస్ లేదా రెండు-ప్లేస్-ఇన్-టెన్డం వసతి మరియు ఒకే స్నాప్ ఇగో 110 లేదా సి-మాక్స్ 175 టూ-స్ట్రోక్ ఇంజిన్ పషర్ కాన్ఫిగరేషన్‌లో 49 లో (124 సెం.మీ) ప్రొపెల్"&amp;"లర్‌ను నడుపుతుంది. సాధారణ వ్యాసం కంటే పెద్దది జర్మన్ హెలిక్స్-కార్బన్ ప్రొపెల్లర్ శబ్దాన్ని తగ్గించడానికి మరియు డెలివరీ థ్రస్ట్‌ను పెంచడానికి ఉపయోగించబడుతుంది. డిజైన్ ఎడమ మరియు కుడి చేతి ఆకృతీకరణలలో లభించే ప్రత్యేకమైన బొటనవేలు-సక్రియం చేయబడిన థొరెటల్ స్వి"&amp;"చ్‌ను ఉపయోగిస్తుంది. [1] పారామోటర్ ఫ్రేమ్ రెండు చిన్న చక్రాలను కలిగి ఉంటుంది, ఇవి పవర్ యూనిట్‌ను కదిలించేటప్పుడు దుస్తులు నిరోధిస్తాయి మరియు టేకాఫ్ సమయంలో భద్రతను కూడా జోడిస్తాయి. అన్ని పారామోటర్ల మాదిరిగానే, టేకాఫ్ మరియు ల్యాండింగ్ సాధారణంగా కాలినడకన సాధ"&amp;"ించబడుతుంది. [1] ఆటోమొబైల్ ట్రంక్‌లో భూ రవాణా కోసం పవర్ యూనిట్‌ను 32 x 24 x 18 అంగుళాల (81.3 x 61.0 x 45.7 సెం.మీ) పరిమాణానికి విభజించవచ్చు. తిరిగి కలపడానికి తొమ్మిది వెల్క్రో పట్టీలను మాత్రమే కట్టుకోవడం మాత్రమే అవసరం. [1] కిట్‌ప్లాన్‌ల నుండి డేటా [1] సాధ"&amp;"ారణ లక్షణాలు")</f>
        <v>సినర్జీ పారామోటర్స్ సినర్జీ ఒక అమెరికన్ పారామోటర్, ఇది శక్తితో కూడిన పారాగ్లైడింగ్ కోసం కాలిఫోర్నియా యొక్క సినర్జీ పారామోటర్స్ చేత రూపొందించబడింది మరియు ఉత్పత్తి చేయబడింది. [1] ఈ విమానం 2012 లో మొదటిసారి ఎయిర్‌వెంచర్ వద్ద చూపబడింది. [1] సినర్జీ యుఎస్ ఫార్ 103 అల్ట్రాలైట్ వెహికల్స్ నిబంధనలకు అనుగుణంగా రూపొందించబడింది. ఇది పారాగ్లైడర్ తరహా హై-వింగ్, సింగిల్-ప్లేస్ లేదా రెండు-ప్లేస్-ఇన్-టెన్డం వసతి మరియు ఒకే స్నాప్ ఇగో 110 లేదా సి-మాక్స్ 175 టూ-స్ట్రోక్ ఇంజిన్ పషర్ కాన్ఫిగరేషన్‌లో 49 లో (124 సెం.మీ) ప్రొపెల్లర్‌ను నడుపుతుంది. సాధారణ వ్యాసం కంటే పెద్దది జర్మన్ హెలిక్స్-కార్బన్ ప్రొపెల్లర్ శబ్దాన్ని తగ్గించడానికి మరియు డెలివరీ థ్రస్ట్‌ను పెంచడానికి ఉపయోగించబడుతుంది. డిజైన్ ఎడమ మరియు కుడి చేతి ఆకృతీకరణలలో లభించే ప్రత్యేకమైన బొటనవేలు-సక్రియం చేయబడిన థొరెటల్ స్విచ్‌ను ఉపయోగిస్తుంది. [1] పారామోటర్ ఫ్రేమ్ రెండు చిన్న చక్రాలను కలిగి ఉంటుంది, ఇవి పవర్ యూనిట్‌ను కదిలించేటప్పుడు దుస్తులు నిరోధిస్తాయి మరియు టేకాఫ్ సమయంలో భద్రతను కూడా జోడిస్తాయి. అన్ని పారామోటర్ల మాదిరిగానే, టేకాఫ్ మరియు ల్యాండింగ్ సాధారణంగా కాలినడకన సాధించబడుతుంది. [1] ఆటోమొబైల్ ట్రంక్‌లో భూ రవాణా కోసం పవర్ యూనిట్‌ను 32 x 24 x 18 అంగుళాల (81.3 x 61.0 x 45.7 సెం.మీ) పరిమాణానికి విభజించవచ్చు. తిరిగి కలపడానికి తొమ్మిది వెల్క్రో పట్టీలను మాత్రమే కట్టుకోవడం మాత్రమే అవసరం. [1] కిట్‌ప్లాన్‌ల నుండి డేటా [1] సాధారణ లక్షణాలు</v>
      </c>
      <c r="F146" s="1" t="s">
        <v>2778</v>
      </c>
      <c r="G146" s="1" t="str">
        <f>IFERROR(__xludf.DUMMYFUNCTION("GOOGLETRANSLATE(F:F,""en"", ""te"")"),"పారామోటర్")</f>
        <v>పారామోటర్</v>
      </c>
      <c r="H146" s="2" t="s">
        <v>2779</v>
      </c>
      <c r="I146" s="1" t="s">
        <v>2044</v>
      </c>
      <c r="J146" s="1" t="str">
        <f>IFERROR(__xludf.DUMMYFUNCTION("GOOGLETRANSLATE(I:I,""en"", ""te"")"),"సంయుక్త రాష్ట్రాలు")</f>
        <v>సంయుక్త రాష్ట్రాలు</v>
      </c>
      <c r="K146" s="1" t="s">
        <v>159</v>
      </c>
      <c r="L146" s="1" t="s">
        <v>2780</v>
      </c>
      <c r="M146" s="1" t="str">
        <f>IFERROR(__xludf.DUMMYFUNCTION("GOOGLETRANSLATE(L:L,""en"", ""te"")"),"సినర్జీ పారామోటర్లు")</f>
        <v>సినర్జీ పారామోటర్లు</v>
      </c>
      <c r="N146" s="1" t="s">
        <v>2781</v>
      </c>
      <c r="O146" s="1">
        <v>2012.0</v>
      </c>
      <c r="P146" s="1" t="s">
        <v>282</v>
      </c>
      <c r="Q146" s="1"/>
      <c r="S146" s="1" t="s">
        <v>164</v>
      </c>
      <c r="T146" s="1" t="s">
        <v>165</v>
      </c>
      <c r="AA146" s="1" t="s">
        <v>2782</v>
      </c>
      <c r="AE146" s="1" t="s">
        <v>2783</v>
      </c>
    </row>
    <row r="147">
      <c r="A147" s="1" t="s">
        <v>2784</v>
      </c>
      <c r="B147" s="1" t="str">
        <f>IFERROR(__xludf.DUMMYFUNCTION("GOOGLETRANSLATE(A:A,""en"", ""te"")"),"తచికావా కి -94")</f>
        <v>తచికావా కి -94</v>
      </c>
      <c r="C147" s="1" t="s">
        <v>2785</v>
      </c>
      <c r="D147" s="1" t="str">
        <f>IFERROR(__xludf.DUMMYFUNCTION("GOOGLETRANSLATE(C:C,""en"", ""te"")"),"టాచికావా కి -94 అనేది టాచికావా ఎయిర్క్రాఫ్ట్ కంపెనీ చేపట్టిన మరియు ఇంపీరియల్ జపనీస్ ఆర్మీ చేత నిర్వహించబడుతున్న సింగిల్-సీట్ ఫైటర్-ఇంటర్‌సెప్టర్ ఎయిర్‌క్రాఫ్ట్ ప్రాజెక్ట్. ఈ ప్రాజెక్ట్ రెండు విమాన నమూనాలను సూచిస్తుంది: KI-94-I మరియు KI-94-II, రెండూ వరుసగా"&amp;" మాక్-అప్ మరియు ప్రోటోటైప్ దశకు మించి ముందుకు రాలేదు. మొదటిది రెండు 1,641 kW (2,201 HP) మిత్సుబిషి HA211 18-సిలిండర్ ఇంజన్లతో రెండు 1,641 kW (2,201 HP), పుష్-పుల్ కాన్ఫిగరేషన్‌లో రెండు 4-బ్లేడ్ ప్రొపెల్లర్లను నడుపుతుంది. విమానంలో చాలా భారీ ఆయుధాలు (రెండు "&amp;"37 మిమీ/1.46 లో మరియు ఫిరంగిలో రెండు 30 మిమీ/1.18 జపనీస్ ఆర్మీ వైమానిక దళం యొక్క సాంకేతిక విభాగం ""అనవసరంగా ఆశాజనకంగా"" నిర్ణయించబడిన అత్యుత్తమమైన పనితీరు టాట్సు హసేగావా ఆధ్వర్యంలో టైప్ I, విమానం యొక్క చీఫ్ డిజైనర్ మరియు ఉపయోగించిన ఎయిర్‌ఫాయిల్‌కు బాధ్యత "&amp;"వహించే బృందం, మరింత సాంప్రదాయిక సింగిల్-సీట్, పిస్టన్-ఇంజిన్ మోనోప్లేన్ ఫైటర్, ఇంపీరియల్ జపనీస్ ఆర్మీ వైమానిక దళం కోసం అభివృద్ధి చేయబడింది, అదే అవసరాలతో పాటు నకాజిమా అదే అవసరాలతో పాటు అసలు KI-94 కోసం సైన్యం యొక్క పతనం-వెనుక రూపకల్పన అయిన KI-87. [1] B-29 ద"&amp;"ాడులను ఎదుర్కోవటానికి ఉద్దేశించినది, ఇది ఒత్తిడితో కూడిన కాక్‌పిట్ మరియు భారీ ఆయుధాలతో అధిక-ఎత్తు అంతరాయం కోసం ఆప్టిమైజ్ చేయబడింది. ఈ డిజైన్ జరిగింది. ఆమోదించబడింది కోకు హోంబు చేత, మరియు ఈ విమానం KI-94-II గా నియమించబడింది (ఇంతకు ముందు KI-94 డిజైన్‌కు KI-9"&amp;"4-I అని పేరు పెట్టారు). ఒక స్టాటిక్ టెస్ట్ ఎయిర్ఫ్రేమ్, మూడు ప్రోటోటైప్స్ మరియు పద్దెనిమిది ప్రీ-ప్రొడక్షన్ విమానాల కోసం ఒక ఆర్డర్ ఉంచబడింది. ఈ కార్యక్రమంలో 2 ప్రోటోటైప్‌లు మాత్రమే నిర్మించబడ్డాయి; మొదటిది ఒకే 1,895 kW (2,541 HP) నకాజిమా HA219 [HA-44] ఇంజ"&amp;"ిన్‌ను కలిగి ఉంది, 4-బ్లేడ్ ప్రొపెల్లర్‌ను నడుపుతోంది ఎందుకంటే 6-బ్లేడ్ ఒకటి సిద్ధంగా లేదు. [2] రెండవ నమూనాను 6-బ్లేడ్ ప్రొపెల్లర్‌తో అమర్చాలి. అయితే యుద్ధం ముగింపు రెండవ నమూనా నిర్మాణాన్ని ఆపివేసింది మరియు దాని తొలి విమానానికి ఇప్పటికీ రెడీగా ఉన్న మొదటి "&amp;"నమూనాను కూడా కనుగొన్నారు, KI-94-II ఎప్పుడూ ప్రసారం చేయలేదు. ప్రసిద్ధ విమానాల నుండి డేటా, మొదటి సిరీస్, నెం.")</f>
        <v>టాచికావా కి -94 అనేది టాచికావా ఎయిర్క్రాఫ్ట్ కంపెనీ చేపట్టిన మరియు ఇంపీరియల్ జపనీస్ ఆర్మీ చేత నిర్వహించబడుతున్న సింగిల్-సీట్ ఫైటర్-ఇంటర్‌సెప్టర్ ఎయిర్‌క్రాఫ్ట్ ప్రాజెక్ట్. ఈ ప్రాజెక్ట్ రెండు విమాన నమూనాలను సూచిస్తుంది: KI-94-I మరియు KI-94-II, రెండూ వరుసగా మాక్-అప్ మరియు ప్రోటోటైప్ దశకు మించి ముందుకు రాలేదు. మొదటిది రెండు 1,641 kW (2,201 HP) మిత్సుబిషి HA211 18-సిలిండర్ ఇంజన్లతో రెండు 1,641 kW (2,201 HP), పుష్-పుల్ కాన్ఫిగరేషన్‌లో రెండు 4-బ్లేడ్ ప్రొపెల్లర్లను నడుపుతుంది. విమానంలో చాలా భారీ ఆయుధాలు (రెండు 37 మిమీ/1.46 లో మరియు ఫిరంగిలో రెండు 30 మిమీ/1.18 జపనీస్ ఆర్మీ వైమానిక దళం యొక్క సాంకేతిక విభాగం "అనవసరంగా ఆశాజనకంగా" నిర్ణయించబడిన అత్యుత్తమమైన పనితీరు టాట్సు హసేగావా ఆధ్వర్యంలో టైప్ I, విమానం యొక్క చీఫ్ డిజైనర్ మరియు ఉపయోగించిన ఎయిర్‌ఫాయిల్‌కు బాధ్యత వహించే బృందం, మరింత సాంప్రదాయిక సింగిల్-సీట్, పిస్టన్-ఇంజిన్ మోనోప్లేన్ ఫైటర్, ఇంపీరియల్ జపనీస్ ఆర్మీ వైమానిక దళం కోసం అభివృద్ధి చేయబడింది, అదే అవసరాలతో పాటు నకాజిమా అదే అవసరాలతో పాటు అసలు KI-94 కోసం సైన్యం యొక్క పతనం-వెనుక రూపకల్పన అయిన KI-87. [1] B-29 దాడులను ఎదుర్కోవటానికి ఉద్దేశించినది, ఇది ఒత్తిడితో కూడిన కాక్‌పిట్ మరియు భారీ ఆయుధాలతో అధిక-ఎత్తు అంతరాయం కోసం ఆప్టిమైజ్ చేయబడింది. ఈ డిజైన్ జరిగింది. ఆమోదించబడింది కోకు హోంబు చేత, మరియు ఈ విమానం KI-94-II గా నియమించబడింది (ఇంతకు ముందు KI-94 డిజైన్‌కు KI-94-I అని పేరు పెట్టారు). ఒక స్టాటిక్ టెస్ట్ ఎయిర్ఫ్రేమ్, మూడు ప్రోటోటైప్స్ మరియు పద్దెనిమిది ప్రీ-ప్రొడక్షన్ విమానాల కోసం ఒక ఆర్డర్ ఉంచబడింది. ఈ కార్యక్రమంలో 2 ప్రోటోటైప్‌లు మాత్రమే నిర్మించబడ్డాయి; మొదటిది ఒకే 1,895 kW (2,541 HP) నకాజిమా HA219 [HA-44] ఇంజిన్‌ను కలిగి ఉంది, 4-బ్లేడ్ ప్రొపెల్లర్‌ను నడుపుతోంది ఎందుకంటే 6-బ్లేడ్ ఒకటి సిద్ధంగా లేదు. [2] రెండవ నమూనాను 6-బ్లేడ్ ప్రొపెల్లర్‌తో అమర్చాలి. అయితే యుద్ధం ముగింపు రెండవ నమూనా నిర్మాణాన్ని ఆపివేసింది మరియు దాని తొలి విమానానికి ఇప్పటికీ రెడీగా ఉన్న మొదటి నమూనాను కూడా కనుగొన్నారు, KI-94-II ఎప్పుడూ ప్రసారం చేయలేదు. ప్రసిద్ధ విమానాల నుండి డేటా, మొదటి సిరీస్, నెం.</v>
      </c>
      <c r="F147" s="1" t="s">
        <v>2786</v>
      </c>
      <c r="G147" s="1" t="str">
        <f>IFERROR(__xludf.DUMMYFUNCTION("GOOGLETRANSLATE(F:F,""en"", ""te"")"),"ఇంటర్‌సెప్టర్")</f>
        <v>ఇంటర్‌సెప్టర్</v>
      </c>
      <c r="H147" s="2" t="s">
        <v>2787</v>
      </c>
      <c r="I147" s="1" t="s">
        <v>1204</v>
      </c>
      <c r="J147" s="1" t="str">
        <f>IFERROR(__xludf.DUMMYFUNCTION("GOOGLETRANSLATE(I:I,""en"", ""te"")"),"జపాన్")</f>
        <v>జపాన్</v>
      </c>
      <c r="L147" s="1" t="s">
        <v>2788</v>
      </c>
      <c r="M147" s="1" t="str">
        <f>IFERROR(__xludf.DUMMYFUNCTION("GOOGLETRANSLATE(L:L,""en"", ""te"")"),"తచికావా ఎయిర్క్రాఫ్ట్ కంపెనీ లిమిటెడ్")</f>
        <v>తచికావా ఎయిర్క్రాఫ్ట్ కంపెనీ లిమిటెడ్</v>
      </c>
      <c r="N147" s="1" t="s">
        <v>2789</v>
      </c>
      <c r="P147" s="1" t="s">
        <v>935</v>
      </c>
      <c r="Q147" s="1"/>
      <c r="S147" s="1">
        <v>1.0</v>
      </c>
      <c r="U147" s="1" t="s">
        <v>2790</v>
      </c>
      <c r="V147" s="1" t="s">
        <v>2791</v>
      </c>
      <c r="W147" s="1" t="s">
        <v>2792</v>
      </c>
      <c r="X147" s="1" t="s">
        <v>2793</v>
      </c>
      <c r="Y147" s="1" t="s">
        <v>2794</v>
      </c>
      <c r="AA147" s="1" t="s">
        <v>2795</v>
      </c>
      <c r="AB147" s="1" t="s">
        <v>2796</v>
      </c>
      <c r="AE147" s="1" t="s">
        <v>2797</v>
      </c>
      <c r="AF147" s="1" t="s">
        <v>2798</v>
      </c>
      <c r="AH147" s="1" t="s">
        <v>2799</v>
      </c>
      <c r="AK147" s="1" t="s">
        <v>2800</v>
      </c>
      <c r="AL147" s="1" t="s">
        <v>2801</v>
      </c>
      <c r="AM147" s="1" t="s">
        <v>2802</v>
      </c>
      <c r="AN147" s="1" t="s">
        <v>2803</v>
      </c>
      <c r="AQ147" s="1" t="s">
        <v>2804</v>
      </c>
      <c r="AR147" s="1" t="s">
        <v>2805</v>
      </c>
      <c r="AW147" s="1" t="s">
        <v>2697</v>
      </c>
      <c r="BA147" s="1" t="s">
        <v>2806</v>
      </c>
      <c r="BC147" s="1">
        <v>1945.0</v>
      </c>
      <c r="BG147" s="1">
        <v>2.0</v>
      </c>
      <c r="BH147" s="1" t="s">
        <v>2807</v>
      </c>
      <c r="BR147" s="1" t="s">
        <v>2808</v>
      </c>
      <c r="BT147" s="1" t="s">
        <v>2809</v>
      </c>
      <c r="CC147" s="1" t="s">
        <v>2810</v>
      </c>
      <c r="CK147" s="2" t="s">
        <v>2811</v>
      </c>
      <c r="DT147" s="2" t="s">
        <v>2195</v>
      </c>
    </row>
    <row r="148">
      <c r="A148" s="1" t="s">
        <v>2812</v>
      </c>
      <c r="B148" s="1" t="str">
        <f>IFERROR(__xludf.DUMMYFUNCTION("GOOGLETRANSLATE(A:A,""en"", ""te"")"),"టాగ్‌గార్ట్ గైరోబీ")</f>
        <v>టాగ్‌గార్ట్ గైరోబీ</v>
      </c>
      <c r="C148" s="1" t="s">
        <v>2813</v>
      </c>
      <c r="D148" s="1" t="str">
        <f>IFERROR(__xludf.DUMMYFUNCTION("GOOGLETRANSLATE(C:C,""en"", ""te"")"),"టాగ్‌గార్ట్ గైరోబీ అనేది ఒక అమెరికన్ ఆటోజార్ట్, దీనిని మిచిగాన్ స్టేట్ యూనివర్శిటీకి చెందిన రాల్ఫ్ ఇ. టాగ్‌గార్ట్ రూపొందించారు మరియు ఉచిత డాక్యుమెంటేషన్‌గా అందుబాటులో ఉంచారు. ఈ విమానం కిట్ రూపంలో వోర్సెస్టర్ యొక్క స్టార్ బీ గైరోస్, మసాచుసెట్స్‌లో te త్సాహ"&amp;"ిక నిర్మాణం కోసం ఉత్పత్తి అవుతుంది. [1] వర్గం యొక్క గరిష్ట ఖాళీ బరువు 254 పౌండ్లు (115 కిలోలు) తో సహా యుఎస్ ఫార్ 103 అల్ట్రాలైట్ వెహికల్స్ నిబంధనలను పాటించేలా గైరోబీ రూపొందించబడింది. ఈ విమానం ప్రామాణిక ఖాళీ బరువు 247 పౌండ్లు (112 కిలోలు). ఇది సింగిల్ మెయి"&amp;"న్ రోటర్, విండ్‌షీల్డ్ లేని సింగిల్-సీట్ ఓపెన్ కాక్‌పిట్, ట్రైసైకిల్ ల్యాండింగ్ గేర్ మరియు ట్విన్-సిలిండర్, ఎయిర్-కూల్డ్, రెండు-స్ట్రోక్, డ్యూయల్-ఇగ్నిషన్ 45 హెచ్‌పి (34 కిలోవాట్ . [[ విమానం ఫ్యూజ్‌లేజ్ బోల్ట్-టుగెదర్ 6061-టి 6 అల్యూమినియం గొట్టాల నుండి త"&amp;"యారవుతుంది. దాని 23 అడుగుల (7.0 మీ) వ్యాసం కలిగిన స్పోర్ట్ కాప్టర్ రోటర్ 7 అంగుళాల (17.8 సెం.మీ) తీగను కలిగి ఉంది. దాని ఖాళీ బరువు 247 lb (112 kg) మరియు స్థూల బరువు 550 lb (249 kg) తో, ఇది 303 lb (137 kg) యొక్క ఉపయోగకరమైన లోడ్ కలిగి ఉంది. [1] బేయర్ల్ నుండ"&amp;"ి డేటా [1] సాధారణ లక్షణాల పనితీరు")</f>
        <v>టాగ్‌గార్ట్ గైరోబీ అనేది ఒక అమెరికన్ ఆటోజార్ట్, దీనిని మిచిగాన్ స్టేట్ యూనివర్శిటీకి చెందిన రాల్ఫ్ ఇ. టాగ్‌గార్ట్ రూపొందించారు మరియు ఉచిత డాక్యుమెంటేషన్‌గా అందుబాటులో ఉంచారు. ఈ విమానం కిట్ రూపంలో వోర్సెస్టర్ యొక్క స్టార్ బీ గైరోస్, మసాచుసెట్స్‌లో te త్సాహిక నిర్మాణం కోసం ఉత్పత్తి అవుతుంది. [1] వర్గం యొక్క గరిష్ట ఖాళీ బరువు 254 పౌండ్లు (115 కిలోలు) తో సహా యుఎస్ ఫార్ 103 అల్ట్రాలైట్ వెహికల్స్ నిబంధనలను పాటించేలా గైరోబీ రూపొందించబడింది. ఈ విమానం ప్రామాణిక ఖాళీ బరువు 247 పౌండ్లు (112 కిలోలు). ఇది సింగిల్ మెయిన్ రోటర్, విండ్‌షీల్డ్ లేని సింగిల్-సీట్ ఓపెన్ కాక్‌పిట్, ట్రైసైకిల్ ల్యాండింగ్ గేర్ మరియు ట్విన్-సిలిండర్, ఎయిర్-కూల్డ్, రెండు-స్ట్రోక్, డ్యూయల్-ఇగ్నిషన్ 45 హెచ్‌పి (34 కిలోవాట్ . [[ విమానం ఫ్యూజ్‌లేజ్ బోల్ట్-టుగెదర్ 6061-టి 6 అల్యూమినియం గొట్టాల నుండి తయారవుతుంది. దాని 23 అడుగుల (7.0 మీ) వ్యాసం కలిగిన స్పోర్ట్ కాప్టర్ రోటర్ 7 అంగుళాల (17.8 సెం.మీ) తీగను కలిగి ఉంది. దాని ఖాళీ బరువు 247 lb (112 kg) మరియు స్థూల బరువు 550 lb (249 kg) తో, ఇది 303 lb (137 kg) యొక్క ఉపయోగకరమైన లోడ్ కలిగి ఉంది. [1] బేయర్ల్ నుండి డేటా [1] సాధారణ లక్షణాల పనితీరు</v>
      </c>
      <c r="F148" s="1" t="s">
        <v>1929</v>
      </c>
      <c r="G148" s="1" t="str">
        <f>IFERROR(__xludf.DUMMYFUNCTION("GOOGLETRANSLATE(F:F,""en"", ""te"")"),"ఆటోజీరో")</f>
        <v>ఆటోజీరో</v>
      </c>
      <c r="H148" s="2" t="s">
        <v>2814</v>
      </c>
      <c r="I148" s="1" t="s">
        <v>2044</v>
      </c>
      <c r="J148" s="1" t="str">
        <f>IFERROR(__xludf.DUMMYFUNCTION("GOOGLETRANSLATE(I:I,""en"", ""te"")"),"సంయుక్త రాష్ట్రాలు")</f>
        <v>సంయుక్త రాష్ట్రాలు</v>
      </c>
      <c r="K148" s="1" t="s">
        <v>159</v>
      </c>
      <c r="L148" s="1" t="s">
        <v>2815</v>
      </c>
      <c r="M148" s="1" t="str">
        <f>IFERROR(__xludf.DUMMYFUNCTION("GOOGLETRANSLATE(L:L,""en"", ""te"")"),"స్టార్ బీ గైరోస్")</f>
        <v>స్టార్ బీ గైరోస్</v>
      </c>
      <c r="N148" s="1" t="s">
        <v>2816</v>
      </c>
      <c r="O148" s="1">
        <v>1990.0</v>
      </c>
      <c r="P148" s="1" t="s">
        <v>2817</v>
      </c>
      <c r="Q148" s="1"/>
      <c r="S148" s="1" t="s">
        <v>164</v>
      </c>
      <c r="X148" s="1" t="s">
        <v>2818</v>
      </c>
      <c r="Y148" s="1" t="s">
        <v>2819</v>
      </c>
      <c r="Z148" s="1" t="s">
        <v>354</v>
      </c>
      <c r="AA148" s="1" t="s">
        <v>2820</v>
      </c>
      <c r="AB148" s="1" t="s">
        <v>2053</v>
      </c>
      <c r="AD148" s="1" t="s">
        <v>2821</v>
      </c>
      <c r="AE148" s="1" t="s">
        <v>2822</v>
      </c>
      <c r="AG148" s="1" t="s">
        <v>208</v>
      </c>
      <c r="AM148" s="1" t="s">
        <v>2823</v>
      </c>
      <c r="AO148" s="1">
        <v>1990.0</v>
      </c>
      <c r="AP148" s="1" t="s">
        <v>2824</v>
      </c>
      <c r="AQ148" s="1" t="s">
        <v>2825</v>
      </c>
      <c r="AS148" s="1" t="s">
        <v>2826</v>
      </c>
    </row>
    <row r="149">
      <c r="A149" s="1" t="s">
        <v>2827</v>
      </c>
      <c r="B149" s="1" t="str">
        <f>IFERROR(__xludf.DUMMYFUNCTION("GOOGLETRANSLATE(A:A,""en"", ""te"")"),"టెమ్కో డి -16")</f>
        <v>టెమ్కో డి -16</v>
      </c>
      <c r="C149" s="1" t="s">
        <v>2828</v>
      </c>
      <c r="D149" s="1" t="str">
        <f>IFERROR(__xludf.DUMMYFUNCTION("GOOGLETRANSLATE(C:C,""en"", ""te"")"),"టెమ్కో డి -16 అనేది యునైటెడ్ స్టేట్స్ నుండి 1950 ల ట్విన్ ఇంజిన్ సివిల్ విమానం. దాని సింగిల్ ఇంజిన్‌ను రెండు వింగ్-మౌంటెడ్ ఇంజిన్‌లతో భర్తీ చేయడానికి ర్యాన్ నావియన్‌ను మార్చడం ద్వారా ఇది ఉత్పత్తి చేయబడింది. దీనిని సాధారణంగా ట్విన్ నావియాన్ అని పిలుస్తారు,"&amp;" అయినప్పటికీ ఆ పేరు తరచూ తరువాత సారూప్య మార్పిడికి, కామైర్ 480 కు కూడా వర్తించబడుతుంది. ఈ ప్రాజెక్ట్ 1951 లో చార్లెస్ డాబెన్‌బెర్గర్ చేత ప్రారంభమైంది, అతని డాబీ చేత నిర్వహించబడుతున్న కార్పొరేట్ ర్యాన్ నావియన్ కోసం చవకైన భర్తీ కోసం ఎక్విప్మెంట్ కంపెనీ, ఎత్"&amp;"తైన పర్వత శ్రేణులను దాటినప్పుడు మెరుగైన విశ్వసనీయతను సాధించడానికి. అతను ఒక పరిష్కారాన్ని అందించడానికి ACME ఎయిర్క్రాఫ్ట్ కంపెనీకి చెందిన రోజర్ కీనీని నియమించాడు, ఇది నావియాన్ యొక్క జంట ఇంజిన్ మార్పిడిగా పరిణామం చెందింది. [1] జాక్ రిలే సీనియర్ మొదటి మోడల్‌"&amp;"ను నాలుగు బృందంతో నిర్మించారు. [2] లైమింగ్ నుండి ప్రోత్సాహంతో, 125 హెచ్‌పి లైమింగ్ ఓ -290 ఫోర్-సిలిండర్ ఇంజన్ ఈ ప్రాజెక్ట్ కోసం ఎంపిక చేయబడింది. ప్రాథమిక నావియన్ నిర్మాణం నుండి డిజైన్ మార్పులలో బలోపేత వింగ్ స్పార్స్ ఉన్నాయి, ఇవి పైపర్ PA-18 సూపర్ కబ్ నుండ"&amp;"ి ఇంజిన్ మౌంట్‌లు మరియు ఇతర భాగాలకు మద్దతు ఇచ్చాయి, ప్లస్ న్యూ ఇంజిన్ నాసెల్లెస్, ఇప్పటికే ఉన్న ఇంజిన్ మరియు కౌలింగ్‌ను భర్తీ చేసిన ఫెయిర్డ్ ముక్కు విభాగం మరియు కొత్త నిలువు తోక మరియు ఇప్పటికే ఉన్న క్షితిజ సమాంతర స్టెబిలైజర్ ఆధారంగా చుక్కాని. 1952 లో పరీక"&amp;"్ష సమయంలో, ఈ విమానం మొదట్లో X-16 ద్వి-నావియన్ అని పేరు పెట్టారు. 10 నవంబర్ 1952 న, దీనిని సివిల్ ఏరోనాటిక్స్ అడ్మినిస్ట్రేషన్ (CAA) సర్టిఫికేషన్ మంజూరు చేసింది, తరువాత దీనికి D-16 ట్విన్ నావియన్ అని పేరు మార్చారు. [1] [3] 140 హెచ్‌పి ఇంజిన్‌లను పేర్కొన్న "&amp;"జాక్ రిలే కోసం రెండవ విమానం మార్చబడింది మరియు అతను డౌబీ నుండి ఉత్పత్తి హక్కులను కొనుగోలు చేశాడు. రిలే విమానం అప్పుడు రిలే డి -16 ట్విన్ నావియన్ ఉత్పత్తిని ప్రారంభించింది, ఇది 150 హెచ్‌పి లైమింగ్ ఓ -320 ఇంజన్లు మరియు ఇతర మెరుగుదలలతో డిజైన్‌ను ప్రామాణీకరించ"&amp;"ింది. మార్చి 1953 లో, 19 మార్పిడులు జరిగిన తరువాత, రిలే ఉప కాంట్రాక్ట్ ఉత్పత్తిని టెమ్కో విమానాలకు. టెమ్కో అప్పుడు ఏకైక ఉత్పత్తి హక్కులను కొనుగోలు చేసింది మరియు టెంకో డి -16 పేరుతో మరో 46 మార్పిడులను నిర్మించింది. సెప్టెంబర్ 1954 లో, ఈ డిజైన్ 170 హెచ్‌పి "&amp;"లైమింగ్ ఓ -340 ఇంజన్లు మరియు వింగ్‌టిప్ ట్యాంకులలో పెరిగిన ఇంధన సామర్థ్యాన్ని కలిగి ఉంది, దీనికి అధికారికంగా టెమ్కో డి -16 ఎ అని పేరు పెట్టారు, కాని సాధారణంగా 1955 మోడల్ సంవత్సరానికి రిలే 55 గా విక్రయించబడ్డాయి. [1] [3] [[[4] [5] [6] [ 1957 లో, D-16A స్పె"&amp;"సిఫికేషన్‌కు 45 మార్పిడులు తరువాత, పైపర్ PA-23 అపాచీ వంటి ఖర్చుతో కూడుకున్న కొత్త-నిర్మాణ రకాల నుండి పోటీ నేపథ్యంలో ఉత్పత్తి ఆగిపోయింది. D-16 మోడళ్లలో చాలా వరకు D-16A ప్రమాణాలకు అప్‌గ్రేడ్ చేయబడ్డాయి. 2012 లో, సుమారు 52 టెమ్కో డి -16 మరియు డి -16 ఎ నమూనాల"&amp;"ు యుఎస్ సివిల్ ఎయిర్క్రాఫ్ట్ రిజిస్టర్‌లో ఉన్నాయి, మరియు కనీసం మూడు మ్యూజియం సేకరణలలో భద్రపరచబడ్డాయి. [1] [3] [4] [7] సింప్సన్ 2001 మరియు FAA స్పెక్ 2A1 [3] [8] నుండి డేటా వికీమీడియా కామన్స్ వద్ద టెంకో డి -16 కు సంబంధించిన పోల్చదగిన పాత్ర, కాన్ఫిగరేషన్ మర"&amp;"ియు ERA మీడియా యొక్క సాధారణ లక్షణాల పనితీరు సంబంధిత అభివృద్ధి విమానం")</f>
        <v>టెమ్కో డి -16 అనేది యునైటెడ్ స్టేట్స్ నుండి 1950 ల ట్విన్ ఇంజిన్ సివిల్ విమానం. దాని సింగిల్ ఇంజిన్‌ను రెండు వింగ్-మౌంటెడ్ ఇంజిన్‌లతో భర్తీ చేయడానికి ర్యాన్ నావియన్‌ను మార్చడం ద్వారా ఇది ఉత్పత్తి చేయబడింది. దీనిని సాధారణంగా ట్విన్ నావియాన్ అని పిలుస్తారు, అయినప్పటికీ ఆ పేరు తరచూ తరువాత సారూప్య మార్పిడికి, కామైర్ 480 కు కూడా వర్తించబడుతుంది. ఈ ప్రాజెక్ట్ 1951 లో చార్లెస్ డాబెన్‌బెర్గర్ చేత ప్రారంభమైంది, అతని డాబీ చేత నిర్వహించబడుతున్న కార్పొరేట్ ర్యాన్ నావియన్ కోసం చవకైన భర్తీ కోసం ఎక్విప్మెంట్ కంపెనీ, ఎత్తైన పర్వత శ్రేణులను దాటినప్పుడు మెరుగైన విశ్వసనీయతను సాధించడానికి. అతను ఒక పరిష్కారాన్ని అందించడానికి ACME ఎయిర్క్రాఫ్ట్ కంపెనీకి చెందిన రోజర్ కీనీని నియమించాడు, ఇది నావియాన్ యొక్క జంట ఇంజిన్ మార్పిడిగా పరిణామం చెందింది. [1] జాక్ రిలే సీనియర్ మొదటి మోడల్‌ను నాలుగు బృందంతో నిర్మించారు. [2] లైమింగ్ నుండి ప్రోత్సాహంతో, 125 హెచ్‌పి లైమింగ్ ఓ -290 ఫోర్-సిలిండర్ ఇంజన్ ఈ ప్రాజెక్ట్ కోసం ఎంపిక చేయబడింది. ప్రాథమిక నావియన్ నిర్మాణం నుండి డిజైన్ మార్పులలో బలోపేత వింగ్ స్పార్స్ ఉన్నాయి, ఇవి పైపర్ PA-18 సూపర్ కబ్ నుండి ఇంజిన్ మౌంట్‌లు మరియు ఇతర భాగాలకు మద్దతు ఇచ్చాయి, ప్లస్ న్యూ ఇంజిన్ నాసెల్లెస్, ఇప్పటికే ఉన్న ఇంజిన్ మరియు కౌలింగ్‌ను భర్తీ చేసిన ఫెయిర్డ్ ముక్కు విభాగం మరియు కొత్త నిలువు తోక మరియు ఇప్పటికే ఉన్న క్షితిజ సమాంతర స్టెబిలైజర్ ఆధారంగా చుక్కాని. 1952 లో పరీక్ష సమయంలో, ఈ విమానం మొదట్లో X-16 ద్వి-నావియన్ అని పేరు పెట్టారు. 10 నవంబర్ 1952 న, దీనిని సివిల్ ఏరోనాటిక్స్ అడ్మినిస్ట్రేషన్ (CAA) సర్టిఫికేషన్ మంజూరు చేసింది, తరువాత దీనికి D-16 ట్విన్ నావియన్ అని పేరు మార్చారు. [1] [3] 140 హెచ్‌పి ఇంజిన్‌లను పేర్కొన్న జాక్ రిలే కోసం రెండవ విమానం మార్చబడింది మరియు అతను డౌబీ నుండి ఉత్పత్తి హక్కులను కొనుగోలు చేశాడు. రిలే విమానం అప్పుడు రిలే డి -16 ట్విన్ నావియన్ ఉత్పత్తిని ప్రారంభించింది, ఇది 150 హెచ్‌పి లైమింగ్ ఓ -320 ఇంజన్లు మరియు ఇతర మెరుగుదలలతో డిజైన్‌ను ప్రామాణీకరించింది. మార్చి 1953 లో, 19 మార్పిడులు జరిగిన తరువాత, రిలే ఉప కాంట్రాక్ట్ ఉత్పత్తిని టెమ్కో విమానాలకు. టెమ్కో అప్పుడు ఏకైక ఉత్పత్తి హక్కులను కొనుగోలు చేసింది మరియు టెంకో డి -16 పేరుతో మరో 46 మార్పిడులను నిర్మించింది. సెప్టెంబర్ 1954 లో, ఈ డిజైన్ 170 హెచ్‌పి లైమింగ్ ఓ -340 ఇంజన్లు మరియు వింగ్‌టిప్ ట్యాంకులలో పెరిగిన ఇంధన సామర్థ్యాన్ని కలిగి ఉంది, దీనికి అధికారికంగా టెమ్కో డి -16 ఎ అని పేరు పెట్టారు, కాని సాధారణంగా 1955 మోడల్ సంవత్సరానికి రిలే 55 గా విక్రయించబడ్డాయి. [1] [3] [[[4] [5] [6] [ 1957 లో, D-16A స్పెసిఫికేషన్‌కు 45 మార్పిడులు తరువాత, పైపర్ PA-23 అపాచీ వంటి ఖర్చుతో కూడుకున్న కొత్త-నిర్మాణ రకాల నుండి పోటీ నేపథ్యంలో ఉత్పత్తి ఆగిపోయింది. D-16 మోడళ్లలో చాలా వరకు D-16A ప్రమాణాలకు అప్‌గ్రేడ్ చేయబడ్డాయి. 2012 లో, సుమారు 52 టెమ్కో డి -16 మరియు డి -16 ఎ నమూనాలు యుఎస్ సివిల్ ఎయిర్క్రాఫ్ట్ రిజిస్టర్‌లో ఉన్నాయి, మరియు కనీసం మూడు మ్యూజియం సేకరణలలో భద్రపరచబడ్డాయి. [1] [3] [4] [7] సింప్సన్ 2001 మరియు FAA స్పెక్ 2A1 [3] [8] నుండి డేటా వికీమీడియా కామన్స్ వద్ద టెంకో డి -16 కు సంబంధించిన పోల్చదగిన పాత్ర, కాన్ఫిగరేషన్ మరియు ERA మీడియా యొక్క సాధారణ లక్షణాల పనితీరు సంబంధిత అభివృద్ధి విమానం</v>
      </c>
      <c r="E149" s="1" t="s">
        <v>2829</v>
      </c>
      <c r="F149" s="1" t="s">
        <v>2830</v>
      </c>
      <c r="G149" s="1" t="str">
        <f>IFERROR(__xludf.DUMMYFUNCTION("GOOGLETRANSLATE(F:F,""en"", ""te"")"),"బిజినెస్ &amp; టూరింగ్ ఎయిర్క్రాఫ్ట్")</f>
        <v>బిజినెస్ &amp; టూరింగ్ ఎయిర్క్రాఫ్ట్</v>
      </c>
      <c r="I149" s="1" t="s">
        <v>2044</v>
      </c>
      <c r="J149" s="1" t="str">
        <f>IFERROR(__xludf.DUMMYFUNCTION("GOOGLETRANSLATE(I:I,""en"", ""te"")"),"సంయుక్త రాష్ట్రాలు")</f>
        <v>సంయుక్త రాష్ట్రాలు</v>
      </c>
      <c r="L149" s="1" t="s">
        <v>2831</v>
      </c>
      <c r="M149" s="1" t="str">
        <f>IFERROR(__xludf.DUMMYFUNCTION("GOOGLETRANSLATE(L:L,""en"", ""te"")"),"టెమ్కో విమానం")</f>
        <v>టెమ్కో విమానం</v>
      </c>
      <c r="N149" s="1" t="s">
        <v>2832</v>
      </c>
      <c r="O149" s="1">
        <v>1953.0</v>
      </c>
      <c r="R149" s="1">
        <v>110.0</v>
      </c>
      <c r="S149" s="1" t="s">
        <v>164</v>
      </c>
      <c r="T149" s="1" t="s">
        <v>587</v>
      </c>
      <c r="U149" s="1" t="s">
        <v>2833</v>
      </c>
      <c r="V149" s="1" t="s">
        <v>2834</v>
      </c>
      <c r="W149" s="1" t="s">
        <v>2835</v>
      </c>
      <c r="X149" s="1" t="s">
        <v>2836</v>
      </c>
      <c r="Z149" s="1" t="s">
        <v>2837</v>
      </c>
      <c r="AA149" s="1" t="s">
        <v>2838</v>
      </c>
      <c r="AB149" s="1" t="s">
        <v>2839</v>
      </c>
      <c r="AD149" s="1" t="s">
        <v>2840</v>
      </c>
      <c r="AE149" s="1" t="s">
        <v>375</v>
      </c>
      <c r="AH149" s="1" t="s">
        <v>2841</v>
      </c>
      <c r="AJ149" s="1" t="s">
        <v>2842</v>
      </c>
      <c r="AK149" s="1" t="s">
        <v>2843</v>
      </c>
      <c r="AL149" s="1" t="s">
        <v>2844</v>
      </c>
      <c r="AO149" s="1">
        <v>1952.0</v>
      </c>
      <c r="AQ149" s="1" t="s">
        <v>2845</v>
      </c>
      <c r="AT149" s="1" t="s">
        <v>2846</v>
      </c>
      <c r="AU149" s="1" t="s">
        <v>2847</v>
      </c>
      <c r="AV149" s="1" t="s">
        <v>2848</v>
      </c>
      <c r="BG149" s="1" t="s">
        <v>2849</v>
      </c>
    </row>
    <row r="150">
      <c r="A150" s="1" t="s">
        <v>2850</v>
      </c>
      <c r="B150" s="1" t="str">
        <f>IFERROR(__xludf.DUMMYFUNCTION("GOOGLETRANSLATE(A:A,""en"", ""te"")"),"TST-14 బోనస్‌ను పరీక్షించండి")</f>
        <v>TST-14 బోనస్‌ను పరీక్షించండి</v>
      </c>
      <c r="C150" s="1" t="s">
        <v>2851</v>
      </c>
      <c r="D150" s="1" t="str">
        <f>IFERROR(__xludf.DUMMYFUNCTION("GOOGLETRANSLATE(C:C,""en"", ""te"")"),"టెస్ట్ TST-14 బోనస్ చెక్ హై-వింగ్, టి-టెయిల్డ్, రెండు-సీట్ల-టెన్డం గ్లైడర్ మరియు మోటార్ గ్లైడర్, ఇది టెస్ట్ గ్లైడర్‌లచే రూపొందించబడింది మరియు ఉత్పత్తి చేస్తుంది. [1] [2] [3] TST-14 మోటార్ గ్లైడర్ ప్రైవేట్ యజమాని మరియు ఫ్లయింగ్ పాఠశాల ఉపయోగం కోసం రూపొందించ"&amp;"బడింది మరియు స్వతంత్ర టాక్సీ మరియు టేకాఫ్‌ను అనుమతించే రెక్క చిట్కా చక్రాలు. [1] [3] TST-14 మిశ్రమ పదార్థాల నుండి నిర్మించబడింది, ఫార్వర్డ్-స్వీప్ వింగ్ ఒక రిబ్లెస్ కాంపోజిట్ శాండ్‌విచ్ నిర్మాణంతో. ప్రతి వింగ్ బరువు 40 కిలోలు (88 ఎల్బి) మరియు కార్బన్ ఫైబర"&amp;"్ కాంపోజిట్ ఫ్లేంజ్ ప్లేట్ మరియు పాలియురేతేన్ ఫోమ్/ఫైబర్గ్లాస్ కాంపోజిట్ వెబ్ ప్లేట్‌తో తయారు చేసిన ఒకే స్పార్ ఉంటుంది. గ్లైడ్‌పాత్ నియంత్రణ అల్యూమినియం నుండి తయారైన ఎగువ ఉపరితల గాలి బ్రేక్‌ల ద్వారా. మోటారు గ్లైడర్ వెర్షన్ ముడుచుకునే 50 హెచ్‌పి (37 కిలోవా"&amp;"ట్ల) రోటాక్స్ 503 ఎల్ టూ-స్ట్రోక్ పవర్‌లాంట్‌తో శక్తినిస్తుంది. ఇంజిన్ యొక్క పొడిగింపు మరియు ఉపసంహరణ పూర్తిగా ఆటోమేటిక్, రెండు కాక్‌పిట్-మౌంటెడ్ బటన్లతో నియంత్రించబడుతుంది మరియు రెండు ఎలక్ట్రిక్ సర్వో మోటార్లు ద్వారా పనిచేస్తుంది. ల్యాండింగ్ గేర్‌లో డ్యూయ"&amp;"ల్ ఫ్యూజ్‌లేజ్-మౌంటెడ్ టెన్డం మెయిన్‌వీల్స్ మరియు వింగ్ టిప్-మౌంటెడ్ వీల్స్ ఉంటాయి. [1] [4] [5] ఈ విమానం 10 డిసెంబర్ 2001 న గ్లైడర్స్ కోసం జాయింట్ ఏవియేషన్ అథారిటీస్ జార్ 22 ప్రమాణానికి ధృవీకరించబడింది. ""ఖర్చు చేసిన ఖర్చు కారణంగా"" సంస్థ వివరించినట్లుగా "&amp;"టిఎస్‌టి -14 యునైటెడ్ స్టేట్స్లో ధృవీకరించబడలేదు. ఈ విమానం యుఎస్ ఫెడరల్ ఏవియేషన్ అడ్మినిస్ట్రేషన్‌లో ప్రత్యేక లైట్ స్పోర్ట్ ఎయిర్‌క్రాఫ్ట్ గ్లైడర్‌గా లేదా ప్రయోగాత్మక - రేసింగ్/ఎగ్జిబిషన్ విభాగంలో నమోదు చేయవచ్చు. [2] [5] [6] సెయిల్ ప్లేన్ డైరెక్టరీ మరియు "&amp;"కంపెనీ వెబ్‌సైట్ నుండి డేటా [1] [4] [5] సాధారణ లక్షణాల పనితీరు")</f>
        <v>టెస్ట్ TST-14 బోనస్ చెక్ హై-వింగ్, టి-టెయిల్డ్, రెండు-సీట్ల-టెన్డం గ్లైడర్ మరియు మోటార్ గ్లైడర్, ఇది టెస్ట్ గ్లైడర్‌లచే రూపొందించబడింది మరియు ఉత్పత్తి చేస్తుంది. [1] [2] [3] TST-14 మోటార్ గ్లైడర్ ప్రైవేట్ యజమాని మరియు ఫ్లయింగ్ పాఠశాల ఉపయోగం కోసం రూపొందించబడింది మరియు స్వతంత్ర టాక్సీ మరియు టేకాఫ్‌ను అనుమతించే రెక్క చిట్కా చక్రాలు. [1] [3] TST-14 మిశ్రమ పదార్థాల నుండి నిర్మించబడింది, ఫార్వర్డ్-స్వీప్ వింగ్ ఒక రిబ్లెస్ కాంపోజిట్ శాండ్‌విచ్ నిర్మాణంతో. ప్రతి వింగ్ బరువు 40 కిలోలు (88 ఎల్బి) మరియు కార్బన్ ఫైబర్ కాంపోజిట్ ఫ్లేంజ్ ప్లేట్ మరియు పాలియురేతేన్ ఫోమ్/ఫైబర్గ్లాస్ కాంపోజిట్ వెబ్ ప్లేట్‌తో తయారు చేసిన ఒకే స్పార్ ఉంటుంది. గ్లైడ్‌పాత్ నియంత్రణ అల్యూమినియం నుండి తయారైన ఎగువ ఉపరితల గాలి బ్రేక్‌ల ద్వారా. మోటారు గ్లైడర్ వెర్షన్ ముడుచుకునే 50 హెచ్‌పి (37 కిలోవాట్ల) రోటాక్స్ 503 ఎల్ టూ-స్ట్రోక్ పవర్‌లాంట్‌తో శక్తినిస్తుంది. ఇంజిన్ యొక్క పొడిగింపు మరియు ఉపసంహరణ పూర్తిగా ఆటోమేటిక్, రెండు కాక్‌పిట్-మౌంటెడ్ బటన్లతో నియంత్రించబడుతుంది మరియు రెండు ఎలక్ట్రిక్ సర్వో మోటార్లు ద్వారా పనిచేస్తుంది. ల్యాండింగ్ గేర్‌లో డ్యూయల్ ఫ్యూజ్‌లేజ్-మౌంటెడ్ టెన్డం మెయిన్‌వీల్స్ మరియు వింగ్ టిప్-మౌంటెడ్ వీల్స్ ఉంటాయి. [1] [4] [5] ఈ విమానం 10 డిసెంబర్ 2001 న గ్లైడర్స్ కోసం జాయింట్ ఏవియేషన్ అథారిటీస్ జార్ 22 ప్రమాణానికి ధృవీకరించబడింది. "ఖర్చు చేసిన ఖర్చు కారణంగా" సంస్థ వివరించినట్లుగా టిఎస్‌టి -14 యునైటెడ్ స్టేట్స్లో ధృవీకరించబడలేదు. ఈ విమానం యుఎస్ ఫెడరల్ ఏవియేషన్ అడ్మినిస్ట్రేషన్‌లో ప్రత్యేక లైట్ స్పోర్ట్ ఎయిర్‌క్రాఫ్ట్ గ్లైడర్‌గా లేదా ప్రయోగాత్మక - రేసింగ్/ఎగ్జిబిషన్ విభాగంలో నమోదు చేయవచ్చు. [2] [5] [6] సెయిల్ ప్లేన్ డైరెక్టరీ మరియు కంపెనీ వెబ్‌సైట్ నుండి డేటా [1] [4] [5] సాధారణ లక్షణాల పనితీరు</v>
      </c>
      <c r="F150" s="1" t="s">
        <v>2852</v>
      </c>
      <c r="G150" s="1" t="str">
        <f>IFERROR(__xludf.DUMMYFUNCTION("GOOGLETRANSLATE(F:F,""en"", ""te"")"),"గ్లైడర్ మరియు మోటారు గ్లైడర్")</f>
        <v>గ్లైడర్ మరియు మోటారు గ్లైడర్</v>
      </c>
      <c r="H150" s="1" t="s">
        <v>2853</v>
      </c>
      <c r="I150" s="1" t="s">
        <v>2854</v>
      </c>
      <c r="J150" s="1" t="str">
        <f>IFERROR(__xludf.DUMMYFUNCTION("GOOGLETRANSLATE(I:I,""en"", ""te"")"),"చెక్ రిపబ్లిక్")</f>
        <v>చెక్ రిపబ్లిక్</v>
      </c>
      <c r="K150" s="1" t="s">
        <v>2855</v>
      </c>
      <c r="L150" s="1" t="s">
        <v>2856</v>
      </c>
      <c r="M150" s="1" t="str">
        <f>IFERROR(__xludf.DUMMYFUNCTION("GOOGLETRANSLATE(L:L,""en"", ""te"")"),"టెస్ట్ గ్లైడర్స్")</f>
        <v>టెస్ట్ గ్లైడర్స్</v>
      </c>
      <c r="N150" s="1" t="s">
        <v>2857</v>
      </c>
      <c r="O150" s="1">
        <v>2001.0</v>
      </c>
      <c r="P150" s="1" t="s">
        <v>162</v>
      </c>
      <c r="Q150" s="1"/>
      <c r="S150" s="1" t="s">
        <v>164</v>
      </c>
      <c r="T150" s="1" t="s">
        <v>165</v>
      </c>
      <c r="U150" s="1" t="s">
        <v>2858</v>
      </c>
      <c r="W150" s="1" t="s">
        <v>2859</v>
      </c>
      <c r="X150" s="1" t="s">
        <v>223</v>
      </c>
      <c r="Y150" s="1" t="s">
        <v>1318</v>
      </c>
      <c r="Z150" s="1" t="s">
        <v>2860</v>
      </c>
      <c r="AA150" s="1" t="s">
        <v>2861</v>
      </c>
      <c r="AC150" s="1">
        <v>40.0</v>
      </c>
      <c r="AD150" s="1" t="s">
        <v>2862</v>
      </c>
      <c r="AE150" s="1" t="s">
        <v>316</v>
      </c>
      <c r="AG150" s="1" t="s">
        <v>208</v>
      </c>
      <c r="AH150" s="1" t="s">
        <v>2863</v>
      </c>
      <c r="AI150" s="1" t="s">
        <v>999</v>
      </c>
      <c r="AJ150" s="1" t="s">
        <v>2864</v>
      </c>
      <c r="AS150" s="1" t="s">
        <v>2865</v>
      </c>
      <c r="BB150" s="1" t="s">
        <v>2866</v>
      </c>
      <c r="BD150" s="1">
        <v>24.0</v>
      </c>
      <c r="BE150" s="1" t="s">
        <v>2867</v>
      </c>
    </row>
    <row r="151">
      <c r="A151" s="1" t="s">
        <v>2868</v>
      </c>
      <c r="B151" s="1" t="str">
        <f>IFERROR(__xludf.DUMMYFUNCTION("GOOGLETRANSLATE(A:A,""en"", ""te"")"),"సర్రే ఫ్లయింగ్ సర్వీసెస్ అల్ .1")</f>
        <v>సర్రే ఫ్లయింగ్ సర్వీసెస్ అల్ .1</v>
      </c>
      <c r="C151" s="1" t="s">
        <v>2869</v>
      </c>
      <c r="D151" s="1" t="str">
        <f>IFERROR(__xludf.DUMMYFUNCTION("GOOGLETRANSLATE(C:C,""en"", ""te"")"),"సర్రే ఫ్లయింగ్ సర్వీసెస్ అల్. నిల్వలో. సర్రే ఫ్లయింగ్ సర్వీసెస్ లిమిటెడ్ క్రోయిడాన్ ఏరోడ్రోమ్ నుండి ఎగిరే పాఠశాలను నిర్వహించింది. 1929 లో వారు జాన్ బెవ్‌షెర్ రూపొందించిన బైప్‌లాన్‌ను నిర్మించారు, అతను అంతకుముందు అనెక్ మిస్సెల్ థ్రష్‌ను రూపొందించారు. సర్రే"&amp;" ఫ్లయింగ్ సర్వీసెస్ AL.1 సింగిల్-ఇంజిన్ సైడ్-బై-సైడ్. ఇది సింగిల్-బే బైప్‌లేన్, గణనీయమైన అస్థిరతతో మరియు స్థిరమైన మరియు సమాన తీగ రెక్కలతో, [1] స్ప్రూస్ మరియు మూడు ప్లై నిర్మాణాన్ని ఉపయోగించి ఫాబ్రిక్ కవరింగ్‌తో నిర్మించబడింది. [2] ఎగువ వింగ్ స్పాన్ దిగువ "&amp;"కంటే కొంచెం ఎక్కువ. సాధారణ స్ప్రూస్ [2] సమాంతర ఇంటర్‌ప్లేన్ స్ట్రట్‌లను ఉపయోగించారు, కొద్దిగా బయటికి వాలుతారు; దిగువ రెక్క యొక్క దిగువ భాగంలో, ఈ స్ట్రట్‌ల క్రింద, లూప్డ్ వైర్ ప్రొటెక్టర్ స్కిడ్‌లను అమర్చారు. [1] సెంటర్ విభాగానికి రెండు జతల బాహ్య-వాలుగా ఉన"&amp;"్న కాబేన్ స్ట్రట్స్ మద్దతు ఇచ్చాయి, ఎగువ ఫ్యూజ్‌లేజ్ లాంగన్‌లను ముందు మరియు వెనుక వింగ్ స్పార్‌లకు కలుపుతుంది. వీటి వెనుక జత ఓపెన్ కాక్‌పిట్ ముందు ఉంది; ఆక్రమణదారుల పైన మెరుగైన దృశ్యమానత కోసం రెక్కల వెనుకంజలో ఉన్న అంచు వెనుక స్పార్‌కు తిరిగి కత్తిరించబడిం"&amp;"ది, మరియు దిగువ వింగ్ అదే ప్రయోజనం కోసం మూలంలో చిన్న నిక్స్ కలిగి ఉంది. [1] ఫ్యూజ్‌లేజ్ ఫ్లాట్ సైడెడ్, ఫాబ్రిక్ బూడిద లాంగన్స్ [2] పై గుండ్రని డెక్కింగ్‌తో కప్పబడి ఉంటుంది, కాక్‌పిట్ వద్ద లోతుగా, తోక నుండి ముక్కు వరకు ఉంటుంది. తోక ఉపరితలాలు కూడా ఫాబ్రిక్ "&amp;"కప్పబడిన చెక్క నిర్మాణాలు. ఫిన్ చాలా చిన్నది మరియు త్రిభుజాకారంగా ఉంది, ఒక కీలుపై ఉదారంగా, అర్ధ వృత్తాకార అసమతుల్య చుక్కానిని మోసుకెళ్ళింది, ఇది ఎగిరే వైఖరిలో ముందుకు సాగింది. చుక్కాని ఫ్యూజ్‌లేజ్ దిగువకు కొనసాగుతుంది, కాబట్టి ఫ్యూజ్‌లేజ్ పైభాగంలో ఉన్న టె"&amp;"యిల్‌ప్లేన్‌తో అమర్చిన ఎలివేటర్లు కటౌట్ చేయగలిగాయి. కాక్‌పిట్ పూర్తిగా అప్హోల్స్టర్ చేయబడింది, దాని వెనుక పెద్ద సామాను స్థలం ప్రత్యామ్నాయంగా పిల్లవాడిని కూర్చోబెట్టింది. AL.1 ను 95 HP (71 kW) ఏడు సిలిండర్ [3] సాల్మ్సన్ AC.7 రేడియల్ ఇంజిన్, కౌలింగ్ లేకుండా"&amp;" అమర్చారు మరియు రెండు-బ్లేడెడ్ ప్రొపెల్లర్‌ను నడుపుతుంది. అండర్ క్యారేజ్ సింగిల్ యాక్సిల్ యూనిట్, ముందు స్పార్ మూలాల వద్ద ప్రధాన కాళ్ళు జతచేయబడతాయి. కాళ్ళు అసాధారణంగా, ఇరుసు నుండి ఇంజిన్ వెనుక ఉన్న ఫార్వర్డ్ ఫ్యూజ్‌లేజ్ వరకు స్ట్రట్‌ల ద్వారా కలుపుతారు. పె"&amp;"ద్ద ట్రాక్ ఉత్పత్తి చేయడానికి అండర్ క్యారేజ్ కాళ్ళు బయటికి వచ్చాయి. చక్రాలు వైర్ కలుపుతాయి, అయినప్పటికీ కొన్ని చిత్రాలలో అవి కప్పబడి ఉంటాయి. వెనుక ఫ్యూజ్‌లేజ్‌పై టెయిల్‌స్కిడ్ ఉంది. [1] అల్. ఏకైక AL.1 నిల్వ చేయబడింది. [1] సెప్టెంబర్ 1936 లో విమానంలో ఒక ప్"&amp;"రకటన ఉంది, దీనిని £ 65 వద్ద అమ్మకం కోసం అందిస్తోంది. [1] మే 1938 లో దీనిని ఎక్సెటర్‌కు చెందిన బెర్ట్రామ్ ఆర్డెన్ కొనుగోలు చేశారు, [4] 1939 లో యుద్ధ వ్యాప్తికి పునరుద్ధరించబడింది మరియు ఎగిరింది. ఇది ప్రస్తుతం ఆర్డెన్ ఫ్యామిలీ ట్రస్ట్ చేత నిల్వ చేయబడింది. ["&amp;"5] [6] ORD-HUME 2000, పేజీలు 478 జనరల్ లక్షణాల పనితీరు నుండి డేటా")</f>
        <v>సర్రే ఫ్లయింగ్ సర్వీసెస్ అల్. నిల్వలో. సర్రే ఫ్లయింగ్ సర్వీసెస్ లిమిటెడ్ క్రోయిడాన్ ఏరోడ్రోమ్ నుండి ఎగిరే పాఠశాలను నిర్వహించింది. 1929 లో వారు జాన్ బెవ్‌షెర్ రూపొందించిన బైప్‌లాన్‌ను నిర్మించారు, అతను అంతకుముందు అనెక్ మిస్సెల్ థ్రష్‌ను రూపొందించారు. సర్రే ఫ్లయింగ్ సర్వీసెస్ AL.1 సింగిల్-ఇంజిన్ సైడ్-బై-సైడ్. ఇది సింగిల్-బే బైప్‌లేన్, గణనీయమైన అస్థిరతతో మరియు స్థిరమైన మరియు సమాన తీగ రెక్కలతో, [1] స్ప్రూస్ మరియు మూడు ప్లై నిర్మాణాన్ని ఉపయోగించి ఫాబ్రిక్ కవరింగ్‌తో నిర్మించబడింది. [2] ఎగువ వింగ్ స్పాన్ దిగువ కంటే కొంచెం ఎక్కువ. సాధారణ స్ప్రూస్ [2] సమాంతర ఇంటర్‌ప్లేన్ స్ట్రట్‌లను ఉపయోగించారు, కొద్దిగా బయటికి వాలుతారు; దిగువ రెక్క యొక్క దిగువ భాగంలో, ఈ స్ట్రట్‌ల క్రింద, లూప్డ్ వైర్ ప్రొటెక్టర్ స్కిడ్‌లను అమర్చారు. [1] సెంటర్ విభాగానికి రెండు జతల బాహ్య-వాలుగా ఉన్న కాబేన్ స్ట్రట్స్ మద్దతు ఇచ్చాయి, ఎగువ ఫ్యూజ్‌లేజ్ లాంగన్‌లను ముందు మరియు వెనుక వింగ్ స్పార్‌లకు కలుపుతుంది. వీటి వెనుక జత ఓపెన్ కాక్‌పిట్ ముందు ఉంది; ఆక్రమణదారుల పైన మెరుగైన దృశ్యమానత కోసం రెక్కల వెనుకంజలో ఉన్న అంచు వెనుక స్పార్‌కు తిరిగి కత్తిరించబడింది, మరియు దిగువ వింగ్ అదే ప్రయోజనం కోసం మూలంలో చిన్న నిక్స్ కలిగి ఉంది. [1] ఫ్యూజ్‌లేజ్ ఫ్లాట్ సైడెడ్, ఫాబ్రిక్ బూడిద లాంగన్స్ [2] పై గుండ్రని డెక్కింగ్‌తో కప్పబడి ఉంటుంది, కాక్‌పిట్ వద్ద లోతుగా, తోక నుండి ముక్కు వరకు ఉంటుంది. తోక ఉపరితలాలు కూడా ఫాబ్రిక్ కప్పబడిన చెక్క నిర్మాణాలు. ఫిన్ చాలా చిన్నది మరియు త్రిభుజాకారంగా ఉంది, ఒక కీలుపై ఉదారంగా, అర్ధ వృత్తాకార అసమతుల్య చుక్కానిని మోసుకెళ్ళింది, ఇది ఎగిరే వైఖరిలో ముందుకు సాగింది. చుక్కాని ఫ్యూజ్‌లేజ్ దిగువకు కొనసాగుతుంది, కాబట్టి ఫ్యూజ్‌లేజ్ పైభాగంలో ఉన్న టెయిల్‌ప్లేన్‌తో అమర్చిన ఎలివేటర్లు కటౌట్ చేయగలిగాయి. కాక్‌పిట్ పూర్తిగా అప్హోల్స్టర్ చేయబడింది, దాని వెనుక పెద్ద సామాను స్థలం ప్రత్యామ్నాయంగా పిల్లవాడిని కూర్చోబెట్టింది. AL.1 ను 95 HP (71 kW) ఏడు సిలిండర్ [3] సాల్మ్సన్ AC.7 రేడియల్ ఇంజిన్, కౌలింగ్ లేకుండా అమర్చారు మరియు రెండు-బ్లేడెడ్ ప్రొపెల్లర్‌ను నడుపుతుంది. అండర్ క్యారేజ్ సింగిల్ యాక్సిల్ యూనిట్, ముందు స్పార్ మూలాల వద్ద ప్రధాన కాళ్ళు జతచేయబడతాయి. కాళ్ళు అసాధారణంగా, ఇరుసు నుండి ఇంజిన్ వెనుక ఉన్న ఫార్వర్డ్ ఫ్యూజ్‌లేజ్ వరకు స్ట్రట్‌ల ద్వారా కలుపుతారు. పెద్ద ట్రాక్ ఉత్పత్తి చేయడానికి అండర్ క్యారేజ్ కాళ్ళు బయటికి వచ్చాయి. చక్రాలు వైర్ కలుపుతాయి, అయినప్పటికీ కొన్ని చిత్రాలలో అవి కప్పబడి ఉంటాయి. వెనుక ఫ్యూజ్‌లేజ్‌పై టెయిల్‌స్కిడ్ ఉంది. [1] అల్. ఏకైక AL.1 నిల్వ చేయబడింది. [1] సెప్టెంబర్ 1936 లో విమానంలో ఒక ప్రకటన ఉంది, దీనిని £ 65 వద్ద అమ్మకం కోసం అందిస్తోంది. [1] మే 1938 లో దీనిని ఎక్సెటర్‌కు చెందిన బెర్ట్రామ్ ఆర్డెన్ కొనుగోలు చేశారు, [4] 1939 లో యుద్ధ వ్యాప్తికి పునరుద్ధరించబడింది మరియు ఎగిరింది. ఇది ప్రస్తుతం ఆర్డెన్ ఫ్యామిలీ ట్రస్ట్ చేత నిల్వ చేయబడింది. [5] [6] ORD-HUME 2000, పేజీలు 478 జనరల్ లక్షణాల పనితీరు నుండి డేటా</v>
      </c>
      <c r="F151" s="1" t="s">
        <v>2494</v>
      </c>
      <c r="G151" s="1" t="str">
        <f>IFERROR(__xludf.DUMMYFUNCTION("GOOGLETRANSLATE(F:F,""en"", ""te"")"),"శిక్షకుడు")</f>
        <v>శిక్షకుడు</v>
      </c>
      <c r="H151" s="2" t="s">
        <v>2870</v>
      </c>
      <c r="I151" s="1" t="s">
        <v>480</v>
      </c>
      <c r="J151" s="1" t="str">
        <f>IFERROR(__xludf.DUMMYFUNCTION("GOOGLETRANSLATE(I:I,""en"", ""te"")"),"యునైటెడ్ కింగ్‌డమ్")</f>
        <v>యునైటెడ్ కింగ్‌డమ్</v>
      </c>
      <c r="K151" s="1" t="s">
        <v>481</v>
      </c>
      <c r="L151" s="1" t="s">
        <v>2871</v>
      </c>
      <c r="M151" s="1" t="str">
        <f>IFERROR(__xludf.DUMMYFUNCTION("GOOGLETRANSLATE(L:L,""en"", ""te"")"),"సర్రే ఫ్లయింగ్ సర్వీసెస్ లిమిటెడ్")</f>
        <v>సర్రే ఫ్లయింగ్ సర్వీసెస్ లిమిటెడ్</v>
      </c>
      <c r="R151" s="1">
        <v>1.0</v>
      </c>
      <c r="U151" s="1" t="s">
        <v>2872</v>
      </c>
      <c r="V151" s="1" t="s">
        <v>1932</v>
      </c>
      <c r="W151" s="1" t="s">
        <v>2873</v>
      </c>
      <c r="X151" s="1" t="s">
        <v>2874</v>
      </c>
      <c r="Y151" s="1" t="s">
        <v>2875</v>
      </c>
      <c r="AA151" s="1" t="s">
        <v>2876</v>
      </c>
      <c r="AB151" s="1" t="s">
        <v>1493</v>
      </c>
      <c r="AH151" s="1" t="s">
        <v>2877</v>
      </c>
      <c r="AI151" s="1" t="s">
        <v>2878</v>
      </c>
      <c r="AK151" s="1" t="s">
        <v>2879</v>
      </c>
      <c r="AM151" s="1" t="s">
        <v>2880</v>
      </c>
      <c r="AO151" s="1">
        <v>1929.0</v>
      </c>
      <c r="AQ151" s="1" t="s">
        <v>2881</v>
      </c>
    </row>
    <row r="152">
      <c r="A152" s="1" t="s">
        <v>2882</v>
      </c>
      <c r="B152" s="1" t="str">
        <f>IFERROR(__xludf.DUMMYFUNCTION("GOOGLETRANSLATE(A:A,""en"", ""te"")"),"టీమ్ మినీ-మాక్స్ ఏరోమాక్స్")</f>
        <v>టీమ్ మినీ-మాక్స్ ఏరోమాక్స్</v>
      </c>
      <c r="C152" s="1" t="s">
        <v>2883</v>
      </c>
      <c r="D152" s="1" t="str">
        <f>IFERROR(__xludf.DUMMYFUNCTION("GOOGLETRANSLATE(C:C,""en"", ""te"")"),"టీమ్ మినీ-మాక్స్ ఏరోమాక్స్ అనేది ఒక అమెరికన్ te త్సాహిక-నిర్మిత విమానం మరియు లైట్-స్పోర్ట్ విమానాలు, ఇది మిచిగాన్ లోని నైల్స్ యొక్క టీమ్ మినీ-మాక్స్ చేత ఉత్పత్తి చేయబడింది. ఈ విమానం te త్సాహిక నిర్మాణానికి కిట్‌గా సరఫరా చేయబడుతుంది. [1] ISON ఎయిర్‌బైక్ ను"&amp;"ండి అభివృద్ధి చేయబడిన, ఏరోమాక్స్ స్ట్రట్-బ్రేస్డ్ హై-వింగ్, సింగిల్-సీట్ల ఓపెన్ కాక్‌పిట్, ఇది 14 లో (36 సెం.మీ) వెడల్పు, స్థిర సాంప్రదాయ ల్యాండింగ్ గేర్ మరియు ట్రాక్టర్ కాన్ఫిగరేషన్‌లో ఒకే ఇంజిన్. ఇరుకైన ఫ్యూజ్‌లేజ్ పైలట్‌ను విమానం వెలుపల, బాహ్య చుక్కాని"&amp;" పెడల్స్ మీద పాదాలతో కాక్‌పిట్‌లో తన కాళ్ళతో కూర్చోవడానికి అనుమతిస్తుంది. [1] [2] ఈ విమానం ప్రీ-ఫాబ్రికేటెడ్ మెటల్ భాగాలు మరియు సిఎన్‌సి లేజర్-కట్ ప్లైవుడ్ భాగాల నుండి తయారు చేయబడింది. దీని 28.4 అడుగుల (8.7 మీ) స్పాన్ వింగ్ 127.7 చదరపు అడుగుల (11.86 మీ 2)"&amp;" విస్తీర్ణంలో ఉంది, దీనికి ""వి"" స్ట్రట్స్ మద్దతు ఇస్తుంది మరియు ఫైబర్గ్లాస్ డ్రోప్డ్ వింగ్‌టిప్‌లను కలిగి ఉంటుంది. ప్రధాన ల్యాండింగ్ గేర్ మొలకెత్తిన స్టీల్ నుండి తయారు చేయబడింది మరియు డ్రమ్ బ్రేక్‌లను మౌంట్ చేస్తుంది. ఎలివేటర్ ట్రిమ్ సిస్టమ్ ఎలక్ట్రిక్."&amp;" విమానం సిఫార్సు చేసిన ఇంజిన్ 50 హెచ్‌పి (37 కిలోవాట్ల) హిర్త్ ఎఫ్ -23 టూ-స్ట్రోక్ పవర్‌ప్లాంట్. ట్రైసైకిల్ ల్యాండింగ్ గేర్, టండ్రా టైర్లు మరియు ఫ్లోట్లు అభివృద్ధిలో ఉన్నాయి. సరఫరా చేసిన కిట్ నుండి నిర్మాణ సమయం 200–300 గంటలుగా అంచనా వేయబడింది. [1] [2] ఒక "&amp;"టెన్డం రెండు సీట్ల మోడల్ కూడా సంస్థ అభివృద్ధిలో ఉంది. [1] ఆగష్టు 2012 నాటికి, ఫెడరల్ ఏవియేషన్ అడ్మినిస్ట్రేషన్ యొక్క ఆమోదించబడిన ప్రత్యేక లైట్-స్పోర్ట్ విమానాల జాబితాలో డిజైన్ కనిపించదు. [3] కిట్‌ప్లేన్లు మరియు తయారీదారు నుండి డేటా [1] [2] సాధారణ లక్షణాల "&amp;"పనితీరు")</f>
        <v>టీమ్ మినీ-మాక్స్ ఏరోమాక్స్ అనేది ఒక అమెరికన్ te త్సాహిక-నిర్మిత విమానం మరియు లైట్-స్పోర్ట్ విమానాలు, ఇది మిచిగాన్ లోని నైల్స్ యొక్క టీమ్ మినీ-మాక్స్ చేత ఉత్పత్తి చేయబడింది. ఈ విమానం te త్సాహిక నిర్మాణానికి కిట్‌గా సరఫరా చేయబడుతుంది. [1] ISON ఎయిర్‌బైక్ నుండి అభివృద్ధి చేయబడిన, ఏరోమాక్స్ స్ట్రట్-బ్రేస్డ్ హై-వింగ్, సింగిల్-సీట్ల ఓపెన్ కాక్‌పిట్, ఇది 14 లో (36 సెం.మీ) వెడల్పు, స్థిర సాంప్రదాయ ల్యాండింగ్ గేర్ మరియు ట్రాక్టర్ కాన్ఫిగరేషన్‌లో ఒకే ఇంజిన్. ఇరుకైన ఫ్యూజ్‌లేజ్ పైలట్‌ను విమానం వెలుపల, బాహ్య చుక్కాని పెడల్స్ మీద పాదాలతో కాక్‌పిట్‌లో తన కాళ్ళతో కూర్చోవడానికి అనుమతిస్తుంది. [1] [2] ఈ విమానం ప్రీ-ఫాబ్రికేటెడ్ మెటల్ భాగాలు మరియు సిఎన్‌సి లేజర్-కట్ ప్లైవుడ్ భాగాల నుండి తయారు చేయబడింది. దీని 28.4 అడుగుల (8.7 మీ) స్పాన్ వింగ్ 127.7 చదరపు అడుగుల (11.86 మీ 2) విస్తీర్ణంలో ఉంది, దీనికి "వి" స్ట్రట్స్ మద్దతు ఇస్తుంది మరియు ఫైబర్గ్లాస్ డ్రోప్డ్ వింగ్‌టిప్‌లను కలిగి ఉంటుంది. ప్రధాన ల్యాండింగ్ గేర్ మొలకెత్తిన స్టీల్ నుండి తయారు చేయబడింది మరియు డ్రమ్ బ్రేక్‌లను మౌంట్ చేస్తుంది. ఎలివేటర్ ట్రిమ్ సిస్టమ్ ఎలక్ట్రిక్. విమానం సిఫార్సు చేసిన ఇంజిన్ 50 హెచ్‌పి (37 కిలోవాట్ల) హిర్త్ ఎఫ్ -23 టూ-స్ట్రోక్ పవర్‌ప్లాంట్. ట్రైసైకిల్ ల్యాండింగ్ గేర్, టండ్రా టైర్లు మరియు ఫ్లోట్లు అభివృద్ధిలో ఉన్నాయి. సరఫరా చేసిన కిట్ నుండి నిర్మాణ సమయం 200–300 గంటలుగా అంచనా వేయబడింది. [1] [2] ఒక టెన్డం రెండు సీట్ల మోడల్ కూడా సంస్థ అభివృద్ధిలో ఉంది. [1] ఆగష్టు 2012 నాటికి, ఫెడరల్ ఏవియేషన్ అడ్మినిస్ట్రేషన్ యొక్క ఆమోదించబడిన ప్రత్యేక లైట్-స్పోర్ట్ విమానాల జాబితాలో డిజైన్ కనిపించదు. [3] కిట్‌ప్లేన్లు మరియు తయారీదారు నుండి డేటా [1] [2] సాధారణ లక్షణాల పనితీరు</v>
      </c>
      <c r="F152" s="1" t="s">
        <v>2884</v>
      </c>
      <c r="G152" s="1" t="str">
        <f>IFERROR(__xludf.DUMMYFUNCTION("GOOGLETRANSLATE(F:F,""en"", ""te"")"),"Te త్సాహిక నిర్మిత విమానం మరియు లైట్-స్పోర్ట్ విమానం")</f>
        <v>Te త్సాహిక నిర్మిత విమానం మరియు లైట్-స్పోర్ట్ విమానం</v>
      </c>
      <c r="H152" s="1" t="s">
        <v>2885</v>
      </c>
      <c r="I152" s="1" t="s">
        <v>158</v>
      </c>
      <c r="J152" s="1" t="str">
        <f>IFERROR(__xludf.DUMMYFUNCTION("GOOGLETRANSLATE(I:I,""en"", ""te"")"),"అమెరికా")</f>
        <v>అమెరికా</v>
      </c>
      <c r="K152" s="1" t="s">
        <v>159</v>
      </c>
      <c r="L152" s="1" t="s">
        <v>2886</v>
      </c>
      <c r="M152" s="1" t="str">
        <f>IFERROR(__xludf.DUMMYFUNCTION("GOOGLETRANSLATE(L:L,""en"", ""te"")"),"టీమ్ మినీ-మాక్స్")</f>
        <v>టీమ్ మినీ-మాక్స్</v>
      </c>
      <c r="N152" s="1" t="s">
        <v>2887</v>
      </c>
      <c r="O152" s="1">
        <v>2012.0</v>
      </c>
      <c r="P152" s="1" t="s">
        <v>282</v>
      </c>
      <c r="Q152" s="1"/>
      <c r="S152" s="1" t="s">
        <v>164</v>
      </c>
      <c r="T152" s="1" t="s">
        <v>165</v>
      </c>
      <c r="U152" s="1" t="s">
        <v>2888</v>
      </c>
      <c r="V152" s="1" t="s">
        <v>2889</v>
      </c>
      <c r="W152" s="1" t="s">
        <v>2890</v>
      </c>
      <c r="X152" s="1" t="s">
        <v>2891</v>
      </c>
      <c r="Y152" s="1" t="s">
        <v>2892</v>
      </c>
      <c r="Z152" s="1" t="s">
        <v>2893</v>
      </c>
      <c r="AA152" s="1" t="s">
        <v>2894</v>
      </c>
      <c r="AB152" s="1" t="s">
        <v>2895</v>
      </c>
      <c r="AD152" s="1" t="s">
        <v>416</v>
      </c>
      <c r="AE152" s="1" t="s">
        <v>2161</v>
      </c>
      <c r="AF152" s="1" t="s">
        <v>2896</v>
      </c>
      <c r="AH152" s="1" t="s">
        <v>2897</v>
      </c>
      <c r="AI152" s="1" t="s">
        <v>1474</v>
      </c>
      <c r="AJ152" s="1" t="s">
        <v>2881</v>
      </c>
      <c r="AQ152" s="1" t="s">
        <v>2898</v>
      </c>
      <c r="AU152" s="1" t="s">
        <v>2899</v>
      </c>
      <c r="AV152" s="1" t="s">
        <v>2900</v>
      </c>
      <c r="BE152" s="1" t="s">
        <v>2901</v>
      </c>
      <c r="BG152" s="1" t="s">
        <v>2902</v>
      </c>
    </row>
    <row r="153">
      <c r="A153" s="1" t="s">
        <v>2903</v>
      </c>
      <c r="B153" s="1" t="str">
        <f>IFERROR(__xludf.DUMMYFUNCTION("GOOGLETRANSLATE(A:A,""en"", ""te"")"),"మింగండి విమానం కంపెనీ మింగండి")</f>
        <v>మింగండి విమానం కంపెనీ మింగండి</v>
      </c>
      <c r="C153" s="1" t="s">
        <v>2904</v>
      </c>
      <c r="D153" s="1" t="str">
        <f>IFERROR(__xludf.DUMMYFUNCTION("GOOGLETRANSLATE(C:C,""en"", ""te"")"),"స్వాలో ఎయిర్‌ప్లేన్ కంపెనీ స్వాలో అనేది అమెరికన్ అల్ట్రాలైట్ విమానాల శ్రేణి, దీనిని చెట్ ఫడ్జ్ రూపొందించారు మరియు 1980 లలో స్వాలో ఎయిర్‌ప్లేన్ కంపెనీ నిర్మించింది. ఈ విమానం te త్సాహిక నిర్మాణానికి కిట్‌గా సరఫరా చేయబడింది. [1] [2] స్వాలో ఎయిర్‌ప్లేన్ కంపెన"&amp;"ీ 1920 ల యుగం స్వాలో ఎయిర్‌ప్లేన్ కంపెనీతో గందరగోళం చెందకూడదు. వర్గం యొక్క గరిష్ట ఖాళీ బరువు 254 పౌండ్లు (115 కిలోలు) తో సహా యుఎస్ ఫార్ 103 అల్ట్రాలైట్ వెహికల్స్ నిబంధనలకు అనుగుణంగా ఈ విమానం రూపొందించబడింది. తేలికపాటి రోటాక్స్ 277 ఇంజిన్‌తో అమర్చినప్పుడు,"&amp;" విమానం ప్రామాణిక ఖాళీ బరువు 253 ఎల్బి (115 కిలోలు). ఇది కేబుల్-బ్రేస్డ్ హై-వింగ్, సింగిల్-సీట్, ఓపెన్ కాక్‌పిట్, ట్రైసైకిల్ ల్యాండింగ్ గేర్ మరియు పషర్ కాన్ఫిగరేషన్‌లో ఒకటి లేదా రెండు ఇంజన్లను కలిగి ఉంది. [1] [2] ఈ విమానం బోల్ట్-కలిసి అల్యూమినియం గొట్టాల "&amp;"నుండి తయారవుతుంది, డాక్రాన్ సెయిల్‌క్లాత్‌లో ఎగిరే ఉపరితలాలు ఉన్నాయి. దాని 34.4 అడుగుల (10.5 మీ) స్పాన్ వింగ్ విలోమ ""వి"" కింగ్‌పోస్ట్ నుండి కేబుల్-బ్రెస్ చేయబడింది. పైలట్ విండ్‌షీల్డ్ లేకుండా ఓపెన్ సీటుపై ఉంచబడుతుంది. విమాన నియంత్రణలు సాంప్రదాయ మూడు-అక్"&amp;"షం. ఇంజిన్ లేదా ఇంజన్లు వింగ్ లీడింగ్ అంచుకు అమర్చబడి, వెలికితీసే అంచు వద్ద మరియు తోక బూమ్ గొట్టాల మధ్య, పొడిగింపు షాఫ్ట్ ద్వారా ప్రొపెల్లర్‌ను డ్రైవ్ చేస్తారు. కొన్ని స్వాలోస్ అసాధారణ గొట్టపు ఇంజిన్ ఫెయిరింగ్‌ను ఉపయోగించాయి. [1] [2] క్లిచ్ మరియు వర్చువల్"&amp;" అల్ట్రాలైట్ మ్యూజియం నుండి డేటా [1] [2] సాధారణ లక్షణాల పనితీరు")</f>
        <v>స్వాలో ఎయిర్‌ప్లేన్ కంపెనీ స్వాలో అనేది అమెరికన్ అల్ట్రాలైట్ విమానాల శ్రేణి, దీనిని చెట్ ఫడ్జ్ రూపొందించారు మరియు 1980 లలో స్వాలో ఎయిర్‌ప్లేన్ కంపెనీ నిర్మించింది. ఈ విమానం te త్సాహిక నిర్మాణానికి కిట్‌గా సరఫరా చేయబడింది. [1] [2] స్వాలో ఎయిర్‌ప్లేన్ కంపెనీ 1920 ల యుగం స్వాలో ఎయిర్‌ప్లేన్ కంపెనీతో గందరగోళం చెందకూడదు. వర్గం యొక్క గరిష్ట ఖాళీ బరువు 254 పౌండ్లు (115 కిలోలు) తో సహా యుఎస్ ఫార్ 103 అల్ట్రాలైట్ వెహికల్స్ నిబంధనలకు అనుగుణంగా ఈ విమానం రూపొందించబడింది. తేలికపాటి రోటాక్స్ 277 ఇంజిన్‌తో అమర్చినప్పుడు, విమానం ప్రామాణిక ఖాళీ బరువు 253 ఎల్బి (115 కిలోలు). ఇది కేబుల్-బ్రేస్డ్ హై-వింగ్, సింగిల్-సీట్, ఓపెన్ కాక్‌పిట్, ట్రైసైకిల్ ల్యాండింగ్ గేర్ మరియు పషర్ కాన్ఫిగరేషన్‌లో ఒకటి లేదా రెండు ఇంజన్లను కలిగి ఉంది. [1] [2] ఈ విమానం బోల్ట్-కలిసి అల్యూమినియం గొట్టాల నుండి తయారవుతుంది, డాక్రాన్ సెయిల్‌క్లాత్‌లో ఎగిరే ఉపరితలాలు ఉన్నాయి. దాని 34.4 అడుగుల (10.5 మీ) స్పాన్ వింగ్ విలోమ "వి" కింగ్‌పోస్ట్ నుండి కేబుల్-బ్రెస్ చేయబడింది. పైలట్ విండ్‌షీల్డ్ లేకుండా ఓపెన్ సీటుపై ఉంచబడుతుంది. విమాన నియంత్రణలు సాంప్రదాయ మూడు-అక్షం. ఇంజిన్ లేదా ఇంజన్లు వింగ్ లీడింగ్ అంచుకు అమర్చబడి, వెలికితీసే అంచు వద్ద మరియు తోక బూమ్ గొట్టాల మధ్య, పొడిగింపు షాఫ్ట్ ద్వారా ప్రొపెల్లర్‌ను డ్రైవ్ చేస్తారు. కొన్ని స్వాలోస్ అసాధారణ గొట్టపు ఇంజిన్ ఫెయిరింగ్‌ను ఉపయోగించాయి. [1] [2] క్లిచ్ మరియు వర్చువల్ అల్ట్రాలైట్ మ్యూజియం నుండి డేటా [1] [2] సాధారణ లక్షణాల పనితీరు</v>
      </c>
      <c r="F153" s="1" t="s">
        <v>459</v>
      </c>
      <c r="G153" s="1" t="str">
        <f>IFERROR(__xludf.DUMMYFUNCTION("GOOGLETRANSLATE(F:F,""en"", ""te"")"),"అల్ట్రాలైట్ విమానం")</f>
        <v>అల్ట్రాలైట్ విమానం</v>
      </c>
      <c r="H153" s="1" t="s">
        <v>460</v>
      </c>
      <c r="I153" s="1" t="s">
        <v>158</v>
      </c>
      <c r="J153" s="1" t="str">
        <f>IFERROR(__xludf.DUMMYFUNCTION("GOOGLETRANSLATE(I:I,""en"", ""te"")"),"అమెరికా")</f>
        <v>అమెరికా</v>
      </c>
      <c r="K153" s="1" t="s">
        <v>159</v>
      </c>
      <c r="L153" s="1" t="s">
        <v>2905</v>
      </c>
      <c r="M153" s="1" t="str">
        <f>IFERROR(__xludf.DUMMYFUNCTION("GOOGLETRANSLATE(L:L,""en"", ""te"")"),"స్వాలో ఎయిర్‌ప్లేన్ కంపెనీ")</f>
        <v>స్వాలో ఎయిర్‌ప్లేన్ కంపెనీ</v>
      </c>
      <c r="N153" s="1" t="s">
        <v>2906</v>
      </c>
      <c r="P153" s="1" t="s">
        <v>461</v>
      </c>
      <c r="Q153" s="1"/>
      <c r="S153" s="1" t="s">
        <v>164</v>
      </c>
      <c r="U153" s="1" t="s">
        <v>613</v>
      </c>
      <c r="V153" s="1" t="s">
        <v>2907</v>
      </c>
      <c r="W153" s="1" t="s">
        <v>2908</v>
      </c>
      <c r="X153" s="1" t="s">
        <v>2909</v>
      </c>
      <c r="Y153" s="1" t="s">
        <v>2910</v>
      </c>
      <c r="Z153" s="1" t="s">
        <v>2911</v>
      </c>
      <c r="AA153" s="1" t="s">
        <v>2912</v>
      </c>
      <c r="AB153" s="1" t="s">
        <v>2913</v>
      </c>
      <c r="AC153" s="1">
        <v>8.0</v>
      </c>
      <c r="AD153" s="1" t="s">
        <v>2914</v>
      </c>
      <c r="AG153" s="1" t="s">
        <v>208</v>
      </c>
      <c r="AH153" s="1" t="s">
        <v>2915</v>
      </c>
      <c r="AI153" s="1" t="s">
        <v>2916</v>
      </c>
      <c r="AK153" s="1" t="s">
        <v>2917</v>
      </c>
      <c r="AM153" s="1" t="s">
        <v>2918</v>
      </c>
      <c r="AQ153" s="1" t="s">
        <v>2919</v>
      </c>
      <c r="BB153" s="1" t="s">
        <v>2920</v>
      </c>
      <c r="BE153" s="1" t="s">
        <v>2921</v>
      </c>
    </row>
    <row r="154">
      <c r="A154" s="1" t="s">
        <v>2922</v>
      </c>
      <c r="B154" s="1" t="str">
        <f>IFERROR(__xludf.DUMMYFUNCTION("GOOGLETRANSLATE(A:A,""en"", ""te"")"),"స్విరింగెన్ SX-300")</f>
        <v>స్విరింగెన్ SX-300</v>
      </c>
      <c r="C154" s="1" t="s">
        <v>2923</v>
      </c>
      <c r="D154" s="1" t="str">
        <f>IFERROR(__xludf.DUMMYFUNCTION("GOOGLETRANSLATE(C:C,""en"", ""te"")"),"స్వారింగెన్ ఎస్ఎక్స్ -300 అనేది అధిక-పనితీరు గల హోమ్‌బిల్ట్ విమానం, ఇది రెండు సీట్లను కలిగి ఉంది మరియు 1980 లలో టెక్సాస్‌లోని శాన్ ఆంటోనియోకు చెందిన ఎడ్ స్వింగెన్ (1925-2014) చేత అభివృద్ధి చేయబడింది. [2] ఈ విమానం కిట్‌గా అందించబడింది, కాని కిట్ సమకాలీన నమ"&amp;"ూనాలు వంటి సమగ్ర కిట్ కాదు మరియు దాని నిర్మాణం సగటు te త్సాహిక విమాన బిల్డర్ యొక్క సామర్ధ్యాలకు మించినది. [3] ఈ విమానం 300 హార్స్‌పవర్ (220 కిలోవాట్ల) ఆరు సిలిండర్ల ఇంజిన్‌ను కలిగి ఉంది. [సైటేషన్ అవసరం] విమానాన్ని పునరుద్ధరించడానికి మరియు దానిని శీఘ్ర-బిల"&amp;"్డ్ కిట్‌గా అందించడానికి ప్రణాళికలు రూపొందించబడ్డాయి, కాని ప్రస్తుత కిట్ ఇవ్వడం లేదు. [సైటేషన్ అవసరం] SX-300 విమానాలు, పది మరణాలు ఎనిమిది క్రాష్‌లు ఉన్నాయి. [సైటేషన్ అవసరం] ఫ్లయింగ్ నుండి డేటా [2] సాధారణ లక్షణాల పనితీరు")</f>
        <v>స్వారింగెన్ ఎస్ఎక్స్ -300 అనేది అధిక-పనితీరు గల హోమ్‌బిల్ట్ విమానం, ఇది రెండు సీట్లను కలిగి ఉంది మరియు 1980 లలో టెక్సాస్‌లోని శాన్ ఆంటోనియోకు చెందిన ఎడ్ స్వింగెన్ (1925-2014) చేత అభివృద్ధి చేయబడింది. [2] ఈ విమానం కిట్‌గా అందించబడింది, కాని కిట్ సమకాలీన నమూనాలు వంటి సమగ్ర కిట్ కాదు మరియు దాని నిర్మాణం సగటు te త్సాహిక విమాన బిల్డర్ యొక్క సామర్ధ్యాలకు మించినది. [3] ఈ విమానం 300 హార్స్‌పవర్ (220 కిలోవాట్ల) ఆరు సిలిండర్ల ఇంజిన్‌ను కలిగి ఉంది. [సైటేషన్ అవసరం] విమానాన్ని పునరుద్ధరించడానికి మరియు దానిని శీఘ్ర-బిల్డ్ కిట్‌గా అందించడానికి ప్రణాళికలు రూపొందించబడ్డాయి, కాని ప్రస్తుత కిట్ ఇవ్వడం లేదు. [సైటేషన్ అవసరం] SX-300 విమానాలు, పది మరణాలు ఎనిమిది క్రాష్‌లు ఉన్నాయి. [సైటేషన్ అవసరం] ఫ్లయింగ్ నుండి డేటా [2] సాధారణ లక్షణాల పనితీరు</v>
      </c>
      <c r="E154" s="1" t="s">
        <v>2924</v>
      </c>
      <c r="F154" s="1" t="s">
        <v>258</v>
      </c>
      <c r="G154" s="1" t="str">
        <f>IFERROR(__xludf.DUMMYFUNCTION("GOOGLETRANSLATE(F:F,""en"", ""te"")"),"హోమ్‌బిల్ట్ విమానం")</f>
        <v>హోమ్‌బిల్ట్ విమానం</v>
      </c>
      <c r="H154" s="1" t="s">
        <v>259</v>
      </c>
      <c r="I154" s="1" t="s">
        <v>158</v>
      </c>
      <c r="J154" s="1" t="str">
        <f>IFERROR(__xludf.DUMMYFUNCTION("GOOGLETRANSLATE(I:I,""en"", ""te"")"),"అమెరికా")</f>
        <v>అమెరికా</v>
      </c>
      <c r="K154" s="2" t="s">
        <v>515</v>
      </c>
      <c r="T154" s="1">
        <v>2.0</v>
      </c>
      <c r="U154" s="1" t="s">
        <v>2925</v>
      </c>
      <c r="V154" s="1" t="s">
        <v>2926</v>
      </c>
      <c r="W154" s="1" t="s">
        <v>2927</v>
      </c>
      <c r="X154" s="1" t="s">
        <v>2928</v>
      </c>
      <c r="Y154" s="1" t="s">
        <v>412</v>
      </c>
      <c r="Z154" s="1" t="s">
        <v>2929</v>
      </c>
      <c r="AA154" s="1" t="s">
        <v>2930</v>
      </c>
      <c r="AB154" s="1" t="s">
        <v>2931</v>
      </c>
      <c r="AD154" s="1" t="s">
        <v>2932</v>
      </c>
      <c r="AE154" s="1" t="s">
        <v>2309</v>
      </c>
      <c r="AF154" s="1" t="s">
        <v>2933</v>
      </c>
      <c r="AH154" s="1" t="s">
        <v>2934</v>
      </c>
      <c r="AI154" s="1" t="s">
        <v>2935</v>
      </c>
      <c r="AJ154" s="1" t="s">
        <v>2936</v>
      </c>
      <c r="AM154" s="1" t="s">
        <v>2937</v>
      </c>
      <c r="AN154" s="1" t="s">
        <v>2938</v>
      </c>
      <c r="AO154" s="1" t="s">
        <v>2939</v>
      </c>
      <c r="AQ154" s="1" t="s">
        <v>2940</v>
      </c>
      <c r="AT154" s="1" t="s">
        <v>2941</v>
      </c>
      <c r="AW154" s="1" t="s">
        <v>2942</v>
      </c>
      <c r="AZ154" s="1">
        <v>3.0</v>
      </c>
      <c r="BD154" s="1">
        <v>8.4</v>
      </c>
      <c r="BE154" s="1" t="s">
        <v>2943</v>
      </c>
      <c r="BH154" s="1">
        <v>0.136</v>
      </c>
    </row>
    <row r="155">
      <c r="A155" s="1" t="s">
        <v>2944</v>
      </c>
      <c r="B155" s="1" t="str">
        <f>IFERROR(__xludf.DUMMYFUNCTION("GOOGLETRANSLATE(A:A,""en"", ""te"")"),"టి-ఎక్స్ ప్రోగ్రామ్")</f>
        <v>టి-ఎక్స్ ప్రోగ్రామ్</v>
      </c>
      <c r="C155" s="1" t="s">
        <v>2945</v>
      </c>
      <c r="D155" s="1" t="str">
        <f>IFERROR(__xludf.DUMMYFUNCTION("GOOGLETRANSLATE(C:C,""en"", ""te"")"),"టి-ఎక్స్ ప్రోగ్రామ్ నార్త్రోప్ టి -38 టాలోన్ స్థానంలో కొత్త రెండు-సీట్ల జెట్ ట్రైనర్ కోసం యునైటెడ్ స్టేట్స్ వైమానిక దళం అభివృద్ధి మరియు సముపార్జన కార్యక్రమం. 27 సెప్టెంబర్ 2018 న, యుఎస్ వైమానిక దళం దాని ట్రైనర్ విమానంగా మారడానికి బోయింగ్/సాబ్ టి-ఎక్స్ ఎంట"&amp;"్రీని ఎంచుకుంది. [1] కొత్త విమానానికి సెప్టెంబర్ 2019 లో ""టి -7 రెడ్ హాక్"" అనే హోదా మరియు పేరు ఇవ్వబడింది. [2] వైమానిక దళం యొక్క ప్రారంభ ప్రణాళిక 351 టి -7 లను కొనుగోలు చేయడం, మరియు 475 వరకు కొనుగోలు చేయడానికి ఒక ఎంపిక ఉంది. USAF యొక్క వాయు విద్య మరియు "&amp;"శిక్షణా కమాండ్ (AETC) నార్త్రోప్ T-38 టాలోన్ కోసం పున ment స్థాపన కోసం అవసరాలను అభివృద్ధి చేయడం ప్రారంభించింది 2003. టి -38 విమానాల సగటు వయస్సు 50 సంవత్సరాలకు పైగా ఉంది, మరియు 2008 లో అలసట వైఫల్యం టి -38 సి యొక్క ఇద్దరు వ్యక్తుల సిబ్బందిని చంపింది. వాస్తవ"&amp;"ానికి, పున ment స్థాపన శిక్షకుడు 2020 లో సేవలోకి ప్రవేశిస్తారని భావించారు, కాని వైమానిక దళం లక్ష్యం తేదీని 2017 కి చేరుకుంది. [3] [4] [5] ఆర్థిక 2013 బడ్జెట్ ప్రతిపాదనలో, యుఎస్ఎఎఫ్ ఎఫ్‌వై 2020 కి ప్రారంభ ఆపరేటింగ్ సామర్ధ్యాన్ని ఎఫ్‌వై 2016 కి ముందు expect"&amp;"ed హించని కాంట్రాక్ట్ అవార్డుతో ఆలస్యం చేయాలని సూచించింది. [6] తగ్గిపోతున్న బడ్జెట్లు మరియు అధిక ప్రాధాన్యత ఆధునీకరణ ప్రాజెక్టులకు నిధులు సమకూర్చాల్సిన అవసరం ఇంకా ఎంచుకున్న టి-ఎక్స్ విమానాలను ""2023 లేదా 2024 ఆర్థిక సంవత్సరం"" కు పూర్తి అమలు చేసింది. ఈ కా"&amp;"ర్యక్రమం FY 2014 బడ్జెట్ నుండి పూర్తిగా తొలగించబడినప్పటికీ, సేవ ఇప్పటికీ శిక్షకుడిని ప్రాధాన్యతగా చూసింది. [7] ఫిబ్రవరి 2013 లో, ఈ కార్యక్రమం USAF లో బడ్జెట్ ఒత్తిళ్లకు లొంగిపోతుందనే అంచనా ఉంది. [8] మే 2013 లో, ఆర్థిక వాతావరణం కారణంగా టి-ఎక్స్ పరిశ్రమ రోజ"&amp;"ు ""తదుపరి నోటీసు వరకు"" వాయిదా పడింది. [9] డిసెంబర్ 2013 లో, ఈ కార్యక్రమానికి అధిపతి 2014 లేదా 2015 కోసం ఎటువంటి ప్రణాళికలు లేవని చెప్పారు, కాని అతను ఫిబ్రవరి 2014 లో లేదా తరువాత ఈ కార్యక్రమం గురించి చీఫ్ ఆఫ్ స్టాఫ్ తో మాట్లాడతాడని చెప్పారు. [10] 20 మార్"&amp;"చి 2015 న, యుఎస్ వైమానిక దళం టి-ఎక్స్ ప్రోగ్రామ్ అవసరాలను విడుదల చేసింది. [11] 30 డిసెంబర్ 2016 న, యుఎస్ వైమానిక దళం ప్రతిపాదనల కోసం ఒక అధికారిక అభ్యర్థనను విడుదల చేసింది. ఈ అభ్యర్థనలో 2024 నాటికి 350 విమానాలు మరియు ప్రారంభ కార్యాచరణ సామర్ధ్యం ఉన్నాయి. కొ"&amp;"త్త శిక్షకుడికి డ్రైవింగ్ అవసరాలలో ఒకటి, కొన్ని ప్రాంతాలలో పెరిగిన సంక్లిష్టత కోసం పైలట్లను సిద్ధం చేయడంలో సహాయపడటం, ముఖ్యంగా సమాచార నిర్వహణ, ఇవి ఎఫ్ -22 రాప్టర్ మరియు ఎఫ్ -35 మెరుపు II వంటి ఐదవ తరం జెట్ యోధులలో భాగం. వైమానిక దళం మొదట దీనిని అనవసరంగా మరియ"&amp;"ు ఖరీదైనదిగా చూసింది, కాని పరిశ్రమ విశ్లేషణ దీర్ఘకాలంలో ఇది చౌకగా ఉందని చూపించింది. [15] విమానం మరియు అనుకరణ వ్యవస్థ అనేక ప్రాథమిక శిక్షణా పాత్రలను నెరవేర్చవలసి ఉంటుంది; బేసిక్ ఎయిర్క్రాఫ్ట్ కంట్రోల్, ఎయిర్ మ్యాన్షిప్, ఫార్మేషన్, ఇన్స్ట్రుమెంట్ అండ్ నావిగ"&amp;"ేషన్, అడ్వాన్స్‌డ్ ఎయిర్-టు-ఎయిర్, అడ్వాన్స్డ్ ఎయిర్-టు-గ్రౌండ్ మరియు అడ్వాన్స్‌డ్ క్రూ/కాక్‌పిట్ రిసోర్స్ మేనేజ్‌మెంట్. ఇంకా, ఈ వ్యవస్థ నెరవేర్చగల ఐదు అధునాతన శిక్షణా పాత్రలు ఉన్నాయి; 6.5–7.5 గ్రా, [15] వైమానిక ఇంధనం, నైట్ విజన్ ఇమేజింగ్ సిస్టమ్స్ ఆపరేషన"&amp;"్స్, ఎయిర్-టు-ఎయిర్ ఇంటర్‌సెప్ట్స్ మరియు డేటా-లింక్ ఆపరేషన్స్ వద్ద అధిక-జి కార్యకలాపాలు. 2009 సమాచారం కోసం అభ్యర్థన (RFI) ఏరియల్ రీఫ్యూయలింగ్ వంటి కొన్ని పనులను సిమ్యులేటర్‌లో చేయవచ్చు మరియు విమానంలోనే కాదు. [16] విమాన లభ్యత 80%ఉండాలి, కానీ ఎక్కువ కాదు, ఎ"&amp;"ందుకంటే ఇది చాలా ఎక్కువ ఖర్చు అవుతుంది. ప్రోగ్రామ్ అవసరాలు కేవలం కొనుగోలు ధర కంటే జీవిత-చక్ర ఖర్చులపై దృష్టి పెడతాయి. [15] అదనంగా, RFI ప్రత్యేకంగా USAF ట్రైనర్ కోసం ఉన్నప్పటికీ, ఇది విమానం యొక్క ఫైటర్/అటాక్ వేరియంట్ యొక్క సాధ్యత మరియు యునైటెడ్ స్టేట్స్ నే"&amp;"వీకి క్యారియర్-సామర్థ్యం గల వేరియంట్ గురించి సంభావ్య సరఫరాదారులను అడిగారు. [16] ఏదేమైనా, ప్రోగ్రామ్ యొక్క అవసరాల నిర్వాహకుడు, స్టీఫన్ లియాన్, సంభావ్య పోరాట పనితీరు పరిగణించబడే అవకాశం లేదని పేర్కొంది. అదేవిధంగా, నేవీ అధికారులు ప్రోగ్రామ్ యొక్క కొన్ని దశలలో"&amp;" పాల్గొంటారు, క్యారియర్ అనుకూలత మూల్యాంకనంలో భాగం కాదు. [3] అదేవిధంగా, A-10 థండర్‌బోల్ట్ II ని పదవీ విరమణ చేసే ప్రయత్నంలో భాగంగా తేలికపాటి దాడి మరియు దగ్గరగా వాయు మద్దతును నిర్వహించడానికి టి-ఎక్స్ విమానాన్ని స్వీకరించే అవకాశాన్ని వైమానిక దళం పరిగణించింది."&amp;" టి-ఎక్స్ ఇప్పటికే పెట్టుబడి పెట్టడంతో, ఇది మల్టీరోల్ పోరాటంగా మరియు శిక్షణా విమానం గా మార్చడం తక్కువ-బెదిరింపు వాతావరణంలో సమర్ధవంతంగా పనిచేయగల కొత్త అటాక్ జెట్‌ను అభివృద్ధి చేసే ఖర్చులను తగ్గించవచ్చు. [17] ఏదేమైనా, 2016 నాటికి వైమానిక దళం CAS అవసరాలను తీ"&amp;"ర్చడానికి ఇతర విమానాలను కొనసాగించాలని నిర్ణయించింది మరియు ఇతర మిషన్లకు మద్దతు ఇవ్వడానికి ట్రైనర్ ప్రోగ్రామ్‌ను ""పలుచన"" చేయకూడదు. [18] అనేక మంది పోటీదారులు ఇప్పటికే ఉన్న విమానాలను సమర్పించారు మరియు ఇతరులు అన్ని కొత్త డిజైన్లను ప్రతిపాదించారు. కిందివి బిడ"&amp;"్లుగా సమర్పించబడ్డాయి: [19] లియోనార్డో S.P.A. -నిర్మించిన బోయింగ్ టి-ఎక్స్, [22] మరియు సియెర్రా నెవాడా కార్పొరేషన్ మరియు టర్కిష్ ఏరోస్పేస్ పరిశ్రమలు కొత్త డిజైన్‌తో. [సైటేషన్ అవసరం] 6 డిసెంబర్ 2013 న, బోయింగ్ మరియు సాబ్ గ్రూప్ వారు కొత్త విమానం (బోయింగ్ ట"&amp;"ి-ఎక్స్) కోసం జట్టుకట్టాలని ప్రకటించారు టి-ఎక్స్ ప్రోగ్రామ్. [23] 22 ఆగస్టు 2016 న, బోయింగ్ టి-ఎక్స్ కాన్సెప్ట్ యొక్క మొదటి చిత్రాలను బహిరంగంగా వెల్లడించింది. [24] సింగిల్-ఇంజిన్, ట్విన్-టెయిల్ విమానాలను సెప్టెంబర్ 13 న ప్రజలకు అందించారు. [25] ఈ విమానం మొ"&amp;"ట్టమొదట 20 డిసెంబర్ 2016 న ఎగురవేయబడింది. [26] ఇటాలియన్ ఏరోస్పేస్ సంస్థ లియోనార్డో S.P.A. (గతంలో అలెనియా ఎర్మాచి) దాని M-346 మాస్టర్‌తో బిడ్‌లో భాగం. ఈ విమానాన్ని ప్రధాన కాంట్రాక్టర్‌గా సమర్పించాలని కంపెనీ మొదట భావించింది, కాని 2010 లో మనసు మార్చుకుంది. ఈ"&amp;" పోటీ కోసం కంపెనీ విమానం యొక్క వైవిధ్యతను ""లియోనార్డో DRS T-100 ఇంటిగ్రేటెడ్ ట్రైనింగ్ సిస్టమ్"" గా అందిస్తోంది. తుది అసెంబ్లీ స్థానాన్ని ఇటలీ నుండి యునైటెడ్ స్టేట్స్కు పోటీని గెలిస్తే అలెనియా ates హించింది. [3] జనవరి 2013 లో, జనరల్ డైనమిక్స్ అలెనియా ఎర్"&amp;"మాచీలో చేరారు మరియు ఈ కార్యక్రమంలో సంయుక్తంగా పోటీ పడటానికి ఒక లేఖ ఆఫ్ ఇంటెంట్ (LOI) పై సంతకం చేసింది. [27] ఫిబ్రవరి 2014 లో, ఫ్లైట్ సిమ్యులేటర్లు మరియు విమాన శిక్షణలో ప్రత్యేకత కలిగిన CAE ఇంక్., టి-ఎక్స్ ప్రోగ్రామ్ కోసం టి -100 ను అందించడానికి జనరల్ డైనమ"&amp;"ిక్స్ మరియు అలెనియా ఎర్మాచిలో చేరారు. [28] 26 మార్చి 2015 న, జనరల్ డైనమిక్స్ M-346 మాస్టర్/టి -100 సమర్పణకు ప్రధాన కాంట్రాక్టర్‌గా ఉపసంహరించుకుంది. జనరల్ డైనమిక్స్ ఇకపై బిడ్ కోసం ప్రధాన కాంట్రాక్టర్ మరియు సిస్టమ్స్ ఇంటిగ్రేటర్‌గా తన పాత్రను నిలుపుకోదు. [2"&amp;"9] హోల్డింగ్ కంపెనీ ఫిన్మెక్కానికాకు అనుబంధ సంస్థగా ఉన్న అలెనియా ఎర్మాచి, 1 జనవరి 2016 న పూర్తిగా స్వాధీనం చేసుకున్నారు మరియు 2017 లో లియోనార్డోగా పేరు మార్చారు. 22 ఫిబ్రవరి 2016 న, రేథియాన్ జనరల్ డైనమిక్స్ స్థానంలో మరియు యుఎస్ లో బిడ్‌ను హెడ్-అప్ చేయబోతు"&amp;"న్నట్లు ప్రకటించింది టి-ఎక్స్ ప్రోగ్రాం కోసం, ప్రాధమిక కాంట్రాక్టర్‌గా, లియోనార్డో, హనీవెల్ ఏరోస్పేస్ మరియు కే యుఎస్ఎ ఇంక్ లతో జతకట్టింది. సమర్పించాల్సిన విమానం రెండు హనీవెల్/ఐటిఇసి ఎఫ్ 124 తక్కువ-బైపాస్ ఉపయోగించి టి -100 అనే సవరించిన M-346 ప్లాట్‌ఫాం అవు"&amp;"తుంది టర్బోఫాన్ ఇంజన్లు. [30] [31] జనవరి 25, 2017 న, రేథియాన్ టి-ఎక్స్ ప్రోగ్రాం నుండి తన ఉపసంహరణను ప్రకటించింది, లియోనార్డోను ఈ కార్యక్రమంలో భాగస్వామి లేకుండా వదిలివేసింది. [32] 8 ఫిబ్రవరి 2017 న, లియోనార్డో యు.ఎస్. టి -100 గ్రౌండ్-బేస్డ్ ట్రైనింగ్ సిస్ట"&amp;"మ్ (జిబిటిఎస్) రూపకల్పన మరియు అభివృద్ధిలో లియోనార్డో డిఆర్‌ఎస్‌కు కే యుఎస్ఎ మద్దతు ఇస్తుంది. హనీవెల్ జంట F124 టర్బోఫాన్ ప్రొపల్షన్ ఇంజన్లను కూడా అందిస్తుంది. [33] ఈ విమానం అలబామాలోని టుస్కీగీలోని మోటన్ ఫీల్డ్‌లో కొత్త 750 మంది ఉద్యోగుల తయారీ కేంద్రంలో నిర"&amp;"్మించబడుతోంది. [34] కొరియా ఏరోస్పేస్ ఇండస్ట్రీస్ (కై) తో లాక్‌హీడ్ మార్టిన్ వారి కై టి -50 గోల్డెన్ ఈగిల్‌ను ప్రతిపాదించారు, ఇది టి-ఎక్స్ ప్రోగ్రాం కోసం 2002 లో మొదట ప్రయాణించింది. T-50 ను దక్షిణ కొరియా శిక్షకుల అవసరం కోసం స్పష్టంగా రూపొందించబడింది మరియు "&amp;"నిర్మించగా, లాక్హీడ్ మార్టిన్ అధికారులు ఈ విమానం T-38 ను దృష్టిలో ఉంచుకుని రూపొందించబడిందని అంగీకరించారు. అందువల్ల, సంబంధం లేని శిక్షకుల విమానాలకు టి -50 ను కేటాయించడం ద్వారా ఇద్దరు ""టి -50"" శిక్షకుల మధ్య గందరగోళాన్ని సృష్టించకూడదనే ఆశతో రక్షణ శాఖ కై టి"&amp;" -50 కోసం టి -50 ఎ హోదాను రిజర్వు చేసింది. [35] లాక్హీడ్ కొన్ని మార్పులతో టి -50 ను ప్రతిపాదించాలని ated హించారు, ఎక్కువగా ఏవియానిక్స్ సంబంధిత. దక్షిణ కొరియాలో వాటిని తయారు చేయడానికి బదులుగా యునైటెడ్ స్టేట్స్ వైమానిక దళం కోసం టి -50 ను తయారు చేయడానికి యున"&amp;"ైటెడ్ స్టేట్స్లో కొత్త అసెంబ్లీ మార్గాన్ని నిర్మించడానికి ప్రణాళికలు ఉన్నాయి, లాక్హీడ్ మార్టిన్/కై జట్టు ఒప్పందాన్ని గెలుచుకుంటే. [3] 17 డిసెంబర్ 2015 న, లాక్‌హీడ్ మరియు కై దక్షిణ కొరియాలో తమ టి-ఎక్స్ ప్రోటోటైప్‌ను టి -50 ఆధారంగా వెల్లడించారు, ఈ కార్యక్రమ"&amp;"ంలో బహిరంగంగా చేసిన మొదటి పోటీదారు. ""టి-ఎక్స్ ప్రదర్శనకారుడు విమానం"" గా సూచిస్తారు, ఇది టి -50 ఎయిర్‌ఫ్రేమ్‌కు వైమానిక రీఫ్యూయలింగ్, ఎంబెడెడ్ గ్రౌండ్ ట్రైనింగ్ సిస్టమ్స్ మరియు ఐదు చిన్న స్క్రీన్‌ల స్థానంలో పెద్ద ప్రాంత ప్రదర్శన యొక్క సామర్థ్యాన్ని జోడిస"&amp;"్తుంది. రోల్ అవుట్ వేడుకకు దక్షిణ కొరియా అధ్యక్షుడు పార్క్ జియున్-హే హాజరయ్యారు. లాక్‌హీడ్ మార్టిన్ యొక్క అప్‌గ్రేడ్ టి -50 ఎ జెట్ ట్రైనర్ తన మొదటి విమాన పరీక్షను జూన్ 2016 లో దక్షిణ కొరియాలోని సాచెయోన్‌లో విజయవంతంగా పూర్తి చేసింది, ఇది విమానానికి కీలకమైన"&amp;" మైలురాయి. [36] [37] U.S. లో విమాన పరీక్షలు 2017 లో ప్రారంభం కావాలి. [38] [39] [40] [41] ఒక లైన్ మార్చగల యూనిట్‌గా, విమానం ఐచ్ఛిక పెద్ద డోర్సల్ హంప్‌ను కలిగి ఉంటుంది, ఇది వైమానిక రీఫ్యూయలింగ్ రిసెప్టాకిల్‌ను కలిగి ఉంటుంది. [42] [43] భాగస్వాములు BAE సిస్టమ"&amp;"్స్, L-3 కమ్యూనికేషన్స్ మరియు రోల్స్ రాయిస్ హోల్డింగ్స్‌తో నార్త్రోప్ గ్రుమ్మన్, ప్రారంభంలో T-X ప్రోగ్రామ్ కోసం హాక్ T2/128 యొక్క నవీకరించబడిన సంస్కరణను ప్రతిపాదించే ఉద్దేశాలను కలిగి ఉంది. నార్త్రోప్ గ్రుమ్మన్ 2014 లో జట్టుకు ప్రధాన బాధ్యతలను భావించాడు. ["&amp;"44] నార్త్రోప్ యు.ఎస్. ఎయిర్ ఫోర్స్ యొక్క ప్రస్తుత శిక్షణా విమానం టి -38 టాలోన్‌ను నిర్మించింది. హాక్ టి 2 లో ఆల్ గ్లాస్ కాక్‌పిట్, న్యూ వింగ్ మరియు ఫ్యూజ్‌లేజ్ భాగాలు ఉన్నాయి. ప్రాథమిక హాక్ డిజైన్ 1970 ల నాటిది అయినప్పటికీ, T1 మరియు T2 సంస్కరణల మధ్య పంచు"&amp;"కున్న ఏకైక భాగాలు పందిరి మరియు ఎయిర్ బ్రేక్, T2 సంస్కరణను తప్పనిసరిగా కొత్త విమానం చేస్తుంది. నార్త్రోప్ గ్రుమ్మన్ బృందం ఇది పోటీకి తక్కువ-ప్రమాదం, తక్కువ-ధర వ్యూహంగా ఉంటుందని ఆశిస్తోంది, హాక్ ఆధారిత మెక్‌డోనెల్ డగ్లస్/బోయింగ్ టి -45 సి గోషాక్ గ్లాస్ కాక్"&amp;"‌పిట్‌తో నావికాదళ ఏవియేటర్స్ మరియు నావల్ ఫ్లైట్‌కు శిక్షణ ఇవ్వడానికి ఉపయోగించబడుతుంది అధికారులు యు.ఎస్. నేవీ మరియు యు.ఎస్. మెరైన్ కార్ప్స్ కోసం టాక్టికల్ జెట్ విమానాల కోసం అధికారులు ఉన్నారు. 13 సెప్టెంబర్ 2013 న, రోల్స్ రాయిస్ జట్టులో చేరినట్లు ప్రకటించిం"&amp;"ది మరియు దాని అడోర్ MK951 ఇంజిన్‌కు ఇంటిగ్రేషన్ మద్దతును అందిస్తుంది. [45] ఏదేమైనా, 2015 లో, నార్త్రోప్ గ్రుమ్మన్ ఇకపై టి-ఎక్స్ పరిశీలన కోసం హాక్‌ను సమర్పించలేదు, ప్రధానంగా ఎయిర్‌ఫ్రేమ్ పనితీరు లోపాల కారణంగా అధిక యాంగిల్-ఆఫ్-అటాక్ మరియు నిరంతర త్వరణాలు, అ"&amp;"లాగే స్థోమతకు సంబంధించిన ఆందోళనలు. బదులుగా, నార్త్రోప్ గ్రుమ్మన్ అభివృద్ధి చెందుతున్న టి-ఎక్స్ అవసరాలకు దగ్గరగా సరిపోయేలా కొత్త క్లీన్-షీట్ డిజైన్‌ను ప్రారంభించాడు. నార్త్రోప్ గ్రుమ్మన్ యొక్క అనుబంధ సంస్థ స్కేల్డ్ మిశ్రమాలు, 2015 చివరిలో మొదటి విమానంతో ex"&amp;"pected హించిన ప్రోటోటైప్‌ను నిర్మించడం జరిగింది. [46] 19 ఆగస్టు 2016 న మొజావేలో, నార్త్రోప్ గ్రుమ్మన్ తన టి-ఎక్స్ కాన్సెప్ట్ యొక్క నమూనాను ఒకే GE F404-102D ఇంజిన్ ద్వారా బహిరంగంగా వెల్లడించింది. [47] స్కేల్డ్ కాంపోజిట్స్ మోడల్ 400 స్విఫ్ట్ ఆగస్టు 26 న మొద"&amp;"టి విమానంలో, ఆ తరువాత మరో ఆరు; దీని గరిష్ట టేకాఫ్ బరువు 15,400 ఎల్బి (7.0 టి) లాక్‌హీడ్/కై టి -50 ఎ లేదా ఎం -346-ఆధారిత లియోనార్డో టి -100 కంటే తేలికైనది, మరియు విజేత బోయింగ్/సాబ్ డిజైన్ కంటే 25% భారీగా ఉంటుంది, దీనికి గరిష్ట వేగం ఉంది 500 kN (930 km/h) మ"&amp;"రియు 35,000 అడుగుల (11,000 మీ) పైకప్పు. [48] 1 ఫిబ్రవరి 2017 న, కంపెనీలు టి-ఎక్స్ ప్రోగ్రాం కోసం ప్రతిపాదనను సమర్పించబోమని ప్రకటించాయి. [49] సియెర్రా నెవాడా కార్పొరేషన్ (SNC) మరియు టర్కిష్ ఏరోస్పేస్ ఇండస్ట్రీస్ (TAI) కూడా TAI హర్జెట్ ట్రైనర్ ఆధారంగా T-X ప"&amp;"్రోగ్రామ్ [50] కోసం కొత్త విమానాన్ని అందిస్తున్నట్లు పరిశీలిస్తున్నాయి. కొలరాడో పోటీకి తేలికపాటి, ఆల్-కాంపోజిట్ ట్రైనర్‌ను అభివృద్ధి చేయడానికి. [50] 31 మార్చి 2017 న స్టావట్టి ఏరోస్పేస్ ప్రకటించింది, ఇది టి-ఎక్స్ పోటీ కోసం జావెలిన్‌ను సమర్పించింది. జావెలి"&amp;"న్ ఒక కొత్త సింగిల్-ఇంజిన్, రెండు-సీట్ల, మిలిటరీ ట్రైనర్ జెట్ మరియు చాలా తేలికపాటి ఫైటర్ (విఎల్ఎఫ్) విమానం, ఏవియేషన్ టెక్నాలజీ గ్రూప్ జావెలిన్ ఎంకె -30 నుండి తీసుకోబడింది. [51] టెక్స్ట్రాన్ మరియు ఎయిర్‌ల్యాండ్ ఎంటర్ప్రైజెస్ మధ్య జాయింట్ వెంచర్ అయిన టెక్స్"&amp;"ట్రాన్ ఎయిర్‌ల్యాండ్ టెక్స్ట్రాన్ ఎయిర్‌ల్యాండ్ స్కార్పియన్ లైట్ అటాక్ జెట్ను అభివృద్ధి చేసింది, ఇది టి-ఎక్స్ కార్యక్రమానికి అభ్యర్థిగా సంభావ్యతను కలిగి ఉంది. టెక్స్ట్రాన్ మేనేజ్‌మెంట్, రెండు ఇంజిన్‌లను ఒకే ఇంజిన్‌తో మార్చుకోవడం మరియు రెక్కలను మార్చడం వంట"&amp;"ి కొన్ని మార్పులతో, ఈ విమానం టి-ఎక్స్ పాత్రకు అనువైన మ్యాచ్ అని పేర్కొంది. [52] అదనంగా, ఫర్న్‌బరో 2014 ఎయిర్‌షో సమయంలో, టెక్స్ట్రాన్ ప్రతినిధులు టి-ఎక్స్ ప్రోగ్రామ్‌పై గణనీయమైన ఆసక్తిని వ్యక్తం చేశారు మరియు ముసాయిదా అవసరాల పురోగతిని వారు దగ్గరగా అనుసరిస్త"&amp;"ున్నారని సూచించారు. [21] 23 ఆగస్టు 2014 న, టెక్స్ట్రాన్ ఎయిర్‌ల్యాండ్ వారు టి-ఎక్స్ ట్రైనర్ కోసం పోటీ పడతారని మరియు శిక్షణ అవసరాలకు బాగా సరిపోయేలా తేలును సవరించాలని అధికారికంగా ధృవీకరించారు. [53] ఏదేమైనా, సెప్టెంబర్ 2015 లో టెక్స్ట్రాన్ ఎయిర్‌ల్యాండ్ వైమా"&amp;"నిక దళ అవసరాలను మార్చడం వల్ల ఈ కార్యక్రమానికి తేలు యొక్క సంస్కరణను అందించదని వెల్లడించింది, తక్కువ ఖర్చుతో కూడిన అధునాతన జెట్ ట్రైనర్ నుండి అధిక-పనితీరు గల ఫ్లై-బై-వైర్ ట్రైనర్‌కు తక్కువ అభివృద్ధి అవసరం టాప్ టైర్ హ్యాండ్లింగ్ లక్షణాలతో. టి-ఎక్స్ పట్ల ఇంకా"&amp;" ఆసక్తి ఉందని కంపెనీ పేర్కొంది, కాని ఇతర పోటీదారుల మాదిరిగానే క్లీన్-షీట్ డిజైన్‌ను అందించాల్సి ఉంటుంది. [54] [55]")</f>
        <v>టి-ఎక్స్ ప్రోగ్రామ్ నార్త్రోప్ టి -38 టాలోన్ స్థానంలో కొత్త రెండు-సీట్ల జెట్ ట్రైనర్ కోసం యునైటెడ్ స్టేట్స్ వైమానిక దళం అభివృద్ధి మరియు సముపార్జన కార్యక్రమం. 27 సెప్టెంబర్ 2018 న, యుఎస్ వైమానిక దళం దాని ట్రైనర్ విమానంగా మారడానికి బోయింగ్/సాబ్ టి-ఎక్స్ ఎంట్రీని ఎంచుకుంది. [1] కొత్త విమానానికి సెప్టెంబర్ 2019 లో "టి -7 రెడ్ హాక్" అనే హోదా మరియు పేరు ఇవ్వబడింది. [2] వైమానిక దళం యొక్క ప్రారంభ ప్రణాళిక 351 టి -7 లను కొనుగోలు చేయడం, మరియు 475 వరకు కొనుగోలు చేయడానికి ఒక ఎంపిక ఉంది. USAF యొక్క వాయు విద్య మరియు శిక్షణా కమాండ్ (AETC) నార్త్రోప్ T-38 టాలోన్ కోసం పున ment స్థాపన కోసం అవసరాలను అభివృద్ధి చేయడం ప్రారంభించింది 2003. టి -38 విమానాల సగటు వయస్సు 50 సంవత్సరాలకు పైగా ఉంది, మరియు 2008 లో అలసట వైఫల్యం టి -38 సి యొక్క ఇద్దరు వ్యక్తుల సిబ్బందిని చంపింది. వాస్తవానికి, పున ment స్థాపన శిక్షకుడు 2020 లో సేవలోకి ప్రవేశిస్తారని భావించారు, కాని వైమానిక దళం లక్ష్యం తేదీని 2017 కి చేరుకుంది. [3] [4] [5] ఆర్థిక 2013 బడ్జెట్ ప్రతిపాదనలో, యుఎస్ఎఎఫ్ ఎఫ్‌వై 2020 కి ప్రారంభ ఆపరేటింగ్ సామర్ధ్యాన్ని ఎఫ్‌వై 2016 కి ముందు expected హించని కాంట్రాక్ట్ అవార్డుతో ఆలస్యం చేయాలని సూచించింది. [6] తగ్గిపోతున్న బడ్జెట్లు మరియు అధిక ప్రాధాన్యత ఆధునీకరణ ప్రాజెక్టులకు నిధులు సమకూర్చాల్సిన అవసరం ఇంకా ఎంచుకున్న టి-ఎక్స్ విమానాలను "2023 లేదా 2024 ఆర్థిక సంవత్సరం" కు పూర్తి అమలు చేసింది. ఈ కార్యక్రమం FY 2014 బడ్జెట్ నుండి పూర్తిగా తొలగించబడినప్పటికీ, సేవ ఇప్పటికీ శిక్షకుడిని ప్రాధాన్యతగా చూసింది. [7] ఫిబ్రవరి 2013 లో, ఈ కార్యక్రమం USAF లో బడ్జెట్ ఒత్తిళ్లకు లొంగిపోతుందనే అంచనా ఉంది. [8] మే 2013 లో, ఆర్థిక వాతావరణం కారణంగా టి-ఎక్స్ పరిశ్రమ రోజు "తదుపరి నోటీసు వరకు" వాయిదా పడింది. [9] డిసెంబర్ 2013 లో, ఈ కార్యక్రమానికి అధిపతి 2014 లేదా 2015 కోసం ఎటువంటి ప్రణాళికలు లేవని చెప్పారు, కాని అతను ఫిబ్రవరి 2014 లో లేదా తరువాత ఈ కార్యక్రమం గురించి చీఫ్ ఆఫ్ స్టాఫ్ తో మాట్లాడతాడని చెప్పారు. [10] 20 మార్చి 2015 న, యుఎస్ వైమానిక దళం టి-ఎక్స్ ప్రోగ్రామ్ అవసరాలను విడుదల చేసింది. [11] 30 డిసెంబర్ 2016 న, యుఎస్ వైమానిక దళం ప్రతిపాదనల కోసం ఒక అధికారిక అభ్యర్థనను విడుదల చేసింది. ఈ అభ్యర్థనలో 2024 నాటికి 350 విమానాలు మరియు ప్రారంభ కార్యాచరణ సామర్ధ్యం ఉన్నాయి. కొత్త శిక్షకుడికి డ్రైవింగ్ అవసరాలలో ఒకటి, కొన్ని ప్రాంతాలలో పెరిగిన సంక్లిష్టత కోసం పైలట్లను సిద్ధం చేయడంలో సహాయపడటం, ముఖ్యంగా సమాచార నిర్వహణ, ఇవి ఎఫ్ -22 రాప్టర్ మరియు ఎఫ్ -35 మెరుపు II వంటి ఐదవ తరం జెట్ యోధులలో భాగం. వైమానిక దళం మొదట దీనిని అనవసరంగా మరియు ఖరీదైనదిగా చూసింది, కాని పరిశ్రమ విశ్లేషణ దీర్ఘకాలంలో ఇది చౌకగా ఉందని చూపించింది. [15] విమానం మరియు అనుకరణ వ్యవస్థ అనేక ప్రాథమిక శిక్షణా పాత్రలను నెరవేర్చవలసి ఉంటుంది; బేసిక్ ఎయిర్క్రాఫ్ట్ కంట్రోల్, ఎయిర్ మ్యాన్షిప్, ఫార్మేషన్, ఇన్స్ట్రుమెంట్ అండ్ నావిగేషన్, అడ్వాన్స్‌డ్ ఎయిర్-టు-ఎయిర్, అడ్వాన్స్డ్ ఎయిర్-టు-గ్రౌండ్ మరియు అడ్వాన్స్‌డ్ క్రూ/కాక్‌పిట్ రిసోర్స్ మేనేజ్‌మెంట్. ఇంకా, ఈ వ్యవస్థ నెరవేర్చగల ఐదు అధునాతన శిక్షణా పాత్రలు ఉన్నాయి; 6.5–7.5 గ్రా, [15] వైమానిక ఇంధనం, నైట్ విజన్ ఇమేజింగ్ సిస్టమ్స్ ఆపరేషన్స్, ఎయిర్-టు-ఎయిర్ ఇంటర్‌సెప్ట్స్ మరియు డేటా-లింక్ ఆపరేషన్స్ వద్ద అధిక-జి కార్యకలాపాలు. 2009 సమాచారం కోసం అభ్యర్థన (RFI) ఏరియల్ రీఫ్యూయలింగ్ వంటి కొన్ని పనులను సిమ్యులేటర్‌లో చేయవచ్చు మరియు విమానంలోనే కాదు. [16] విమాన లభ్యత 80%ఉండాలి, కానీ ఎక్కువ కాదు, ఎందుకంటే ఇది చాలా ఎక్కువ ఖర్చు అవుతుంది. ప్రోగ్రామ్ అవసరాలు కేవలం కొనుగోలు ధర కంటే జీవిత-చక్ర ఖర్చులపై దృష్టి పెడతాయి. [15] అదనంగా, RFI ప్రత్యేకంగా USAF ట్రైనర్ కోసం ఉన్నప్పటికీ, ఇది విమానం యొక్క ఫైటర్/అటాక్ వేరియంట్ యొక్క సాధ్యత మరియు యునైటెడ్ స్టేట్స్ నేవీకి క్యారియర్-సామర్థ్యం గల వేరియంట్ గురించి సంభావ్య సరఫరాదారులను అడిగారు. [16] ఏదేమైనా, ప్రోగ్రామ్ యొక్క అవసరాల నిర్వాహకుడు, స్టీఫన్ లియాన్, సంభావ్య పోరాట పనితీరు పరిగణించబడే అవకాశం లేదని పేర్కొంది. అదేవిధంగా, నేవీ అధికారులు ప్రోగ్రామ్ యొక్క కొన్ని దశలలో పాల్గొంటారు, క్యారియర్ అనుకూలత మూల్యాంకనంలో భాగం కాదు. [3] అదేవిధంగా, A-10 థండర్‌బోల్ట్ II ని పదవీ విరమణ చేసే ప్రయత్నంలో భాగంగా తేలికపాటి దాడి మరియు దగ్గరగా వాయు మద్దతును నిర్వహించడానికి టి-ఎక్స్ విమానాన్ని స్వీకరించే అవకాశాన్ని వైమానిక దళం పరిగణించింది. టి-ఎక్స్ ఇప్పటికే పెట్టుబడి పెట్టడంతో, ఇది మల్టీరోల్ పోరాటంగా మరియు శిక్షణా విమానం గా మార్చడం తక్కువ-బెదిరింపు వాతావరణంలో సమర్ధవంతంగా పనిచేయగల కొత్త అటాక్ జెట్‌ను అభివృద్ధి చేసే ఖర్చులను తగ్గించవచ్చు. [17] ఏదేమైనా, 2016 నాటికి వైమానిక దళం CAS అవసరాలను తీర్చడానికి ఇతర విమానాలను కొనసాగించాలని నిర్ణయించింది మరియు ఇతర మిషన్లకు మద్దతు ఇవ్వడానికి ట్రైనర్ ప్రోగ్రామ్‌ను "పలుచన" చేయకూడదు. [18] అనేక మంది పోటీదారులు ఇప్పటికే ఉన్న విమానాలను సమర్పించారు మరియు ఇతరులు అన్ని కొత్త డిజైన్లను ప్రతిపాదించారు. కిందివి బిడ్లుగా సమర్పించబడ్డాయి: [19] లియోనార్డో S.P.A. -నిర్మించిన బోయింగ్ టి-ఎక్స్, [22] మరియు సియెర్రా నెవాడా కార్పొరేషన్ మరియు టర్కిష్ ఏరోస్పేస్ పరిశ్రమలు కొత్త డిజైన్‌తో. [సైటేషన్ అవసరం] 6 డిసెంబర్ 2013 న, బోయింగ్ మరియు సాబ్ గ్రూప్ వారు కొత్త విమానం (బోయింగ్ టి-ఎక్స్) కోసం జట్టుకట్టాలని ప్రకటించారు టి-ఎక్స్ ప్రోగ్రామ్. [23] 22 ఆగస్టు 2016 న, బోయింగ్ టి-ఎక్స్ కాన్సెప్ట్ యొక్క మొదటి చిత్రాలను బహిరంగంగా వెల్లడించింది. [24] సింగిల్-ఇంజిన్, ట్విన్-టెయిల్ విమానాలను సెప్టెంబర్ 13 న ప్రజలకు అందించారు. [25] ఈ విమానం మొట్టమొదట 20 డిసెంబర్ 2016 న ఎగురవేయబడింది. [26] ఇటాలియన్ ఏరోస్పేస్ సంస్థ లియోనార్డో S.P.A. (గతంలో అలెనియా ఎర్మాచి) దాని M-346 మాస్టర్‌తో బిడ్‌లో భాగం. ఈ విమానాన్ని ప్రధాన కాంట్రాక్టర్‌గా సమర్పించాలని కంపెనీ మొదట భావించింది, కాని 2010 లో మనసు మార్చుకుంది. ఈ పోటీ కోసం కంపెనీ విమానం యొక్క వైవిధ్యతను "లియోనార్డో DRS T-100 ఇంటిగ్రేటెడ్ ట్రైనింగ్ సిస్టమ్" గా అందిస్తోంది. తుది అసెంబ్లీ స్థానాన్ని ఇటలీ నుండి యునైటెడ్ స్టేట్స్కు పోటీని గెలిస్తే అలెనియా ates హించింది. [3] జనవరి 2013 లో, జనరల్ డైనమిక్స్ అలెనియా ఎర్మాచీలో చేరారు మరియు ఈ కార్యక్రమంలో సంయుక్తంగా పోటీ పడటానికి ఒక లేఖ ఆఫ్ ఇంటెంట్ (LOI) పై సంతకం చేసింది. [27] ఫిబ్రవరి 2014 లో, ఫ్లైట్ సిమ్యులేటర్లు మరియు విమాన శిక్షణలో ప్రత్యేకత కలిగిన CAE ఇంక్., టి-ఎక్స్ ప్రోగ్రామ్ కోసం టి -100 ను అందించడానికి జనరల్ డైనమిక్స్ మరియు అలెనియా ఎర్మాచిలో చేరారు. [28] 26 మార్చి 2015 న, జనరల్ డైనమిక్స్ M-346 మాస్టర్/టి -100 సమర్పణకు ప్రధాన కాంట్రాక్టర్‌గా ఉపసంహరించుకుంది. జనరల్ డైనమిక్స్ ఇకపై బిడ్ కోసం ప్రధాన కాంట్రాక్టర్ మరియు సిస్టమ్స్ ఇంటిగ్రేటర్‌గా తన పాత్రను నిలుపుకోదు. [29] హోల్డింగ్ కంపెనీ ఫిన్మెక్కానికాకు అనుబంధ సంస్థగా ఉన్న అలెనియా ఎర్మాచి, 1 జనవరి 2016 న పూర్తిగా స్వాధీనం చేసుకున్నారు మరియు 2017 లో లియోనార్డోగా పేరు మార్చారు. 22 ఫిబ్రవరి 2016 న, రేథియాన్ జనరల్ డైనమిక్స్ స్థానంలో మరియు యుఎస్ లో బిడ్‌ను హెడ్-అప్ చేయబోతున్నట్లు ప్రకటించింది టి-ఎక్స్ ప్రోగ్రాం కోసం, ప్రాధమిక కాంట్రాక్టర్‌గా, లియోనార్డో, హనీవెల్ ఏరోస్పేస్ మరియు కే యుఎస్ఎ ఇంక్ లతో జతకట్టింది. సమర్పించాల్సిన విమానం రెండు హనీవెల్/ఐటిఇసి ఎఫ్ 124 తక్కువ-బైపాస్ ఉపయోగించి టి -100 అనే సవరించిన M-346 ప్లాట్‌ఫాం అవుతుంది టర్బోఫాన్ ఇంజన్లు. [30] [31] జనవరి 25, 2017 న, రేథియాన్ టి-ఎక్స్ ప్రోగ్రాం నుండి తన ఉపసంహరణను ప్రకటించింది, లియోనార్డోను ఈ కార్యక్రమంలో భాగస్వామి లేకుండా వదిలివేసింది. [32] 8 ఫిబ్రవరి 2017 న, లియోనార్డో యు.ఎస్. టి -100 గ్రౌండ్-బేస్డ్ ట్రైనింగ్ సిస్టమ్ (జిబిటిఎస్) రూపకల్పన మరియు అభివృద్ధిలో లియోనార్డో డిఆర్‌ఎస్‌కు కే యుఎస్ఎ మద్దతు ఇస్తుంది. హనీవెల్ జంట F124 టర్బోఫాన్ ప్రొపల్షన్ ఇంజన్లను కూడా అందిస్తుంది. [33] ఈ విమానం అలబామాలోని టుస్కీగీలోని మోటన్ ఫీల్డ్‌లో కొత్త 750 మంది ఉద్యోగుల తయారీ కేంద్రంలో నిర్మించబడుతోంది. [34] కొరియా ఏరోస్పేస్ ఇండస్ట్రీస్ (కై) తో లాక్‌హీడ్ మార్టిన్ వారి కై టి -50 గోల్డెన్ ఈగిల్‌ను ప్రతిపాదించారు, ఇది టి-ఎక్స్ ప్రోగ్రాం కోసం 2002 లో మొదట ప్రయాణించింది. T-50 ను దక్షిణ కొరియా శిక్షకుల అవసరం కోసం స్పష్టంగా రూపొందించబడింది మరియు నిర్మించగా, లాక్హీడ్ మార్టిన్ అధికారులు ఈ విమానం T-38 ను దృష్టిలో ఉంచుకుని రూపొందించబడిందని అంగీకరించారు. అందువల్ల, సంబంధం లేని శిక్షకుల విమానాలకు టి -50 ను కేటాయించడం ద్వారా ఇద్దరు "టి -50" శిక్షకుల మధ్య గందరగోళాన్ని సృష్టించకూడదనే ఆశతో రక్షణ శాఖ కై టి -50 కోసం టి -50 ఎ హోదాను రిజర్వు చేసింది. [35] లాక్హీడ్ కొన్ని మార్పులతో టి -50 ను ప్రతిపాదించాలని ated హించారు, ఎక్కువగా ఏవియానిక్స్ సంబంధిత. దక్షిణ కొరియాలో వాటిని తయారు చేయడానికి బదులుగా యునైటెడ్ స్టేట్స్ వైమానిక దళం కోసం టి -50 ను తయారు చేయడానికి యునైటెడ్ స్టేట్స్లో కొత్త అసెంబ్లీ మార్గాన్ని నిర్మించడానికి ప్రణాళికలు ఉన్నాయి, లాక్హీడ్ మార్టిన్/కై జట్టు ఒప్పందాన్ని గెలుచుకుంటే. [3] 17 డిసెంబర్ 2015 న, లాక్‌హీడ్ మరియు కై దక్షిణ కొరియాలో తమ టి-ఎక్స్ ప్రోటోటైప్‌ను టి -50 ఆధారంగా వెల్లడించారు, ఈ కార్యక్రమంలో బహిరంగంగా చేసిన మొదటి పోటీదారు. "టి-ఎక్స్ ప్రదర్శనకారుడు విమానం" గా సూచిస్తారు, ఇది టి -50 ఎయిర్‌ఫ్రేమ్‌కు వైమానిక రీఫ్యూయలింగ్, ఎంబెడెడ్ గ్రౌండ్ ట్రైనింగ్ సిస్టమ్స్ మరియు ఐదు చిన్న స్క్రీన్‌ల స్థానంలో పెద్ద ప్రాంత ప్రదర్శన యొక్క సామర్థ్యాన్ని జోడిస్తుంది. రోల్ అవుట్ వేడుకకు దక్షిణ కొరియా అధ్యక్షుడు పార్క్ జియున్-హే హాజరయ్యారు. లాక్‌హీడ్ మార్టిన్ యొక్క అప్‌గ్రేడ్ టి -50 ఎ జెట్ ట్రైనర్ తన మొదటి విమాన పరీక్షను జూన్ 2016 లో దక్షిణ కొరియాలోని సాచెయోన్‌లో విజయవంతంగా పూర్తి చేసింది, ఇది విమానానికి కీలకమైన మైలురాయి. [36] [37] U.S. లో విమాన పరీక్షలు 2017 లో ప్రారంభం కావాలి. [38] [39] [40] [41] ఒక లైన్ మార్చగల యూనిట్‌గా, విమానం ఐచ్ఛిక పెద్ద డోర్సల్ హంప్‌ను కలిగి ఉంటుంది, ఇది వైమానిక రీఫ్యూయలింగ్ రిసెప్టాకిల్‌ను కలిగి ఉంటుంది. [42] [43] భాగస్వాములు BAE సిస్టమ్స్, L-3 కమ్యూనికేషన్స్ మరియు రోల్స్ రాయిస్ హోల్డింగ్స్‌తో నార్త్రోప్ గ్రుమ్మన్, ప్రారంభంలో T-X ప్రోగ్రామ్ కోసం హాక్ T2/128 యొక్క నవీకరించబడిన సంస్కరణను ప్రతిపాదించే ఉద్దేశాలను కలిగి ఉంది. నార్త్రోప్ గ్రుమ్మన్ 2014 లో జట్టుకు ప్రధాన బాధ్యతలను భావించాడు. [44] నార్త్రోప్ యు.ఎస్. ఎయిర్ ఫోర్స్ యొక్క ప్రస్తుత శిక్షణా విమానం టి -38 టాలోన్‌ను నిర్మించింది. హాక్ టి 2 లో ఆల్ గ్లాస్ కాక్‌పిట్, న్యూ వింగ్ మరియు ఫ్యూజ్‌లేజ్ భాగాలు ఉన్నాయి. ప్రాథమిక హాక్ డిజైన్ 1970 ల నాటిది అయినప్పటికీ, T1 మరియు T2 సంస్కరణల మధ్య పంచుకున్న ఏకైక భాగాలు పందిరి మరియు ఎయిర్ బ్రేక్, T2 సంస్కరణను తప్పనిసరిగా కొత్త విమానం చేస్తుంది. నార్త్రోప్ గ్రుమ్మన్ బృందం ఇది పోటీకి తక్కువ-ప్రమాదం, తక్కువ-ధర వ్యూహంగా ఉంటుందని ఆశిస్తోంది, హాక్ ఆధారిత మెక్‌డోనెల్ డగ్లస్/బోయింగ్ టి -45 సి గోషాక్ గ్లాస్ కాక్‌పిట్‌తో నావికాదళ ఏవియేటర్స్ మరియు నావల్ ఫ్లైట్‌కు శిక్షణ ఇవ్వడానికి ఉపయోగించబడుతుంది అధికారులు యు.ఎస్. నేవీ మరియు యు.ఎస్. మెరైన్ కార్ప్స్ కోసం టాక్టికల్ జెట్ విమానాల కోసం అధికారులు ఉన్నారు. 13 సెప్టెంబర్ 2013 న, రోల్స్ రాయిస్ జట్టులో చేరినట్లు ప్రకటించింది మరియు దాని అడోర్ MK951 ఇంజిన్‌కు ఇంటిగ్రేషన్ మద్దతును అందిస్తుంది. [45] ఏదేమైనా, 2015 లో, నార్త్రోప్ గ్రుమ్మన్ ఇకపై టి-ఎక్స్ పరిశీలన కోసం హాక్‌ను సమర్పించలేదు, ప్రధానంగా ఎయిర్‌ఫ్రేమ్ పనితీరు లోపాల కారణంగా అధిక యాంగిల్-ఆఫ్-అటాక్ మరియు నిరంతర త్వరణాలు, అలాగే స్థోమతకు సంబంధించిన ఆందోళనలు. బదులుగా, నార్త్రోప్ గ్రుమ్మన్ అభివృద్ధి చెందుతున్న టి-ఎక్స్ అవసరాలకు దగ్గరగా సరిపోయేలా కొత్త క్లీన్-షీట్ డిజైన్‌ను ప్రారంభించాడు. నార్త్రోప్ గ్రుమ్మన్ యొక్క అనుబంధ సంస్థ స్కేల్డ్ మిశ్రమాలు, 2015 చివరిలో మొదటి విమానంతో expected హించిన ప్రోటోటైప్‌ను నిర్మించడం జరిగింది. [46] 19 ఆగస్టు 2016 న మొజావేలో, నార్త్రోప్ గ్రుమ్మన్ తన టి-ఎక్స్ కాన్సెప్ట్ యొక్క నమూనాను ఒకే GE F404-102D ఇంజిన్ ద్వారా బహిరంగంగా వెల్లడించింది. [47] స్కేల్డ్ కాంపోజిట్స్ మోడల్ 400 స్విఫ్ట్ ఆగస్టు 26 న మొదటి విమానంలో, ఆ తరువాత మరో ఆరు; దీని గరిష్ట టేకాఫ్ బరువు 15,400 ఎల్బి (7.0 టి) లాక్‌హీడ్/కై టి -50 ఎ లేదా ఎం -346-ఆధారిత లియోనార్డో టి -100 కంటే తేలికైనది, మరియు విజేత బోయింగ్/సాబ్ డిజైన్ కంటే 25% భారీగా ఉంటుంది, దీనికి గరిష్ట వేగం ఉంది 500 kN (930 km/h) మరియు 35,000 అడుగుల (11,000 మీ) పైకప్పు. [48] 1 ఫిబ్రవరి 2017 న, కంపెనీలు టి-ఎక్స్ ప్రోగ్రాం కోసం ప్రతిపాదనను సమర్పించబోమని ప్రకటించాయి. [49] సియెర్రా నెవాడా కార్పొరేషన్ (SNC) మరియు టర్కిష్ ఏరోస్పేస్ ఇండస్ట్రీస్ (TAI) కూడా TAI హర్జెట్ ట్రైనర్ ఆధారంగా T-X ప్రోగ్రామ్ [50] కోసం కొత్త విమానాన్ని అందిస్తున్నట్లు పరిశీలిస్తున్నాయి. కొలరాడో పోటీకి తేలికపాటి, ఆల్-కాంపోజిట్ ట్రైనర్‌ను అభివృద్ధి చేయడానికి. [50] 31 మార్చి 2017 న స్టావట్టి ఏరోస్పేస్ ప్రకటించింది, ఇది టి-ఎక్స్ పోటీ కోసం జావెలిన్‌ను సమర్పించింది. జావెలిన్ ఒక కొత్త సింగిల్-ఇంజిన్, రెండు-సీట్ల, మిలిటరీ ట్రైనర్ జెట్ మరియు చాలా తేలికపాటి ఫైటర్ (విఎల్ఎఫ్) విమానం, ఏవియేషన్ టెక్నాలజీ గ్రూప్ జావెలిన్ ఎంకె -30 నుండి తీసుకోబడింది. [51] టెక్స్ట్రాన్ మరియు ఎయిర్‌ల్యాండ్ ఎంటర్ప్రైజెస్ మధ్య జాయింట్ వెంచర్ అయిన టెక్స్ట్రాన్ ఎయిర్‌ల్యాండ్ టెక్స్ట్రాన్ ఎయిర్‌ల్యాండ్ స్కార్పియన్ లైట్ అటాక్ జెట్ను అభివృద్ధి చేసింది, ఇది టి-ఎక్స్ కార్యక్రమానికి అభ్యర్థిగా సంభావ్యతను కలిగి ఉంది. టెక్స్ట్రాన్ మేనేజ్‌మెంట్, రెండు ఇంజిన్‌లను ఒకే ఇంజిన్‌తో మార్చుకోవడం మరియు రెక్కలను మార్చడం వంటి కొన్ని మార్పులతో, ఈ విమానం టి-ఎక్స్ పాత్రకు అనువైన మ్యాచ్ అని పేర్కొంది. [52] అదనంగా, ఫర్న్‌బరో 2014 ఎయిర్‌షో సమయంలో, టెక్స్ట్రాన్ ప్రతినిధులు టి-ఎక్స్ ప్రోగ్రామ్‌పై గణనీయమైన ఆసక్తిని వ్యక్తం చేశారు మరియు ముసాయిదా అవసరాల పురోగతిని వారు దగ్గరగా అనుసరిస్తున్నారని సూచించారు. [21] 23 ఆగస్టు 2014 న, టెక్స్ట్రాన్ ఎయిర్‌ల్యాండ్ వారు టి-ఎక్స్ ట్రైనర్ కోసం పోటీ పడతారని మరియు శిక్షణ అవసరాలకు బాగా సరిపోయేలా తేలును సవరించాలని అధికారికంగా ధృవీకరించారు. [53] ఏదేమైనా, సెప్టెంబర్ 2015 లో టెక్స్ట్రాన్ ఎయిర్‌ల్యాండ్ వైమానిక దళ అవసరాలను మార్చడం వల్ల ఈ కార్యక్రమానికి తేలు యొక్క సంస్కరణను అందించదని వెల్లడించింది, తక్కువ ఖర్చుతో కూడిన అధునాతన జెట్ ట్రైనర్ నుండి అధిక-పనితీరు గల ఫ్లై-బై-వైర్ ట్రైనర్‌కు తక్కువ అభివృద్ధి అవసరం టాప్ టైర్ హ్యాండ్లింగ్ లక్షణాలతో. టి-ఎక్స్ పట్ల ఇంకా ఆసక్తి ఉందని కంపెనీ పేర్కొంది, కాని ఇతర పోటీదారుల మాదిరిగానే క్లీన్-షీట్ డిజైన్‌ను అందించాల్సి ఉంటుంది. [54] [55]</v>
      </c>
      <c r="E155" s="1" t="s">
        <v>2946</v>
      </c>
      <c r="G155" s="1" t="str">
        <f>IFERROR(__xludf.DUMMYFUNCTION("GOOGLETRANSLATE(F:F,""en"", ""te"")"),"#VALUE!")</f>
        <v>#VALUE!</v>
      </c>
      <c r="CY155" s="1" t="s">
        <v>2947</v>
      </c>
      <c r="CZ155" s="1" t="s">
        <v>2948</v>
      </c>
      <c r="DA155" s="1" t="s">
        <v>1648</v>
      </c>
      <c r="DB155" s="1" t="s">
        <v>1650</v>
      </c>
      <c r="DC155" s="1" t="s">
        <v>2949</v>
      </c>
      <c r="DD155" s="1" t="s">
        <v>2950</v>
      </c>
      <c r="DE155" s="1" t="s">
        <v>2951</v>
      </c>
      <c r="EC155" s="1" t="s">
        <v>2952</v>
      </c>
      <c r="ED155" s="4">
        <v>42083.0</v>
      </c>
      <c r="EE155" s="1" t="s">
        <v>2953</v>
      </c>
      <c r="EF155" s="4">
        <v>43370.0</v>
      </c>
    </row>
    <row r="156">
      <c r="A156" s="1" t="s">
        <v>2954</v>
      </c>
      <c r="B156" s="1" t="str">
        <f>IFERROR(__xludf.DUMMYFUNCTION("GOOGLETRANSLATE(A:A,""en"", ""te"")"),"తపనీ పెగాజైర్ -100")</f>
        <v>తపనీ పెగాజైర్ -100</v>
      </c>
      <c r="C156" s="1" t="s">
        <v>2955</v>
      </c>
      <c r="D156" s="1" t="str">
        <f>IFERROR(__xludf.DUMMYFUNCTION("GOOGLETRANSLATE(C:C,""en"", ""te"")"),"పెగజైర్ -100 స్టోల్ అనేది కెనడాలో మోంట్-సెయింట్-మిచెల్, క్యూబెక్‌కు చెందిన తపనీ ఏవియేషన్, ఇంక్ చేత అభివృద్ధి చేయబడిన రెండు-సీట్ల స్టోల్ హోమ్‌బిల్ట్ విమానం. [1] [2] [3] క్యూబెక్‌లోని మోంట్-సెయింట్-మిచెల్ యొక్క సెర్గ్ డుఫోర్ 1985 లో పెగాజైర్ అభివృద్ధి ప్రార"&amp;"ంభమైంది. వాస్తవానికి ఇది పెగా-స్టోల్ రెక్కల యొక్క కొత్త సెట్‌ను కలిగి ఉంది, ఇది జెనెయిర్ సిహెచ్ 701 స్టోల్స్‌లో ఉపసంహరించదగిన ప్రముఖ ఎడ్జ్ స్లాట్‌లను కలిగి ఉంది, వాటి రెక్కలను భర్తీ చేయడానికి ప్రముఖ అంచు స్లాట్‌లను కలిగి ఉంది. డుఫోర్ రెక్కలతో సరిపోయేలా కొ"&amp;"త్త ఫ్యూజ్‌లేజ్ మరియు తోకను అభివృద్ధి చేశాడు. పెగాజైర్ సైడ్-బై-సైడ్ కాన్ఫిగరేషన్‌లో రెండు సీట్లు, సాంప్రదాయిక ల్యాండింగ్ గేర్‌తో స్ట్రట్-బ్రేస్డ్, హై-వింగ్ మోనోప్లేన్. ఫ్యూజ్‌లేజ్ నిర్మాణం అల్యూమినియం చర్మంతో స్టీల్ గొట్టాలను వెల్డింగ్ చేస్తుంది. రెక్కలు "&amp;"పూర్తి పొడవు ఫ్లాపెరాన్లు మరియు ప్రముఖ ఎడ్జ్ స్లాట్‌లను స్వయంచాలకంగా అమలు చేస్తాయి. స్లో స్పీడ్ అథారిటీ కోసం టెయిల్‌ప్లేన్ స్లాట్ చేయబడింది. ప్రోటోటైప్ 65 HP (48 kW) కాంటినెంటల్ A-65 ఇంజిన్‌తో తయారు చేయబడింది. [2] [3] [4] డిజైన్ తరువాత నాలుగు-సీట్ల తపనీ ల"&amp;"ెవిటేషన్ 4 గా అభివృద్ధి చేయబడింది. [2] [3] తయారీదారు మరియు కిట్‌ప్లాన్‌ల నుండి డేటా [5] సాధారణ లక్షణాల పనితీరు")</f>
        <v>పెగజైర్ -100 స్టోల్ అనేది కెనడాలో మోంట్-సెయింట్-మిచెల్, క్యూబెక్‌కు చెందిన తపనీ ఏవియేషన్, ఇంక్ చేత అభివృద్ధి చేయబడిన రెండు-సీట్ల స్టోల్ హోమ్‌బిల్ట్ విమానం. [1] [2] [3] క్యూబెక్‌లోని మోంట్-సెయింట్-మిచెల్ యొక్క సెర్గ్ డుఫోర్ 1985 లో పెగాజైర్ అభివృద్ధి ప్రారంభమైంది. వాస్తవానికి ఇది పెగా-స్టోల్ రెక్కల యొక్క కొత్త సెట్‌ను కలిగి ఉంది, ఇది జెనెయిర్ సిహెచ్ 701 స్టోల్స్‌లో ఉపసంహరించదగిన ప్రముఖ ఎడ్జ్ స్లాట్‌లను కలిగి ఉంది, వాటి రెక్కలను భర్తీ చేయడానికి ప్రముఖ అంచు స్లాట్‌లను కలిగి ఉంది. డుఫోర్ రెక్కలతో సరిపోయేలా కొత్త ఫ్యూజ్‌లేజ్ మరియు తోకను అభివృద్ధి చేశాడు. పెగాజైర్ సైడ్-బై-సైడ్ కాన్ఫిగరేషన్‌లో రెండు సీట్లు, సాంప్రదాయిక ల్యాండింగ్ గేర్‌తో స్ట్రట్-బ్రేస్డ్, హై-వింగ్ మోనోప్లేన్. ఫ్యూజ్‌లేజ్ నిర్మాణం అల్యూమినియం చర్మంతో స్టీల్ గొట్టాలను వెల్డింగ్ చేస్తుంది. రెక్కలు పూర్తి పొడవు ఫ్లాపెరాన్లు మరియు ప్రముఖ ఎడ్జ్ స్లాట్‌లను స్వయంచాలకంగా అమలు చేస్తాయి. స్లో స్పీడ్ అథారిటీ కోసం టెయిల్‌ప్లేన్ స్లాట్ చేయబడింది. ప్రోటోటైప్ 65 HP (48 kW) కాంటినెంటల్ A-65 ఇంజిన్‌తో తయారు చేయబడింది. [2] [3] [4] డిజైన్ తరువాత నాలుగు-సీట్ల తపనీ లెవిటేషన్ 4 గా అభివృద్ధి చేయబడింది. [2] [3] తయారీదారు మరియు కిట్‌ప్లాన్‌ల నుండి డేటా [5] సాధారణ లక్షణాల పనితీరు</v>
      </c>
      <c r="E156" s="1" t="s">
        <v>2956</v>
      </c>
      <c r="F156" s="1" t="s">
        <v>258</v>
      </c>
      <c r="G156" s="1" t="str">
        <f>IFERROR(__xludf.DUMMYFUNCTION("GOOGLETRANSLATE(F:F,""en"", ""te"")"),"హోమ్‌బిల్ట్ విమానం")</f>
        <v>హోమ్‌బిల్ట్ విమానం</v>
      </c>
      <c r="H156" s="1" t="s">
        <v>259</v>
      </c>
      <c r="I156" s="1" t="s">
        <v>1338</v>
      </c>
      <c r="J156" s="1" t="str">
        <f>IFERROR(__xludf.DUMMYFUNCTION("GOOGLETRANSLATE(I:I,""en"", ""te"")"),"కెనడా")</f>
        <v>కెనడా</v>
      </c>
      <c r="K156" s="2" t="s">
        <v>1339</v>
      </c>
      <c r="L156" s="1" t="s">
        <v>2957</v>
      </c>
      <c r="M156" s="1" t="str">
        <f>IFERROR(__xludf.DUMMYFUNCTION("GOOGLETRANSLATE(L:L,""en"", ""te"")"),"తపనీ ఏవియేషన్, ఇంక్.")</f>
        <v>తపనీ ఏవియేషన్, ఇంక్.</v>
      </c>
      <c r="N156" s="1" t="s">
        <v>2958</v>
      </c>
      <c r="S156" s="1" t="s">
        <v>164</v>
      </c>
      <c r="T156" s="1" t="s">
        <v>165</v>
      </c>
      <c r="U156" s="1" t="s">
        <v>2959</v>
      </c>
      <c r="W156" s="1" t="s">
        <v>1169</v>
      </c>
      <c r="X156" s="1" t="s">
        <v>2960</v>
      </c>
      <c r="Y156" s="1" t="s">
        <v>2961</v>
      </c>
      <c r="Z156" s="1" t="s">
        <v>2962</v>
      </c>
      <c r="AA156" s="1" t="s">
        <v>2963</v>
      </c>
      <c r="AB156" s="1" t="s">
        <v>2964</v>
      </c>
      <c r="AF156" s="1" t="s">
        <v>2965</v>
      </c>
      <c r="AG156" s="1" t="s">
        <v>2966</v>
      </c>
      <c r="AH156" s="1" t="s">
        <v>2967</v>
      </c>
      <c r="AI156" s="1" t="s">
        <v>2968</v>
      </c>
      <c r="AJ156" s="1" t="s">
        <v>2969</v>
      </c>
      <c r="AK156" s="1" t="s">
        <v>2970</v>
      </c>
      <c r="AM156" s="1" t="s">
        <v>2971</v>
      </c>
      <c r="AO156" s="3">
        <v>33390.0</v>
      </c>
      <c r="AS156" s="1" t="s">
        <v>2972</v>
      </c>
      <c r="AW156" s="1" t="s">
        <v>2973</v>
      </c>
      <c r="BE156" s="1" t="s">
        <v>2974</v>
      </c>
    </row>
    <row r="157">
      <c r="A157" s="1" t="s">
        <v>2975</v>
      </c>
      <c r="B157" s="1" t="str">
        <f>IFERROR(__xludf.DUMMYFUNCTION("GOOGLETRANSLATE(A:A,""en"", ""te"")"),"సీతాకోకచిలుక సూపర్ స్కై చక్రం")</f>
        <v>సీతాకోకచిలుక సూపర్ స్కై చక్రం</v>
      </c>
      <c r="C157" s="1" t="s">
        <v>2976</v>
      </c>
      <c r="D157" s="1" t="str">
        <f>IFERROR(__xludf.DUMMYFUNCTION("GOOGLETRANSLATE(C:C,""en"", ""te"")"),"సీతాకోకచిలుక సూపర్ స్కై సైకిల్ అనేది సీతాకోకచిలుక ఎయిర్క్రాఫ్ట్ LLC చేత రూపొందించబడిన మరియు తయారు చేయబడిన ఒక అమెరికన్ హోమ్‌గా నిర్మించదగిన రోడ్‌రబుల్ గైరోప్లేన్. సూపర్ స్కై చక్రం ట్రైసైకిల్ అండర్ క్యారేజ్ మరియు బెల్ట్ డ్రైవ్ ప్రొపల్షన్‌తో కూడిన పషర్ గైరోప"&amp;"్లేన్. రెండవ రెండు సైకిల్ ఇంజిన్ ప్రధాన చక్రాలను నడుపుతుంది. కెవ్లర్ తోక విమానంలో దిశాత్మక నియంత్రణను అందిస్తుంది. రోటర్లను రహదారి ప్రయాణం కోసం ముడుచుకోగలరు. రెండు 5 యు.ఎస్. గ్యాలన్లు (19 ఎల్; 4.2 ఇంప్ గాల్) ట్యాంకులు రిజర్వ్‌లో అమర్చబడ్డాయి. [1] [2] మాన్"&amp;"యుఫ్యాక్టర్జెనరల్ లక్షణాల పనితీరు నుండి డేటా")</f>
        <v>సీతాకోకచిలుక సూపర్ స్కై సైకిల్ అనేది సీతాకోకచిలుక ఎయిర్క్రాఫ్ట్ LLC చేత రూపొందించబడిన మరియు తయారు చేయబడిన ఒక అమెరికన్ హోమ్‌గా నిర్మించదగిన రోడ్‌రబుల్ గైరోప్లేన్. సూపర్ స్కై చక్రం ట్రైసైకిల్ అండర్ క్యారేజ్ మరియు బెల్ట్ డ్రైవ్ ప్రొపల్షన్‌తో కూడిన పషర్ గైరోప్లేన్. రెండవ రెండు సైకిల్ ఇంజిన్ ప్రధాన చక్రాలను నడుపుతుంది. కెవ్లర్ తోక విమానంలో దిశాత్మక నియంత్రణను అందిస్తుంది. రోటర్లను రహదారి ప్రయాణం కోసం ముడుచుకోగలరు. రెండు 5 యు.ఎస్. గ్యాలన్లు (19 ఎల్; 4.2 ఇంప్ గాల్) ట్యాంకులు రిజర్వ్‌లో అమర్చబడ్డాయి. [1] [2] మాన్యుఫ్యాక్టర్జెనరల్ లక్షణాల పనితీరు నుండి డేటా</v>
      </c>
      <c r="E157" s="1" t="s">
        <v>2977</v>
      </c>
      <c r="F157" s="1" t="s">
        <v>2978</v>
      </c>
      <c r="G157" s="1" t="str">
        <f>IFERROR(__xludf.DUMMYFUNCTION("GOOGLETRANSLATE(F:F,""en"", ""te"")"),"గైరోప్లేన్")</f>
        <v>గైరోప్లేన్</v>
      </c>
      <c r="H157" s="2" t="s">
        <v>2979</v>
      </c>
      <c r="I157" s="1" t="s">
        <v>158</v>
      </c>
      <c r="J157" s="1" t="str">
        <f>IFERROR(__xludf.DUMMYFUNCTION("GOOGLETRANSLATE(I:I,""en"", ""te"")"),"అమెరికా")</f>
        <v>అమెరికా</v>
      </c>
      <c r="K157" s="1" t="s">
        <v>159</v>
      </c>
      <c r="L157" s="1" t="s">
        <v>2980</v>
      </c>
      <c r="M157" s="1" t="str">
        <f>IFERROR(__xludf.DUMMYFUNCTION("GOOGLETRANSLATE(L:L,""en"", ""te"")"),"సీతాకోకచిలుక విమానం LLC")</f>
        <v>సీతాకోకచిలుక విమానం LLC</v>
      </c>
      <c r="N157" s="1" t="s">
        <v>2981</v>
      </c>
      <c r="O157" s="1">
        <v>2009.0</v>
      </c>
      <c r="U157" s="1" t="s">
        <v>2982</v>
      </c>
      <c r="V157" s="1" t="s">
        <v>2983</v>
      </c>
      <c r="X157" s="1" t="s">
        <v>1933</v>
      </c>
      <c r="Z157" s="1" t="s">
        <v>2984</v>
      </c>
      <c r="AA157" s="1" t="s">
        <v>2985</v>
      </c>
      <c r="AB157" s="1" t="s">
        <v>356</v>
      </c>
      <c r="AE157" s="1" t="s">
        <v>375</v>
      </c>
      <c r="AM157" s="1" t="s">
        <v>2986</v>
      </c>
    </row>
    <row r="158">
      <c r="A158" s="1" t="s">
        <v>2987</v>
      </c>
      <c r="B158" s="1" t="str">
        <f>IFERROR(__xludf.DUMMYFUNCTION("GOOGLETRANSLATE(A:A,""en"", ""te"")"),"టైటాన్ సుడిగాలి")</f>
        <v>టైటాన్ సుడిగాలి</v>
      </c>
      <c r="C158" s="1" t="s">
        <v>2988</v>
      </c>
      <c r="D158" s="1" t="str">
        <f>IFERROR(__xludf.DUMMYFUNCTION("GOOGLETRANSLATE(C:C,""en"", ""te"")"),"టైటాన్ సుడిగాలి అనేది కాంటిలివర్ హై-వింగ్, పషర్ కాన్ఫిగరేషన్, ట్రైసైకిల్ గేర్-అమర్చిన కిట్ విమానం యొక్క పెద్ద కుటుంబం, ఆస్టిన్బర్గ్, ఒహియో యొక్క టైటాన్ విమానాలు te త్సాహిక నిర్మాణం కోసం తయారు చేయబడ్డాయి. [1] [2] [3] [5] [6] ] [[7] [7] [8] [8] [8] [9] సుడి"&amp;"గాలి సిరీస్‌లో మొదటిది, 1990 లో అభివృద్ధిని ప్రారంభించిన సుడిగాలి 103 1994 లో ప్రవేశపెట్టబడింది మరియు 254 ఎల్బి (115 కిలోల) ఖాళీ బరువు పరిమితిని చేరుకున్న యుఎస్ ఫార్ 103 అల్ట్రాలైట్ వెహికల్స్ విభాగానికి సరిపోయేలా రూపొందించబడింది. తేలికపాటి ఇంజిన్‌తో అమర్చ"&amp;"బడి ఉంటే సుడిగాలి 103 యుఎస్ అల్ట్రాలైట్‌గా అర్హత సాధించగలదు. [1] [3] సుడిగాలి ఎర్త్‌స్టార్ థండర్ గల్ జె రూపకల్పన నుండి రుణాలు తీసుకుంటుంది మరియు చిన్న ప్రాంతం యొక్క ఇదే విధమైన కాంటిలివర్ వింగ్‌ను పంచుకుంటుంది, ఫ్లాప్‌లను ఉపయోగించడం ద్వారా స్టాల్ వేగాన్ని "&amp;"తక్కువగా ఉంచుతుంది. ఈ తక్కువ డ్రాగ్ డిజైన్ ఫలితంగా అధిక క్రాస్ కంట్రీ వేగాన్ని నిర్వహిస్తుంది. కాక్‌పిట్ 4130 ఉక్కు నుండి నిర్మించబడింది, అయితే ఫ్యూజ్‌లేజ్ బూమ్ ట్యూబ్ మరియు రెక్కలు అల్యూమినియం నుండి నిర్మించబడ్డాయి. షీట్ అల్యూమినియంలో విమాన ఫాబ్రిక్-కప్ప"&amp;"బడిన లేదా ఐచ్ఛికంగా పూర్తయిన గల్స్ వింగ్ మాదిరిగా కాకుండా, [12] సుడిగాలి యొక్క రెక్క ఒత్తిడి చర్మం. సుడిగాలి ఒక ట్రైసైకిల్ అండర్ క్యారేజీని అనుబంధ టెయిల్‌వీల్ కాస్టర్‌తో కలిగి ఉంది, ఎందుకంటే విమానం ఖాళీగా ఉన్నప్పుడు దాని తోకపై కూర్చుంటుంది. [1] [3] సుడిగా"&amp;"లి 103 సన్ ఎన్ ఫన్ 1994 లో అల్ట్రాలైట్ గ్రాండ్ ఛాంపియన్‌గా ఎంపికయ్యాడు. [4] క్లిచ్ నుండి డేటా [1] సాధారణ లక్షణాలు పనితీరు సంబంధిత అభివృద్ధి అభివృద్ధి విమానం పోల్చదగిన పాత్ర, కాన్ఫిగరేషన్ మరియు ERA")</f>
        <v>టైటాన్ సుడిగాలి అనేది కాంటిలివర్ హై-వింగ్, పషర్ కాన్ఫిగరేషన్, ట్రైసైకిల్ గేర్-అమర్చిన కిట్ విమానం యొక్క పెద్ద కుటుంబం, ఆస్టిన్బర్గ్, ఒహియో యొక్క టైటాన్ విమానాలు te త్సాహిక నిర్మాణం కోసం తయారు చేయబడ్డాయి. [1] [2] [3] [5] [6] ] [[7] [7] [8] [8] [8] [9] సుడిగాలి సిరీస్‌లో మొదటిది, 1990 లో అభివృద్ధిని ప్రారంభించిన సుడిగాలి 103 1994 లో ప్రవేశపెట్టబడింది మరియు 254 ఎల్బి (115 కిలోల) ఖాళీ బరువు పరిమితిని చేరుకున్న యుఎస్ ఫార్ 103 అల్ట్రాలైట్ వెహికల్స్ విభాగానికి సరిపోయేలా రూపొందించబడింది. తేలికపాటి ఇంజిన్‌తో అమర్చబడి ఉంటే సుడిగాలి 103 యుఎస్ అల్ట్రాలైట్‌గా అర్హత సాధించగలదు. [1] [3] సుడిగాలి ఎర్త్‌స్టార్ థండర్ గల్ జె రూపకల్పన నుండి రుణాలు తీసుకుంటుంది మరియు చిన్న ప్రాంతం యొక్క ఇదే విధమైన కాంటిలివర్ వింగ్‌ను పంచుకుంటుంది, ఫ్లాప్‌లను ఉపయోగించడం ద్వారా స్టాల్ వేగాన్ని తక్కువగా ఉంచుతుంది. ఈ తక్కువ డ్రాగ్ డిజైన్ ఫలితంగా అధిక క్రాస్ కంట్రీ వేగాన్ని నిర్వహిస్తుంది. కాక్‌పిట్ 4130 ఉక్కు నుండి నిర్మించబడింది, అయితే ఫ్యూజ్‌లేజ్ బూమ్ ట్యూబ్ మరియు రెక్కలు అల్యూమినియం నుండి నిర్మించబడ్డాయి. షీట్ అల్యూమినియంలో విమాన ఫాబ్రిక్-కప్పబడిన లేదా ఐచ్ఛికంగా పూర్తయిన గల్స్ వింగ్ మాదిరిగా కాకుండా, [12] సుడిగాలి యొక్క రెక్క ఒత్తిడి చర్మం. సుడిగాలి ఒక ట్రైసైకిల్ అండర్ క్యారేజీని అనుబంధ టెయిల్‌వీల్ కాస్టర్‌తో కలిగి ఉంది, ఎందుకంటే విమానం ఖాళీగా ఉన్నప్పుడు దాని తోకపై కూర్చుంటుంది. [1] [3] సుడిగాలి 103 సన్ ఎన్ ఫన్ 1994 లో అల్ట్రాలైట్ గ్రాండ్ ఛాంపియన్‌గా ఎంపికయ్యాడు. [4] క్లిచ్ నుండి డేటా [1] సాధారణ లక్షణాలు పనితీరు సంబంధిత అభివృద్ధి అభివృద్ధి విమానం పోల్చదగిన పాత్ర, కాన్ఫిగరేషన్ మరియు ERA</v>
      </c>
      <c r="E158" s="1" t="s">
        <v>2989</v>
      </c>
      <c r="F158" s="1" t="s">
        <v>1336</v>
      </c>
      <c r="G158" s="1" t="str">
        <f>IFERROR(__xludf.DUMMYFUNCTION("GOOGLETRANSLATE(F:F,""en"", ""te"")"),"కిట్ విమానం")</f>
        <v>కిట్ విమానం</v>
      </c>
      <c r="H158" s="1" t="s">
        <v>1337</v>
      </c>
      <c r="I158" s="1" t="s">
        <v>158</v>
      </c>
      <c r="J158" s="1" t="str">
        <f>IFERROR(__xludf.DUMMYFUNCTION("GOOGLETRANSLATE(I:I,""en"", ""te"")"),"అమెరికా")</f>
        <v>అమెరికా</v>
      </c>
      <c r="K158" s="1" t="s">
        <v>159</v>
      </c>
      <c r="L158" s="1" t="s">
        <v>2990</v>
      </c>
      <c r="M158" s="1" t="str">
        <f>IFERROR(__xludf.DUMMYFUNCTION("GOOGLETRANSLATE(L:L,""en"", ""te"")"),"టైటాన్ విమానం")</f>
        <v>టైటాన్ విమానం</v>
      </c>
      <c r="N158" s="1" t="s">
        <v>2991</v>
      </c>
      <c r="O158" s="1">
        <v>1994.0</v>
      </c>
      <c r="P158" s="1" t="s">
        <v>162</v>
      </c>
      <c r="Q158" s="1"/>
      <c r="S158" s="1" t="s">
        <v>164</v>
      </c>
      <c r="U158" s="1" t="s">
        <v>2707</v>
      </c>
      <c r="V158" s="1" t="s">
        <v>646</v>
      </c>
      <c r="X158" s="1" t="s">
        <v>2049</v>
      </c>
      <c r="Y158" s="1" t="s">
        <v>688</v>
      </c>
      <c r="Z158" s="1" t="s">
        <v>2992</v>
      </c>
      <c r="AA158" s="1" t="s">
        <v>2993</v>
      </c>
      <c r="AB158" s="1" t="s">
        <v>2913</v>
      </c>
      <c r="AD158" s="1" t="s">
        <v>2994</v>
      </c>
      <c r="AE158" s="1" t="s">
        <v>316</v>
      </c>
      <c r="AG158" s="1" t="s">
        <v>2995</v>
      </c>
      <c r="AH158" s="1" t="s">
        <v>2872</v>
      </c>
      <c r="AI158" s="1" t="s">
        <v>2996</v>
      </c>
      <c r="AK158" s="1" t="s">
        <v>2997</v>
      </c>
      <c r="AL158" s="1" t="s">
        <v>2998</v>
      </c>
      <c r="AU158" s="1" t="s">
        <v>2999</v>
      </c>
      <c r="AV158" s="1" t="s">
        <v>3000</v>
      </c>
      <c r="BG158" s="1" t="s">
        <v>3001</v>
      </c>
    </row>
    <row r="159">
      <c r="A159" s="1" t="s">
        <v>3002</v>
      </c>
      <c r="B159" s="1" t="str">
        <f>IFERROR(__xludf.DUMMYFUNCTION("GOOGLETRANSLATE(A:A,""en"", ""te"")"),"సూపర్ మేరిన్ పిచ్చుక")</f>
        <v>సూపర్ మేరిన్ పిచ్చుక</v>
      </c>
      <c r="C159" s="1" t="s">
        <v>3003</v>
      </c>
      <c r="D159" s="1" t="str">
        <f>IFERROR(__xludf.DUMMYFUNCTION("GOOGLETRANSLATE(C:C,""en"", ""te"")"),"సూపర్ మేరిన్ పిచ్చుక అనేది ఆర్.జె. మిచెల్ మరియు సౌతాంప్టన్లోని వూల్స్టన్ వద్ద సూపర్ మెరైన్ నిర్మించారు. స్పారో నేను 1924 లింప్నే లైట్ ఎయిర్క్రాఫ్ట్ ట్రయల్స్ కోసం రూపొందించాను మరియు నిర్మించాను. ఇది రెండు సీట్ల బైప్‌లేన్, ఇది 35 హెచ్‌పి (26 కిలోవాట్ల) బ్లా"&amp;"క్‌బర్న్ థ్రష్ పిస్టన్ ఇంజిన్‌తో, ద్వంద్వ నియంత్రణలతో. స్పారో I (రిజిస్టర్డ్ G-EBJP) మొదట 11 సెప్టెంబర్ 1924 న ప్రయాణించింది. [1] థ్రష్, మూడు సిలిండర్ రేడియల్ ఇంజిన్ చాలా నమ్మదగనిదని నిరూపించబడింది మరియు ఇంజిన్ వైఫల్యం కారణంగా పిచ్చుక తేలికపాటి విమాన ట్రయ"&amp;"ల్ నుండి తొలగించబడింది. 14 అక్టోబర్ 1924 న లింప్నే ఏరోడ్రోమ్‌లో జరిగిన గ్రోస్వెనర్ ట్రోఫీ రేసులో, ఇది 62.08 mph (99.91 కిమీ/గం) వేగంతో నాల్గవ స్థానంలో నిలిచింది. [2] ఈ విమానం 1926 లింప్నే ట్రయల్స్‌కు పారాసోల్ మోనోప్లేన్‌గా పునర్నిర్మించబడింది (మరియు పిచ్చ"&amp;"ుకను పున es రూపకల్పన చేసింది) మరియు 32 హెచ్‌పి (24 కిలోవాట్) బ్రిస్టల్ కెరూబ్ III ఇంజిన్‌తో తిరిగి ఇంజిన్ చేయబడింది. ట్రయల్స్ సమయంలో స్పారో ఫోర్స్ 12 సెప్టెంబర్ 1926 న బీచ్ హెడ్ సమీపంలో దిగింది, మళ్ళీ పోటీ నుండి తొలగించబడింది, దీనిని హాకర్ సిగ్నెట్ గెలుచు"&amp;"కుంది. [3] వింగ్ విభాగాలను పరీక్షించడానికి ఉపయోగించిన తరువాత, ఈ విమానం హాల్టన్ ఏరో క్లబ్‌కు విక్రయించబడింది, [4] 1933 వరకు ఉనికిలో ఉంది. [5] 1919 నుండి బ్రిటిష్ సివిల్ ఎయిర్క్రాఫ్ట్ నుండి వచ్చిన డేటా. [5] పోల్చదగిన పాత్ర, కాన్ఫిగరేషన్ మరియు ERA యొక్క సాధా"&amp;"రణ లక్షణాలు పనితీరు విమానం")</f>
        <v>సూపర్ మేరిన్ పిచ్చుక అనేది ఆర్.జె. మిచెల్ మరియు సౌతాంప్టన్లోని వూల్స్టన్ వద్ద సూపర్ మెరైన్ నిర్మించారు. స్పారో నేను 1924 లింప్నే లైట్ ఎయిర్క్రాఫ్ట్ ట్రయల్స్ కోసం రూపొందించాను మరియు నిర్మించాను. ఇది రెండు సీట్ల బైప్‌లేన్, ఇది 35 హెచ్‌పి (26 కిలోవాట్ల) బ్లాక్‌బర్న్ థ్రష్ పిస్టన్ ఇంజిన్‌తో, ద్వంద్వ నియంత్రణలతో. స్పారో I (రిజిస్టర్డ్ G-EBJP) మొదట 11 సెప్టెంబర్ 1924 న ప్రయాణించింది. [1] థ్రష్, మూడు సిలిండర్ రేడియల్ ఇంజిన్ చాలా నమ్మదగనిదని నిరూపించబడింది మరియు ఇంజిన్ వైఫల్యం కారణంగా పిచ్చుక తేలికపాటి విమాన ట్రయల్ నుండి తొలగించబడింది. 14 అక్టోబర్ 1924 న లింప్నే ఏరోడ్రోమ్‌లో జరిగిన గ్రోస్వెనర్ ట్రోఫీ రేసులో, ఇది 62.08 mph (99.91 కిమీ/గం) వేగంతో నాల్గవ స్థానంలో నిలిచింది. [2] ఈ విమానం 1926 లింప్నే ట్రయల్స్‌కు పారాసోల్ మోనోప్లేన్‌గా పునర్నిర్మించబడింది (మరియు పిచ్చుకను పున es రూపకల్పన చేసింది) మరియు 32 హెచ్‌పి (24 కిలోవాట్) బ్రిస్టల్ కెరూబ్ III ఇంజిన్‌తో తిరిగి ఇంజిన్ చేయబడింది. ట్రయల్స్ సమయంలో స్పారో ఫోర్స్ 12 సెప్టెంబర్ 1926 న బీచ్ హెడ్ సమీపంలో దిగింది, మళ్ళీ పోటీ నుండి తొలగించబడింది, దీనిని హాకర్ సిగ్నెట్ గెలుచుకుంది. [3] వింగ్ విభాగాలను పరీక్షించడానికి ఉపయోగించిన తరువాత, ఈ విమానం హాల్టన్ ఏరో క్లబ్‌కు విక్రయించబడింది, [4] 1933 వరకు ఉనికిలో ఉంది. [5] 1919 నుండి బ్రిటిష్ సివిల్ ఎయిర్క్రాఫ్ట్ నుండి వచ్చిన డేటా. [5] పోల్చదగిన పాత్ర, కాన్ఫిగరేషన్ మరియు ERA యొక్క సాధారణ లక్షణాలు పనితీరు విమానం</v>
      </c>
      <c r="E159" s="1" t="s">
        <v>3004</v>
      </c>
      <c r="F159" s="1" t="s">
        <v>3005</v>
      </c>
      <c r="G159" s="1" t="str">
        <f>IFERROR(__xludf.DUMMYFUNCTION("GOOGLETRANSLATE(F:F,""en"", ""te"")"),"రెండు-సీట్ల లైట్ స్పోర్ట్స్ విమానం")</f>
        <v>రెండు-సీట్ల లైట్ స్పోర్ట్స్ విమానం</v>
      </c>
      <c r="I159" s="1" t="s">
        <v>480</v>
      </c>
      <c r="J159" s="1" t="str">
        <f>IFERROR(__xludf.DUMMYFUNCTION("GOOGLETRANSLATE(I:I,""en"", ""te"")"),"యునైటెడ్ కింగ్‌డమ్")</f>
        <v>యునైటెడ్ కింగ్‌డమ్</v>
      </c>
      <c r="L159" s="1" t="s">
        <v>3006</v>
      </c>
      <c r="M159" s="1" t="str">
        <f>IFERROR(__xludf.DUMMYFUNCTION("GOOGLETRANSLATE(L:L,""en"", ""te"")"),"సూపర్ మేరిన్ ఏవియేషన్ వర్క్స్")</f>
        <v>సూపర్ మేరిన్ ఏవియేషన్ వర్క్స్</v>
      </c>
      <c r="N159" s="1" t="s">
        <v>3007</v>
      </c>
      <c r="R159" s="1">
        <v>1.0</v>
      </c>
      <c r="S159" s="1">
        <v>1.0</v>
      </c>
      <c r="U159" s="1" t="s">
        <v>3008</v>
      </c>
      <c r="V159" s="1" t="s">
        <v>3009</v>
      </c>
      <c r="W159" s="1" t="s">
        <v>3010</v>
      </c>
      <c r="X159" s="1" t="s">
        <v>3011</v>
      </c>
      <c r="Y159" s="1" t="s">
        <v>3012</v>
      </c>
      <c r="AA159" s="1" t="s">
        <v>3013</v>
      </c>
      <c r="AE159" s="1" t="s">
        <v>3014</v>
      </c>
      <c r="AG159" s="1" t="s">
        <v>208</v>
      </c>
      <c r="AH159" s="1" t="s">
        <v>2841</v>
      </c>
      <c r="AL159" s="1" t="s">
        <v>3015</v>
      </c>
      <c r="AM159" s="1" t="s">
        <v>2665</v>
      </c>
      <c r="AN159" s="1" t="s">
        <v>2666</v>
      </c>
      <c r="AO159" s="4">
        <v>9021.0</v>
      </c>
      <c r="AQ159" s="1" t="s">
        <v>1499</v>
      </c>
      <c r="AW159" s="1" t="s">
        <v>2697</v>
      </c>
      <c r="BC159" s="1">
        <v>1930.0</v>
      </c>
    </row>
    <row r="160">
      <c r="A160" s="1" t="s">
        <v>3016</v>
      </c>
      <c r="B160" s="1" t="str">
        <f>IFERROR(__xludf.DUMMYFUNCTION("GOOGLETRANSLATE(A:A,""en"", ""te"")"),"స్విఫ్ట్ ఎయిర్క్రాఫ్ట్ స్విఫ్ట్")</f>
        <v>స్విఫ్ట్ ఎయిర్క్రాఫ్ట్ స్విఫ్ట్</v>
      </c>
      <c r="C160" s="1" t="s">
        <v>3017</v>
      </c>
      <c r="D160" s="1" t="str">
        <f>IFERROR(__xludf.DUMMYFUNCTION("GOOGLETRANSLATE(C:C,""en"", ""te"")"),"స్విఫ్ట్ ఎయిర్క్రాఫ్ట్ స్విఫ్ట్ ఒకే ఇంజిన్, సాంప్రదాయిక తేలికపాటి విమానం, సైడ్-బై-సైడ్ కాన్ఫిగరేషన్‌లో రెండు కూర్చుంటుంది. ఇది UK లో అభివృద్ధి చేయబడుతోంది, కానీ ఇంకా ఎగరలేదు. స్విఫ్ట్ ఎక్కువగా మిశ్రమ పదార్థాల నుండి నిర్మించబడింది; ఎగిరే ఉపరితలాలు మరియు ఫ్"&amp;"యూజ్‌లేజ్ మిశ్రమ శాండ్‌విచ్‌ల నుండి ఏర్పడతాయి మరియు వింగ్ మరియు టెయిల్‌ప్లేన్ కార్బన్ ఫైబర్ స్పార్‌లను కలిగి ఉంటాయి. ఇది ట్రాపెజోయిడల్ ప్లాన్ యొక్క తక్కువ రెక్కను కొద్దిగా పైకి లేపిన చిట్కాలతో కలిగి ఉంది, ఇది ఫ్రైజ్ ఐలెరాన్స్ మరియు స్లాట్డ్ ఫ్లాప్‌లతో అమర"&amp;"్చబడి ఉంటుంది. వెనుక ఉపరితలాలు కూడా ట్రాపెజోయిడల్. ఎలివేటర్‌లో ట్రిమ్ టాబ్ మరియు చుక్కానిపై గ్రౌండ్ సర్దుబాటు టాబ్ ఉంది. [1] కాక్‌పిట్ స్థిర విండ్‌స్క్రీన్ మరియు వెనుక-స్లైడింగ్ పందిరిని కలిగి ఉంది మరియు ద్వంద్వ నియంత్రణలు కలిగి ఉంటుంది. పక్కపక్కనే సీట్ల "&amp;"వెనుక సామాను స్థలం ఉంది. స్విఫ్ట్ ఫ్యూజ్‌లేజ్ మౌంటెడ్, స్ప్రింగ్ స్టీల్, కాంటిలివర్ కాళ్ళపై మెయిన్‌వీల్స్‌తో స్థిరమైన, ట్రైసైకిల్ అండర్ క్యారేజీని కలిగి ఉంది. మెయిన్‌వీల్స్‌లో డిస్క్ బ్రేక్‌లు ఉన్నాయి మరియు నోస్‌వీల్ స్టీరబుల్. పవర్ రేంజ్ 119-194 కిలోవాట్"&amp;" (160-260 హెచ్‌పి) లో టెక్స్ట్రాన్ లైమింగ్ అడ్డంగా వ్యతిరేకించిన ఇంజిన్ల శ్రేణిని అంగీకరించడానికి స్విఫ్ట్ రూపొందించబడింది, ఇది మూడు బ్లేడెడ్ ప్రొపెల్లర్‌ను నడుపుతుంది. [1] స్విఫ్ట్ ప్రోగ్రాం మే 2009 లో ప్రకటించబడింది. 2015 లో స్విఫ్ట్ టెక్నాలజీ గ్రూప్ వి"&amp;"మానం మరియు ఇతర ఉత్పత్తుల అభివృద్ధికి మద్దతు ఇచ్చే ""బహుళ మిలియన్ పౌండ్ల పెట్టుబడి"" ను ప్రకటించింది, [2] [3] మరియు ఏరోఎక్స్పో UK వద్ద స్టాటిక్ డిస్ప్లేని ప్రదర్శించింది. [4] జేన్ యొక్క అన్ని ప్రపంచ విమానాల నుండి డేటా 2011/12 [1] పనితీరు అంచనా. జనరల్ లక్షణ"&amp;"ాలు పనితీరు ఏవియానిక్స్")</f>
        <v>స్విఫ్ట్ ఎయిర్క్రాఫ్ట్ స్విఫ్ట్ ఒకే ఇంజిన్, సాంప్రదాయిక తేలికపాటి విమానం, సైడ్-బై-సైడ్ కాన్ఫిగరేషన్‌లో రెండు కూర్చుంటుంది. ఇది UK లో అభివృద్ధి చేయబడుతోంది, కానీ ఇంకా ఎగరలేదు. స్విఫ్ట్ ఎక్కువగా మిశ్రమ పదార్థాల నుండి నిర్మించబడింది; ఎగిరే ఉపరితలాలు మరియు ఫ్యూజ్‌లేజ్ మిశ్రమ శాండ్‌విచ్‌ల నుండి ఏర్పడతాయి మరియు వింగ్ మరియు టెయిల్‌ప్లేన్ కార్బన్ ఫైబర్ స్పార్‌లను కలిగి ఉంటాయి. ఇది ట్రాపెజోయిడల్ ప్లాన్ యొక్క తక్కువ రెక్కను కొద్దిగా పైకి లేపిన చిట్కాలతో కలిగి ఉంది, ఇది ఫ్రైజ్ ఐలెరాన్స్ మరియు స్లాట్డ్ ఫ్లాప్‌లతో అమర్చబడి ఉంటుంది. వెనుక ఉపరితలాలు కూడా ట్రాపెజోయిడల్. ఎలివేటర్‌లో ట్రిమ్ టాబ్ మరియు చుక్కానిపై గ్రౌండ్ సర్దుబాటు టాబ్ ఉంది. [1] కాక్‌పిట్ స్థిర విండ్‌స్క్రీన్ మరియు వెనుక-స్లైడింగ్ పందిరిని కలిగి ఉంది మరియు ద్వంద్వ నియంత్రణలు కలిగి ఉంటుంది. పక్కపక్కనే సీట్ల వెనుక సామాను స్థలం ఉంది. స్విఫ్ట్ ఫ్యూజ్‌లేజ్ మౌంటెడ్, స్ప్రింగ్ స్టీల్, కాంటిలివర్ కాళ్ళపై మెయిన్‌వీల్స్‌తో స్థిరమైన, ట్రైసైకిల్ అండర్ క్యారేజీని కలిగి ఉంది. మెయిన్‌వీల్స్‌లో డిస్క్ బ్రేక్‌లు ఉన్నాయి మరియు నోస్‌వీల్ స్టీరబుల్. పవర్ రేంజ్ 119-194 కిలోవాట్ (160-260 హెచ్‌పి) లో టెక్స్ట్రాన్ లైమింగ్ అడ్డంగా వ్యతిరేకించిన ఇంజిన్ల శ్రేణిని అంగీకరించడానికి స్విఫ్ట్ రూపొందించబడింది, ఇది మూడు బ్లేడెడ్ ప్రొపెల్లర్‌ను నడుపుతుంది. [1] స్విఫ్ట్ ప్రోగ్రాం మే 2009 లో ప్రకటించబడింది. 2015 లో స్విఫ్ట్ టెక్నాలజీ గ్రూప్ విమానం మరియు ఇతర ఉత్పత్తుల అభివృద్ధికి మద్దతు ఇచ్చే "బహుళ మిలియన్ పౌండ్ల పెట్టుబడి" ను ప్రకటించింది, [2] [3] మరియు ఏరోఎక్స్పో UK వద్ద స్టాటిక్ డిస్ప్లేని ప్రదర్శించింది. [4] జేన్ యొక్క అన్ని ప్రపంచ విమానాల నుండి డేటా 2011/12 [1] పనితీరు అంచనా. జనరల్ లక్షణాలు పనితీరు ఏవియానిక్స్</v>
      </c>
      <c r="F160" s="1" t="s">
        <v>3018</v>
      </c>
      <c r="G160" s="1" t="str">
        <f>IFERROR(__xludf.DUMMYFUNCTION("GOOGLETRANSLATE(F:F,""en"", ""te"")"),"ఏరోబాటిక్ రెండు సీట్ల లైట్ విమానాలు")</f>
        <v>ఏరోబాటిక్ రెండు సీట్ల లైట్ విమానాలు</v>
      </c>
      <c r="H160" s="1" t="s">
        <v>3019</v>
      </c>
      <c r="I160" s="1" t="s">
        <v>480</v>
      </c>
      <c r="J160" s="1" t="str">
        <f>IFERROR(__xludf.DUMMYFUNCTION("GOOGLETRANSLATE(I:I,""en"", ""te"")"),"యునైటెడ్ కింగ్‌డమ్")</f>
        <v>యునైటెడ్ కింగ్‌డమ్</v>
      </c>
      <c r="K160" s="1" t="s">
        <v>481</v>
      </c>
      <c r="L160" s="1" t="s">
        <v>3020</v>
      </c>
      <c r="M160" s="1" t="str">
        <f>IFERROR(__xludf.DUMMYFUNCTION("GOOGLETRANSLATE(L:L,""en"", ""te"")"),"స్విఫ్ట్ విమానం")</f>
        <v>స్విఫ్ట్ విమానం</v>
      </c>
      <c r="N160" s="1" t="s">
        <v>3021</v>
      </c>
      <c r="T160" s="1">
        <v>2.0</v>
      </c>
      <c r="U160" s="1" t="s">
        <v>3022</v>
      </c>
      <c r="V160" s="1" t="s">
        <v>3023</v>
      </c>
      <c r="X160" s="1" t="s">
        <v>3024</v>
      </c>
      <c r="Z160" s="1" t="s">
        <v>3025</v>
      </c>
      <c r="AA160" s="1" t="s">
        <v>3026</v>
      </c>
      <c r="AB160" s="1" t="s">
        <v>3027</v>
      </c>
      <c r="AD160" s="1" t="s">
        <v>3028</v>
      </c>
      <c r="AE160" s="1" t="s">
        <v>3029</v>
      </c>
      <c r="AG160" s="1" t="s">
        <v>208</v>
      </c>
      <c r="AH160" s="1" t="s">
        <v>3030</v>
      </c>
      <c r="AI160" s="1" t="s">
        <v>3031</v>
      </c>
      <c r="AO160" s="1" t="s">
        <v>3032</v>
      </c>
      <c r="AQ160" s="1" t="s">
        <v>3033</v>
      </c>
      <c r="AT160" s="1" t="s">
        <v>3034</v>
      </c>
      <c r="BE160" s="1" t="s">
        <v>3035</v>
      </c>
    </row>
    <row r="161">
      <c r="A161" s="1" t="s">
        <v>3036</v>
      </c>
      <c r="B161" s="1" t="str">
        <f>IFERROR(__xludf.DUMMYFUNCTION("GOOGLETRANSLATE(A:A,""en"", ""te"")"),"తాయ్ కెక్లిక్")</f>
        <v>తాయ్ కెక్లిక్</v>
      </c>
      <c r="C161" s="1" t="s">
        <v>3037</v>
      </c>
      <c r="D161" s="1" t="str">
        <f>IFERROR(__xludf.DUMMYFUNCTION("GOOGLETRANSLATE(C:C,""en"", ""te"")"),"తాయ్ కెక్లిక్ అనేది 2001 లో ప్రవేశపెట్టిన రేడియో-నియంత్రిత ట్రాకింగ్ టార్గెట్ డ్రోన్. టర్కిష్ ఏరోస్పేస్ ఇండస్ట్రీస్ (TAI) చేత రూపొందించబడింది, అభివృద్ధి చేయబడింది మరియు నిర్మించబడింది, మానవరహిత వైమానిక వాహనం (యుఎవి) టర్కీ సాయుధ దళాలు లక్ష్యంగా ఉన్న గిన్నె"&amp;"రీలో టార్గెట్ ట్రాకింగ్ కోసం వాడుకలో ఉన్నాయి. వ్యాయామాలు. కెక్లిక్ అనేది ""పార్ట్రిడ్జ్"" కోసం టర్కిష్ పదం. తాయ్ పక్షుల పేరున్న ఇతర యుఎవిలను ఉత్పత్తి చేస్తుంది. టర్కిష్ జాతీయ రక్షణ మంత్రిత్వ శాఖ యొక్క పరిశోధన మరియు అభివృద్ధి విభాగం టార్ -అయిర్క్రాఫ్ట్ గన్"&amp;"స్; మరియు రాడార్-గైడెడ్ మరియు హీట్-కోరే యాంటీ-ఎయిర్క్రాఫ్ట్ క్షిపణులతో. ఇది చాలా పెద్ద తాయ్ టర్నా టార్గెట్ డ్రోన్ యొక్క ఆపరేటర్లకు శిక్షణ ఇవ్వడానికి కూడా ఉద్దేశించబడింది. [1] [2] కెక్లిక్ ప్రోటోటైప్ జూలై 1997 లో పూర్తయింది, మరియు ఇది 1999 చివరలో ఉత్పత్తిల"&amp;"ో జరిగింది. నవంబర్ 2001 నుండి, కెక్లిక్ టర్కిష్ వైమానిక దళం మరియు టర్కిష్ సైన్యం యొక్క జాబితాలో ఉంది. [2] [3] కెక్లిక్ OS-MAX 91 FX టూ-స్ట్రోక్ ఇంజిన్ ద్వారా 2.09 kW (2.80 HP) ను అభివృద్ధి చేస్తుంది, దీనిని జర్మన్ కంపెనీ గ్రాప్నర్ GmbH నిర్మిస్తుంది. [4] "&amp;"డెల్టా-రెక్కల, బలమైన మరియు సరళమైన యుఎవి మానవీయంగా పనిచేసే బంగీ కాటాపుల్ట్ నుండి బయలుదేరుతుంది మరియు భూమి లేదా సముద్రంలో రిమోట్‌గా నియంత్రించబడిన పారాచూట్ ద్వారా తిరిగి పొందబడుతుంది. డ్రోన్‌ను 15 నిమిషాల్లో తిరిగి ప్రారంభించవచ్చు. ట్రాక్టర్ రకం విమానం మిశ్"&amp;"రమ పదార్థంతో తయారు చేయబడింది మరియు సులభంగా దృశ్యమానత కోసం ప్రకాశవంతమైన రంగులలో పెయింట్ చేయబడింది. [2] టుసాస్ టర్క్ హవాకాలాక్ వె ఉజాయ్ సానైయి A.ş.-నెట్ వర్క్ 54 [2] సాధారణ లక్షణాల పనితీరు నుండి డేటా మానవరహిత వైమానిక వాహనంపై ఈ వ్యాసం ఒక స్టబ్. వికీపీడియా వి"&amp;"స్తరించడం ద్వారా మీరు సహాయపడవచ్చు.")</f>
        <v>తాయ్ కెక్లిక్ అనేది 2001 లో ప్రవేశపెట్టిన రేడియో-నియంత్రిత ట్రాకింగ్ టార్గెట్ డ్రోన్. టర్కిష్ ఏరోస్పేస్ ఇండస్ట్రీస్ (TAI) చేత రూపొందించబడింది, అభివృద్ధి చేయబడింది మరియు నిర్మించబడింది, మానవరహిత వైమానిక వాహనం (యుఎవి) టర్కీ సాయుధ దళాలు లక్ష్యంగా ఉన్న గిన్నెరీలో టార్గెట్ ట్రాకింగ్ కోసం వాడుకలో ఉన్నాయి. వ్యాయామాలు. కెక్లిక్ అనేది "పార్ట్రిడ్జ్" కోసం టర్కిష్ పదం. తాయ్ పక్షుల పేరున్న ఇతర యుఎవిలను ఉత్పత్తి చేస్తుంది. టర్కిష్ జాతీయ రక్షణ మంత్రిత్వ శాఖ యొక్క పరిశోధన మరియు అభివృద్ధి విభాగం టార్ -అయిర్క్రాఫ్ట్ గన్స్; మరియు రాడార్-గైడెడ్ మరియు హీట్-కోరే యాంటీ-ఎయిర్క్రాఫ్ట్ క్షిపణులతో. ఇది చాలా పెద్ద తాయ్ టర్నా టార్గెట్ డ్రోన్ యొక్క ఆపరేటర్లకు శిక్షణ ఇవ్వడానికి కూడా ఉద్దేశించబడింది. [1] [2] కెక్లిక్ ప్రోటోటైప్ జూలై 1997 లో పూర్తయింది, మరియు ఇది 1999 చివరలో ఉత్పత్తిలో జరిగింది. నవంబర్ 2001 నుండి, కెక్లిక్ టర్కిష్ వైమానిక దళం మరియు టర్కిష్ సైన్యం యొక్క జాబితాలో ఉంది. [2] [3] కెక్లిక్ OS-MAX 91 FX టూ-స్ట్రోక్ ఇంజిన్ ద్వారా 2.09 kW (2.80 HP) ను అభివృద్ధి చేస్తుంది, దీనిని జర్మన్ కంపెనీ గ్రాప్నర్ GmbH నిర్మిస్తుంది. [4] డెల్టా-రెక్కల, బలమైన మరియు సరళమైన యుఎవి మానవీయంగా పనిచేసే బంగీ కాటాపుల్ట్ నుండి బయలుదేరుతుంది మరియు భూమి లేదా సముద్రంలో రిమోట్‌గా నియంత్రించబడిన పారాచూట్ ద్వారా తిరిగి పొందబడుతుంది. డ్రోన్‌ను 15 నిమిషాల్లో తిరిగి ప్రారంభించవచ్చు. ట్రాక్టర్ రకం విమానం మిశ్రమ పదార్థంతో తయారు చేయబడింది మరియు సులభంగా దృశ్యమానత కోసం ప్రకాశవంతమైన రంగులలో పెయింట్ చేయబడింది. [2] టుసాస్ టర్క్ హవాకాలాక్ వె ఉజాయ్ సానైయి A.ş.-నెట్ వర్క్ 54 [2] సాధారణ లక్షణాల పనితీరు నుండి డేటా మానవరహిత వైమానిక వాహనంపై ఈ వ్యాసం ఒక స్టబ్. వికీపీడియా విస్తరించడం ద్వారా మీరు సహాయపడవచ్చు.</v>
      </c>
      <c r="F161" s="1" t="s">
        <v>3038</v>
      </c>
      <c r="G161" s="1" t="str">
        <f>IFERROR(__xludf.DUMMYFUNCTION("GOOGLETRANSLATE(F:F,""en"", ""te"")"),"మానవరహిత డ్రోన్ ట్రాకింగ్ టార్గెట్ డ్రోన్")</f>
        <v>మానవరహిత డ్రోన్ ట్రాకింగ్ టార్గెట్ డ్రోన్</v>
      </c>
      <c r="H161" s="1" t="s">
        <v>3039</v>
      </c>
      <c r="L161" s="1" t="s">
        <v>3040</v>
      </c>
      <c r="M161" s="1" t="str">
        <f>IFERROR(__xludf.DUMMYFUNCTION("GOOGLETRANSLATE(L:L,""en"", ""te"")"),"టర్కిష్ ఏరోస్పేస్ ఇండస్ట్రీస్ (టిఐ)")</f>
        <v>టర్కిష్ ఏరోస్పేస్ ఇండస్ట్రీస్ (టిఐ)</v>
      </c>
      <c r="N161" s="1" t="s">
        <v>3041</v>
      </c>
      <c r="O161" s="3">
        <v>37196.0</v>
      </c>
      <c r="P161" s="1" t="s">
        <v>3042</v>
      </c>
      <c r="Q161" s="1"/>
      <c r="S161" s="1">
        <v>0.0</v>
      </c>
      <c r="U161" s="1" t="s">
        <v>3043</v>
      </c>
      <c r="V161" s="1" t="s">
        <v>3044</v>
      </c>
      <c r="W161" s="1" t="s">
        <v>3045</v>
      </c>
      <c r="X161" s="1" t="s">
        <v>3046</v>
      </c>
      <c r="AA161" s="1" t="s">
        <v>3047</v>
      </c>
      <c r="AH161" s="1" t="s">
        <v>3048</v>
      </c>
      <c r="AI161" s="1" t="s">
        <v>3049</v>
      </c>
      <c r="AO161" s="1">
        <v>1997.0</v>
      </c>
      <c r="AQ161" s="1" t="s">
        <v>3050</v>
      </c>
      <c r="AR161" s="1" t="s">
        <v>3051</v>
      </c>
      <c r="AT161" s="1" t="s">
        <v>3052</v>
      </c>
      <c r="AZ161" s="1" t="s">
        <v>3053</v>
      </c>
      <c r="BA161" s="1" t="s">
        <v>3054</v>
      </c>
    </row>
    <row r="162">
      <c r="A162" s="1" t="s">
        <v>3055</v>
      </c>
      <c r="B162" s="1" t="str">
        <f>IFERROR(__xludf.DUMMYFUNCTION("GOOGLETRANSLATE(A:A,""en"", ""te"")"),"తైవాన్ డాన్సర్ టిడి -3")</f>
        <v>తైవాన్ డాన్సర్ టిడి -3</v>
      </c>
      <c r="C162" s="1" t="s">
        <v>3056</v>
      </c>
      <c r="D162" s="1" t="str">
        <f>IFERROR(__xludf.DUMMYFUNCTION("GOOGLETRANSLATE(C:C,""en"", ""te"")"),"తైవాన్ డాన్సర్ టిడి -3 అనేది తైవానీస్ te త్సాహిక-నిర్మిత విమానం, ఇది తైవాన్ డాన్సర్ టెక్నాలజీ కో. చిన్ లియన్ వీ రూపొందించిన ఈ విమానం te త్సాహిక నిర్మాణానికి కిట్‌గా సరఫరా చేయబడుతుంది. [1] [2] మే 2017 నాటికి కంపెనీ వెబ్‌సైట్ తీసివేయబడింది మరియు కంపెనీ కార్"&amp;"యకలాపాలను నిలిపివేసి ఉండవచ్చు. [3] ఈ విమానం స్ట్రట్-బ్రేస్డ్ హై-వింగ్, యాక్సెస్ కోసం తలుపులతో రెండు-సైడ్-సైడ్-సైడ్ కాన్ఫిగరేషన్ పరివేష్టిత కాక్‌పిట్, స్థిర ట్రైసైకిల్ ల్యాండింగ్ గేర్ లేదా సాంప్రదాయిక ల్యాండింగ్ గేర్ మరియు ట్రాక్టర్ కాన్ఫిగరేషన్‌లో ఒకే ఇంజ"&amp;"ిన్ ఉన్నాయి. [1] [[ విమానం ఫ్యూజ్‌లేజ్ వెల్డెడ్ స్టీల్ గొట్టాల నుండి తయారవుతుంది, అయితే రెక్కను అల్యూమినియం షీట్ భాగాల నుండి తయారు చేస్తారు, అన్ని ఉపరితలాలు ఏర్పడిన ఎపోక్సీ పాలిమర్‌లో కప్పబడి ఉంటాయి. దాని 8.62 మీ (28.3 అడుగులు) స్పాన్ వింగ్‌కు ""వి"" స్ట్"&amp;"రట్‌లు మద్దతు ఇస్తున్నాయి, నాసా-హెచ్‌క్యూ 3.0 ఎయిర్‌ఫాయిల్‌ను నియమిస్తాయి, 11.16 మీ 2 (120.1 చదరపు అడుగులు) మరియు ఫ్లేపెరాన్లను మౌంట్ చేస్తాయి. భూమి రవాణా లేదా నిల్వ కోసం రెక్కలను 15 నిమిషాల్లో మడవవచ్చు. సిఫార్సు చేయబడిన శక్తి శ్రేణి 65 నుండి 110 హెచ్‌పి "&amp;"(48 నుండి 82 కిలోవాట్) మరియు ఉపయోగించిన ప్రామాణిక ఇంజన్లు 97 హెచ్‌పి (72 కిలోవాట్) గేర్డ్ వోక్స్వ్యాగన్ ఎయిర్-కూల్డ్ ఇంజిన్ మరియు 100 హెచ్‌పి (75 కిలోవాట్ 1] [[1] [4] టిడి -3 2007 లో పూర్తయింది మరియు తైవానీస్ ఆర్థిక వ్యవహారాల మంత్రిత్వ శాఖ ప్రదానం చేసిన వ"&amp;"ిమాన రూపకల్పనకు మొదటి బహుమతిని గెలుచుకుంది. [5] బేయర్ల్ మరియు తైవాన్ డాన్సర్ నుండి డేటా [1] [4] సాధారణ లక్షణాల పనితీరు")</f>
        <v>తైవాన్ డాన్సర్ టిడి -3 అనేది తైవానీస్ te త్సాహిక-నిర్మిత విమానం, ఇది తైవాన్ డాన్సర్ టెక్నాలజీ కో. చిన్ లియన్ వీ రూపొందించిన ఈ విమానం te త్సాహిక నిర్మాణానికి కిట్‌గా సరఫరా చేయబడుతుంది. [1] [2] మే 2017 నాటికి కంపెనీ వెబ్‌సైట్ తీసివేయబడింది మరియు కంపెనీ కార్యకలాపాలను నిలిపివేసి ఉండవచ్చు. [3] ఈ విమానం స్ట్రట్-బ్రేస్డ్ హై-వింగ్, యాక్సెస్ కోసం తలుపులతో రెండు-సైడ్-సైడ్-సైడ్ కాన్ఫిగరేషన్ పరివేష్టిత కాక్‌పిట్, స్థిర ట్రైసైకిల్ ల్యాండింగ్ గేర్ లేదా సాంప్రదాయిక ల్యాండింగ్ గేర్ మరియు ట్రాక్టర్ కాన్ఫిగరేషన్‌లో ఒకే ఇంజిన్ ఉన్నాయి. [1] [[ విమానం ఫ్యూజ్‌లేజ్ వెల్డెడ్ స్టీల్ గొట్టాల నుండి తయారవుతుంది, అయితే రెక్కను అల్యూమినియం షీట్ భాగాల నుండి తయారు చేస్తారు, అన్ని ఉపరితలాలు ఏర్పడిన ఎపోక్సీ పాలిమర్‌లో కప్పబడి ఉంటాయి. దాని 8.62 మీ (28.3 అడుగులు) స్పాన్ వింగ్‌కు "వి" స్ట్రట్‌లు మద్దతు ఇస్తున్నాయి, నాసా-హెచ్‌క్యూ 3.0 ఎయిర్‌ఫాయిల్‌ను నియమిస్తాయి, 11.16 మీ 2 (120.1 చదరపు అడుగులు) మరియు ఫ్లేపెరాన్లను మౌంట్ చేస్తాయి. భూమి రవాణా లేదా నిల్వ కోసం రెక్కలను 15 నిమిషాల్లో మడవవచ్చు. సిఫార్సు చేయబడిన శక్తి శ్రేణి 65 నుండి 110 హెచ్‌పి (48 నుండి 82 కిలోవాట్) మరియు ఉపయోగించిన ప్రామాణిక ఇంజన్లు 97 హెచ్‌పి (72 కిలోవాట్) గేర్డ్ వోక్స్వ్యాగన్ ఎయిర్-కూల్డ్ ఇంజిన్ మరియు 100 హెచ్‌పి (75 కిలోవాట్ 1] [[1] [4] టిడి -3 2007 లో పూర్తయింది మరియు తైవానీస్ ఆర్థిక వ్యవహారాల మంత్రిత్వ శాఖ ప్రదానం చేసిన విమాన రూపకల్పనకు మొదటి బహుమతిని గెలుచుకుంది. [5] బేయర్ల్ మరియు తైవాన్ డాన్సర్ నుండి డేటా [1] [4] సాధారణ లక్షణాల పనితీరు</v>
      </c>
      <c r="F162" s="1" t="s">
        <v>278</v>
      </c>
      <c r="G162" s="1" t="str">
        <f>IFERROR(__xludf.DUMMYFUNCTION("GOOGLETRANSLATE(F:F,""en"", ""te"")"),"Te త్సాహిక నిర్మించిన విమానం")</f>
        <v>Te త్సాహిక నిర్మించిన విమానం</v>
      </c>
      <c r="H162" s="1" t="s">
        <v>279</v>
      </c>
      <c r="I162" s="1" t="s">
        <v>3057</v>
      </c>
      <c r="J162" s="1" t="str">
        <f>IFERROR(__xludf.DUMMYFUNCTION("GOOGLETRANSLATE(I:I,""en"", ""te"")"),"తైవాన్")</f>
        <v>తైవాన్</v>
      </c>
      <c r="K162" s="2" t="s">
        <v>3058</v>
      </c>
      <c r="L162" s="1" t="s">
        <v>3059</v>
      </c>
      <c r="M162" s="1" t="str">
        <f>IFERROR(__xludf.DUMMYFUNCTION("GOOGLETRANSLATE(L:L,""en"", ""te"")"),"తైవాన్ డాన్సర్ టెక్నాలజీ కో.")</f>
        <v>తైవాన్ డాన్సర్ టెక్నాలజీ కో.</v>
      </c>
      <c r="N162" s="1" t="s">
        <v>3060</v>
      </c>
      <c r="O162" s="1">
        <v>2007.0</v>
      </c>
      <c r="P162" s="1" t="s">
        <v>3061</v>
      </c>
      <c r="Q162" s="1"/>
      <c r="S162" s="1" t="s">
        <v>164</v>
      </c>
      <c r="T162" s="1" t="s">
        <v>165</v>
      </c>
      <c r="U162" s="1" t="s">
        <v>3062</v>
      </c>
      <c r="V162" s="1" t="s">
        <v>3063</v>
      </c>
      <c r="W162" s="1" t="s">
        <v>3064</v>
      </c>
      <c r="X162" s="1" t="s">
        <v>3065</v>
      </c>
      <c r="Y162" s="1" t="s">
        <v>3066</v>
      </c>
      <c r="Z162" s="1" t="s">
        <v>3067</v>
      </c>
      <c r="AA162" s="1" t="s">
        <v>3068</v>
      </c>
      <c r="AB162" s="1" t="s">
        <v>3050</v>
      </c>
      <c r="AD162" s="1" t="s">
        <v>3069</v>
      </c>
      <c r="AE162" s="1" t="s">
        <v>316</v>
      </c>
      <c r="AF162" s="1" t="s">
        <v>3070</v>
      </c>
      <c r="AH162" s="1" t="s">
        <v>3071</v>
      </c>
      <c r="AI162" s="1" t="s">
        <v>2968</v>
      </c>
      <c r="AK162" s="1" t="s">
        <v>227</v>
      </c>
      <c r="AL162" s="1" t="s">
        <v>784</v>
      </c>
      <c r="AM162" s="1" t="s">
        <v>3072</v>
      </c>
      <c r="AQ162" s="1" t="s">
        <v>2242</v>
      </c>
      <c r="AW162" s="1" t="s">
        <v>3073</v>
      </c>
    </row>
    <row r="163">
      <c r="A163" s="1" t="s">
        <v>3074</v>
      </c>
      <c r="B163" s="1" t="str">
        <f>IFERROR(__xludf.DUMMYFUNCTION("GOOGLETRANSLATE(A:A,""en"", ""te"")"),"తపనీ లెవిటేషన్ 4")</f>
        <v>తపనీ లెవిటేషన్ 4</v>
      </c>
      <c r="C163" s="1" t="s">
        <v>3075</v>
      </c>
      <c r="D163" s="1" t="str">
        <f>IFERROR(__xludf.DUMMYFUNCTION("GOOGLETRANSLATE(C:C,""en"", ""te"")"),"తపనీ లెవిటేషన్ 4 అనేది కెనడియన్ నాలుగు-సీట్ల స్టోల్ విమానం, ఇది మోంట్-సెయింట్-మిచెల్, క్యూబెక్ యొక్క తపనీ ఏవియేషన్ కోసం మిచెల్ లెక్విన్ హోమ్‌బిల్ట్ చేయడానికి రూపొందించబడింది. [1] [2] [3] [4] మునుపటి పెగజైర్ బుష్‌ప్లేన్ కంపెనీల యొక్క పెద్ద వెర్షన్, లెవిటేష"&amp;"న్ అనేది వి-స్ట్రట్ బ్రేసింగ్, లీడింగ్ ఎడ్జ్ స్లాట్లు మరియు జంకర్స్ ఫ్లాపెరాన్లతో కూడిన అధిక-వింగ్ మోనోప్లేన్. రెండు-బ్లేడ్ ప్రొపెల్లర్‌తో 180 హెచ్‌పి (134 కిలోవాట్ల) లైమింగ్ ఓ -360 ఫ్లాట్-సిక్స్ పిస్టన్ ఇంజిన్‌తో నడిచేది. లెవియేషన్‌లో టెయిల్‌వీల్ మరియు ప"&amp;"ైలట్ పట్టుకున్న క్యాబిన్ మరియు ముగ్గురు ప్రయాణీకులను రెండు వరుసలలో పక్కపక్కనే సీటింగ్ కలిగి ఉంది. డిసెంబర్ 2004 నాటికి ఐదు కిట్లు అమ్ముడయ్యాయి. [2] [3] [4] [2] జేన్ యొక్క అన్ని ప్రపంచ విమానాల నుండి డేటా 2008-2009 జనరల్ లక్షణాల పనితీరు సంబంధిత అభివృద్ధి 20"&amp;"00 ల విమానంలో ఈ వ్యాసం ఒక స్టబ్. వికీపీడియా విస్తరించడం ద్వారా మీరు సహాయపడవచ్చు.")</f>
        <v>తపనీ లెవిటేషన్ 4 అనేది కెనడియన్ నాలుగు-సీట్ల స్టోల్ విమానం, ఇది మోంట్-సెయింట్-మిచెల్, క్యూబెక్ యొక్క తపనీ ఏవియేషన్ కోసం మిచెల్ లెక్విన్ హోమ్‌బిల్ట్ చేయడానికి రూపొందించబడింది. [1] [2] [3] [4] మునుపటి పెగజైర్ బుష్‌ప్లేన్ కంపెనీల యొక్క పెద్ద వెర్షన్, లెవిటేషన్ అనేది వి-స్ట్రట్ బ్రేసింగ్, లీడింగ్ ఎడ్జ్ స్లాట్లు మరియు జంకర్స్ ఫ్లాపెరాన్లతో కూడిన అధిక-వింగ్ మోనోప్లేన్. రెండు-బ్లేడ్ ప్రొపెల్లర్‌తో 180 హెచ్‌పి (134 కిలోవాట్ల) లైమింగ్ ఓ -360 ఫ్లాట్-సిక్స్ పిస్టన్ ఇంజిన్‌తో నడిచేది. లెవియేషన్‌లో టెయిల్‌వీల్ మరియు పైలట్ పట్టుకున్న క్యాబిన్ మరియు ముగ్గురు ప్రయాణీకులను రెండు వరుసలలో పక్కపక్కనే సీటింగ్ కలిగి ఉంది. డిసెంబర్ 2004 నాటికి ఐదు కిట్లు అమ్ముడయ్యాయి. [2] [3] [4] [2] జేన్ యొక్క అన్ని ప్రపంచ విమానాల నుండి డేటా 2008-2009 జనరల్ లక్షణాల పనితీరు సంబంధిత అభివృద్ధి 2000 ల విమానంలో ఈ వ్యాసం ఒక స్టబ్. వికీపీడియా విస్తరించడం ద్వారా మీరు సహాయపడవచ్చు.</v>
      </c>
      <c r="F163" s="1" t="s">
        <v>3076</v>
      </c>
      <c r="G163" s="1" t="str">
        <f>IFERROR(__xludf.DUMMYFUNCTION("GOOGLETRANSLATE(F:F,""en"", ""te"")"),"నాలుగు-సీట్ల హోమ్‌బిల్ట్ స్టోల్ విమానం")</f>
        <v>నాలుగు-సీట్ల హోమ్‌బిల్ట్ స్టోల్ విమానం</v>
      </c>
      <c r="H163" s="1" t="s">
        <v>3077</v>
      </c>
      <c r="I163" s="1" t="s">
        <v>1338</v>
      </c>
      <c r="J163" s="1" t="str">
        <f>IFERROR(__xludf.DUMMYFUNCTION("GOOGLETRANSLATE(I:I,""en"", ""te"")"),"కెనడా")</f>
        <v>కెనడా</v>
      </c>
      <c r="L163" s="1" t="s">
        <v>3078</v>
      </c>
      <c r="M163" s="1" t="str">
        <f>IFERROR(__xludf.DUMMYFUNCTION("GOOGLETRANSLATE(L:L,""en"", ""te"")"),"తపనీ ఏవియేషన్")</f>
        <v>తపనీ ఏవియేషన్</v>
      </c>
      <c r="N163" s="1" t="s">
        <v>3079</v>
      </c>
      <c r="R163" s="1" t="s">
        <v>3080</v>
      </c>
      <c r="S163" s="1">
        <v>1.0</v>
      </c>
      <c r="T163" s="1">
        <v>3.0</v>
      </c>
      <c r="U163" s="1" t="s">
        <v>3081</v>
      </c>
      <c r="V163" s="1" t="s">
        <v>3082</v>
      </c>
      <c r="W163" s="1" t="s">
        <v>3083</v>
      </c>
      <c r="X163" s="1" t="s">
        <v>3084</v>
      </c>
      <c r="Y163" s="1" t="s">
        <v>3085</v>
      </c>
      <c r="AA163" s="1" t="s">
        <v>3086</v>
      </c>
      <c r="AB163" s="1" t="s">
        <v>2594</v>
      </c>
      <c r="AD163" s="1" t="s">
        <v>3087</v>
      </c>
      <c r="AG163" s="1" t="s">
        <v>3088</v>
      </c>
      <c r="AH163" s="1" t="s">
        <v>3089</v>
      </c>
      <c r="AI163" s="1" t="s">
        <v>3090</v>
      </c>
      <c r="AK163" s="1" t="s">
        <v>3091</v>
      </c>
      <c r="AM163" s="1" t="s">
        <v>3092</v>
      </c>
      <c r="AO163" s="1">
        <v>2002.0</v>
      </c>
      <c r="AQ163" s="1" t="s">
        <v>3093</v>
      </c>
      <c r="AS163" s="1" t="s">
        <v>3094</v>
      </c>
      <c r="AU163" s="1" t="s">
        <v>2954</v>
      </c>
      <c r="AV163" s="1" t="s">
        <v>3095</v>
      </c>
    </row>
    <row r="164">
      <c r="A164" s="1" t="s">
        <v>3096</v>
      </c>
      <c r="B164" s="1" t="str">
        <f>IFERROR(__xludf.DUMMYFUNCTION("GOOGLETRANSLATE(A:A,""en"", ""te"")"),"ఉచిత జీవితం (బెలూన్)")</f>
        <v>ఉచిత జీవితం (బెలూన్)</v>
      </c>
      <c r="C164" s="1" t="s">
        <v>3097</v>
      </c>
      <c r="D164" s="1" t="str">
        <f>IFERROR(__xludf.DUMMYFUNCTION("GOOGLETRANSLATE(C:C,""en"", ""te"")"),"ఉచిత జీవితం అట్లాంటిక్ మహాసముద్రం దాటడానికి నాల్గవ ప్రయత్నం చేసిన రోజియెర్ బెలూన్ (రిజిస్ట్రేషన్ N2079) పేరు. బెలూన్ సెప్టెంబర్ 20, 1970 న న్యూయార్క్ లోని ఈస్ట్ హాంప్టన్ నుండి, మాల్కం బ్రైటన్ చేత పైలట్ చేయబడింది, రోడ్నీ ఆండర్సన్ మరియు పమేలా బ్రౌన్లతో కలిస"&amp;"ి బోర్డులో ఉంది. [1] [2] ఈ సాహసాన్ని రోడ్నీ ఆండర్సన్ మరియు అతని భార్య పమేలా బ్రౌన్ రూపొందించారు. పమేలా బ్రౌన్ కెంటుకీ రాజకీయవేత్త మరియు న్యాయవాది జాన్ వై. బ్రౌన్ సీనియర్ మరియు కెంటుకీ ఫ్రైడ్ చికెన్ వ్యవస్థాపకుడు మరియు భవిష్యత్ కెంటుకీ గవర్నర్ జాన్ వై. బ్ర"&amp;"ౌన్ జూనియర్ సోదరి 28 ఏళ్ళ వయసులో, ఆమె మరియు ఆమె 32 ఏళ్ల భర్త, కమోడిటీస్ బ్రోకర్ రాడ్ ఆండర్సన్, అట్లాంటిక్ మీదుగా మొదటి మనుషుల బెలూన్ విమానంతో రికార్డులు బద్దలు కొట్టాలని భావించాడు. ఈ జంట తమ అనుభవం గురించి ఒక పుస్తకం రాయడం ద్వారా వెంచర్ ఖర్చును తిరిగి పొంద"&amp;"ాలని అనుకున్నారు. [3] విమానానికి వారు లెక్కిస్తున్న పైలట్ బయలుదేరే సమయానికి దగ్గరగా ఉపసంహరించుకున్నప్పుడు, అండర్సన్స్ ఆంగ్లేయుడు మాల్కం బ్రైటన్, 32 ను నియమించుకున్నాడు, స్వేచ్ఛా జీవితంలో అతని ఆరోహణ అతని 100 వ స్థానంలో ఉంది - మరియు అతని చివరిది. [4] బ్రైటన"&amp;"్ అనేక బెలూన్లను నిర్మించాడు మరియు బ్రిస్టల్ బెల్లెకు ప్రధాన బిల్డర్ అయ్యాడు, ఈ పేరు ఐరోపాలో మొదటి ఆధునిక హాట్ ఎయిర్ బెలూన్‌కు ఇవ్వబడింది. [5] ఉచిత జీవిత ప్రయత్నం అట్లాంటిక్ ప్రయత్నం కోసం రోజియర్ స్టైల్ బెలూన్‌ను మొదటిసారి ఉపయోగించడం, మార్క్ సెమిచ్ నిర్మి"&amp;"ంచిన, హీలియం మరియు వేడి గాలి కలయికను ఉపయోగించి. గోళాకార హీలియం గ్యాస్ సెల్ క్రింద ఒక శంఖాకార స్లీవ్ ఉంది, ఇక్కడ సాధారణ వేడి గాలి బెలూన్ మాదిరిగానే బర్నర్ల ద్వారా గాలిని వేడి చేయవచ్చు. వేడి గాలి ఉష్ణోగ్రతను మార్చడం ద్వారా, హీలియంను విడుదల చేయకుండా లేదా బ్య"&amp;"ాలస్ట్‌ను వదలకుండా ఎత్తును నిర్వహించవచ్చు. బర్నర్స్ ప్రధానంగా రాత్రి సౌర తాపన లేకపోవడాన్ని భర్తీ చేయడానికి ఉపయోగిస్తారు. నాలుగు సంవత్సరాల ప్రణాళిక మరియు వాయిదాల తరువాత, బ్రైటన్ ఇప్పటికీ బెలూన్ గురించి మరియు ఒక ఇంటర్వ్యూలో రిజర్వేషన్లు కలిగి ఉన్నాడు, దీనిల"&amp;"ో బ్రైటన్ స్వేచ్ఛా జీవితం గురించి ఏమనుకుంటున్నాడని అడిగారు, ""నేను బాగా చేయగలిగానని అనుకుంటున్నాను"" అని చెప్పాడు. అనుభవజ్ఞులైన బెలూనిస్టులు కూడా, ఎవరికి బ్రైటన్ తన ప్రణాళికలను పైలట్ ఫ్రీ లైఫ్ కోసం అనుమతించాడు, దానికి వ్యతిరేకంగా సలహా ఇచ్చాడు. అయినప్పటికీ"&amp;", సెప్టెంబర్ 20, 1970 న న్యూయార్క్‌లోని స్ప్రింగ్స్‌లోని జార్జ్ సిడ్ మిల్లెర్స్ పచ్చిక బయళ్లలో బెలూన్ ప్రారంభించబడింది. వాతావరణం ఖచ్చితంగా ఉంది; కుటుంబాలు పిక్నిక్ మరియు పాక్షికంగా ఉన్నాయి; దిగ్గజం పసుపు, తెలుపు మరియు నారింజ బెలూన్, ఏడు అంతస్తుల పొడవు, అద"&amp;"్భుతమైనది; ఆత్మలు ఎక్కువగా ఉన్నాయి, మరియు 1,500 మంది శ్రేయోభిలాషులు అసాధారణమైన వాటిలో పాల్గొనే భావాన్ని పంచుకున్నట్లు అనిపించింది, వారి ఆరోహణను ఉత్సాహపరుస్తుంది. [6] ప్రారంభించిన 30 గంటల తర్వాత విపత్తు సంభవించింది. రాత్రి బెలూన్ ఎత్తును నిర్వహించడానికి రూ"&amp;"పొందించిన వేడి-గాలి విధానం విమానంలో రెండవ రోజున విఫలమైంది. బెలూన్ అధిక ఎత్తులో ఉన్న కోల్డ్ ఫ్రంట్ మరియు తీవ్రమైన వర్షపు తుఫానును ఎదుర్కొన్నప్పుడు, వారు న్యూఫౌండ్లాండ్కు ఆగ్నేయంగా 600 మైళ్ళ దూరంలో ఉన్న ఆ రాత్రి అట్లాంటిక్లో త్రోసిపుచ్చారు. సెప్టెంబర్ 21 న "&amp;"స్వేచ్ఛా జీవితం నుండి చివరి సందేశం వచ్చింది. ""మేము త్రవ్విస్తున్నాము,"" అది చెప్పింది. ""మేము శోధన మరియు రక్షించమని అభ్యర్థిస్తున్నాము."" బెలూన్ న్యూఫౌండ్లాండ్ నుండి తుఫాను సముద్రాలలో పడిపోయింది. త్రీ కోస్ట్ గార్డ్ కట్టర్లు, రాయల్ కెనడియన్ వైమానిక దళ విమ"&amp;"ానాలు మరియు ఆరు యునైటెడ్ స్టేట్స్ వైమానిక దళం మరియు యునైటెడ్ స్టేట్స్ కోస్ట్ గార్డ్ విమానం ఈ ప్రాంతాన్ని 14 రోజులు కొట్టాయి. బెలూన్ గొండోలా నుండి కొన్ని అంశాలు గుర్తించబడ్డాయి, కాని రెస్క్యూ ప్రయత్నం విజయవంతం కాలేదు. ఆగష్టు 1978 వరకు, 10 తరువాతి అట్లాంటిక"&amp;"్ బెలూన్ క్రాసింగ్ ప్రయత్నాలు జరిగాయి: ఫిబ్రవరి 1974 లో, అలాంటి ఒక ప్రయత్నం చేస్తున్నప్పుడు, కల్నల్ థామస్ లీ గాచ్, జూనియర్ ఉసార్ తన తేలికపాటి గుండె సూపర్ ప్రెస్సర్ బెలూన్‌లో కూడా అదృశ్యమయ్యాడు. చివరగా, ఆగష్టు 17, 1978 న, ముగ్గురు అమెరికన్లు - బెన్ అబ్రుజో"&amp;", మాక్సీ ఆండర్సన్ మరియు లారీ న్యూమాన్ డబుల్ ఈగిల్ II లో బెలూన్ చేత అట్లాంటిక్ దాటారు. అక్టోబర్ 1972 లో, పమేలా బ్రౌన్ పమేలా బ్రౌన్ ఆడిటోరియం ప్రారంభంతో జ్ఞాపకం చేసుకున్నాడు, ఇది కొత్తగా నిర్మించిన నటీనటుల థియేటర్ ఆఫ్ లూయిస్విల్లే కాంప్లెక్స్లో మొదటి మరియు "&amp;"అతిపెద్ద థియేటర్. ఈ ప్రయత్నాన్ని జ్ఞాపకం చేసుకున్న ఒక పుస్తకం 1994 లో రచయిత మరియు బెలూనిస్ట్ ఆంథోనీ స్మిత్ చేత ప్రచురించబడింది. [7] ది ఫ్రీ లైఫ్: ది స్పిరిట్ ఆఫ్ ధైర్యం, మూర్ఖత్వం మరియు ముట్టడి పేరుతో, ఈ పుస్తకానికి W.W. నార్టన్ &amp; కో. పదమూడవ వార్షిక సంపాద"&amp;"కుల పుస్తక అవార్డు. 1970 లో బెలూన్ ప్రయోగంలో స్మిత్ హాజరు కాలేదు, కాని అతను బ్రైటన్ ఎగరడం నేర్పించాడు మరియు అతను అతనితో పాటు అందరికంటే ఎక్కువగా ఎగిరిపోయాడు. 8. ""ఫ్లైట్ ఆఫ్ ఎ లవ్లీ ఫాలీ,"" లైఫ్ మ్యాగజైన్, అక్టోబర్ 23, 1970 https://books.google.com/books?")</f>
        <v>ఉచిత జీవితం అట్లాంటిక్ మహాసముద్రం దాటడానికి నాల్గవ ప్రయత్నం చేసిన రోజియెర్ బెలూన్ (రిజిస్ట్రేషన్ N2079) పేరు. బెలూన్ సెప్టెంబర్ 20, 1970 న న్యూయార్క్ లోని ఈస్ట్ హాంప్టన్ నుండి, మాల్కం బ్రైటన్ చేత పైలట్ చేయబడింది, రోడ్నీ ఆండర్సన్ మరియు పమేలా బ్రౌన్లతో కలిసి బోర్డులో ఉంది. [1] [2] ఈ సాహసాన్ని రోడ్నీ ఆండర్సన్ మరియు అతని భార్య పమేలా బ్రౌన్ రూపొందించారు. పమేలా బ్రౌన్ కెంటుకీ రాజకీయవేత్త మరియు న్యాయవాది జాన్ వై. బ్రౌన్ సీనియర్ మరియు కెంటుకీ ఫ్రైడ్ చికెన్ వ్యవస్థాపకుడు మరియు భవిష్యత్ కెంటుకీ గవర్నర్ జాన్ వై. బ్రౌన్ జూనియర్ సోదరి 28 ఏళ్ళ వయసులో, ఆమె మరియు ఆమె 32 ఏళ్ల భర్త, కమోడిటీస్ బ్రోకర్ రాడ్ ఆండర్సన్, అట్లాంటిక్ మీదుగా మొదటి మనుషుల బెలూన్ విమానంతో రికార్డులు బద్దలు కొట్టాలని భావించాడు. ఈ జంట తమ అనుభవం గురించి ఒక పుస్తకం రాయడం ద్వారా వెంచర్ ఖర్చును తిరిగి పొందాలని అనుకున్నారు. [3] విమానానికి వారు లెక్కిస్తున్న పైలట్ బయలుదేరే సమయానికి దగ్గరగా ఉపసంహరించుకున్నప్పుడు, అండర్సన్స్ ఆంగ్లేయుడు మాల్కం బ్రైటన్, 32 ను నియమించుకున్నాడు, స్వేచ్ఛా జీవితంలో అతని ఆరోహణ అతని 100 వ స్థానంలో ఉంది - మరియు అతని చివరిది. [4] బ్రైటన్ అనేక బెలూన్లను నిర్మించాడు మరియు బ్రిస్టల్ బెల్లెకు ప్రధాన బిల్డర్ అయ్యాడు, ఈ పేరు ఐరోపాలో మొదటి ఆధునిక హాట్ ఎయిర్ బెలూన్‌కు ఇవ్వబడింది. [5] ఉచిత జీవిత ప్రయత్నం అట్లాంటిక్ ప్రయత్నం కోసం రోజియర్ స్టైల్ బెలూన్‌ను మొదటిసారి ఉపయోగించడం, మార్క్ సెమిచ్ నిర్మించిన, హీలియం మరియు వేడి గాలి కలయికను ఉపయోగించి. గోళాకార హీలియం గ్యాస్ సెల్ క్రింద ఒక శంఖాకార స్లీవ్ ఉంది, ఇక్కడ సాధారణ వేడి గాలి బెలూన్ మాదిరిగానే బర్నర్ల ద్వారా గాలిని వేడి చేయవచ్చు. వేడి గాలి ఉష్ణోగ్రతను మార్చడం ద్వారా, హీలియంను విడుదల చేయకుండా లేదా బ్యాలస్ట్‌ను వదలకుండా ఎత్తును నిర్వహించవచ్చు. బర్నర్స్ ప్రధానంగా రాత్రి సౌర తాపన లేకపోవడాన్ని భర్తీ చేయడానికి ఉపయోగిస్తారు. నాలుగు సంవత్సరాల ప్రణాళిక మరియు వాయిదాల తరువాత, బ్రైటన్ ఇప్పటికీ బెలూన్ గురించి మరియు ఒక ఇంటర్వ్యూలో రిజర్వేషన్లు కలిగి ఉన్నాడు, దీనిలో బ్రైటన్ స్వేచ్ఛా జీవితం గురించి ఏమనుకుంటున్నాడని అడిగారు, "నేను బాగా చేయగలిగానని అనుకుంటున్నాను" అని చెప్పాడు. అనుభవజ్ఞులైన బెలూనిస్టులు కూడా, ఎవరికి బ్రైటన్ తన ప్రణాళికలను పైలట్ ఫ్రీ లైఫ్ కోసం అనుమతించాడు, దానికి వ్యతిరేకంగా సలహా ఇచ్చాడు. అయినప్పటికీ, సెప్టెంబర్ 20, 1970 న న్యూయార్క్‌లోని స్ప్రింగ్స్‌లోని జార్జ్ సిడ్ మిల్లెర్స్ పచ్చిక బయళ్లలో బెలూన్ ప్రారంభించబడింది. వాతావరణం ఖచ్చితంగా ఉంది; కుటుంబాలు పిక్నిక్ మరియు పాక్షికంగా ఉన్నాయి; దిగ్గజం పసుపు, తెలుపు మరియు నారింజ బెలూన్, ఏడు అంతస్తుల పొడవు, అద్భుతమైనది; ఆత్మలు ఎక్కువగా ఉన్నాయి, మరియు 1,500 మంది శ్రేయోభిలాషులు అసాధారణమైన వాటిలో పాల్గొనే భావాన్ని పంచుకున్నట్లు అనిపించింది, వారి ఆరోహణను ఉత్సాహపరుస్తుంది. [6] ప్రారంభించిన 30 గంటల తర్వాత విపత్తు సంభవించింది. రాత్రి బెలూన్ ఎత్తును నిర్వహించడానికి రూపొందించిన వేడి-గాలి విధానం విమానంలో రెండవ రోజున విఫలమైంది. బెలూన్ అధిక ఎత్తులో ఉన్న కోల్డ్ ఫ్రంట్ మరియు తీవ్రమైన వర్షపు తుఫానును ఎదుర్కొన్నప్పుడు, వారు న్యూఫౌండ్లాండ్కు ఆగ్నేయంగా 600 మైళ్ళ దూరంలో ఉన్న ఆ రాత్రి అట్లాంటిక్లో త్రోసిపుచ్చారు. సెప్టెంబర్ 21 న స్వేచ్ఛా జీవితం నుండి చివరి సందేశం వచ్చింది. "మేము త్రవ్విస్తున్నాము," అది చెప్పింది. "మేము శోధన మరియు రక్షించమని అభ్యర్థిస్తున్నాము." బెలూన్ న్యూఫౌండ్లాండ్ నుండి తుఫాను సముద్రాలలో పడిపోయింది. త్రీ కోస్ట్ గార్డ్ కట్టర్లు, రాయల్ కెనడియన్ వైమానిక దళ విమానాలు మరియు ఆరు యునైటెడ్ స్టేట్స్ వైమానిక దళం మరియు యునైటెడ్ స్టేట్స్ కోస్ట్ గార్డ్ విమానం ఈ ప్రాంతాన్ని 14 రోజులు కొట్టాయి. బెలూన్ గొండోలా నుండి కొన్ని అంశాలు గుర్తించబడ్డాయి, కాని రెస్క్యూ ప్రయత్నం విజయవంతం కాలేదు. ఆగష్టు 1978 వరకు, 10 తరువాతి అట్లాంటిక్ బెలూన్ క్రాసింగ్ ప్రయత్నాలు జరిగాయి: ఫిబ్రవరి 1974 లో, అలాంటి ఒక ప్రయత్నం చేస్తున్నప్పుడు, కల్నల్ థామస్ లీ గాచ్, జూనియర్ ఉసార్ తన తేలికపాటి గుండె సూపర్ ప్రెస్సర్ బెలూన్‌లో కూడా అదృశ్యమయ్యాడు. చివరగా, ఆగష్టు 17, 1978 న, ముగ్గురు అమెరికన్లు - బెన్ అబ్రుజో, మాక్సీ ఆండర్సన్ మరియు లారీ న్యూమాన్ డబుల్ ఈగిల్ II లో బెలూన్ చేత అట్లాంటిక్ దాటారు. అక్టోబర్ 1972 లో, పమేలా బ్రౌన్ పమేలా బ్రౌన్ ఆడిటోరియం ప్రారంభంతో జ్ఞాపకం చేసుకున్నాడు, ఇది కొత్తగా నిర్మించిన నటీనటుల థియేటర్ ఆఫ్ లూయిస్విల్లే కాంప్లెక్స్లో మొదటి మరియు అతిపెద్ద థియేటర్. ఈ ప్రయత్నాన్ని జ్ఞాపకం చేసుకున్న ఒక పుస్తకం 1994 లో రచయిత మరియు బెలూనిస్ట్ ఆంథోనీ స్మిత్ చేత ప్రచురించబడింది. [7] ది ఫ్రీ లైఫ్: ది స్పిరిట్ ఆఫ్ ధైర్యం, మూర్ఖత్వం మరియు ముట్టడి పేరుతో, ఈ పుస్తకానికి W.W. నార్టన్ &amp; కో. పదమూడవ వార్షిక సంపాదకుల పుస్తక అవార్డు. 1970 లో బెలూన్ ప్రయోగంలో స్మిత్ హాజరు కాలేదు, కాని అతను బ్రైటన్ ఎగరడం నేర్పించాడు మరియు అతను అతనితో పాటు అందరికంటే ఎక్కువగా ఎగిరిపోయాడు. 8. "ఫ్లైట్ ఆఫ్ ఎ లవ్లీ ఫాలీ," లైఫ్ మ్యాగజైన్, అక్టోబర్ 23, 1970 https://books.google.com/books?</v>
      </c>
      <c r="G164" s="1" t="str">
        <f>IFERROR(__xludf.DUMMYFUNCTION("GOOGLETRANSLATE(F:F,""en"", ""te"")"),"#VALUE!")</f>
        <v>#VALUE!</v>
      </c>
      <c r="L164" s="1" t="s">
        <v>3098</v>
      </c>
      <c r="M164" s="1" t="str">
        <f>IFERROR(__xludf.DUMMYFUNCTION("GOOGLETRANSLATE(L:L,""en"", ""te"")"),"మార్క్ సెమిచ్")</f>
        <v>మార్క్ సెమిచ్</v>
      </c>
      <c r="BV164" s="1" t="s">
        <v>3099</v>
      </c>
      <c r="BW164" s="1" t="s">
        <v>3100</v>
      </c>
      <c r="BY164" s="1" t="s">
        <v>3101</v>
      </c>
      <c r="CB164" s="1" t="s">
        <v>3102</v>
      </c>
      <c r="CW164" s="5">
        <v>25831.0</v>
      </c>
      <c r="DH164" s="1">
        <v>1970.0</v>
      </c>
      <c r="DJ164" s="1" t="s">
        <v>3103</v>
      </c>
      <c r="EG164" s="1">
        <v>1.0</v>
      </c>
      <c r="EH164" s="1">
        <v>30.0</v>
      </c>
      <c r="EI164" s="1" t="s">
        <v>3104</v>
      </c>
    </row>
    <row r="165">
      <c r="A165" s="1" t="s">
        <v>3105</v>
      </c>
      <c r="B165" s="1" t="str">
        <f>IFERROR(__xludf.DUMMYFUNCTION("GOOGLETRANSLATE(A:A,""en"", ""te"")"),"Szaraz sds-1a డాఫ్నే")</f>
        <v>Szaraz sds-1a డాఫ్నే</v>
      </c>
      <c r="C165" s="1" t="s">
        <v>3106</v>
      </c>
      <c r="D165" s="1" t="str">
        <f>IFERROR(__xludf.DUMMYFUNCTION("GOOGLETRANSLATE(C:C,""en"", ""te"")"),"స్జరాజ్ SD-1A డాఫ్నే అనేది హోమ్‌బిల్ట్ విమానం, ఇది సమర్థత పోటీల కోసం రూపొందించబడింది. [1] డాఫ్నే అనేది రెండు ప్రదేశాల సైడ్-బై-సైడ్ కాన్ఫిగరేషన్ స్ట్రట్-బ్రేస్డ్ హై-వింగ్, సాంప్రదాయ ల్యాండింగ్ గేర్ అమర్చిన హోమ్‌బిల్ట్. ఫ్యూజ్‌లేజ్ విమాన ఫాబ్రిక్ కవరింగ్‌తో"&amp;" వెల్డెడ్ స్టీల్ గొట్టాలను ఉపయోగిస్తుంది. రెక్కలు కలప, వన్-పీస్ ప్లైవుడ్ పక్కటెముకలతో ఉంటాయి. ఐలెరాన్లు మరియు ఫ్లాపెరాన్లు రెండూ డిజైన్‌లో వ్యవస్థాపించబడ్డాయి. [2] మొదటి మూడు ఉదాహరణలు ఆర్ట్ స్జరాజ్ యొక్క వర్క్‌షాప్‌లో ఒకే జిగ్స్‌పై నిర్మించబడ్డాయి. [2] స్"&amp;"పోర్ట్ ఏవియేషన్ నుండి డేటా. [2] పోల్చదగిన పాత్ర, కాన్ఫిగరేషన్ మరియు ERA యొక్క సాధారణ లక్షణాలు పనితీరు విమానం")</f>
        <v>స్జరాజ్ SD-1A డాఫ్నే అనేది హోమ్‌బిల్ట్ విమానం, ఇది సమర్థత పోటీల కోసం రూపొందించబడింది. [1] డాఫ్నే అనేది రెండు ప్రదేశాల సైడ్-బై-సైడ్ కాన్ఫిగరేషన్ స్ట్రట్-బ్రేస్డ్ హై-వింగ్, సాంప్రదాయ ల్యాండింగ్ గేర్ అమర్చిన హోమ్‌బిల్ట్. ఫ్యూజ్‌లేజ్ విమాన ఫాబ్రిక్ కవరింగ్‌తో వెల్డెడ్ స్టీల్ గొట్టాలను ఉపయోగిస్తుంది. రెక్కలు కలప, వన్-పీస్ ప్లైవుడ్ పక్కటెముకలతో ఉంటాయి. ఐలెరాన్లు మరియు ఫ్లాపెరాన్లు రెండూ డిజైన్‌లో వ్యవస్థాపించబడ్డాయి. [2] మొదటి మూడు ఉదాహరణలు ఆర్ట్ స్జరాజ్ యొక్క వర్క్‌షాప్‌లో ఒకే జిగ్స్‌పై నిర్మించబడ్డాయి. [2] స్పోర్ట్ ఏవియేషన్ నుండి డేటా. [2] పోల్చదగిన పాత్ర, కాన్ఫిగరేషన్ మరియు ERA యొక్క సాధారణ లక్షణాలు పనితీరు విమానం</v>
      </c>
      <c r="E165" s="1" t="s">
        <v>3107</v>
      </c>
      <c r="F165" s="1" t="s">
        <v>258</v>
      </c>
      <c r="G165" s="1" t="str">
        <f>IFERROR(__xludf.DUMMYFUNCTION("GOOGLETRANSLATE(F:F,""en"", ""te"")"),"హోమ్‌బిల్ట్ విమానం")</f>
        <v>హోమ్‌బిల్ట్ విమానం</v>
      </c>
      <c r="H165" s="1" t="s">
        <v>259</v>
      </c>
      <c r="I165" s="1" t="s">
        <v>158</v>
      </c>
      <c r="J165" s="1" t="str">
        <f>IFERROR(__xludf.DUMMYFUNCTION("GOOGLETRANSLATE(I:I,""en"", ""te"")"),"అమెరికా")</f>
        <v>అమెరికా</v>
      </c>
      <c r="K165" s="1" t="s">
        <v>159</v>
      </c>
      <c r="R165" s="1">
        <v>22.0</v>
      </c>
      <c r="T165" s="1">
        <v>2.0</v>
      </c>
      <c r="U165" s="1" t="s">
        <v>3108</v>
      </c>
      <c r="W165" s="1" t="s">
        <v>1948</v>
      </c>
      <c r="X165" s="1" t="s">
        <v>3109</v>
      </c>
      <c r="Y165" s="1" t="s">
        <v>371</v>
      </c>
      <c r="Z165" s="1" t="s">
        <v>3110</v>
      </c>
      <c r="AA165" s="1" t="s">
        <v>3111</v>
      </c>
      <c r="AB165" s="1" t="s">
        <v>3112</v>
      </c>
      <c r="AD165" s="1" t="s">
        <v>634</v>
      </c>
      <c r="AE165" s="1" t="s">
        <v>375</v>
      </c>
      <c r="AH165" s="1" t="s">
        <v>2709</v>
      </c>
      <c r="AI165" s="1" t="s">
        <v>638</v>
      </c>
      <c r="AJ165" s="1" t="s">
        <v>3113</v>
      </c>
      <c r="AK165" s="1" t="s">
        <v>3114</v>
      </c>
      <c r="AL165" s="1" t="s">
        <v>3115</v>
      </c>
      <c r="AM165" s="1" t="s">
        <v>3116</v>
      </c>
      <c r="AQ165" s="1" t="s">
        <v>3117</v>
      </c>
      <c r="AW165" s="1" t="s">
        <v>607</v>
      </c>
    </row>
    <row r="166">
      <c r="A166" s="1" t="s">
        <v>3118</v>
      </c>
      <c r="B166" s="1" t="str">
        <f>IFERROR(__xludf.DUMMYFUNCTION("GOOGLETRANSLATE(A:A,""en"", ""te"")"),"థ్రస్టర్ T600 స్ప్రింట్")</f>
        <v>థ్రస్టర్ T600 స్ప్రింట్</v>
      </c>
      <c r="C166" s="1" t="s">
        <v>3119</v>
      </c>
      <c r="D166" s="1" t="str">
        <f>IFERROR(__xludf.DUMMYFUNCTION("GOOGLETRANSLATE(C:C,""en"", ""te"")"),"థ్రస్టర్ T600 స్ప్రింట్ అనేది బ్రిటిష్ అల్ట్రాలైట్ విమానం, ఇది లాంగ్వర్త్, లింకన్షైర్ యొక్క థ్రస్టర్ ఎయిర్ సర్వీసెస్ చేత రూపొందించబడింది మరియు ఉత్పత్తి చేయబడింది మరియు 1990 ల మధ్యలో ప్రవేశపెట్టబడింది. విమానం పూర్తి రెడీ-టు-ఫ్లై-ఎయిర్‌క్రాఫ్ట్‌గా సరఫరా చేయ"&amp;"బడుతుంది. [1] [2] ఈ విమానం Fédération Aéronautique ఇంటర్నేషనల్ మైక్రోలైట్ రూల్స్ మరియు BCAR విభాగం ""S"" కింద ధృవీకరించబడిన UK కు అనుగుణంగా ఉంటుంది. ఇది స్ట్రట్-బ్రేస్డ్ హై-వింగ్, రెండు-సీట్ల-సైడ్-సైడ్-సైడ్ కాన్ఫిగరేషన్ పరివేష్టిత కాక్‌పిట్, తలుపుల ద్వారా"&amp;" యాక్సెస్ చేయబడింది, స్థిర ట్రైసైకిల్ ల్యాండింగ్ గేర్ లేదా సాంప్రదాయ ల్యాండింగ్ గేర్ మరియు ట్రాక్టర్ కాన్ఫిగరేషన్‌లో ఒకే ఇంజిన్. [1] [2 ] ఈ విమానం బోల్ట్-టుగెథర్ అల్యూమినియం గొట్టాల నుండి తయారవుతుంది, దాని ఎగిరే ఉపరితలాలు చికిత్స చేయబడిన డాక్రాన్ సెయిల్‌క"&amp;"్లాత్ మరియు ఫైబర్‌గ్లాస్ కాక్‌పిట్ ఫెయిరింగ్‌లో కప్పబడి ఉంటాయి. అమరికలు మరియు మౌంట్లు 316 స్టెయిన్లెస్ స్టీల్ మరియు 4130 స్టీల్. దీని 9.60 మీ (31.5 అడుగులు) స్పాన్ వింగ్ 15.70 మీ 2 (169.0 చదరపు అడుగులు) మరియు ఫ్లాప్‌లను కలిగి ఉంది. ఇంజిన్ కాక్‌పిట్ పైన కీ"&amp;"ల్ ట్యూబ్‌లో అమర్చబడి ఉంటుంది. ప్రామాణిక ఇంజన్లు 64 హెచ్‌పి (48 కిలోవాట్ల) రోటాక్స్ 582 టూ-స్ట్రోక్ మరియు 85 హెచ్‌పి (63 కిలోవాట్ బేయర్ల్ మరియు థ్రస్టర్ ఎయిర్ సర్వీసెస్ నుండి డేటా [1] [3] సాధారణ లక్షణాల పనితీరు")</f>
        <v>థ్రస్టర్ T600 స్ప్రింట్ అనేది బ్రిటిష్ అల్ట్రాలైట్ విమానం, ఇది లాంగ్వర్త్, లింకన్షైర్ యొక్క థ్రస్టర్ ఎయిర్ సర్వీసెస్ చేత రూపొందించబడింది మరియు ఉత్పత్తి చేయబడింది మరియు 1990 ల మధ్యలో ప్రవేశపెట్టబడింది. విమానం పూర్తి రెడీ-టు-ఫ్లై-ఎయిర్‌క్రాఫ్ట్‌గా సరఫరా చేయబడుతుంది. [1] [2] ఈ విమానం Fédération Aéronautique ఇంటర్నేషనల్ మైక్రోలైట్ రూల్స్ మరియు BCAR విభాగం "S" కింద ధృవీకరించబడిన UK కు అనుగుణంగా ఉంటుంది. ఇది స్ట్రట్-బ్రేస్డ్ హై-వింగ్, రెండు-సీట్ల-సైడ్-సైడ్-సైడ్ కాన్ఫిగరేషన్ పరివేష్టిత కాక్‌పిట్, తలుపుల ద్వారా యాక్సెస్ చేయబడింది, స్థిర ట్రైసైకిల్ ల్యాండింగ్ గేర్ లేదా సాంప్రదాయ ల్యాండింగ్ గేర్ మరియు ట్రాక్టర్ కాన్ఫిగరేషన్‌లో ఒకే ఇంజిన్. [1] [2 ] ఈ విమానం బోల్ట్-టుగెథర్ అల్యూమినియం గొట్టాల నుండి తయారవుతుంది, దాని ఎగిరే ఉపరితలాలు చికిత్స చేయబడిన డాక్రాన్ సెయిల్‌క్లాత్ మరియు ఫైబర్‌గ్లాస్ కాక్‌పిట్ ఫెయిరింగ్‌లో కప్పబడి ఉంటాయి. అమరికలు మరియు మౌంట్లు 316 స్టెయిన్లెస్ స్టీల్ మరియు 4130 స్టీల్. దీని 9.60 మీ (31.5 అడుగులు) స్పాన్ వింగ్ 15.70 మీ 2 (169.0 చదరపు అడుగులు) మరియు ఫ్లాప్‌లను కలిగి ఉంది. ఇంజిన్ కాక్‌పిట్ పైన కీల్ ట్యూబ్‌లో అమర్చబడి ఉంటుంది. ప్రామాణిక ఇంజన్లు 64 హెచ్‌పి (48 కిలోవాట్ల) రోటాక్స్ 582 టూ-స్ట్రోక్ మరియు 85 హెచ్‌పి (63 కిలోవాట్ బేయర్ల్ మరియు థ్రస్టర్ ఎయిర్ సర్వీసెస్ నుండి డేటా [1] [3] సాధారణ లక్షణాల పనితీరు</v>
      </c>
      <c r="E166" s="1" t="s">
        <v>3120</v>
      </c>
      <c r="F166" s="1" t="s">
        <v>459</v>
      </c>
      <c r="G166" s="1" t="str">
        <f>IFERROR(__xludf.DUMMYFUNCTION("GOOGLETRANSLATE(F:F,""en"", ""te"")"),"అల్ట్రాలైట్ విమానం")</f>
        <v>అల్ట్రాలైట్ విమానం</v>
      </c>
      <c r="H166" s="1" t="s">
        <v>460</v>
      </c>
      <c r="I166" s="1" t="s">
        <v>480</v>
      </c>
      <c r="J166" s="1" t="str">
        <f>IFERROR(__xludf.DUMMYFUNCTION("GOOGLETRANSLATE(I:I,""en"", ""te"")"),"యునైటెడ్ కింగ్‌డమ్")</f>
        <v>యునైటెడ్ కింగ్‌డమ్</v>
      </c>
      <c r="K166" s="1" t="s">
        <v>481</v>
      </c>
      <c r="L166" s="1" t="s">
        <v>3121</v>
      </c>
      <c r="M166" s="1" t="str">
        <f>IFERROR(__xludf.DUMMYFUNCTION("GOOGLETRANSLATE(L:L,""en"", ""te"")"),"థ్రస్టర్ ఎయిర్ సర్వీసెస్")</f>
        <v>థ్రస్టర్ ఎయిర్ సర్వీసెస్</v>
      </c>
      <c r="N166" s="1" t="s">
        <v>3122</v>
      </c>
      <c r="O166" s="1" t="s">
        <v>3123</v>
      </c>
      <c r="P166" s="1" t="s">
        <v>282</v>
      </c>
      <c r="Q166" s="1"/>
      <c r="S166" s="1" t="s">
        <v>164</v>
      </c>
      <c r="T166" s="1" t="s">
        <v>165</v>
      </c>
      <c r="U166" s="1" t="s">
        <v>1557</v>
      </c>
      <c r="V166" s="1" t="s">
        <v>1052</v>
      </c>
      <c r="W166" s="1" t="s">
        <v>3124</v>
      </c>
      <c r="X166" s="1" t="s">
        <v>3125</v>
      </c>
      <c r="Y166" s="1" t="s">
        <v>1318</v>
      </c>
      <c r="Z166" s="1" t="s">
        <v>1172</v>
      </c>
      <c r="AA166" s="1" t="s">
        <v>3126</v>
      </c>
      <c r="AB166" s="1" t="s">
        <v>3127</v>
      </c>
      <c r="AD166" s="1" t="s">
        <v>3128</v>
      </c>
      <c r="AE166" s="1" t="s">
        <v>3129</v>
      </c>
      <c r="AF166" s="1" t="s">
        <v>3130</v>
      </c>
      <c r="AG166" s="1" t="s">
        <v>3131</v>
      </c>
      <c r="AH166" s="1" t="s">
        <v>3132</v>
      </c>
      <c r="AI166" s="1" t="s">
        <v>3133</v>
      </c>
      <c r="AQ166" s="1" t="s">
        <v>2089</v>
      </c>
    </row>
    <row r="167">
      <c r="A167" s="1" t="s">
        <v>3134</v>
      </c>
      <c r="B167" s="1" t="str">
        <f>IFERROR(__xludf.DUMMYFUNCTION("GOOGLETRANSLATE(A:A,""en"", ""te"")"),"టైగర్ కబ్ అభివృద్ధి షేర్వుడ్ రేంజర్")</f>
        <v>టైగర్ కబ్ అభివృద్ధి షేర్వుడ్ రేంజర్</v>
      </c>
      <c r="C167" s="1" t="s">
        <v>3135</v>
      </c>
      <c r="D167" s="1" t="str">
        <f>IFERROR(__xludf.DUMMYFUNCTION("GOOGLETRANSLATE(C:C,""en"", ""te"")"),"టైగర్ కబ్ డెవలప్‌మెంట్స్ (టిసిడి) షేర్వుడ్ రేంజర్ ఒకే ఇంజిన్, 1990 ల ప్రారంభంలో యునైటెడ్ కింగ్‌డమ్‌లో రెండు సీట్ల బిప్‌లేన్ మైక్రోలైట్ రూపొందించబడింది మరియు నిర్మించబడింది. కిట్లను మొదట TCD నిర్మించింది; తరువాత, 2009 లో కిట్ ఉత్పత్తిని తిరిగి ప్రారంభించిన"&amp;" లైట్ ఎయిర్క్రాఫ్ట్ కంపెనీ లిమిటెడ్ (టిఎల్‌ఎసి) డిజైన్ హక్కులను కొనుగోలు చేసింది. టిసిడి షేర్వుడ్ రేంజర్‌ను రస్ లైట్ మైక్రో బిప్‌లేన్ ఏవియేషన్ టైగర్ కబ్ వారసుడిగా రూపొందించింది, ఇది వర్క్‌ఆప్‌లో నిర్మించిన మడతపెట్టే బిప్‌లేన్. [[ 2] దాదాపు 100 టైగర్ కబ్స్"&amp;", కాంతి పాక్షికంగా రూపొందించబడింది, ఇది UK సివిల్ ఎయిర్క్రాఫ్ట్ రిజిస్టర్‌లో కనిపించింది. [3] షేర్వుడ్ రేంజర్‌కు రెట్‌ఫోర్డ్, నాట్స్ ఇన్ పేరు పెట్టబడింది, బహుశా పబ్లిక్ హౌస్ పేరు పెట్టబడిన ఏకైక విమానం. [4] షేర్వుడ్ రేంజర్ సింగిల్ బే బిప్‌లేన్, దాని రెక్కల"&amp;"ు 3.83 ° స్వీప్‌బ్యాక్, దిగువ రెక్కపై 3 ° డైహెడ్రల్ కలిగి ఉంటాయి, కానీ అస్థిరపడవు. అవి స్థిరమైన తీగను కలిగి ఉంటాయి మరియు మిశ్రమ నిర్మాణంతో ఉంటాయి, సింగిల్ అల్యూమినియం స్పార్స్ మరియు డ్రాగ్ స్ట్రట్స్, ప్లైవుడ్ కవర్ డి-బాక్స్ లీడింగ్ అంచులు, ప్లై మరియు స్ప్"&amp;"రూస్ పక్కటెముకలు మరియు ఫాబ్రిక్ కవరింగ్ ఉన్నాయి. ఎగువ మరియు దిగువ రెక్కలపై బాహ్యంగా ఒకదానితో ఒకటి అనుసంధానించబడిన ఫ్రైజ్ ఐలెరోన్లు ఉన్నాయి. తరువాతి దిగువ ఫ్యూజ్‌లేజ్ లాంగన్స్ మరియు సింగిల్, ఫెయిర్డ్, డీప్ తీగ, ఐ-ఆకారపు ఇంటర్‌ప్లేన్ స్ట్రట్‌లపై అమర్చబడి ఉం"&amp;"టుంది, సెంట్రల్ క్యాబనే స్ట్రట్‌ల ద్వారా సహాయపడే ఫ్యూజ్‌లేజ్ పైన ఎగువ వింగ్‌ను బాగా ఉంచుతుంది. ఈ తరువాతి స్ట్రట్స్, వింగ్ సెంటర్ విభాగంతో పాటు, గొట్టపు అల్యూమినియం ఫ్యూజ్‌లేజ్ నిర్మాణంలో భాగం. ప్రతి వైపు రెండు ఫ్లయింగ్ వైర్లు మరియు రెండు ల్యాండింగ్ వైర్లు"&amp;" ద్వారా అదనపు బ్రేసింగ్ అందించబడుతుంది. రవాణా కోసం రెక్కలు మడత. [4] షేర్వుడ్ రేంజర్ యొక్క ఫ్యూజ్‌లేజ్ అల్యూమినియం ట్యూబ్ నిర్మాణాన్ని కలిగి ఉంది, ప్లై ఫార్మర్లు మరియు స్ప్రూస్ స్ట్రింగర్‌లతో, మరియు ఇంజిన్ మరియు కాక్‌పిట్ ప్రాంతాలలో గ్లాస్ ఫైబర్ మోల్డింగ్‌"&amp;"ల నుండి వేరుగా ఉంటుంది మరియు వెనుక డెక్కింగ్‌ను ఏర్పరుస్తుంది. ముక్కు చాలా సన్నగా ఉంటుంది; ప్రత్యేక ఓపెన్ కాక్‌పిట్‌లు వింగ్ యొక్క ప్రముఖ అంచు మరియు మరొకటి వెనుకంజలో ఉన్న అంచు కింద కొంచెం వెనుకబడి ఉంటాయి, ఇక్కడ కొంచెం ఎగువ వింగ్ కటౌట్ పైలట్ యొక్క దృశ్యాన్"&amp;"ని మెరుగుపరుస్తుంది. ఫిన్ ఫ్యూజ్‌లేజ్ నిర్మాణంతో సమగ్రంగా ఉంటుంది మరియు లోతైన, గుండ్రని చుక్కానిని కలిగి ఉంటుంది, ఇది తక్కువ ఫ్యూజ్‌లేజ్‌కు విస్తరించి ఉంటుంది. ఫ్యూజ్‌లేజ్ పైన అమర్చిన టెయిల్‌ప్లేన్ అసాధారణంగా తక్కువ కారక నిష్పత్తిని కలిగి ఉంది మరియు ప్రణా"&amp;"ళికలో దాదాపు అర్ధ వృత్తాకారంగా ఉంటుంది. ఈ క్షితిజ సమాంతర ఉపరితలాలు సన్నగా మరియు కాంబర్ లేకుండా ఉంటాయి. ప్రత్యేక ఎలివేటర్లు వాటి మధ్య చుక్కాని కదలికను అనుమతిస్తాయి. టెయిల్‌ప్లేన్ ఫిన్ పైభాగానికి మరియు ఫ్యూజ్‌లేజ్ దిగువకు కలుపుతారు. స్థిర సాంప్రదాయిక అండర్ "&amp;"క్యారేజీలో మెయిన్‌వీల్స్ ఉన్నాయి, బ్రేక్‌లతో అమర్చబడి ఉంటాయి, సెంట్రల్ ఫ్యూజ్‌లేజ్ క్రింద ఒక బంగీ మొలకెత్తిన కుదింపు ఫ్రేమ్ నుండి అమర్చబడిన స్ప్లిట్ ఇరుసులపై మరియు ఫెయిర్‌డ్, వి-ఫారమ్ కాళ్ళతో దాని దిగువ లాన్స్‌కు అతుక్కొని ఉన్నాయి. ఒక బంగీ మొలకెత్తిన, టెయ"&amp;"ిల్ వీల్ ఉంది. [4] షేర్వుడ్ రేంజర్ మొదట 1992 లో ప్రయాణించారు. రేంజర్ యొక్క అనేక వెర్షన్లు నిర్మించబడ్డాయి, వేర్వేరు గరిష్ట టేకాఫ్ బరువులు (MTOW) మరియు ఇంజన్లతో. ప్రారంభ విమానం LW వేరియంట్‌గా నిర్మించబడింది, 390 kk (860 lb) మరియు 37-49 kW (50-65 HP) శక్తి "&amp;"పరిధిలో ఇంజిన్‌లతో MTOW తో. [4] అమర్చిన ఇంజిన్లలో 48 kW (64 HP) రోటాక్స్ 532, ఇలాంటి 48 kW (64 HP) రోటాక్స్ 582 రెండు సిలిండర్ రెండు స్ట్రోక్ ఇంజన్ మరియు 64 kW (85 HP) జబీరు 2200 ఫ్లాట్ ఫోర్. [5] కొన్ని తరువాత 450 కిలోల (992 ఎల్బి), ఎస్టీ వేరియంట్ స్టాండర"&amp;"్డ్, మౌటోకు నిర్మించబడ్డాయి లేదా అప్‌గ్రేడ్ చేయబడ్డాయి. వీటిలో కొన్ని రోటాక్స్ 582 లేదా జబిరు ఇంజిన్లను ఉపయోగిస్తాయి మరియు ఒకటి BMW RS1100 తో అమర్చబడి ఉంటుంది. [4] [5] LW ఇకపై అందించబడదు కాని ప్రణాళికలు, కిట్ లేదా క్విక్ బిల్డ్ కిట్ నుండి నిర్మించడానికి S"&amp;"T అందుబాటులో ఉంది. ఏరోబాటిక్ సామర్థ్యాన్ని అందించడానికి XP వేరియంట్ స్వల్ప స్పాన్ వింగ్ (7.07 మీ; 23 అడుగుల 0 అంగుళాలు) కలిగి ఉంది మరియు 75 kW (100 hp) వరకు రేట్ చేయబడిన ఇంజిన్‌లతో అమర్చవచ్చు. [4] [6] రస్ లైట్ మరణం వరకు పన్నెండు షేర్వుడ్ రేంజర్స్ కిట్లను "&amp;"టిసిడి నిర్మించింది, ఆ తరువాత కంపెనీ వ్యాపారం చేయకుండా ఆగిపోయింది. TLAC 2007 లో హక్కులను కొనుగోలు చేసింది, 31 జూలై 2009 న వారి మొదటి నమూనాను ఎగరేసింది మరియు 2010 లో ఏరోబాటిక్ ఆమోదం లక్ష్యంతో ఒక XP ప్రోటోటైప్‌లో పనిచేస్తోంది. [4] పన్నెండు రేంజర్లు UK సివిల"&amp;"్ రిజిస్టర్‌లో ఉన్నారు, అయినప్పటికీ అందరూ ఎగిరిపోలేదు లేదా ఎగరడానికి అనుమతులు కలిగి లేరు. [5] వీటిలో ఒకటి ఇటలీకి బదిలీ చేయబడింది. [5] USA లో ఒక XP నిర్మించబడింది. 2009 నాటికి TLAC తన సొంత రెండు వస్తు సామగ్రిని విక్రయించింది. [4] రేంజర్స్ నిర్మాణం కొనసాగుత"&amp;"ోంది; మాల్టీస్ రిజిస్టర్‌లో ఒక అసంపూర్ణ ఉదాహరణ కనిపిస్తుంది. [7] జేన్ యొక్క అన్ని ప్రపంచ విమానాల నుండి డేటా 2011/12 [4] సాధారణ లక్షణాల పనితీరు")</f>
        <v>టైగర్ కబ్ డెవలప్‌మెంట్స్ (టిసిడి) షేర్వుడ్ రేంజర్ ఒకే ఇంజిన్, 1990 ల ప్రారంభంలో యునైటెడ్ కింగ్‌డమ్‌లో రెండు సీట్ల బిప్‌లేన్ మైక్రోలైట్ రూపొందించబడింది మరియు నిర్మించబడింది. కిట్లను మొదట TCD నిర్మించింది; తరువాత, 2009 లో కిట్ ఉత్పత్తిని తిరిగి ప్రారంభించిన లైట్ ఎయిర్క్రాఫ్ట్ కంపెనీ లిమిటెడ్ (టిఎల్‌ఎసి) డిజైన్ హక్కులను కొనుగోలు చేసింది. టిసిడి షేర్వుడ్ రేంజర్‌ను రస్ లైట్ మైక్రో బిప్‌లేన్ ఏవియేషన్ టైగర్ కబ్ వారసుడిగా రూపొందించింది, ఇది వర్క్‌ఆప్‌లో నిర్మించిన మడతపెట్టే బిప్‌లేన్. [[ 2] దాదాపు 100 టైగర్ కబ్స్, కాంతి పాక్షికంగా రూపొందించబడింది, ఇది UK సివిల్ ఎయిర్క్రాఫ్ట్ రిజిస్టర్‌లో కనిపించింది. [3] షేర్వుడ్ రేంజర్‌కు రెట్‌ఫోర్డ్, నాట్స్ ఇన్ పేరు పెట్టబడింది, బహుశా పబ్లిక్ హౌస్ పేరు పెట్టబడిన ఏకైక విమానం. [4] షేర్వుడ్ రేంజర్ సింగిల్ బే బిప్‌లేన్, దాని రెక్కలు 3.83 ° స్వీప్‌బ్యాక్, దిగువ రెక్కపై 3 ° డైహెడ్రల్ కలిగి ఉంటాయి, కానీ అస్థిరపడవు. అవి స్థిరమైన తీగను కలిగి ఉంటాయి మరియు మిశ్రమ నిర్మాణంతో ఉంటాయి, సింగిల్ అల్యూమినియం స్పార్స్ మరియు డ్రాగ్ స్ట్రట్స్, ప్లైవుడ్ కవర్ డి-బాక్స్ లీడింగ్ అంచులు, ప్లై మరియు స్ప్రూస్ పక్కటెముకలు మరియు ఫాబ్రిక్ కవరింగ్ ఉన్నాయి. ఎగువ మరియు దిగువ రెక్కలపై బాహ్యంగా ఒకదానితో ఒకటి అనుసంధానించబడిన ఫ్రైజ్ ఐలెరోన్లు ఉన్నాయి. తరువాతి దిగువ ఫ్యూజ్‌లేజ్ లాంగన్స్ మరియు సింగిల్, ఫెయిర్డ్, డీప్ తీగ, ఐ-ఆకారపు ఇంటర్‌ప్లేన్ స్ట్రట్‌లపై అమర్చబడి ఉంటుంది, సెంట్రల్ క్యాబనే స్ట్రట్‌ల ద్వారా సహాయపడే ఫ్యూజ్‌లేజ్ పైన ఎగువ వింగ్‌ను బాగా ఉంచుతుంది. ఈ తరువాతి స్ట్రట్స్, వింగ్ సెంటర్ విభాగంతో పాటు, గొట్టపు అల్యూమినియం ఫ్యూజ్‌లేజ్ నిర్మాణంలో భాగం. ప్రతి వైపు రెండు ఫ్లయింగ్ వైర్లు మరియు రెండు ల్యాండింగ్ వైర్లు ద్వారా అదనపు బ్రేసింగ్ అందించబడుతుంది. రవాణా కోసం రెక్కలు మడత. [4] షేర్వుడ్ రేంజర్ యొక్క ఫ్యూజ్‌లేజ్ అల్యూమినియం ట్యూబ్ నిర్మాణాన్ని కలిగి ఉంది, ప్లై ఫార్మర్లు మరియు స్ప్రూస్ స్ట్రింగర్‌లతో, మరియు ఇంజిన్ మరియు కాక్‌పిట్ ప్రాంతాలలో గ్లాస్ ఫైబర్ మోల్డింగ్‌ల నుండి వేరుగా ఉంటుంది మరియు వెనుక డెక్కింగ్‌ను ఏర్పరుస్తుంది. ముక్కు చాలా సన్నగా ఉంటుంది; ప్రత్యేక ఓపెన్ కాక్‌పిట్‌లు వింగ్ యొక్క ప్రముఖ అంచు మరియు మరొకటి వెనుకంజలో ఉన్న అంచు కింద కొంచెం వెనుకబడి ఉంటాయి, ఇక్కడ కొంచెం ఎగువ వింగ్ కటౌట్ పైలట్ యొక్క దృశ్యాన్ని మెరుగుపరుస్తుంది. ఫిన్ ఫ్యూజ్‌లేజ్ నిర్మాణంతో సమగ్రంగా ఉంటుంది మరియు లోతైన, గుండ్రని చుక్కానిని కలిగి ఉంటుంది, ఇది తక్కువ ఫ్యూజ్‌లేజ్‌కు విస్తరించి ఉంటుంది. ఫ్యూజ్‌లేజ్ పైన అమర్చిన టెయిల్‌ప్లేన్ అసాధారణంగా తక్కువ కారక నిష్పత్తిని కలిగి ఉంది మరియు ప్రణాళికలో దాదాపు అర్ధ వృత్తాకారంగా ఉంటుంది. ఈ క్షితిజ సమాంతర ఉపరితలాలు సన్నగా మరియు కాంబర్ లేకుండా ఉంటాయి. ప్రత్యేక ఎలివేటర్లు వాటి మధ్య చుక్కాని కదలికను అనుమతిస్తాయి. టెయిల్‌ప్లేన్ ఫిన్ పైభాగానికి మరియు ఫ్యూజ్‌లేజ్ దిగువకు కలుపుతారు. స్థిర సాంప్రదాయిక అండర్ క్యారేజీలో మెయిన్‌వీల్స్ ఉన్నాయి, బ్రేక్‌లతో అమర్చబడి ఉంటాయి, సెంట్రల్ ఫ్యూజ్‌లేజ్ క్రింద ఒక బంగీ మొలకెత్తిన కుదింపు ఫ్రేమ్ నుండి అమర్చబడిన స్ప్లిట్ ఇరుసులపై మరియు ఫెయిర్‌డ్, వి-ఫారమ్ కాళ్ళతో దాని దిగువ లాన్స్‌కు అతుక్కొని ఉన్నాయి. ఒక బంగీ మొలకెత్తిన, టెయిల్ వీల్ ఉంది. [4] షేర్వుడ్ రేంజర్ మొదట 1992 లో ప్రయాణించారు. రేంజర్ యొక్క అనేక వెర్షన్లు నిర్మించబడ్డాయి, వేర్వేరు గరిష్ట టేకాఫ్ బరువులు (MTOW) మరియు ఇంజన్లతో. ప్రారంభ విమానం LW వేరియంట్‌గా నిర్మించబడింది, 390 kk (860 lb) మరియు 37-49 kW (50-65 HP) శక్తి పరిధిలో ఇంజిన్‌లతో MTOW తో. [4] అమర్చిన ఇంజిన్లలో 48 kW (64 HP) రోటాక్స్ 532, ఇలాంటి 48 kW (64 HP) రోటాక్స్ 582 రెండు సిలిండర్ రెండు స్ట్రోక్ ఇంజన్ మరియు 64 kW (85 HP) జబీరు 2200 ఫ్లాట్ ఫోర్. [5] కొన్ని తరువాత 450 కిలోల (992 ఎల్బి), ఎస్టీ వేరియంట్ స్టాండర్డ్, మౌటోకు నిర్మించబడ్డాయి లేదా అప్‌గ్రేడ్ చేయబడ్డాయి. వీటిలో కొన్ని రోటాక్స్ 582 లేదా జబిరు ఇంజిన్లను ఉపయోగిస్తాయి మరియు ఒకటి BMW RS1100 తో అమర్చబడి ఉంటుంది. [4] [5] LW ఇకపై అందించబడదు కాని ప్రణాళికలు, కిట్ లేదా క్విక్ బిల్డ్ కిట్ నుండి నిర్మించడానికి ST అందుబాటులో ఉంది. ఏరోబాటిక్ సామర్థ్యాన్ని అందించడానికి XP వేరియంట్ స్వల్ప స్పాన్ వింగ్ (7.07 మీ; 23 అడుగుల 0 అంగుళాలు) కలిగి ఉంది మరియు 75 kW (100 hp) వరకు రేట్ చేయబడిన ఇంజిన్‌లతో అమర్చవచ్చు. [4] [6] రస్ లైట్ మరణం వరకు పన్నెండు షేర్వుడ్ రేంజర్స్ కిట్లను టిసిడి నిర్మించింది, ఆ తరువాత కంపెనీ వ్యాపారం చేయకుండా ఆగిపోయింది. TLAC 2007 లో హక్కులను కొనుగోలు చేసింది, 31 జూలై 2009 న వారి మొదటి నమూనాను ఎగరేసింది మరియు 2010 లో ఏరోబాటిక్ ఆమోదం లక్ష్యంతో ఒక XP ప్రోటోటైప్‌లో పనిచేస్తోంది. [4] పన్నెండు రేంజర్లు UK సివిల్ రిజిస్టర్‌లో ఉన్నారు, అయినప్పటికీ అందరూ ఎగిరిపోలేదు లేదా ఎగరడానికి అనుమతులు కలిగి లేరు. [5] వీటిలో ఒకటి ఇటలీకి బదిలీ చేయబడింది. [5] USA లో ఒక XP నిర్మించబడింది. 2009 నాటికి TLAC తన సొంత రెండు వస్తు సామగ్రిని విక్రయించింది. [4] రేంజర్స్ నిర్మాణం కొనసాగుతోంది; మాల్టీస్ రిజిస్టర్‌లో ఒక అసంపూర్ణ ఉదాహరణ కనిపిస్తుంది. [7] జేన్ యొక్క అన్ని ప్రపంచ విమానాల నుండి డేటా 2011/12 [4] సాధారణ లక్షణాల పనితీరు</v>
      </c>
      <c r="E167" s="1" t="s">
        <v>3136</v>
      </c>
      <c r="F167" s="1" t="s">
        <v>3137</v>
      </c>
      <c r="G167" s="1" t="str">
        <f>IFERROR(__xludf.DUMMYFUNCTION("GOOGLETRANSLATE(F:F,""en"", ""te"")"),"రెండు సీట్ల బిప్‌లేన్ మైక్రోలైట్")</f>
        <v>రెండు సీట్ల బిప్‌లేన్ మైక్రోలైట్</v>
      </c>
      <c r="H167" s="1" t="s">
        <v>3138</v>
      </c>
      <c r="I167" s="1" t="s">
        <v>480</v>
      </c>
      <c r="J167" s="1" t="str">
        <f>IFERROR(__xludf.DUMMYFUNCTION("GOOGLETRANSLATE(I:I,""en"", ""te"")"),"యునైటెడ్ కింగ్‌డమ్")</f>
        <v>యునైటెడ్ కింగ్‌డమ్</v>
      </c>
      <c r="K167" s="1" t="s">
        <v>481</v>
      </c>
      <c r="L167" s="1" t="s">
        <v>3139</v>
      </c>
      <c r="M167" s="1" t="str">
        <f>IFERROR(__xludf.DUMMYFUNCTION("GOOGLETRANSLATE(L:L,""en"", ""te"")"),"టైగర్ కబ్ డెవలప్‌మెంట్స్ లిమిటెడ్, [1] డాన్‌కాస్టర్లేటర్ లైట్ ఎయిర్‌క్రాఫ్ట్ కంపెనీ లిమిటెడ్ మరియు లానిట్జ్ ఏవియేషన్")</f>
        <v>టైగర్ కబ్ డెవలప్‌మెంట్స్ లిమిటెడ్, [1] డాన్‌కాస్టర్లేటర్ లైట్ ఎయిర్‌క్రాఫ్ట్ కంపెనీ లిమిటెడ్ మరియు లానిట్జ్ ఏవియేషన్</v>
      </c>
      <c r="T167" s="1">
        <v>2.0</v>
      </c>
      <c r="U167" s="1" t="s">
        <v>2634</v>
      </c>
      <c r="V167" s="1" t="s">
        <v>3140</v>
      </c>
      <c r="W167" s="1" t="s">
        <v>3141</v>
      </c>
      <c r="X167" s="1" t="s">
        <v>3142</v>
      </c>
      <c r="Z167" s="1" t="s">
        <v>3143</v>
      </c>
      <c r="AA167" s="1" t="s">
        <v>3144</v>
      </c>
      <c r="AB167" s="1" t="s">
        <v>3145</v>
      </c>
      <c r="AE167" s="1" t="s">
        <v>3146</v>
      </c>
      <c r="AG167" s="1" t="s">
        <v>208</v>
      </c>
      <c r="AH167" s="1" t="s">
        <v>3147</v>
      </c>
      <c r="AI167" s="1" t="s">
        <v>3148</v>
      </c>
      <c r="AJ167" s="1" t="s">
        <v>3149</v>
      </c>
      <c r="AK167" s="1" t="s">
        <v>3150</v>
      </c>
      <c r="AM167" s="1" t="s">
        <v>3151</v>
      </c>
      <c r="AO167" s="1">
        <v>1992.0</v>
      </c>
      <c r="AQ167" s="1" t="s">
        <v>1003</v>
      </c>
      <c r="AT167" s="1" t="s">
        <v>1318</v>
      </c>
      <c r="BE167" s="1" t="s">
        <v>3035</v>
      </c>
    </row>
    <row r="168">
      <c r="A168" s="1" t="s">
        <v>3152</v>
      </c>
      <c r="B168" s="1" t="str">
        <f>IFERROR(__xludf.DUMMYFUNCTION("GOOGLETRANSLATE(A:A,""en"", ""te"")"),"స్వీడిష్ ఏరోస్పోర్ట్ దోమ")</f>
        <v>స్వీడిష్ ఏరోస్పోర్ట్ దోమ</v>
      </c>
      <c r="C168" s="1" t="s">
        <v>3153</v>
      </c>
      <c r="D168" s="1" t="str">
        <f>IFERROR(__xludf.DUMMYFUNCTION("GOOGLETRANSLATE(C:C,""en"", ""te"")"),"స్వీడిష్ ఏరోస్పోర్ట్ దోమ అనేది స్వీడిష్ పవర్డ్ హాంగ్ గ్లైడర్, ఇది స్వీడిష్ ఏరోస్పోర్ట్ చేత రూపొందించబడింది మరియు 1995 లో ప్రవేశపెట్టింది. [1] [2] 1995 లో ప్రవేశపెట్టినప్పుడు శక్తితో కూడిన స్వీయ-లాంచింగ్ హాంగ్ గ్లైడర్ కాన్సెప్ట్‌పై పునరుద్ధరించిన ఆసక్తిని "&amp;"ప్రారంభించిన పవర్ ప్యాకేజీ దోమ. పవర్ ప్యాకేజీని ఏదైనా హాంగ్ గ్లైడర్ వింగ్‌తో జతచేయవచ్చు. విమానం ఎగరడానికి సిద్ధంగా ఉంది కేబుల్-బ్రేస్డ్ హాంగ్ గ్లైడర్-స్టైల్ హై-వింగ్, వెయిట్-షిఫ్ట్ నియంత్రణలు, సింగిల్-ప్లేస్ వసతి, ఫుట్-లాంచింగ్ మరియు ల్యాండింగ్ మరియు పషర్"&amp;" కాన్ఫిగరేషన్‌లో ఒకే ఇంజిన్ ఉన్నాయి. [1] ఈ విమానం ప్రామాణిక హాంగ్ గ్లైడర్ వింగ్‌ను ఉపయోగిస్తుంది, ఇది బోల్ట్-కలిసి అల్యూమినియం గొట్టాలతో తయారు చేయబడింది, దాని రెక్కతో డాక్రాన్ సెయిల్‌క్లాత్‌లో కప్పబడి ఉంటుంది. రెక్కకు ఒకే ట్యూబ్-రకం కింగ్‌పోస్ట్ మద్దతు ఇస"&amp;"్తుంది మరియు ""ఎ"" ఫ్రేమ్ కంట్రోల్ బార్‌ను ఉపయోగిస్తుంది. ఇంజిన్ తేలికపాటి, రెండు-స్ట్రోక్, సింగిల్ సిలిండర్ రాడ్నే రాకెట్ 14 హెచ్‌పి (10 కిలోవాట్) లో 120, ఇది 3.5: 1 బెల్ట్ తగ్గింపు డ్రైవ్ అయినప్పటికీ, పొడిగింపు షాఫ్ట్‌తో శక్తిని ఉత్పత్తి చేస్తుంది. మడత "&amp;"కాళ్ళు గ్రౌండ్ ఆపరేషన్ల సమయంలో ప్రొపెల్లర్‌ను రక్షిస్తాయి. ఇంజిన్ ప్యాకేజీని చాలా హాంగ్ గ్లైడర్ పాడ్ పట్టీలలో వ్యవస్థాపించవచ్చు. దోమను పూర్తి హార్నెస్ అసెంబ్లీగా కూడా కొనుగోలు చేయవచ్చు. [1] అసలు దోమల రూపకల్పన 2001 లో దోమ ఎన్ఆర్జిగా నవీకరించబడింది, ఇది ఉత్"&amp;"పత్తిలో ఉంది. NRG ఫ్లాట్ బ్యాక్ ప్లేట్, ఫ్రంట్ ఓపెనింగ్, ప్రొపెల్లర్ బ్రేక్, ఇంటిగ్రేటెడ్ కంట్రోల్స్ మరియు ఎలక్ట్రిక్ ప్రారంభాన్ని కలిగి ఉంటుంది. [2] దోమల కోసం ఆమోదించబడిన రెక్కలు A-I-R అటోస్ రిజిడ్ వింగ్ మరియు ఎరోస్ డిస్కస్ M. [3] [4] క్లిచ్ నుండి డేటా ["&amp;"1] సాధారణ లక్షణాల పనితీరు గ్లైడర్‌తో జతచేయబడిన జీను ముక్కును కట్టివేసినప్పుడు మరియు పూర్తి ఇంధనంతో గాలిలోకి ప్రవేశించినప్పుడు మోటరైజ్డ్ జీను ఒక ప్రామాణిక హాంగ్ గ్లైడింగ్ జీను కంటే 15 కిలోల బరువు ఉంటుంది. A10 జీను, NRG కి ముందు ఉన్న మోడల్ ప్రొపెల్లర్‌తో వి"&amp;"భేదాన్ని నివారించడానికి కీల్ యొక్క తోక విభాగం తొలగించబడుతుంది.")</f>
        <v>స్వీడిష్ ఏరోస్పోర్ట్ దోమ అనేది స్వీడిష్ పవర్డ్ హాంగ్ గ్లైడర్, ఇది స్వీడిష్ ఏరోస్పోర్ట్ చేత రూపొందించబడింది మరియు 1995 లో ప్రవేశపెట్టింది. [1] [2] 1995 లో ప్రవేశపెట్టినప్పుడు శక్తితో కూడిన స్వీయ-లాంచింగ్ హాంగ్ గ్లైడర్ కాన్సెప్ట్‌పై పునరుద్ధరించిన ఆసక్తిని ప్రారంభించిన పవర్ ప్యాకేజీ దోమ. పవర్ ప్యాకేజీని ఏదైనా హాంగ్ గ్లైడర్ వింగ్‌తో జతచేయవచ్చు. విమానం ఎగరడానికి సిద్ధంగా ఉంది కేబుల్-బ్రేస్డ్ హాంగ్ గ్లైడర్-స్టైల్ హై-వింగ్, వెయిట్-షిఫ్ట్ నియంత్రణలు, సింగిల్-ప్లేస్ వసతి, ఫుట్-లాంచింగ్ మరియు ల్యాండింగ్ మరియు పషర్ కాన్ఫిగరేషన్‌లో ఒకే ఇంజిన్ ఉన్నాయి. [1] ఈ విమానం ప్రామాణిక హాంగ్ గ్లైడర్ వింగ్‌ను ఉపయోగిస్తుంది, ఇది బోల్ట్-కలిసి అల్యూమినియం గొట్టాలతో తయారు చేయబడింది, దాని రెక్కతో డాక్రాన్ సెయిల్‌క్లాత్‌లో కప్పబడి ఉంటుంది. రెక్కకు ఒకే ట్యూబ్-రకం కింగ్‌పోస్ట్ మద్దతు ఇస్తుంది మరియు "ఎ" ఫ్రేమ్ కంట్రోల్ బార్‌ను ఉపయోగిస్తుంది. ఇంజిన్ తేలికపాటి, రెండు-స్ట్రోక్, సింగిల్ సిలిండర్ రాడ్నే రాకెట్ 14 హెచ్‌పి (10 కిలోవాట్) లో 120, ఇది 3.5: 1 బెల్ట్ తగ్గింపు డ్రైవ్ అయినప్పటికీ, పొడిగింపు షాఫ్ట్‌తో శక్తిని ఉత్పత్తి చేస్తుంది. మడత కాళ్ళు గ్రౌండ్ ఆపరేషన్ల సమయంలో ప్రొపెల్లర్‌ను రక్షిస్తాయి. ఇంజిన్ ప్యాకేజీని చాలా హాంగ్ గ్లైడర్ పాడ్ పట్టీలలో వ్యవస్థాపించవచ్చు. దోమను పూర్తి హార్నెస్ అసెంబ్లీగా కూడా కొనుగోలు చేయవచ్చు. [1] అసలు దోమల రూపకల్పన 2001 లో దోమ ఎన్ఆర్జిగా నవీకరించబడింది, ఇది ఉత్పత్తిలో ఉంది. NRG ఫ్లాట్ బ్యాక్ ప్లేట్, ఫ్రంట్ ఓపెనింగ్, ప్రొపెల్లర్ బ్రేక్, ఇంటిగ్రేటెడ్ కంట్రోల్స్ మరియు ఎలక్ట్రిక్ ప్రారంభాన్ని కలిగి ఉంటుంది. [2] దోమల కోసం ఆమోదించబడిన రెక్కలు A-I-R అటోస్ రిజిడ్ వింగ్ మరియు ఎరోస్ డిస్కస్ M. [3] [4] క్లిచ్ నుండి డేటా [1] సాధారణ లక్షణాల పనితీరు గ్లైడర్‌తో జతచేయబడిన జీను ముక్కును కట్టివేసినప్పుడు మరియు పూర్తి ఇంధనంతో గాలిలోకి ప్రవేశించినప్పుడు మోటరైజ్డ్ జీను ఒక ప్రామాణిక హాంగ్ గ్లైడింగ్ జీను కంటే 15 కిలోల బరువు ఉంటుంది. A10 జీను, NRG కి ముందు ఉన్న మోడల్ ప్రొపెల్లర్‌తో విభేదాన్ని నివారించడానికి కీల్ యొక్క తోక విభాగం తొలగించబడుతుంది.</v>
      </c>
      <c r="E168" s="1" t="s">
        <v>3154</v>
      </c>
      <c r="F168" s="1" t="s">
        <v>3155</v>
      </c>
      <c r="G168" s="1" t="str">
        <f>IFERROR(__xludf.DUMMYFUNCTION("GOOGLETRANSLATE(F:F,""en"", ""te"")"),"శక్తితో కూడిన హాంగ్ గ్లైడర్")</f>
        <v>శక్తితో కూడిన హాంగ్ గ్లైడర్</v>
      </c>
      <c r="H168" s="1" t="s">
        <v>3156</v>
      </c>
      <c r="I168" s="1" t="s">
        <v>3157</v>
      </c>
      <c r="J168" s="1" t="str">
        <f>IFERROR(__xludf.DUMMYFUNCTION("GOOGLETRANSLATE(I:I,""en"", ""te"")"),"స్వీడన్")</f>
        <v>స్వీడన్</v>
      </c>
      <c r="K168" s="2" t="s">
        <v>3158</v>
      </c>
      <c r="L168" s="1" t="s">
        <v>3159</v>
      </c>
      <c r="M168" s="1" t="str">
        <f>IFERROR(__xludf.DUMMYFUNCTION("GOOGLETRANSLATE(L:L,""en"", ""te"")"),"స్వీడిష్ ఏరోస్పోర్ట్")</f>
        <v>స్వీడిష్ ఏరోస్పోర్ట్</v>
      </c>
      <c r="N168" s="1" t="s">
        <v>3160</v>
      </c>
      <c r="O168" s="1">
        <v>1995.0</v>
      </c>
      <c r="P168" s="1" t="s">
        <v>162</v>
      </c>
      <c r="Q168" s="1"/>
      <c r="S168" s="1" t="s">
        <v>164</v>
      </c>
      <c r="X168" s="1" t="s">
        <v>3161</v>
      </c>
      <c r="Z168" s="1" t="s">
        <v>3162</v>
      </c>
      <c r="AA168" s="1" t="s">
        <v>3163</v>
      </c>
      <c r="AB168" s="1" t="s">
        <v>185</v>
      </c>
      <c r="AD168" s="1" t="s">
        <v>174</v>
      </c>
      <c r="AI168" s="1" t="s">
        <v>3164</v>
      </c>
      <c r="AZ168" s="1" t="s">
        <v>3165</v>
      </c>
    </row>
    <row r="169">
      <c r="A169" s="1" t="s">
        <v>3166</v>
      </c>
      <c r="B169" s="1" t="str">
        <f>IFERROR(__xludf.DUMMYFUNCTION("GOOGLETRANSLATE(A:A,""en"", ""te"")"),"సినర్జీ విమానం సినర్జీ")</f>
        <v>సినర్జీ విమానం సినర్జీ</v>
      </c>
      <c r="C169" s="1" t="s">
        <v>3167</v>
      </c>
      <c r="D169" s="1" t="str">
        <f>IFERROR(__xludf.DUMMYFUNCTION("GOOGLETRANSLATE(C:C,""en"", ""te"")"),"సినర్జీ ఎయిర్‌క్రాఫ్ట్ సినర్జీ అనేది ప్రతిపాదిత ఐదు-సీట్ల, సింగిల్-ఇంజిన్, కిట్ విమానం, ఇది మోంటానాలోని కాలిస్పెల్‌కు చెందిన జాన్ మెక్‌గిన్నిస్ రూపొందించిన మరియు అతని సంస్థ, సినర్జీ విమానం ఉత్పత్తి కోసం ఉద్దేశించినది. [1] [2] విమానం యొక్క క్లోజ్డ్ వింగ్ డ"&amp;"ిజైన్, ""డబుల్ బాక్స్ టెయిల్"" అని పిలుస్తారు, ఇది తక్కువ ప్రేరేపిత డ్రాగ్‌ను తగ్గించడానికి మరియు సరిహద్దు పొర నియంత్రణ పద్ధతులతో పాటు స్టాల్ రెసిస్టెంట్‌గా ఉండటానికి ఉద్దేశించబడింది. [2] చాలా వివరాలు .MW- పార్సర్-అవుట్పుట్ .citation {వర్డ్-ర్యాప్: బ్రేక్"&amp;"-వర్డ్} .mw-Parser- అవుట్పుట్ .citation: లక్ష్యం {నేపథ్య-రంగు: RGBA (0,127,255,0.133)} US పేటెంట్ 8657226. భవిష్యత్ కిట్ విమానంగా సినర్జీని అభివృద్ధి చేయడానికి 2010 లో అభివృద్ధి ప్రారంభమైంది. సినర్జీ అనేది 200 హెచ్‌పి (149 కిలోవాట్ల) డెల్టాహాక్ వి -4 ఇంజి"&amp;"న్‌ను ఉపయోగించడానికి రూపొందించిన మొదటి విమానం. విమానం యొక్క విద్యుత్ శక్తితో కూడిన 1/4 స్కేల్ వెర్షన్ రేడియో నియంత్రణ ద్వారా నిర్మించబడింది మరియు ఎగురవేయబడింది. [2] సినర్జీ డిజైన్ 2011 కేఫ్ ఫౌండేషన్ ఎలక్ట్రిక్ ఎయిర్క్రాఫ్ట్ సింపోజియంలో ఆవిష్కరించబడింది. ["&amp;"3] ఈ విమానం 2011 నాసా/కేఫ్ గ్రీన్ ఫ్లైట్ ఛాలెంజ్‌లో పోటీ పడటానికి ఉద్దేశించబడింది, [4] కానీ దాని నిధులు మరియు ఇంజిన్ ఆలస్యం అయ్యాయి, జట్టు పోటీ నుండి వైదొలగమని బలవంతం చేసింది. [5] డిసెంబర్ 2011 లో డెల్టాహాక్ ఇంజిన్‌ను స్వీకరించిన తరువాత పని తిరిగి ప్రారంభ"&amp;"మైంది మరియు ప్రోటోటైప్‌ను పూర్తి చేయడానికి నిధుల డ్రైవ్ ప్రారంభించబడింది. కిక్‌స్టార్టర్ క్రౌడ్ ఫండింగ్ ప్రాజెక్టుగా ఉద్దేశించిన, కిక్‌స్టార్టర్ యొక్క సృజనాత్మక కళల దృష్టితో అమర్చకపోవడం ఆధారంగా ప్రారంభ ప్రాజెక్ట్ అప్లికేషన్ మరియు అప్పీల్ తిరస్కరించబడ్డాయి"&amp;". [6] అయితే, 13 మే 2012 న, కిక్‌స్టార్టర్ వారు పున ons పరిశీలించారని మరియు ప్రాజెక్ట్ ఆమోదించబడిందని మెక్‌గిన్నిస్‌కు సమాచారం ఇచ్చారు. [7] ఈ ప్రాజెక్ట్ US $ 95,627 స్థూల నిధులను సేకరించింది. పూర్తి కాలేదు అప్పుడు అతనికి అక్కడ ప్రదర్శన ఉండదు. కిక్‌స్టార్టర"&amp;"్ ప్రచారం కూడా చాలా ఆసక్తిని ఆకర్షించింది, కాని ఇమెయిల్ మరియు ఫోన్‌ల కాల్‌లకు సమాధానం ఇవ్వడం ప్రోటోటైప్‌లో పని మందగించింది. [8] ప్రయోగాత్మక విమాన సంఘం మరియు సినర్జీ నుండి డేటా [2] [9] సాధారణ లక్షణాలు పనితీరు.")</f>
        <v>సినర్జీ ఎయిర్‌క్రాఫ్ట్ సినర్జీ అనేది ప్రతిపాదిత ఐదు-సీట్ల, సింగిల్-ఇంజిన్, కిట్ విమానం, ఇది మోంటానాలోని కాలిస్పెల్‌కు చెందిన జాన్ మెక్‌గిన్నిస్ రూపొందించిన మరియు అతని సంస్థ, సినర్జీ విమానం ఉత్పత్తి కోసం ఉద్దేశించినది. [1] [2] విమానం యొక్క క్లోజ్డ్ వింగ్ డిజైన్, "డబుల్ బాక్స్ టెయిల్" అని పిలుస్తారు, ఇది తక్కువ ప్రేరేపిత డ్రాగ్‌ను తగ్గించడానికి మరియు సరిహద్దు పొర నియంత్రణ పద్ధతులతో పాటు స్టాల్ రెసిస్టెంట్‌గా ఉండటానికి ఉద్దేశించబడింది. [2] చాలా వివరాలు .MW- పార్సర్-అవుట్పుట్ .citation {వర్డ్-ర్యాప్: బ్రేక్-వర్డ్} .mw-Parser- అవుట్పుట్ .citation: లక్ష్యం {నేపథ్య-రంగు: RGBA (0,127,255,0.133)} US పేటెంట్ 8657226. భవిష్యత్ కిట్ విమానంగా సినర్జీని అభివృద్ధి చేయడానికి 2010 లో అభివృద్ధి ప్రారంభమైంది. సినర్జీ అనేది 200 హెచ్‌పి (149 కిలోవాట్ల) డెల్టాహాక్ వి -4 ఇంజిన్‌ను ఉపయోగించడానికి రూపొందించిన మొదటి విమానం. విమానం యొక్క విద్యుత్ శక్తితో కూడిన 1/4 స్కేల్ వెర్షన్ రేడియో నియంత్రణ ద్వారా నిర్మించబడింది మరియు ఎగురవేయబడింది. [2] సినర్జీ డిజైన్ 2011 కేఫ్ ఫౌండేషన్ ఎలక్ట్రిక్ ఎయిర్క్రాఫ్ట్ సింపోజియంలో ఆవిష్కరించబడింది. [3] ఈ విమానం 2011 నాసా/కేఫ్ గ్రీన్ ఫ్లైట్ ఛాలెంజ్‌లో పోటీ పడటానికి ఉద్దేశించబడింది, [4] కానీ దాని నిధులు మరియు ఇంజిన్ ఆలస్యం అయ్యాయి, జట్టు పోటీ నుండి వైదొలగమని బలవంతం చేసింది. [5] డిసెంబర్ 2011 లో డెల్టాహాక్ ఇంజిన్‌ను స్వీకరించిన తరువాత పని తిరిగి ప్రారంభమైంది మరియు ప్రోటోటైప్‌ను పూర్తి చేయడానికి నిధుల డ్రైవ్ ప్రారంభించబడింది. కిక్‌స్టార్టర్ క్రౌడ్ ఫండింగ్ ప్రాజెక్టుగా ఉద్దేశించిన, కిక్‌స్టార్టర్ యొక్క సృజనాత్మక కళల దృష్టితో అమర్చకపోవడం ఆధారంగా ప్రారంభ ప్రాజెక్ట్ అప్లికేషన్ మరియు అప్పీల్ తిరస్కరించబడ్డాయి. [6] అయితే, 13 మే 2012 న, కిక్‌స్టార్టర్ వారు పున ons పరిశీలించారని మరియు ప్రాజెక్ట్ ఆమోదించబడిందని మెక్‌గిన్నిస్‌కు సమాచారం ఇచ్చారు. [7] ఈ ప్రాజెక్ట్ US $ 95,627 స్థూల నిధులను సేకరించింది. పూర్తి కాలేదు అప్పుడు అతనికి అక్కడ ప్రదర్శన ఉండదు. కిక్‌స్టార్టర్ ప్రచారం కూడా చాలా ఆసక్తిని ఆకర్షించింది, కాని ఇమెయిల్ మరియు ఫోన్‌ల కాల్‌లకు సమాధానం ఇవ్వడం ప్రోటోటైప్‌లో పని మందగించింది. [8] ప్రయోగాత్మక విమాన సంఘం మరియు సినర్జీ నుండి డేటా [2] [9] సాధారణ లక్షణాలు పనితీరు.</v>
      </c>
      <c r="E169" s="1" t="s">
        <v>3168</v>
      </c>
      <c r="F169" s="1" t="s">
        <v>3169</v>
      </c>
      <c r="G169" s="1" t="str">
        <f>IFERROR(__xludf.DUMMYFUNCTION("GOOGLETRANSLATE(F:F,""en"", ""te"")"),"గాలి చైతన్యం")</f>
        <v>గాలి చైతన్యం</v>
      </c>
      <c r="H169" s="1" t="s">
        <v>3170</v>
      </c>
      <c r="I169" s="1" t="s">
        <v>158</v>
      </c>
      <c r="J169" s="1" t="str">
        <f>IFERROR(__xludf.DUMMYFUNCTION("GOOGLETRANSLATE(I:I,""en"", ""te"")"),"అమెరికా")</f>
        <v>అమెరికా</v>
      </c>
      <c r="L169" s="1" t="s">
        <v>3171</v>
      </c>
      <c r="M169" s="1" t="str">
        <f>IFERROR(__xludf.DUMMYFUNCTION("GOOGLETRANSLATE(L:L,""en"", ""te"")"),"DBT ఏరో")</f>
        <v>DBT ఏరో</v>
      </c>
      <c r="P169" s="1" t="s">
        <v>1365</v>
      </c>
      <c r="Q169" s="1"/>
      <c r="R169" s="1" t="s">
        <v>969</v>
      </c>
      <c r="S169" s="1">
        <v>1.0</v>
      </c>
      <c r="T169" s="1" t="s">
        <v>3172</v>
      </c>
      <c r="U169" s="1" t="s">
        <v>2003</v>
      </c>
      <c r="W169" s="1" t="s">
        <v>3173</v>
      </c>
      <c r="X169" s="1" t="s">
        <v>255</v>
      </c>
      <c r="Y169" s="1" t="s">
        <v>3174</v>
      </c>
      <c r="AF169" s="1" t="s">
        <v>3175</v>
      </c>
      <c r="AH169" s="1" t="s">
        <v>3176</v>
      </c>
      <c r="AM169" s="1" t="s">
        <v>3177</v>
      </c>
    </row>
    <row r="170">
      <c r="A170" s="1" t="s">
        <v>3178</v>
      </c>
      <c r="B170" s="1" t="str">
        <f>IFERROR(__xludf.DUMMYFUNCTION("GOOGLETRANSLATE(A:A,""en"", ""te"")"),"TST-13 జూనియర్ పరీక్ష")</f>
        <v>TST-13 జూనియర్ పరీక్ష</v>
      </c>
      <c r="C170" s="1" t="s">
        <v>3179</v>
      </c>
      <c r="D170" s="1" t="str">
        <f>IFERROR(__xludf.DUMMYFUNCTION("GOOGLETRANSLATE(C:C,""en"", ""te"")"),"టెస్ట్ TST-13 జూనియర్ అనేది చెక్ రిపబ్లిక్లో పరీక్ష ద్వారా నిర్మించిన ముక్కు-మౌంటెడ్ ఇంజిన్‌తో సింగిల్-సీట్ టూరింగ్ మోటార్ గ్లైడర్. ఇది అన్ని మిశ్రమ రూపకల్పన, ఇది ఉత్పత్తిలో టెస్ట్ టిఎస్‌టి -9 జూనియర్ మోటార్ గ్లైడర్‌పై విజయం సాధించింది, టెస్ట్ టిఎస్‌టి -1"&amp;"0 అట్లాస్ సెయిల్‌ప్లేన్ యొక్క కొన్ని లక్షణాలను కలుపుతుంది, దాని రెక్కతో సహా. [1] టెస్ట్ 2005 లో TST-13 సింగిల్ సీట్ మోటార్ గ్లైడర్‌ను వారి కలప మరియు మిశ్రమ TST-9 కోసం ఆల్-కాంపోజిట్ పున ment స్థాపనగా ప్రవేశపెట్టింది. ఇది ఇదే విధమైన లేఅవుట్, ఫ్రంట్ ఇంజిన్ మ"&amp;"రియు అధిక టి-తోకతో ఉంటుంది. TST-13 ఆల్-కాంపోజిట్ TST-10 సింగిల్ సీట్ సెయిల్ ప్లేన్‌తో ఇలాంటి వెనుక ఫ్యూజ్‌లేజ్ మరియు టెయిల్ డిజైన్ మరియు ఒకేలాంటి వింగ్ స్పార్‌లను పంచుకుంటుంది. ఇది నేరుగా దెబ్బతిన్న రెక్కలతో కూడిన మిడ్ వింగ్ డిజైన్, ఇది TST-10 యొక్క మాదిర"&amp;"ిగా కాకుండా, 25% తీగ వద్ద 5 ° ముందుకు వస్తుంది. రెక్క చిట్కాలు వింగ్లెట్లను కలిగి ఉంటాయి మరియు అవుట్‌బోర్డ్ ఐలెరాన్స్, రెండు స్థాన ఫ్లాప్స్ మరియు ఎగువ ఉపరితల స్పాయిలర్లు ఉన్నాయి. [2] TST-13 యొక్క ఫ్యూజ్‌లేజ్ రెండు సగం షెల్స్‌తో నిర్మించబడింది, ఇవి నేరుగా "&amp;"దెబ్బతిన్న ఫిన్‌ను కలిగి ఉంటాయి. ఫ్యూజ్‌లేజ్ టేపర్లు వెనుకకు, క్రింద వంపు ఆకారాన్ని ఉత్పత్తి చేస్తాయి. టెయిల్‌ప్లేన్ ఒకే ముక్క ఎలివేటర్‌ను కలిగి ఉంటుంది. లైట్ ఎయిర్క్రాఫ్ట్ స్టైల్ కాక్‌పిట్ వెనుక అతుక్కొని, సింగిల్ పీస్ పందిరిని కలిగి ఉంది మరియు ఇది వింగ్"&amp;" లీడింగ్ ఎడ్జ్ కంటే ముందు ఉంచబడుతుంది. TST-13 లో టెయిల్‌వీల్ అండర్ క్యారేజ్ ఉంది, ఫ్యూజ్‌లేజ్-మౌంటెడ్, మొలకెత్తిన, కాంటిలివర్ కాళ్ళపై స్పాటెడ్ మెయిన్‌వీల్స్ ఉన్నాయి. [2] రెండు ఇంజిన్ల ఎంపిక ఉంది: 31 కిలోవాట్ల (42 హెచ్‌పి) రోటాక్స్ 447 లేదా 37 కిలోవాట్ (50"&amp;" హెచ్‌పి) రోటాక్స్ 503. [2] 447 ఒక ప్రొపెల్లర్‌ను డ్రైవ్ చేస్తుంది, ఇది మైదానంలో పిచ్‌లో మాత్రమే సర్దుబాటు చేయగలదు, కాని 503 లో, 2: 1 ను సన్నద్ధం చేసి, విమానంలో రెక్కలు వేయవచ్చు. ఈకలు 1:24 నుండి 1:32 వరకు ఉత్తమ గ్లైడ్ నిష్పత్తిని మెరుగుపరుస్తాయి. రోటాక్స్"&amp;" 503 యొక్క ఎక్కువ శక్తి క్రూయిజింగ్ వేగాన్ని గంటకు 10 కిమీ మరియు ఆరోహణ రేటును 6 మీ/సె (1,200 అడుగులు/నిమి) పెంచుతుంది. [3] 5 TST-13 లు 2007 నాటికి నిర్మించబడ్డాయి. [2] 201010 మధ్యలో 2 రష్యాకు పశ్చిమాన యూరోపియన్ దేశాల పౌర విమాన రిజిస్టర్లలో 2 కనిపించింది. "&amp;"[4] TST-13 US LSA గ్లైడర్ అడ్డంకులను తీర్చడానికి రూపొందించబడింది మరియు ఇది S-LSA రిజిస్టర్ చేయదగినది. [3] జేన్ యొక్క అన్ని ప్రపంచ విమానాల నుండి డేటా 2010/11 [2] సాధారణ లక్షణాల పనితీరు")</f>
        <v>టెస్ట్ TST-13 జూనియర్ అనేది చెక్ రిపబ్లిక్లో పరీక్ష ద్వారా నిర్మించిన ముక్కు-మౌంటెడ్ ఇంజిన్‌తో సింగిల్-సీట్ టూరింగ్ మోటార్ గ్లైడర్. ఇది అన్ని మిశ్రమ రూపకల్పన, ఇది ఉత్పత్తిలో టెస్ట్ టిఎస్‌టి -9 జూనియర్ మోటార్ గ్లైడర్‌పై విజయం సాధించింది, టెస్ట్ టిఎస్‌టి -10 అట్లాస్ సెయిల్‌ప్లేన్ యొక్క కొన్ని లక్షణాలను కలుపుతుంది, దాని రెక్కతో సహా. [1] టెస్ట్ 2005 లో TST-13 సింగిల్ సీట్ మోటార్ గ్లైడర్‌ను వారి కలప మరియు మిశ్రమ TST-9 కోసం ఆల్-కాంపోజిట్ పున ment స్థాపనగా ప్రవేశపెట్టింది. ఇది ఇదే విధమైన లేఅవుట్, ఫ్రంట్ ఇంజిన్ మరియు అధిక టి-తోకతో ఉంటుంది. TST-13 ఆల్-కాంపోజిట్ TST-10 సింగిల్ సీట్ సెయిల్ ప్లేన్‌తో ఇలాంటి వెనుక ఫ్యూజ్‌లేజ్ మరియు టెయిల్ డిజైన్ మరియు ఒకేలాంటి వింగ్ స్పార్‌లను పంచుకుంటుంది. ఇది నేరుగా దెబ్బతిన్న రెక్కలతో కూడిన మిడ్ వింగ్ డిజైన్, ఇది TST-10 యొక్క మాదిరిగా కాకుండా, 25% తీగ వద్ద 5 ° ముందుకు వస్తుంది. రెక్క చిట్కాలు వింగ్లెట్లను కలిగి ఉంటాయి మరియు అవుట్‌బోర్డ్ ఐలెరాన్స్, రెండు స్థాన ఫ్లాప్స్ మరియు ఎగువ ఉపరితల స్పాయిలర్లు ఉన్నాయి. [2] TST-13 యొక్క ఫ్యూజ్‌లేజ్ రెండు సగం షెల్స్‌తో నిర్మించబడింది, ఇవి నేరుగా దెబ్బతిన్న ఫిన్‌ను కలిగి ఉంటాయి. ఫ్యూజ్‌లేజ్ టేపర్లు వెనుకకు, క్రింద వంపు ఆకారాన్ని ఉత్పత్తి చేస్తాయి. టెయిల్‌ప్లేన్ ఒకే ముక్క ఎలివేటర్‌ను కలిగి ఉంటుంది. లైట్ ఎయిర్క్రాఫ్ట్ స్టైల్ కాక్‌పిట్ వెనుక అతుక్కొని, సింగిల్ పీస్ పందిరిని కలిగి ఉంది మరియు ఇది వింగ్ లీడింగ్ ఎడ్జ్ కంటే ముందు ఉంచబడుతుంది. TST-13 లో టెయిల్‌వీల్ అండర్ క్యారేజ్ ఉంది, ఫ్యూజ్‌లేజ్-మౌంటెడ్, మొలకెత్తిన, కాంటిలివర్ కాళ్ళపై స్పాటెడ్ మెయిన్‌వీల్స్ ఉన్నాయి. [2] రెండు ఇంజిన్ల ఎంపిక ఉంది: 31 కిలోవాట్ల (42 హెచ్‌పి) రోటాక్స్ 447 లేదా 37 కిలోవాట్ (50 హెచ్‌పి) రోటాక్స్ 503. [2] 447 ఒక ప్రొపెల్లర్‌ను డ్రైవ్ చేస్తుంది, ఇది మైదానంలో పిచ్‌లో మాత్రమే సర్దుబాటు చేయగలదు, కాని 503 లో, 2: 1 ను సన్నద్ధం చేసి, విమానంలో రెక్కలు వేయవచ్చు. ఈకలు 1:24 నుండి 1:32 వరకు ఉత్తమ గ్లైడ్ నిష్పత్తిని మెరుగుపరుస్తాయి. రోటాక్స్ 503 యొక్క ఎక్కువ శక్తి క్రూయిజింగ్ వేగాన్ని గంటకు 10 కిమీ మరియు ఆరోహణ రేటును 6 మీ/సె (1,200 అడుగులు/నిమి) పెంచుతుంది. [3] 5 TST-13 లు 2007 నాటికి నిర్మించబడ్డాయి. [2] 201010 మధ్యలో 2 రష్యాకు పశ్చిమాన యూరోపియన్ దేశాల పౌర విమాన రిజిస్టర్లలో 2 కనిపించింది. [4] TST-13 US LSA గ్లైడర్ అడ్డంకులను తీర్చడానికి రూపొందించబడింది మరియు ఇది S-LSA రిజిస్టర్ చేయదగినది. [3] జేన్ యొక్క అన్ని ప్రపంచ విమానాల నుండి డేటా 2010/11 [2] సాధారణ లక్షణాల పనితీరు</v>
      </c>
      <c r="F170" s="1" t="s">
        <v>1506</v>
      </c>
      <c r="G170" s="1" t="str">
        <f>IFERROR(__xludf.DUMMYFUNCTION("GOOGLETRANSLATE(F:F,""en"", ""te"")"),"మోటార్ గ్లైడర్")</f>
        <v>మోటార్ గ్లైడర్</v>
      </c>
      <c r="H170" s="1" t="s">
        <v>1507</v>
      </c>
      <c r="I170" s="1" t="s">
        <v>2854</v>
      </c>
      <c r="J170" s="1" t="str">
        <f>IFERROR(__xludf.DUMMYFUNCTION("GOOGLETRANSLATE(I:I,""en"", ""te"")"),"చెక్ రిపబ్లిక్")</f>
        <v>చెక్ రిపబ్లిక్</v>
      </c>
      <c r="K170" s="1" t="s">
        <v>2855</v>
      </c>
      <c r="L170" s="1" t="s">
        <v>3180</v>
      </c>
      <c r="M170" s="1" t="str">
        <f>IFERROR(__xludf.DUMMYFUNCTION("GOOGLETRANSLATE(L:L,""en"", ""te"")"),"టెస్ట్ SRO (కాంప్-లెట్ SRO యొక్క విభాగం), వెల్కే మెజియా")</f>
        <v>టెస్ట్ SRO (కాంప్-లెట్ SRO యొక్క విభాగం), వెల్కే మెజియా</v>
      </c>
      <c r="N170" s="1" t="s">
        <v>3181</v>
      </c>
      <c r="R170" s="1" t="s">
        <v>3182</v>
      </c>
      <c r="S170" s="1">
        <v>1.0</v>
      </c>
      <c r="U170" s="1" t="s">
        <v>3183</v>
      </c>
      <c r="W170" s="1" t="s">
        <v>3184</v>
      </c>
      <c r="X170" s="1" t="s">
        <v>3185</v>
      </c>
      <c r="Z170" s="1" t="s">
        <v>3186</v>
      </c>
      <c r="AA170" s="1" t="s">
        <v>3187</v>
      </c>
      <c r="AB170" s="1" t="s">
        <v>2160</v>
      </c>
      <c r="AC170" s="1" t="s">
        <v>3188</v>
      </c>
      <c r="AE170" s="1" t="s">
        <v>3189</v>
      </c>
      <c r="AH170" s="1" t="s">
        <v>578</v>
      </c>
      <c r="AI170" s="1" t="s">
        <v>3190</v>
      </c>
      <c r="AJ170" s="1" t="s">
        <v>977</v>
      </c>
      <c r="AT170" s="1" t="s">
        <v>3191</v>
      </c>
      <c r="AU170" s="1" t="s">
        <v>3192</v>
      </c>
      <c r="AV170" s="1" t="s">
        <v>3193</v>
      </c>
      <c r="BD170" s="1">
        <v>21.8</v>
      </c>
      <c r="BE170" s="1" t="s">
        <v>3194</v>
      </c>
    </row>
    <row r="171">
      <c r="A171" s="1" t="s">
        <v>3195</v>
      </c>
      <c r="B171" s="1" t="str">
        <f>IFERROR(__xludf.DUMMYFUNCTION("GOOGLETRANSLATE(A:A,""en"", ""te"")"),"Thk-2")</f>
        <v>Thk-2</v>
      </c>
      <c r="C171" s="1" t="s">
        <v>3196</v>
      </c>
      <c r="D171" s="1" t="str">
        <f>IFERROR(__xludf.DUMMYFUNCTION("GOOGLETRANSLATE(C:C,""en"", ""te"")"),"THK-2 అనేది సింగిల్-సీట్, సింగిల్-ఇంజిన్ ఏరోబాటిక్ ట్రైనర్ విమానం, ఇది 1944 లో టర్కీలో అభివృద్ధి చేయబడింది, ఇది అధునాతన శిక్షకుడిగా ఉద్దేశించబడింది. [1] [2] ఇది సాంప్రదాయిక, తక్కువ-వింగ్ కాంటిలివర్ మోనోప్లేన్, దీర్ఘవృత్తాకార ప్రణాళిక మరియు చెక్క నిర్మాణంత"&amp;"ో. కాక్‌పిట్ జతచేయబడింది మరియు టెయిల్‌వీల్ అండర్ క్యారేజ్ యొక్క ప్రధాన యూనిట్లు రెక్కలోకి వెనుకకు ఉపసంహరించబడ్డాయి. [3] టర్కీకి వచ్చిన పోలిష్ ఇంజనీర్లు టర్కీకి వచ్చిన టర్కీకి వచ్చిన టర్కీ హవా కురుము ఫ్యాక్టరీని స్థాపించడంలో సహాయపడతారు, మొదటి నమూనా 1944 లో"&amp;" ఎగిరింది మరియు రెండవది మరుసటి సంవత్సరం ఎగిరింది. ఇది సిరీస్‌లో ఉత్పత్తికి దారితీసింది, కాని ప్రాజెక్ట్ వదిలివేయబడటానికి ముందు మరో నాలుగు ఉదాహరణలు మాత్రమే నిర్మించబడ్డాయి. MKEK చేత THK ని స్వాధీనం చేసుకున్నప్పుడు, తదుపరి పని కోసం ఎంపిక చేయబడిన డిజైన్లలో ఇ"&amp;"ది ఒకటి. ఏదేమైనా, MKEK-2 హోదాను కేటాయించినప్పటికీ, ఇంకా ఏమీ రాలేదు. THK-2 లను టర్కిష్ వైమానిక దళం 1950 ల మధ్యకాలం వరకు వారి ఉద్దేశించిన పాత్రలో ఉపయోగించారు. జేన్ యొక్క అన్ని ప్రపంచ విమానాల నుండి డేటా 1951–52 [4] సాధారణ లక్షణాల పనితీరు")</f>
        <v>THK-2 అనేది సింగిల్-సీట్, సింగిల్-ఇంజిన్ ఏరోబాటిక్ ట్రైనర్ విమానం, ఇది 1944 లో టర్కీలో అభివృద్ధి చేయబడింది, ఇది అధునాతన శిక్షకుడిగా ఉద్దేశించబడింది. [1] [2] ఇది సాంప్రదాయిక, తక్కువ-వింగ్ కాంటిలివర్ మోనోప్లేన్, దీర్ఘవృత్తాకార ప్రణాళిక మరియు చెక్క నిర్మాణంతో. కాక్‌పిట్ జతచేయబడింది మరియు టెయిల్‌వీల్ అండర్ క్యారేజ్ యొక్క ప్రధాన యూనిట్లు రెక్కలోకి వెనుకకు ఉపసంహరించబడ్డాయి. [3] టర్కీకి వచ్చిన పోలిష్ ఇంజనీర్లు టర్కీకి వచ్చిన టర్కీకి వచ్చిన టర్కీ హవా కురుము ఫ్యాక్టరీని స్థాపించడంలో సహాయపడతారు, మొదటి నమూనా 1944 లో ఎగిరింది మరియు రెండవది మరుసటి సంవత్సరం ఎగిరింది. ఇది సిరీస్‌లో ఉత్పత్తికి దారితీసింది, కాని ప్రాజెక్ట్ వదిలివేయబడటానికి ముందు మరో నాలుగు ఉదాహరణలు మాత్రమే నిర్మించబడ్డాయి. MKEK చేత THK ని స్వాధీనం చేసుకున్నప్పుడు, తదుపరి పని కోసం ఎంపిక చేయబడిన డిజైన్లలో ఇది ఒకటి. ఏదేమైనా, MKEK-2 హోదాను కేటాయించినప్పటికీ, ఇంకా ఏమీ రాలేదు. THK-2 లను టర్కిష్ వైమానిక దళం 1950 ల మధ్యకాలం వరకు వారి ఉద్దేశించిన పాత్రలో ఉపయోగించారు. జేన్ యొక్క అన్ని ప్రపంచ విమానాల నుండి డేటా 1951–52 [4] సాధారణ లక్షణాల పనితీరు</v>
      </c>
      <c r="F171" s="1" t="s">
        <v>3197</v>
      </c>
      <c r="G171" s="1" t="str">
        <f>IFERROR(__xludf.DUMMYFUNCTION("GOOGLETRANSLATE(F:F,""en"", ""te"")"),"ఏరోబాటిక్ ట్రైనర్")</f>
        <v>ఏరోబాటిక్ ట్రైనర్</v>
      </c>
      <c r="I171" s="1" t="s">
        <v>3198</v>
      </c>
      <c r="J171" s="1" t="str">
        <f>IFERROR(__xludf.DUMMYFUNCTION("GOOGLETRANSLATE(I:I,""en"", ""te"")"),"టర్కీ")</f>
        <v>టర్కీ</v>
      </c>
      <c r="L171" s="1" t="s">
        <v>3199</v>
      </c>
      <c r="M171" s="1" t="str">
        <f>IFERROR(__xludf.DUMMYFUNCTION("GOOGLETRANSLATE(L:L,""en"", ""te"")"),"Thk")</f>
        <v>Thk</v>
      </c>
      <c r="N171" s="2" t="s">
        <v>3200</v>
      </c>
      <c r="R171" s="1">
        <v>6.0</v>
      </c>
      <c r="S171" s="1">
        <v>1.0</v>
      </c>
      <c r="U171" s="1" t="s">
        <v>2411</v>
      </c>
      <c r="V171" s="1" t="s">
        <v>3201</v>
      </c>
      <c r="W171" s="1" t="s">
        <v>3202</v>
      </c>
      <c r="X171" s="1" t="s">
        <v>3203</v>
      </c>
      <c r="Y171" s="1" t="s">
        <v>3204</v>
      </c>
      <c r="AA171" s="1" t="s">
        <v>3205</v>
      </c>
      <c r="AB171" s="1" t="s">
        <v>205</v>
      </c>
      <c r="AD171" s="1" t="s">
        <v>3206</v>
      </c>
      <c r="AH171" s="1" t="s">
        <v>3207</v>
      </c>
      <c r="AI171" s="1" t="s">
        <v>1057</v>
      </c>
      <c r="AJ171" s="1" t="s">
        <v>3208</v>
      </c>
      <c r="AK171" s="1" t="s">
        <v>3209</v>
      </c>
      <c r="AL171" s="1" t="s">
        <v>2221</v>
      </c>
      <c r="AM171" s="1" t="s">
        <v>3210</v>
      </c>
      <c r="AN171" s="1" t="s">
        <v>3211</v>
      </c>
      <c r="AO171" s="1">
        <v>1944.0</v>
      </c>
      <c r="AQ171" s="1" t="s">
        <v>3212</v>
      </c>
      <c r="AR171" s="1" t="s">
        <v>3213</v>
      </c>
      <c r="AZ171" s="1" t="s">
        <v>3214</v>
      </c>
      <c r="BA171" s="1" t="s">
        <v>3215</v>
      </c>
    </row>
    <row r="172">
      <c r="A172" s="1" t="s">
        <v>3216</v>
      </c>
      <c r="B172" s="1" t="str">
        <f>IFERROR(__xludf.DUMMYFUNCTION("GOOGLETRANSLATE(A:A,""en"", ""te"")"),"థామస్-మోర్స్ MB-6")</f>
        <v>థామస్-మోర్స్ MB-6</v>
      </c>
      <c r="C172" s="1" t="s">
        <v>3217</v>
      </c>
      <c r="D172" s="1" t="str">
        <f>IFERROR(__xludf.DUMMYFUNCTION("GOOGLETRANSLATE(C:C,""en"", ""te"")"),"థామస్-మోర్స్ MB-6 అనేది యుఎస్ ఆర్మీ ఎయిర్ సర్వీస్ కోసం థామస్-మోర్స్ విమానం నిర్మించిన ఒక అమెరికన్ రేసింగ్ విమానం. 1920 పులిట్జర్ ట్రోఫీ ఎయిర్ రేసులో థామస్-మోర్స్ MB-3 రెండవ [2] పూర్తి చేసిన తరువాత, 1921 రేసు కోసం కొత్త విమానాన్ని నిర్మించమని సైన్యం థామస్-"&amp;"మోర్స్‌ను కోరింది. 21 మే 1921 న వారు మూడు విమానాలను ఒక్కొక్కటి $ 48,000 కు ఆదేశించారు. MB-6 పున es రూపకల్పన చేయబడిన MB-3, తగ్గిన వింగ్స్పాన్ మరియు 400 HP (300 kW) రైట్ హెచ్ -2 ఇంజిన్. మూడు విమానాలు 20 సెప్టెంబర్ 1921 న మెక్‌కూక్ ఫీల్డ్‌లో పరీక్ష కోసం వచ్చ"&amp;"ాయి. మొదటిది గ్రౌండ్ టెస్టింగ్ కోసం, రెండవది మొదటిది 21 అక్టోబర్ 1921 న ప్రయాణించింది. మూడవ MB-6 ల్యాండింగ్ సమయంలో కూలిపోయింది మరియు నాశనం చేయబడింది. [1] MB-6 1921 పులిట్జర్ ట్రోఫీలో పోటీ పడింది. లెఫ్టినెంట్ J.A. మెక్‌క్రీడీ, ఇది రెండు కర్టిస్ విమానాల వెన"&amp;"ుక మూడవ స్థానంలో నిలిచింది, 160.71 mph (258.64 కిమీ/గం) వేగంతో. ఈ విమానం 1922 లో సైనిక హోదా R-2 ను ఇవ్వబడింది మరియు 31 అక్టోబర్ 1924 న రద్దు చేయబడింది. [1] ఏంజెకి నుండి డేటా, 1987. పే. 422. [1] సాధారణ లక్షణాల పనితీరు")</f>
        <v>థామస్-మోర్స్ MB-6 అనేది యుఎస్ ఆర్మీ ఎయిర్ సర్వీస్ కోసం థామస్-మోర్స్ విమానం నిర్మించిన ఒక అమెరికన్ రేసింగ్ విమానం. 1920 పులిట్జర్ ట్రోఫీ ఎయిర్ రేసులో థామస్-మోర్స్ MB-3 రెండవ [2] పూర్తి చేసిన తరువాత, 1921 రేసు కోసం కొత్త విమానాన్ని నిర్మించమని సైన్యం థామస్-మోర్స్‌ను కోరింది. 21 మే 1921 న వారు మూడు విమానాలను ఒక్కొక్కటి $ 48,000 కు ఆదేశించారు. MB-6 పున es రూపకల్పన చేయబడిన MB-3, తగ్గిన వింగ్స్పాన్ మరియు 400 HP (300 kW) రైట్ హెచ్ -2 ఇంజిన్. మూడు విమానాలు 20 సెప్టెంబర్ 1921 న మెక్‌కూక్ ఫీల్డ్‌లో పరీక్ష కోసం వచ్చాయి. మొదటిది గ్రౌండ్ టెస్టింగ్ కోసం, రెండవది మొదటిది 21 అక్టోబర్ 1921 న ప్రయాణించింది. మూడవ MB-6 ల్యాండింగ్ సమయంలో కూలిపోయింది మరియు నాశనం చేయబడింది. [1] MB-6 1921 పులిట్జర్ ట్రోఫీలో పోటీ పడింది. లెఫ్టినెంట్ J.A. మెక్‌క్రీడీ, ఇది రెండు కర్టిస్ విమానాల వెనుక మూడవ స్థానంలో నిలిచింది, 160.71 mph (258.64 కిమీ/గం) వేగంతో. ఈ విమానం 1922 లో సైనిక హోదా R-2 ను ఇవ్వబడింది మరియు 31 అక్టోబర్ 1924 న రద్దు చేయబడింది. [1] ఏంజెకి నుండి డేటా, 1987. పే. 422. [1] సాధారణ లక్షణాల పనితీరు</v>
      </c>
      <c r="E172" s="1" t="s">
        <v>3218</v>
      </c>
      <c r="F172" s="1" t="s">
        <v>3219</v>
      </c>
      <c r="G172" s="1" t="str">
        <f>IFERROR(__xludf.DUMMYFUNCTION("GOOGLETRANSLATE(F:F,""en"", ""te"")"),"రేసింగ్")</f>
        <v>రేసింగ్</v>
      </c>
      <c r="I172" s="1" t="s">
        <v>158</v>
      </c>
      <c r="J172" s="1" t="str">
        <f>IFERROR(__xludf.DUMMYFUNCTION("GOOGLETRANSLATE(I:I,""en"", ""te"")"),"అమెరికా")</f>
        <v>అమెరికా</v>
      </c>
      <c r="K172" s="1" t="s">
        <v>159</v>
      </c>
      <c r="L172" s="1" t="s">
        <v>3220</v>
      </c>
      <c r="M172" s="1" t="str">
        <f>IFERROR(__xludf.DUMMYFUNCTION("GOOGLETRANSLATE(L:L,""en"", ""te"")"),"థామస్-మోర్స్ విమానం")</f>
        <v>థామస్-మోర్స్ విమానం</v>
      </c>
      <c r="N172" s="1" t="s">
        <v>3221</v>
      </c>
      <c r="R172" s="1">
        <v>3.0</v>
      </c>
      <c r="S172" s="1">
        <v>1.0</v>
      </c>
      <c r="U172" s="1" t="s">
        <v>2707</v>
      </c>
      <c r="V172" s="1" t="s">
        <v>3222</v>
      </c>
      <c r="W172" s="1" t="s">
        <v>3223</v>
      </c>
      <c r="Y172" s="1" t="s">
        <v>3224</v>
      </c>
      <c r="AA172" s="1" t="s">
        <v>3225</v>
      </c>
      <c r="AH172" s="1" t="s">
        <v>242</v>
      </c>
      <c r="AO172" s="1" t="s">
        <v>3226</v>
      </c>
      <c r="AQ172" s="1" t="s">
        <v>3227</v>
      </c>
      <c r="AR172" s="1" t="s">
        <v>3228</v>
      </c>
      <c r="AU172" s="1" t="s">
        <v>3229</v>
      </c>
      <c r="AV172" s="1" t="s">
        <v>3230</v>
      </c>
      <c r="BA172" s="1" t="s">
        <v>3231</v>
      </c>
      <c r="BC172" s="4">
        <v>9071.0</v>
      </c>
    </row>
    <row r="173">
      <c r="A173" s="1" t="s">
        <v>3232</v>
      </c>
      <c r="B173" s="1" t="str">
        <f>IFERROR(__xludf.DUMMYFUNCTION("GOOGLETRANSLATE(A:A,""en"", ""te"")"),"థామస్-మోర్స్ MB-9")</f>
        <v>థామస్-మోర్స్ MB-9</v>
      </c>
      <c r="C173" s="1" t="s">
        <v>3233</v>
      </c>
      <c r="D173" s="1" t="str">
        <f>IFERROR(__xludf.DUMMYFUNCTION("GOOGLETRANSLATE(C:C,""en"", ""te"")"),"థామస్ మోర్స్ MB-9 1920 లలో ఒక ప్రయోగాత్మక అమెరికన్ ఫైటర్ విమానం. ఇది సింగిల్-ఇంజిన్, సింగిల్-సీట్ పారాసోల్ రెక్కల మోనోప్లేన్, కానీ విజయవంతం కాలేదు, త్వరగా వదిలివేయబడింది. 1921 లో, బి. అవి ముడతలు పెట్టిన డ్యూరాలిమిన్ స్కిన్నింగ్‌తో ఆల్-మెటల్ నిర్మాణంలో ఉన్"&amp;"నాయి. [1] మొదట పూర్తయింది MB-10, ఇది టెన్డం కాక్‌పిట్‌లను కలిగి ఉంది మరియు 200 హెచ్‌పి (150 కిలోవాట్ల) రైట్ లేదా లారెన్స్ రేడియల్ ఇంజిన్ చేత శక్తినిచ్చేలా రూపొందించబడింది. ఉద్దేశించిన ఇంజిన్ లేనప్పుడు, ఇది 1921 చివరలో విమాన పరీక్షను ప్రారంభించడానికి 110 హ"&amp;"ెచ్‌పి (82 కిలోవాట్ తీవ్రమైన కంపనానికి కూడా గురైంది మరియు నిర్మాణాత్మకంగా బలహీనంగా ఉంది. [2] MB-9 ఫైటర్ 1922 ప్రారంభంలో పూర్తయింది, [3] ఫార్వర్డ్ కాక్‌పిట్ యొక్క తొలగింపులో మరియు 320 HP (240 kW) రైట్ హిస్పానో H-3 V8 ఇంజిన్ వాడకం యొక్క ప్రధానంగా MB-10 నుండ"&amp;"ి భిన్నంగా ఉంటుంది, ఇది చల్లబరుస్తుంది రేడియేటర్ ఫ్యూజ్‌లేజ్ కింద టార్పెడో-ఆకారపు నిర్మాణంలో (ఆయిల్ ట్యాంక్‌తో పాటు) ఉంది. [1] ప్రణాళికాబద్ధమైన ఆయుధాలు రెండు మెషిన్ గన్స్; ఒకటి .50 లో (12.7 మిమీ) మరియు ఒకటి .30 (7.62 మిమీ). [3] MB.9 MB.10 కన్నా మెరుగ్గా న"&amp;"ిర్వహించబడుతున్నప్పటికీ, [1] ఇది ఇప్పటికీ తీవ్రమైన కంపనం మరియు నిర్మాణాత్మక సమస్యలతో బాధపడుతోంది, ఇది శిక్షకుడిని బాధపెట్టింది, [2] బలహీనమైన అండర్ క్యారేజ్ మరియు శీతలీకరణ సమస్యలతో పాటు. [1] రెండు విమానాల అభివృద్ధి త్వరగా ఆగిపోయింది, మెక్‌కూక్ ఫీల్డ్‌లోని "&amp;"యునైటెడ్ స్టేట్స్ ఆర్మీ ఎయిర్ సర్వీస్ అధికారిక మూల్యాంకనం కోసం రకాలు పంపబడలేదు. [2] పూర్తి బుక్ ఆఫ్ ఫైటర్స్ నుండి డేటా [3] సాధారణ లక్షణాలు పనితీరు ఆయుధ సంబంధిత అభివృద్ధి థామస్-మోర్స్ TM-22")</f>
        <v>థామస్ మోర్స్ MB-9 1920 లలో ఒక ప్రయోగాత్మక అమెరికన్ ఫైటర్ విమానం. ఇది సింగిల్-ఇంజిన్, సింగిల్-సీట్ పారాసోల్ రెక్కల మోనోప్లేన్, కానీ విజయవంతం కాలేదు, త్వరగా వదిలివేయబడింది. 1921 లో, బి. అవి ముడతలు పెట్టిన డ్యూరాలిమిన్ స్కిన్నింగ్‌తో ఆల్-మెటల్ నిర్మాణంలో ఉన్నాయి. [1] మొదట పూర్తయింది MB-10, ఇది టెన్డం కాక్‌పిట్‌లను కలిగి ఉంది మరియు 200 హెచ్‌పి (150 కిలోవాట్ల) రైట్ లేదా లారెన్స్ రేడియల్ ఇంజిన్ చేత శక్తినిచ్చేలా రూపొందించబడింది. ఉద్దేశించిన ఇంజిన్ లేనప్పుడు, ఇది 1921 చివరలో విమాన పరీక్షను ప్రారంభించడానికి 110 హెచ్‌పి (82 కిలోవాట్ తీవ్రమైన కంపనానికి కూడా గురైంది మరియు నిర్మాణాత్మకంగా బలహీనంగా ఉంది. [2] MB-9 ఫైటర్ 1922 ప్రారంభంలో పూర్తయింది, [3] ఫార్వర్డ్ కాక్‌పిట్ యొక్క తొలగింపులో మరియు 320 HP (240 kW) రైట్ హిస్పానో H-3 V8 ఇంజిన్ వాడకం యొక్క ప్రధానంగా MB-10 నుండి భిన్నంగా ఉంటుంది, ఇది చల్లబరుస్తుంది రేడియేటర్ ఫ్యూజ్‌లేజ్ కింద టార్పెడో-ఆకారపు నిర్మాణంలో (ఆయిల్ ట్యాంక్‌తో పాటు) ఉంది. [1] ప్రణాళికాబద్ధమైన ఆయుధాలు రెండు మెషిన్ గన్స్; ఒకటి .50 లో (12.7 మిమీ) మరియు ఒకటి .30 (7.62 మిమీ). [3] MB.9 MB.10 కన్నా మెరుగ్గా నిర్వహించబడుతున్నప్పటికీ, [1] ఇది ఇప్పటికీ తీవ్రమైన కంపనం మరియు నిర్మాణాత్మక సమస్యలతో బాధపడుతోంది, ఇది శిక్షకుడిని బాధపెట్టింది, [2] బలహీనమైన అండర్ క్యారేజ్ మరియు శీతలీకరణ సమస్యలతో పాటు. [1] రెండు విమానాల అభివృద్ధి త్వరగా ఆగిపోయింది, మెక్‌కూక్ ఫీల్డ్‌లోని యునైటెడ్ స్టేట్స్ ఆర్మీ ఎయిర్ సర్వీస్ అధికారిక మూల్యాంకనం కోసం రకాలు పంపబడలేదు. [2] పూర్తి బుక్ ఆఫ్ ఫైటర్స్ నుండి డేటా [3] సాధారణ లక్షణాలు పనితీరు ఆయుధ సంబంధిత అభివృద్ధి థామస్-మోర్స్ TM-22</v>
      </c>
      <c r="F173" s="1" t="s">
        <v>1203</v>
      </c>
      <c r="G173" s="1" t="str">
        <f>IFERROR(__xludf.DUMMYFUNCTION("GOOGLETRANSLATE(F:F,""en"", ""te"")"),"ఫైటర్ విమానం")</f>
        <v>ఫైటర్ విమానం</v>
      </c>
      <c r="H173" s="1" t="s">
        <v>3234</v>
      </c>
      <c r="I173" s="1" t="s">
        <v>158</v>
      </c>
      <c r="J173" s="1" t="str">
        <f>IFERROR(__xludf.DUMMYFUNCTION("GOOGLETRANSLATE(I:I,""en"", ""te"")"),"అమెరికా")</f>
        <v>అమెరికా</v>
      </c>
      <c r="K173" s="2" t="s">
        <v>515</v>
      </c>
      <c r="L173" s="1" t="s">
        <v>3220</v>
      </c>
      <c r="M173" s="1" t="str">
        <f>IFERROR(__xludf.DUMMYFUNCTION("GOOGLETRANSLATE(L:L,""en"", ""te"")"),"థామస్-మోర్స్ విమానం")</f>
        <v>థామస్-మోర్స్ విమానం</v>
      </c>
      <c r="N173" s="1" t="s">
        <v>3221</v>
      </c>
      <c r="R173" s="1" t="s">
        <v>3235</v>
      </c>
      <c r="S173" s="1">
        <v>1.0</v>
      </c>
      <c r="U173" s="1" t="s">
        <v>242</v>
      </c>
      <c r="AA173" s="1" t="s">
        <v>3236</v>
      </c>
      <c r="AG173" s="1" t="s">
        <v>208</v>
      </c>
      <c r="AH173" s="1" t="s">
        <v>3237</v>
      </c>
      <c r="AM173" s="1" t="s">
        <v>3238</v>
      </c>
      <c r="AO173" s="1">
        <v>1922.0</v>
      </c>
      <c r="AQ173" s="1" t="s">
        <v>3239</v>
      </c>
      <c r="BR173" s="1" t="s">
        <v>3240</v>
      </c>
    </row>
    <row r="174">
      <c r="A174" s="1" t="s">
        <v>3241</v>
      </c>
      <c r="B174" s="1" t="str">
        <f>IFERROR(__xludf.DUMMYFUNCTION("GOOGLETRANSLATE(A:A,""en"", ""te"")"),"థోర్ప్ టి -5")</f>
        <v>థోర్ప్ టి -5</v>
      </c>
      <c r="C174" s="1" t="s">
        <v>3242</v>
      </c>
      <c r="D174" s="1" t="str">
        <f>IFERROR(__xludf.DUMMYFUNCTION("GOOGLETRANSLATE(C:C,""en"", ""te"")"),"బోయింగ్ టి -5 లేదా థోర్ప్ టి -5 అనేది విద్యార్థి నిర్మించిన విమానం, దీనిని బోయింగ్ స్కూల్ ఆఫ్ ఏరోనాటిక్స్ కోసం జాన్ థోర్ప్ రూపొందించారు. [1] T-5 అనేది ఆల్-మెటల్, సైడ్-బై-సైడ్ కాన్ఫిగరేషన్, తక్కువ-వింగ్, సాంప్రదాయ ల్యాండింగ్ గేర్-అమర్చిన విమానం. [2] ఈ నమూన"&amp;"ాను 1939 లో ఎడ్డీ అలెన్ ఎగురవేసింది. [సైటేషన్ అవసరం] వికీమీడియా కామన్స్ వద్ద థోర్ప్ టి -5 కి సంబంధించిన ప్రసిద్ధ ఏవియేషన్ జనరల్ లక్షణాల పనితీరు మీడియా")</f>
        <v>బోయింగ్ టి -5 లేదా థోర్ప్ టి -5 అనేది విద్యార్థి నిర్మించిన విమానం, దీనిని బోయింగ్ స్కూల్ ఆఫ్ ఏరోనాటిక్స్ కోసం జాన్ థోర్ప్ రూపొందించారు. [1] T-5 అనేది ఆల్-మెటల్, సైడ్-బై-సైడ్ కాన్ఫిగరేషన్, తక్కువ-వింగ్, సాంప్రదాయ ల్యాండింగ్ గేర్-అమర్చిన విమానం. [2] ఈ నమూనాను 1939 లో ఎడ్డీ అలెన్ ఎగురవేసింది. [సైటేషన్ అవసరం] వికీమీడియా కామన్స్ వద్ద థోర్ప్ టి -5 కి సంబంధించిన ప్రసిద్ధ ఏవియేషన్ జనరల్ లక్షణాల పనితీరు మీడియా</v>
      </c>
      <c r="E174" s="1" t="s">
        <v>3243</v>
      </c>
      <c r="F174" s="1" t="s">
        <v>2494</v>
      </c>
      <c r="G174" s="1" t="str">
        <f>IFERROR(__xludf.DUMMYFUNCTION("GOOGLETRANSLATE(F:F,""en"", ""te"")"),"శిక్షకుడు")</f>
        <v>శిక్షకుడు</v>
      </c>
      <c r="H174" s="2" t="s">
        <v>2870</v>
      </c>
      <c r="I174" s="1" t="s">
        <v>158</v>
      </c>
      <c r="J174" s="1" t="str">
        <f>IFERROR(__xludf.DUMMYFUNCTION("GOOGLETRANSLATE(I:I,""en"", ""te"")"),"అమెరికా")</f>
        <v>అమెరికా</v>
      </c>
      <c r="L174" s="1" t="s">
        <v>3244</v>
      </c>
      <c r="M174" s="1" t="str">
        <f>IFERROR(__xludf.DUMMYFUNCTION("GOOGLETRANSLATE(L:L,""en"", ""te"")"),"ఏరోనాటిక్స్ యొక్క బోయింగ్ స్కూల్")</f>
        <v>ఏరోనాటిక్స్ యొక్క బోయింగ్ స్కూల్</v>
      </c>
      <c r="N174" s="1" t="s">
        <v>3245</v>
      </c>
      <c r="O174" s="1">
        <v>1937.0</v>
      </c>
      <c r="R174" s="1">
        <v>1.0</v>
      </c>
      <c r="S174" s="1">
        <v>1.0</v>
      </c>
      <c r="T174" s="1" t="s">
        <v>629</v>
      </c>
      <c r="AA174" s="1" t="s">
        <v>3246</v>
      </c>
      <c r="AB174" s="1" t="s">
        <v>3247</v>
      </c>
      <c r="AG174" s="1" t="s">
        <v>3248</v>
      </c>
      <c r="AK174" s="1" t="s">
        <v>880</v>
      </c>
      <c r="AM174" s="1" t="s">
        <v>2187</v>
      </c>
      <c r="AN174" s="1" t="s">
        <v>2188</v>
      </c>
      <c r="AO174" s="1">
        <v>1939.0</v>
      </c>
    </row>
    <row r="175">
      <c r="A175" s="1" t="s">
        <v>3249</v>
      </c>
      <c r="B175" s="1" t="str">
        <f>IFERROR(__xludf.DUMMYFUNCTION("GOOGLETRANSLATE(A:A,""en"", ""te"")"),"సూపర్ మెరైన్ ఎయిర్క్రాఫ్ట్ స్పిట్ ఫైర్")</f>
        <v>సూపర్ మెరైన్ ఎయిర్క్రాఫ్ట్ స్పిట్ ఫైర్</v>
      </c>
      <c r="C175" s="1" t="s">
        <v>3250</v>
      </c>
      <c r="D175" s="1" t="str">
        <f>IFERROR(__xludf.DUMMYFUNCTION("GOOGLETRANSLATE(C:C,""en"", ""te"")"),"సూపర్ మేరిన్ ఎయిర్క్రాఫ్ట్ స్పిట్‌ఫైర్ అనేది ఆస్ట్రేలియన్ హోమ్‌బిల్ట్ విమానం, ఇది కిట్ రూపంలో సూపర్ మెరైన్ విమానాల ద్వారా ఉత్పత్తి చేయబడింది. [1] [2] [3] ప్రసిద్ధ బ్రిటిష్ సూపర్ మేరిన్ స్పిట్‌ఫైర్ రెండవ ప్రపంచ యుద్ధం ఫైటర్ యొక్క ప్రతిరూపం, ఇది మొదట 75% స్"&amp;"కేల్‌కు ఉత్పత్తి చేయబడింది. తదుపరి నమూనాలు ఫ్యూజ్‌లేజ్ యొక్క స్థాయిని పెంచాయి మరియు రెండవ సీటును జోడించాయి. ఆస్ట్రేలియన్ పైలట్ మరియు ఏవియేషన్ ఇంజనీర్ మైక్ ఓసుల్లివన్ ఎల్లప్పుడూ స్పిట్‌ఫైర్‌ను కోరుకున్నారు మరియు 1991 లో తన సొంత ఉపయోగం కోసం ప్రతిరూపాన్ని ని"&amp;"ర్మించారు. దీని తరువాత 1994 లో 75 హెచ్‌పి (56 కిలోవాట్), రోటాక్స్-శక్తితో కూడిన ప్రోటోటైప్ జరిగింది. మరుసటి సంవత్సరం, 1995 లో . ఈ సందర్భంలో, స్థిరమైన-స్పీడ్, నాలుగు-బ్లేడ్ ప్రొపెల్లర్ న్యూజిలాండ్‌లోని ఒక నిపుణుల సంస్థ నుండి పొందబడుతుంది. [4] సూపర్ మేరిన్ "&amp;"విమానం అసలు బ్రిటిష్ సూపర్ మేరిన్ కంపెనీకి సంబంధించినది కాదు, అయినప్పటికీ సూపర్ మేరిన్ మార్క్ యజమానులు పేరు పెట్టడానికి వారి అనుమతి ఇచ్చారు. [5] మొదటి ఉత్పత్తి నమూనాకు స్పిట్‌ఫైర్ MK25 అని పేరు పెట్టారు మరియు ఇది అసలు సూపర్‌మరైన్ స్పిట్‌ఫైర్ డిజైన్ యొక్క "&amp;"75% స్కేల్ ప్రతిరూపం. ఒత్తిడితో కూడిన చర్మ నిర్మాణంలో 2024 అల్యూమినియం మిశ్రమం తొక్కలు, ఫార్మర్లు మరియు లింగన్స్ ఉంటాయి, ఇది ఫెయిరింగ్స్ మరియు ఎయిర్ స్కూప్స్ వంటి భాగాల కోసం కొన్ని ఫైబర్-గ్లాస్ అచ్చులతో ఉంటుంది. ఈ డిజైన్ విద్యుత్తుతో పనిచేసే ముడుచుకునే అం"&amp;"డర్ క్యారేజీని కలిగి ఉంది, ప్రధాన చక్రాలకు అవకలన బ్రేకింగ్ మరియు ల్యాండింగ్ ఫ్లాప్‌లు ఉన్నాయి. తరువాత స్పిట్‌ఫైర్ MK26 MK25 రెక్కలను ఫ్యూజ్‌లేజ్‌తో ఉపయోగిస్తుంది, పైలట్ వెనుక ఉన్న ప్రయాణీకుల సీటుకు గదిని అందించడానికి 80% స్కేల్‌కు పెరిగింది. MK26B 90% స్క"&amp;"ేల్ ఫ్యూజ్‌లేజ్ కలిగి ఉంది. స్పిట్‌ఫైర్ కిట్ అసలు శక్తి నుండి బరువు నిష్పత్తిని కలిగి ఉంది. [6] ఈ విమానం 2001 లో ఆస్ట్రేలియన్ అల్ట్రాలైట్ ఫెడరేషన్ సమీక్షించింది. ఇది కిట్ నిర్మించిన విమానాల కోసం ఆస్ట్రేలియన్ నిబంధనలను తీర్చడానికి ఆమోదించబడింది. [7] సూపర్ "&amp;"మేరిన్ 2004 లో కిట్ విమానాన్ని యుఎస్ మార్కెట్‌కు ప్రోత్సహించడం ప్రారంభించింది. [8] ఈ విమానం బ్రిటిష్ లైట్ ఎయిర్క్రాఫ్ట్ అసోసియేషన్ ఆమోదించింది. [9] [10] అప్పటి నుండి ఈ సంస్థ యుఎస్ లోని టెక్సాస్లోని సిస్కో విమానాశ్రయానికి వెళ్ళింది, ఇది ఓసుల్లివన్ కూడా నిర"&amp;"్వహిస్తుంది. [5] మరింత శక్తివంతమైన జాబిరు రకాలు ద్వారా అభివృద్ధి అభివృద్ధి చెందడానికి ముందు, MK25 ప్రోటోటైప్ MK25 ను రోటాక్స్ ఇంజిన్‌తో అమర్చారు. [4] ప్రారంభ ఉత్పత్తి నమూనాలు ఆస్ట్రేలియాలో తయారు చేసిన ఎనిమిది సిలిండర్, 200 హెచ్‌పి (149 కిలోవాట్) జబీరు ఇంజ"&amp;"న్లు. తదనంతరం, కంపెనీ V6 ఇసుజు ఇంజిన్ మార్పిడిని ప్రవేశపెట్టింది, 260 లేదా 320 హెచ్‌పి (194 లేదా 239 కిలోవాట్) ను సూపర్ఛార్జర్‌తో ఉత్పత్తి చేస్తుంది, అలాగే 430 హెచ్‌పి (321 కిలోవాట్) ఉత్పత్తి చేసే వి 8 జనరల్ మోటార్స్ ఆటోమోటివ్ ఇంజిన్ మార్పిడి. [4] [11] స్"&amp;"పిట్‌ఫైర్ MK26 యొక్క ప్రారంభ సంస్కరణలు ఎనిమిది సిలిండర్ 180 హెచ్‌పి (134 కిలోవాట్) జబిరు 5100 అడ్డంగా వ్యతిరేకించిన ఏరో ఇంజిన్‌ను ఉపయోగించాయి, కాని ప్రారంభ సంస్థాపనలు సరిపోని శీతలీకరణతో బాధపడ్డాయి. సంస్థ ఇప్పుడు V6 ఇంజిన్‌ను అందిస్తుంది. ఈ ఇంజిన్ యొక్క సా"&amp;"ధారణంగా ఆశించిన సంస్కరణ 226 హెచ్‌పి (169 కిలోవాట్) ను ఉత్పత్తి చేస్తుంది, సూపర్ఛార్జ్డ్ వెర్షన్‌తో 310 హెచ్‌పి (231 కిలోవాట్) వరకు ఉత్పత్తి చేస్తుంది. [12] ఒక ప్రొపెల్లర్ యొక్క గరిష్ట RPM (దాని వ్యాసాన్ని బట్టి సుమారు 2800 వద్ద) సగం, గరిష్ట టార్క్/పవర్ RP"&amp;"M వద్ద కార్ ఇంజిన్ కోసం సుమారు 5500 RPM, అందువల్ల డ్రైవ్ రిడక్షన్ యూనిట్‌తో అమర్చాలి. ఇటువంటి యూనిట్లు ఇంజిన్ శక్తిలో 20% ను గ్రహిస్తాయి మరియు అందువల్ల సాధారణంగా ఆశించిన ఇసుజు యూనిట్ జబిరు 5100 మాదిరిగానే గరిష్ట శక్తిని అందిస్తుంది. ROTEC చేత జబీరు ఇంజిన్"&amp;" రేంజ్ యొక్క ఇటీవలి పరిణామాలు పున replace స్థాపన నీటి-చల్లని సిలిండర్ తలలను ఉత్పత్తి చేశాయి. ఇది 5100 కోసం ఉత్పత్తి చేసింది. ఇది ఉంది వేడెక్కే సమస్యలను తొలగించి, MK26 యొక్క ముక్కు కౌలింగ్‌ను గాలి తీసుకోవడం తొలగించడానికి పున hap రూపకల్పన చేయడానికి మరియు స్"&amp;"పిట్‌ఫైర్ యొక్క అసలు సొగసైన రూపకల్పనకు అనుగుణంగా ఫ్రంటల్ ప్రాంతాన్ని గణనీయంగా తగ్గించడానికి అనుమతించింది. స్పిట్‌ఫైర్ నిర్మాణానికి మెటల్ వర్కింగ్ నైపుణ్యాలు మరియు సాధనాలు అవసరం మరియు ఏవియేషన్ గ్రేడ్ పుల్ రివెట్స్ లేదా పాప్ రివెట్‌లను విస్తృతంగా ఉపయోగించుక"&amp;"ుంటాయి. ముందే సమావేశమైన కిట్లు అందించబడ్డాయి, కాని ఇప్పటికీ బిల్డర్‌ను 1,200 మ్యాన్-గంటల పనిని పూర్తి చేయవలసి ఉంటుంది. [13] 92 కి పైగా స్పిట్‌ఫైర్‌లు ఇప్పుడు ప్రపంచవ్యాప్తంగా అమ్ముడయ్యాయి. [6] అక్టోబర్ 2010 లో ఆస్ట్రేలియాలోని జింపిలో జరిగిన ఘోరమైన ప్రమాదం"&amp;" తరువాత, ఎమ్కె 26, కరోనర్ డిసెంబర్ 29, 2014 న నివేదించారు. సూపర్మారైన్ పిటి లిమిటెడ్ యొక్క సిఇఒ మైఖేల్ ఓసుల్లివన్ విమాన పరీక్షా విమానంలో ఉందని అంగీకరించింది. ప్రకటించిన 37.5 గంటలకు బదులుగా కాలం 20 గంటలు మాత్రమే ఉంది, ""అతను తన విమానం యొక్క రిజిస్ట్రేషన్ను"&amp;" RA-AUS (రిక్రియేషనల్ ఏవియేషన్ ఆస్ట్రేలియా) తో సాధించడానికి తెలిసి తప్పుడు ప్రచారం చేసిన పత్రాలను కలిగి ఉన్నాడు, CASA (సివిల్ ఏవియేషన్ సేఫ్టీ అథారిటీ) తో మరింత కఠినమైన రిజిస్ట్రేషన్ కాకుండా "", మరియు అతను"" విమానం యొక్క బరువును (సుమారు 200 కిలోల ద్వారా) గ"&amp;"ణనీయంగా అర్థం చేసుకోవడం ""(విమానం పేర్కొన్న ఖాళీ బరువులో సగం 401 కిలోలు). [14] 2013 లో, ఆస్ట్రేలియాలోని అడిలైడ్‌లో MK26 80% స్కేల్ స్పిట్‌ఫైర్ కూలిపోయింది. పైలట్, విమానంలో ఉన్న ఏకైక ప్రయాణీకుడిగా, ప్రమాదం కారణంగా మరణించాడు. అధికారిక పరిశోధనలు పైలట్ లోపాన్"&amp;"ని ప్రమాదానికి ప్రధాన సహకారిగా చూపిస్తున్నాయి, అయితే, ATSB నివేదిక ఇలా పేర్కొంది: ""ఈ విమానం ఏరోడైనమిక్‌గా ఏరోడైనమిక్ పూర్వగాములు లేకుండా ఏరోడైనమిక్‌గా నిలిచిపోయింది మరియు దీనికి స్టాల్ హెచ్చరిక పరికరంతో అమర్చబడలేదు, అనుకోకుండా ప్రమాదాన్ని పెంచుతుంది స్టా"&amp;"ల్.")</f>
        <v>సూపర్ మేరిన్ ఎయిర్క్రాఫ్ట్ స్పిట్‌ఫైర్ అనేది ఆస్ట్రేలియన్ హోమ్‌బిల్ట్ విమానం, ఇది కిట్ రూపంలో సూపర్ మెరైన్ విమానాల ద్వారా ఉత్పత్తి చేయబడింది. [1] [2] [3] ప్రసిద్ధ బ్రిటిష్ సూపర్ మేరిన్ స్పిట్‌ఫైర్ రెండవ ప్రపంచ యుద్ధం ఫైటర్ యొక్క ప్రతిరూపం, ఇది మొదట 75% స్కేల్‌కు ఉత్పత్తి చేయబడింది. తదుపరి నమూనాలు ఫ్యూజ్‌లేజ్ యొక్క స్థాయిని పెంచాయి మరియు రెండవ సీటును జోడించాయి. ఆస్ట్రేలియన్ పైలట్ మరియు ఏవియేషన్ ఇంజనీర్ మైక్ ఓసుల్లివన్ ఎల్లప్పుడూ స్పిట్‌ఫైర్‌ను కోరుకున్నారు మరియు 1991 లో తన సొంత ఉపయోగం కోసం ప్రతిరూపాన్ని నిర్మించారు. దీని తరువాత 1994 లో 75 హెచ్‌పి (56 కిలోవాట్), రోటాక్స్-శక్తితో కూడిన ప్రోటోటైప్ జరిగింది. మరుసటి సంవత్సరం, 1995 లో . ఈ సందర్భంలో, స్థిరమైన-స్పీడ్, నాలుగు-బ్లేడ్ ప్రొపెల్లర్ న్యూజిలాండ్‌లోని ఒక నిపుణుల సంస్థ నుండి పొందబడుతుంది. [4] సూపర్ మేరిన్ విమానం అసలు బ్రిటిష్ సూపర్ మేరిన్ కంపెనీకి సంబంధించినది కాదు, అయినప్పటికీ సూపర్ మేరిన్ మార్క్ యజమానులు పేరు పెట్టడానికి వారి అనుమతి ఇచ్చారు. [5] మొదటి ఉత్పత్తి నమూనాకు స్పిట్‌ఫైర్ MK25 అని పేరు పెట్టారు మరియు ఇది అసలు సూపర్‌మరైన్ స్పిట్‌ఫైర్ డిజైన్ యొక్క 75% స్కేల్ ప్రతిరూపం. ఒత్తిడితో కూడిన చర్మ నిర్మాణంలో 2024 అల్యూమినియం మిశ్రమం తొక్కలు, ఫార్మర్లు మరియు లింగన్స్ ఉంటాయి, ఇది ఫెయిరింగ్స్ మరియు ఎయిర్ స్కూప్స్ వంటి భాగాల కోసం కొన్ని ఫైబర్-గ్లాస్ అచ్చులతో ఉంటుంది. ఈ డిజైన్ విద్యుత్తుతో పనిచేసే ముడుచుకునే అండర్ క్యారేజీని కలిగి ఉంది, ప్రధాన చక్రాలకు అవకలన బ్రేకింగ్ మరియు ల్యాండింగ్ ఫ్లాప్‌లు ఉన్నాయి. తరువాత స్పిట్‌ఫైర్ MK26 MK25 రెక్కలను ఫ్యూజ్‌లేజ్‌తో ఉపయోగిస్తుంది, పైలట్ వెనుక ఉన్న ప్రయాణీకుల సీటుకు గదిని అందించడానికి 80% స్కేల్‌కు పెరిగింది. MK26B 90% స్కేల్ ఫ్యూజ్‌లేజ్ కలిగి ఉంది. స్పిట్‌ఫైర్ కిట్ అసలు శక్తి నుండి బరువు నిష్పత్తిని కలిగి ఉంది. [6] ఈ విమానం 2001 లో ఆస్ట్రేలియన్ అల్ట్రాలైట్ ఫెడరేషన్ సమీక్షించింది. ఇది కిట్ నిర్మించిన విమానాల కోసం ఆస్ట్రేలియన్ నిబంధనలను తీర్చడానికి ఆమోదించబడింది. [7] సూపర్ మేరిన్ 2004 లో కిట్ విమానాన్ని యుఎస్ మార్కెట్‌కు ప్రోత్సహించడం ప్రారంభించింది. [8] ఈ విమానం బ్రిటిష్ లైట్ ఎయిర్క్రాఫ్ట్ అసోసియేషన్ ఆమోదించింది. [9] [10] అప్పటి నుండి ఈ సంస్థ యుఎస్ లోని టెక్సాస్లోని సిస్కో విమానాశ్రయానికి వెళ్ళింది, ఇది ఓసుల్లివన్ కూడా నిర్వహిస్తుంది. [5] మరింత శక్తివంతమైన జాబిరు రకాలు ద్వారా అభివృద్ధి అభివృద్ధి చెందడానికి ముందు, MK25 ప్రోటోటైప్ MK25 ను రోటాక్స్ ఇంజిన్‌తో అమర్చారు. [4] ప్రారంభ ఉత్పత్తి నమూనాలు ఆస్ట్రేలియాలో తయారు చేసిన ఎనిమిది సిలిండర్, 200 హెచ్‌పి (149 కిలోవాట్) జబీరు ఇంజన్లు. తదనంతరం, కంపెనీ V6 ఇసుజు ఇంజిన్ మార్పిడిని ప్రవేశపెట్టింది, 260 లేదా 320 హెచ్‌పి (194 లేదా 239 కిలోవాట్) ను సూపర్ఛార్జర్‌తో ఉత్పత్తి చేస్తుంది, అలాగే 430 హెచ్‌పి (321 కిలోవాట్) ఉత్పత్తి చేసే వి 8 జనరల్ మోటార్స్ ఆటోమోటివ్ ఇంజిన్ మార్పిడి. [4] [11] స్పిట్‌ఫైర్ MK26 యొక్క ప్రారంభ సంస్కరణలు ఎనిమిది సిలిండర్ 180 హెచ్‌పి (134 కిలోవాట్) జబిరు 5100 అడ్డంగా వ్యతిరేకించిన ఏరో ఇంజిన్‌ను ఉపయోగించాయి, కాని ప్రారంభ సంస్థాపనలు సరిపోని శీతలీకరణతో బాధపడ్డాయి. సంస్థ ఇప్పుడు V6 ఇంజిన్‌ను అందిస్తుంది. ఈ ఇంజిన్ యొక్క సాధారణంగా ఆశించిన సంస్కరణ 226 హెచ్‌పి (169 కిలోవాట్) ను ఉత్పత్తి చేస్తుంది, సూపర్ఛార్జ్డ్ వెర్షన్‌తో 310 హెచ్‌పి (231 కిలోవాట్) వరకు ఉత్పత్తి చేస్తుంది. [12] ఒక ప్రొపెల్లర్ యొక్క గరిష్ట RPM (దాని వ్యాసాన్ని బట్టి సుమారు 2800 వద్ద) సగం, గరిష్ట టార్క్/పవర్ RPM వద్ద కార్ ఇంజిన్ కోసం సుమారు 5500 RPM, అందువల్ల డ్రైవ్ రిడక్షన్ యూనిట్‌తో అమర్చాలి. ఇటువంటి యూనిట్లు ఇంజిన్ శక్తిలో 20% ను గ్రహిస్తాయి మరియు అందువల్ల సాధారణంగా ఆశించిన ఇసుజు యూనిట్ జబిరు 5100 మాదిరిగానే గరిష్ట శక్తిని అందిస్తుంది. ROTEC చేత జబీరు ఇంజిన్ రేంజ్ యొక్క ఇటీవలి పరిణామాలు పున replace స్థాపన నీటి-చల్లని సిలిండర్ తలలను ఉత్పత్తి చేశాయి. ఇది 5100 కోసం ఉత్పత్తి చేసింది. ఇది ఉంది వేడెక్కే సమస్యలను తొలగించి, MK26 యొక్క ముక్కు కౌలింగ్‌ను గాలి తీసుకోవడం తొలగించడానికి పున hap రూపకల్పన చేయడానికి మరియు స్పిట్‌ఫైర్ యొక్క అసలు సొగసైన రూపకల్పనకు అనుగుణంగా ఫ్రంటల్ ప్రాంతాన్ని గణనీయంగా తగ్గించడానికి అనుమతించింది. స్పిట్‌ఫైర్ నిర్మాణానికి మెటల్ వర్కింగ్ నైపుణ్యాలు మరియు సాధనాలు అవసరం మరియు ఏవియేషన్ గ్రేడ్ పుల్ రివెట్స్ లేదా పాప్ రివెట్‌లను విస్తృతంగా ఉపయోగించుకుంటాయి. ముందే సమావేశమైన కిట్లు అందించబడ్డాయి, కాని ఇప్పటికీ బిల్డర్‌ను 1,200 మ్యాన్-గంటల పనిని పూర్తి చేయవలసి ఉంటుంది. [13] 92 కి పైగా స్పిట్‌ఫైర్‌లు ఇప్పుడు ప్రపంచవ్యాప్తంగా అమ్ముడయ్యాయి. [6] అక్టోబర్ 2010 లో ఆస్ట్రేలియాలోని జింపిలో జరిగిన ఘోరమైన ప్రమాదం తరువాత, ఎమ్కె 26, కరోనర్ డిసెంబర్ 29, 2014 న నివేదించారు. సూపర్మారైన్ పిటి లిమిటెడ్ యొక్క సిఇఒ మైఖేల్ ఓసుల్లివన్ విమాన పరీక్షా విమానంలో ఉందని అంగీకరించింది. ప్రకటించిన 37.5 గంటలకు బదులుగా కాలం 20 గంటలు మాత్రమే ఉంది, "అతను తన విమానం యొక్క రిజిస్ట్రేషన్ను RA-AUS (రిక్రియేషనల్ ఏవియేషన్ ఆస్ట్రేలియా) తో సాధించడానికి తెలిసి తప్పుడు ప్రచారం చేసిన పత్రాలను కలిగి ఉన్నాడు, CASA (సివిల్ ఏవియేషన్ సేఫ్టీ అథారిటీ) తో మరింత కఠినమైన రిజిస్ట్రేషన్ కాకుండా ", మరియు అతను" విమానం యొక్క బరువును (సుమారు 200 కిలోల ద్వారా) గణనీయంగా అర్థం చేసుకోవడం "(విమానం పేర్కొన్న ఖాళీ బరువులో సగం 401 కిలోలు). [14] 2013 లో, ఆస్ట్రేలియాలోని అడిలైడ్‌లో MK26 80% స్కేల్ స్పిట్‌ఫైర్ కూలిపోయింది. పైలట్, విమానంలో ఉన్న ఏకైక ప్రయాణీకుడిగా, ప్రమాదం కారణంగా మరణించాడు. అధికారిక పరిశోధనలు పైలట్ లోపాన్ని ప్రమాదానికి ప్రధాన సహకారిగా చూపిస్తున్నాయి, అయితే, ATSB నివేదిక ఇలా పేర్కొంది: "ఈ విమానం ఏరోడైనమిక్‌గా ఏరోడైనమిక్ పూర్వగాములు లేకుండా ఏరోడైనమిక్‌గా నిలిచిపోయింది మరియు దీనికి స్టాల్ హెచ్చరిక పరికరంతో అమర్చబడలేదు, అనుకోకుండా ప్రమాదాన్ని పెంచుతుంది స్టాల్.</v>
      </c>
      <c r="E175" s="1" t="s">
        <v>3251</v>
      </c>
      <c r="F175" s="1" t="s">
        <v>258</v>
      </c>
      <c r="G175" s="1" t="str">
        <f>IFERROR(__xludf.DUMMYFUNCTION("GOOGLETRANSLATE(F:F,""en"", ""te"")"),"హోమ్‌బిల్ట్ విమానం")</f>
        <v>హోమ్‌బిల్ట్ విమానం</v>
      </c>
      <c r="H175" s="1" t="s">
        <v>259</v>
      </c>
      <c r="I175" s="1" t="s">
        <v>570</v>
      </c>
      <c r="J175" s="1" t="str">
        <f>IFERROR(__xludf.DUMMYFUNCTION("GOOGLETRANSLATE(I:I,""en"", ""te"")"),"ఆస్ట్రేలియా")</f>
        <v>ఆస్ట్రేలియా</v>
      </c>
      <c r="L175" s="1" t="s">
        <v>3252</v>
      </c>
      <c r="M175" s="1" t="str">
        <f>IFERROR(__xludf.DUMMYFUNCTION("GOOGLETRANSLATE(L:L,""en"", ""te"")"),"సూపర్ మెరైన్ విమానం")</f>
        <v>సూపర్ మెరైన్ విమానం</v>
      </c>
      <c r="N175" s="1" t="s">
        <v>3253</v>
      </c>
      <c r="R175" s="1" t="s">
        <v>3254</v>
      </c>
      <c r="U175" s="1" t="s">
        <v>3255</v>
      </c>
      <c r="V175" s="1" t="s">
        <v>1088</v>
      </c>
      <c r="W175" s="1" t="s">
        <v>3256</v>
      </c>
      <c r="X175" s="1" t="s">
        <v>3257</v>
      </c>
      <c r="Y175" s="1" t="s">
        <v>3258</v>
      </c>
      <c r="AA175" s="1" t="s">
        <v>3259</v>
      </c>
      <c r="AB175" s="1" t="s">
        <v>3260</v>
      </c>
      <c r="AD175" s="1" t="s">
        <v>247</v>
      </c>
      <c r="AE175" s="1" t="s">
        <v>3261</v>
      </c>
      <c r="AF175" s="1" t="s">
        <v>3262</v>
      </c>
      <c r="AG175" s="1" t="s">
        <v>3263</v>
      </c>
      <c r="AH175" s="1" t="s">
        <v>3264</v>
      </c>
      <c r="AI175" s="1" t="s">
        <v>3265</v>
      </c>
      <c r="AM175" s="1" t="s">
        <v>3266</v>
      </c>
      <c r="AO175" s="3">
        <v>34639.0</v>
      </c>
      <c r="AQ175" s="1" t="s">
        <v>3267</v>
      </c>
      <c r="BE175" s="1" t="s">
        <v>3268</v>
      </c>
    </row>
    <row r="176">
      <c r="A176" s="1" t="s">
        <v>3269</v>
      </c>
      <c r="B176" s="1" t="str">
        <f>IFERROR(__xludf.DUMMYFUNCTION("GOOGLETRANSLATE(A:A,""en"", ""te"")"),"సూపర్ మెరైన్ స్వాన్")</f>
        <v>సూపర్ మెరైన్ స్వాన్</v>
      </c>
      <c r="C176" s="1" t="s">
        <v>3270</v>
      </c>
      <c r="D176" s="1" t="str">
        <f>IFERROR(__xludf.DUMMYFUNCTION("GOOGLETRANSLATE(C:C,""en"", ""te"")"),"సూపర్ మేరిన్ స్వాన్ 1920 ల బ్రిటిష్ ప్రయోగాత్మక ఉభయచర విమానం, ఇది సౌతాంప్టన్లోని వూల్స్టన్ వద్ద సూపర్ మేరిన్ నిర్మించింది. నిర్మించిన ఒకే విమానం ఇంగ్లాండ్ మరియు ఫ్రాన్స్ మధ్య ప్రయాణీకుల సేవ కోసం ఉపయోగించబడింది. సూపర్మారిన్ స్వాన్ ను సూపర్మారిన్‌లో చీఫ్ డి"&amp;"జైనర్ ఆర్. జె. మిచెల్ రూపొందించారు, ఇది రాయల్ ఎయిర్ ఫోర్స్ యొక్క ఫెలిక్స్‌స్టోవ్ ఎఫ్ 5 లకు బదులుగా సూపర్ మేరిన్ స్కిల్లా డిజైన్‌కు సమాంతరంగా ప్రయోగాత్మక చెక్క బిప్‌లేన్ ఉభయచర విమానాలు. [1] మొట్టమొదట 25 మార్చి 1924 న వినిపించింది (సీరియల్ N175 గా), స్వాన్ "&amp;"రెండు 350 హెచ్‌పి (261 కిలోవాట్) రోల్స్ రాయిస్ ఈగిల్ ఐఎక్స్ ఇంజన్లతో పనిచేసింది. ఇది రెండు 450 హెచ్‌పి (336 కిలోవాట్ 10 మంది ప్రయాణీకులకు వసతి గృహంతో ఎగిరే పడవ. ఇది 1927 లో స్క్రాప్ చేయబడింది. [2] [3] సాధారణ లక్షణాల నుండి డేటా పోల్చదగిన పాత్ర, కాన్ఫిగరేషన"&amp;"్ మరియు ERA సంబంధిత జాబితాల పనితీరు సంబంధిత అభివృద్ధి విమానం")</f>
        <v>సూపర్ మేరిన్ స్వాన్ 1920 ల బ్రిటిష్ ప్రయోగాత్మక ఉభయచర విమానం, ఇది సౌతాంప్టన్లోని వూల్స్టన్ వద్ద సూపర్ మేరిన్ నిర్మించింది. నిర్మించిన ఒకే విమానం ఇంగ్లాండ్ మరియు ఫ్రాన్స్ మధ్య ప్రయాణీకుల సేవ కోసం ఉపయోగించబడింది. సూపర్మారిన్ స్వాన్ ను సూపర్మారిన్‌లో చీఫ్ డిజైనర్ ఆర్. జె. మిచెల్ రూపొందించారు, ఇది రాయల్ ఎయిర్ ఫోర్స్ యొక్క ఫెలిక్స్‌స్టోవ్ ఎఫ్ 5 లకు బదులుగా సూపర్ మేరిన్ స్కిల్లా డిజైన్‌కు సమాంతరంగా ప్రయోగాత్మక చెక్క బిప్‌లేన్ ఉభయచర విమానాలు. [1] మొట్టమొదట 25 మార్చి 1924 న వినిపించింది (సీరియల్ N175 గా), స్వాన్ రెండు 350 హెచ్‌పి (261 కిలోవాట్) రోల్స్ రాయిస్ ఈగిల్ ఐఎక్స్ ఇంజన్లతో పనిచేసింది. ఇది రెండు 450 హెచ్‌పి (336 కిలోవాట్ 10 మంది ప్రయాణీకులకు వసతి గృహంతో ఎగిరే పడవ. ఇది 1927 లో స్క్రాప్ చేయబడింది. [2] [3] సాధారణ లక్షణాల నుండి డేటా పోల్చదగిన పాత్ర, కాన్ఫిగరేషన్ మరియు ERA సంబంధిత జాబితాల పనితీరు సంబంధిత అభివృద్ధి విమానం</v>
      </c>
      <c r="E176" s="1" t="s">
        <v>3271</v>
      </c>
      <c r="F176" s="1" t="s">
        <v>3272</v>
      </c>
      <c r="G176" s="1" t="str">
        <f>IFERROR(__xludf.DUMMYFUNCTION("GOOGLETRANSLATE(F:F,""en"", ""te"")"),"మారిటైమ్ రికనైసెన్స్/ప్యాసింజర్ ఫ్లయింగ్ బోట్")</f>
        <v>మారిటైమ్ రికనైసెన్స్/ప్యాసింజర్ ఫ్లయింగ్ బోట్</v>
      </c>
      <c r="H176" s="1" t="s">
        <v>3273</v>
      </c>
      <c r="I176" s="1" t="s">
        <v>480</v>
      </c>
      <c r="J176" s="1" t="str">
        <f>IFERROR(__xludf.DUMMYFUNCTION("GOOGLETRANSLATE(I:I,""en"", ""te"")"),"యునైటెడ్ కింగ్‌డమ్")</f>
        <v>యునైటెడ్ కింగ్‌డమ్</v>
      </c>
      <c r="L176" s="1" t="s">
        <v>827</v>
      </c>
      <c r="M176" s="1" t="str">
        <f>IFERROR(__xludf.DUMMYFUNCTION("GOOGLETRANSLATE(L:L,""en"", ""te"")"),"సూపర్ మెరైన్")</f>
        <v>సూపర్ మెరైన్</v>
      </c>
      <c r="N176" s="2" t="s">
        <v>828</v>
      </c>
      <c r="O176" s="1">
        <v>1926.0</v>
      </c>
      <c r="R176" s="1">
        <v>1.0</v>
      </c>
      <c r="S176" s="1">
        <v>2.0</v>
      </c>
      <c r="T176" s="1" t="s">
        <v>3274</v>
      </c>
      <c r="U176" s="1" t="s">
        <v>3275</v>
      </c>
      <c r="V176" s="1" t="s">
        <v>3276</v>
      </c>
      <c r="W176" s="1" t="s">
        <v>3277</v>
      </c>
      <c r="X176" s="1" t="s">
        <v>3278</v>
      </c>
      <c r="Y176" s="1" t="s">
        <v>3279</v>
      </c>
      <c r="AA176" s="1" t="s">
        <v>3280</v>
      </c>
      <c r="AB176" s="1" t="s">
        <v>3281</v>
      </c>
      <c r="AD176" s="1" t="s">
        <v>3282</v>
      </c>
      <c r="AF176" s="1" t="s">
        <v>3283</v>
      </c>
      <c r="AG176" s="1" t="s">
        <v>3284</v>
      </c>
      <c r="AH176" s="1" t="s">
        <v>3285</v>
      </c>
      <c r="AI176" s="1" t="s">
        <v>1324</v>
      </c>
      <c r="AK176" s="1" t="s">
        <v>3286</v>
      </c>
      <c r="AL176" s="1" t="s">
        <v>3287</v>
      </c>
      <c r="AM176" s="1" t="s">
        <v>3288</v>
      </c>
      <c r="AN176" s="1" t="s">
        <v>3289</v>
      </c>
      <c r="AO176" s="4">
        <v>8851.0</v>
      </c>
      <c r="AQ176" s="1" t="s">
        <v>1174</v>
      </c>
      <c r="AS176" s="1" t="s">
        <v>3290</v>
      </c>
      <c r="BC176" s="1">
        <v>1927.0</v>
      </c>
      <c r="CM176" s="1" t="s">
        <v>3291</v>
      </c>
      <c r="CN176" s="1" t="s">
        <v>3292</v>
      </c>
      <c r="CU176" s="2" t="s">
        <v>2565</v>
      </c>
      <c r="DT176" s="2" t="s">
        <v>2598</v>
      </c>
    </row>
    <row r="177">
      <c r="A177" s="1" t="s">
        <v>3293</v>
      </c>
      <c r="B177" s="1" t="str">
        <f>IFERROR(__xludf.DUMMYFUNCTION("GOOGLETRANSLATE(A:A,""en"", ""te"")"),"సీతాకోకచిలుక చక్రవర్తి")</f>
        <v>సీతాకోకచిలుక చక్రవర్తి</v>
      </c>
      <c r="C177" s="1" t="s">
        <v>3294</v>
      </c>
      <c r="D177" s="1" t="str">
        <f>IFERROR(__xludf.DUMMYFUNCTION("GOOGLETRANSLATE(C:C,""en"", ""te"")"),"సీతాకోకచిలుక మోనార్క్ ఒక అమెరికన్ ఆటోజయోరో, ఇది టెక్సాస్‌లోని అరోరాకు చెందిన సీతాకోకచిలుక LLC చేత రూపొందించబడింది మరియు నిర్మించింది. ఈ విమానం te త్సాహిక నిర్మాణానికి కిట్‌గా సరఫరా చేయబడుతుంది. [1] మోనార్క్ యుఎస్ ప్రయోగాత్మక - te త్సాహిక -నిర్మిత నియమాలకు"&amp;" అనుగుణంగా రూపొందించబడింది. ఇది సింగిల్ మెయిన్ రోటర్, విండ్‌షీల్డ్ లేని సింగిల్-సీట్ల ఓపెన్ కాక్‌పిట్, వీల్ ప్యాంటుతో ట్రైసైకిల్ ల్యాండింగ్ గేర్ మరియు జంట సిలిండర్, లిక్విడ్-కూల్డ్, టూ-స్ట్రోక్, డ్యూయల్-ఇగ్నిషన్ 64 హెచ్‌పి (48 కిలోవాట్) రోటాక్స్ 582 ఇంజిన"&amp;"్ పుషర్‌లో ఉన్నాయి కాన్ఫిగరేషన్. [1] చక్రవర్తి యొక్క ఫ్యూజ్‌లేజ్ మెటల్ గొట్టాల నుండి తయారవుతుంది మరియు 8 మీ (26.2 అడుగులు) వ్యాసం కలిగిన రెండు-బ్లేడెడ్ మెయిన్ రోటర్‌ను మౌంట్ చేస్తుంది, టేకాఫ్ దూరాలను తగ్గించడానికి ఎలక్ట్రిక్ ప్రీ-రొటటర్. ఈ విమానం ఖాళీ బరు"&amp;"వు 360 ఎల్బి (160 కిలోలు) మరియు స్థూల బరువు 630 ఎల్బి (290 కిలోలు), ఇది 270 ఎల్బి (120 కిలోల) ఉపయోగకరమైన లోడ్ ఇస్తుంది. తోక ఉపరితలాలు కెవ్లార్ నుండి తయారవుతాయి. ల్యాండింగ్ గేర్ 4130 స్టీల్ నిర్మాణాన్ని కలిగి ఉంది, స్ప్రింగ్‌లను కలిగి ఉంటుంది మరియు టచ్డౌన్"&amp;" వద్ద 500 అడుగుల/నిమి (2.5 మీ/సె) సంతతి రేట్లు సహా దాదాపు నిలువు ల్యాండింగ్లను అనుమతించడానికి 18 లో (46 సెం.మీ) లాంగ్ స్ట్రోక్ ఉంది. ట్రైసైకిల్ ల్యాండింగ్ గేర్ ట్రిపుల్ టెయిల్ క్యాస్టర్ చేత భర్తీ చేయబడుతుంది. [1] [2] అందుబాటులో ఉన్న ఐచ్ఛిక పరికరాలలో విండ్"&amp;"‌షీల్డ్, రోటర్ బ్రేక్, సహాయక 6 యు.ఎస్. గ్యాలన్లు (23 ఎల్; 5.0 ఇంప్ గాల్) ఇంధన ట్యాంక్ మరియు ఎయిర్‌షో పొగ వ్యవస్థతో కాక్‌పిట్ ఫెయిరింగ్ ఉన్నాయి. [2] డిసెంబర్ 2012 నాటికి ఎనిమిది ఉదాహరణలు ఫెడరల్ ఏవియేషన్ అడ్మినిస్ట్రేషన్తో యునైటెడ్ స్టేట్స్లో నమోదు చేయబడ్డా"&amp;"యి. [3] బేయర్ల్ మరియు సీతాకోకచిలుక నుండి డేటా [1] [2] సాధారణ లక్షణాల పనితీరు")</f>
        <v>సీతాకోకచిలుక మోనార్క్ ఒక అమెరికన్ ఆటోజయోరో, ఇది టెక్సాస్‌లోని అరోరాకు చెందిన సీతాకోకచిలుక LLC చేత రూపొందించబడింది మరియు నిర్మించింది. ఈ విమానం te త్సాహిక నిర్మాణానికి కిట్‌గా సరఫరా చేయబడుతుంది. [1] మోనార్క్ యుఎస్ ప్రయోగాత్మక - te త్సాహిక -నిర్మిత నియమాలకు అనుగుణంగా రూపొందించబడింది. ఇది సింగిల్ మెయిన్ రోటర్, విండ్‌షీల్డ్ లేని సింగిల్-సీట్ల ఓపెన్ కాక్‌పిట్, వీల్ ప్యాంటుతో ట్రైసైకిల్ ల్యాండింగ్ గేర్ మరియు జంట సిలిండర్, లిక్విడ్-కూల్డ్, టూ-స్ట్రోక్, డ్యూయల్-ఇగ్నిషన్ 64 హెచ్‌పి (48 కిలోవాట్) రోటాక్స్ 582 ఇంజిన్ పుషర్‌లో ఉన్నాయి కాన్ఫిగరేషన్. [1] చక్రవర్తి యొక్క ఫ్యూజ్‌లేజ్ మెటల్ గొట్టాల నుండి తయారవుతుంది మరియు 8 మీ (26.2 అడుగులు) వ్యాసం కలిగిన రెండు-బ్లేడెడ్ మెయిన్ రోటర్‌ను మౌంట్ చేస్తుంది, టేకాఫ్ దూరాలను తగ్గించడానికి ఎలక్ట్రిక్ ప్రీ-రొటటర్. ఈ విమానం ఖాళీ బరువు 360 ఎల్బి (160 కిలోలు) మరియు స్థూల బరువు 630 ఎల్బి (290 కిలోలు), ఇది 270 ఎల్బి (120 కిలోల) ఉపయోగకరమైన లోడ్ ఇస్తుంది. తోక ఉపరితలాలు కెవ్లార్ నుండి తయారవుతాయి. ల్యాండింగ్ గేర్ 4130 స్టీల్ నిర్మాణాన్ని కలిగి ఉంది, స్ప్రింగ్‌లను కలిగి ఉంటుంది మరియు టచ్డౌన్ వద్ద 500 అడుగుల/నిమి (2.5 మీ/సె) సంతతి రేట్లు సహా దాదాపు నిలువు ల్యాండింగ్లను అనుమతించడానికి 18 లో (46 సెం.మీ) లాంగ్ స్ట్రోక్ ఉంది. ట్రైసైకిల్ ల్యాండింగ్ గేర్ ట్రిపుల్ టెయిల్ క్యాస్టర్ చేత భర్తీ చేయబడుతుంది. [1] [2] అందుబాటులో ఉన్న ఐచ్ఛిక పరికరాలలో విండ్‌షీల్డ్, రోటర్ బ్రేక్, సహాయక 6 యు.ఎస్. గ్యాలన్లు (23 ఎల్; 5.0 ఇంప్ గాల్) ఇంధన ట్యాంక్ మరియు ఎయిర్‌షో పొగ వ్యవస్థతో కాక్‌పిట్ ఫెయిరింగ్ ఉన్నాయి. [2] డిసెంబర్ 2012 నాటికి ఎనిమిది ఉదాహరణలు ఫెడరల్ ఏవియేషన్ అడ్మినిస్ట్రేషన్తో యునైటెడ్ స్టేట్స్లో నమోదు చేయబడ్డాయి. [3] బేయర్ల్ మరియు సీతాకోకచిలుక నుండి డేటా [1] [2] సాధారణ లక్షణాల పనితీరు</v>
      </c>
      <c r="F177" s="1" t="s">
        <v>1929</v>
      </c>
      <c r="G177" s="1" t="str">
        <f>IFERROR(__xludf.DUMMYFUNCTION("GOOGLETRANSLATE(F:F,""en"", ""te"")"),"ఆటోజీరో")</f>
        <v>ఆటోజీరో</v>
      </c>
      <c r="H177" s="2" t="s">
        <v>2814</v>
      </c>
      <c r="I177" s="1" t="s">
        <v>158</v>
      </c>
      <c r="J177" s="1" t="str">
        <f>IFERROR(__xludf.DUMMYFUNCTION("GOOGLETRANSLATE(I:I,""en"", ""te"")"),"అమెరికా")</f>
        <v>అమెరికా</v>
      </c>
      <c r="K177" s="1" t="s">
        <v>159</v>
      </c>
      <c r="L177" s="1" t="s">
        <v>3295</v>
      </c>
      <c r="M177" s="1" t="str">
        <f>IFERROR(__xludf.DUMMYFUNCTION("GOOGLETRANSLATE(L:L,""en"", ""te"")"),"సీతాకోకచిలుక llc")</f>
        <v>సీతాకోకచిలుక llc</v>
      </c>
      <c r="N177" s="1" t="s">
        <v>3296</v>
      </c>
      <c r="P177" s="1" t="s">
        <v>282</v>
      </c>
      <c r="Q177" s="1"/>
      <c r="S177" s="1" t="s">
        <v>164</v>
      </c>
      <c r="T177" s="1" t="s">
        <v>165</v>
      </c>
      <c r="U177" s="1" t="s">
        <v>3297</v>
      </c>
      <c r="V177" s="1" t="s">
        <v>3298</v>
      </c>
      <c r="X177" s="1" t="s">
        <v>3299</v>
      </c>
      <c r="Y177" s="1" t="s">
        <v>3300</v>
      </c>
      <c r="Z177" s="1" t="s">
        <v>2984</v>
      </c>
      <c r="AA177" s="1" t="s">
        <v>3301</v>
      </c>
      <c r="AB177" s="1" t="s">
        <v>3302</v>
      </c>
      <c r="AE177" s="1" t="s">
        <v>3303</v>
      </c>
      <c r="AP177" s="1" t="s">
        <v>3304</v>
      </c>
      <c r="AQ177" s="1" t="s">
        <v>3305</v>
      </c>
      <c r="DY177" s="1" t="s">
        <v>751</v>
      </c>
    </row>
    <row r="178">
      <c r="A178" s="1" t="s">
        <v>3306</v>
      </c>
      <c r="B178" s="1" t="str">
        <f>IFERROR(__xludf.DUMMYFUNCTION("GOOGLETRANSLATE(A:A,""en"", ""te"")"),"టైటాన్ టి -51 ముస్తాంగ్")</f>
        <v>టైటాన్ టి -51 ముస్తాంగ్</v>
      </c>
      <c r="C178" s="1" t="s">
        <v>3307</v>
      </c>
      <c r="D178" s="1" t="str">
        <f>IFERROR(__xludf.DUMMYFUNCTION("GOOGLETRANSLATE(C:C,""en"", ""te"")"),"టైటాన్ టి -51 ముస్తాంగ్ పి -51 ముస్తాంగ్ యొక్క మూడు-క్వార్టర్ స్కేల్ ప్రతిరూపం, దీనిని టైటాన్ ఎయిర్క్రాఫ్ట్ యజమాని జాన్ విలియమ్స్ రూపొందించారు. ఇది ద్వంద్వ నియంత్రణలు మరియు టెన్డం సీట్లతో కూడిన రెండు-సీట్ల హోమ్‌బిల్ట్ విమానం, మరియు ఇంజిన్ యొక్క చిన్న పరిమ"&amp;"ాణాన్ని ఇచ్చిన గొప్ప పనితీరును కలిగి ఉంది. [1] [2] టి -51 కిట్లను యునైటెడ్ స్టేట్స్ లోని ఒహియోలోని సౌత్ ఆస్టిన్బర్గ్ వద్ద టైటాన్ ఎయిర్క్రాఫ్ట్ కంపెనీ కల్పించారు మరియు అనేక దేశాలలో సమావేశమై ఎగిరిపోతున్నారు, అక్కడ అవి పైలట్లతో మరియు ముఖ్యంగా ఎయిర్ షోలలో ప్ర"&amp;"ేక్షకులతో ప్రాచుర్యం పొందాయి. ఈ విమానం విస్తృతమైన నిర్వహణ సామర్ధ్యాలను కలిగి ఉంది, ఇది కేవలం 39 mph (63 km/h) నుండి కేవలం 197 mph (317 km/h) వరకు అధిక పనితీరు మరియు A +6G/-4G లోడ్ పరిమితి సామర్ధ్యం ద్వారా చురుకుదనం కలిగి ఉంటుంది . టైటాన్ అల్ట్రాలైట్ నిబంధ"&amp;"నల క్రింద వివిధ రకాల విమానాలను నిర్మించటానికి సుదీర్ఘ చరిత్రను కలిగి ఉంది, ఇప్పుడు FAA లైట్-స్పోర్ట్ ఎయిర్క్రాఫ్ట్ వర్గంతో సహా. పైలట్లు వారు పూర్తిగా పూర్తి మరియు సమీకరించటానికి సిద్ధంగా ఉన్న కిట్‌సెట్‌ను కొనాలనుకుంటున్నారా లేదా ఒక ప్రాథమిక కిట్‌సెట్‌ను ఎ"&amp;"ంచుకుంటారా లేదా వారు ప్రొపెల్లర్లు, ఇంజన్లు మరియు సాధనాల యొక్క వారి స్వంత ఎంపికలను జోడిస్తారు. రెండు వెర్షన్లు అందుబాటులో ఉన్నాయి: ముడుచుకునే గేర్‌తో హోమ్‌బిల్ట్, ఇది ఉపసంహరించదగిన గేర్ అనుభవంతో పైలట్లచే ఎగురవేయబడాలి మరియు te త్సాహిక నిర్మించిన స్థిర-ల్యా"&amp;"ండింగ్-గేర్ వెర్షన్, ఇది 1,200 పౌండ్లు (540 కిలోలు) మరియు న్యూజిలాండ్ మరియు ఆస్ట్రేలియా మరియు ఆస్ట్రేలియా మరియు ఆస్ట్రేలియా మరియు వెయిట్ కేటగిరీకి అర్హత కలిగిస్తుంది యుఎస్‌లో స్పోర్ట్ పైలట్ చేత ఎగరవచ్చు. టైటాన్ టి -51 ను స్కేల్ చేసినప్పుడు ప్రామాణిక విమాన"&amp;" ఇంజిన్‌కు సరిపోయేంత వెడల్పు లేదు, కాబట్టి టైటాన్ టి -51 లైట్-స్పోర్ట్ మరియు అల్ట్రాలైట్ టైప్ ఎయిర్‌క్రాఫ్ట్ ఇంజిన్‌లను కలిగి ఉంటుంది. చాలా తరచుగా వర్తించే పవర్‌ప్లాంట్ రోటాక్స్ 912లు/3, ఇది 100 హెచ్‌పి (75 కిలోవాట్) ను ఉత్పత్తి చేస్తుంది, అయితే 115 హెచ్‌"&amp;"పి (86 కిలోవాట్) ను ఉత్పత్తి చేసే రోటాక్స్ 914 యుఎల్ 3 కూడా అధిక పనితీరును కోరుకునే యజమానులు కూడా అమర్చారు. కొంతమంది బిల్డర్లు మాజ్డా రోటరీ ఇంజిన్లను వారి శక్తి నుండి బరువు నిష్పత్తులు మరియు వాటి ఆధారపడటం వలన కూడా భావిస్తారు. T-51 కోసం ఎంపిక యొక్క ప్రస్తు"&amp;"త ఇంజిన్ సుజుకి H ఇంజిన్, ప్రత్యేకంగా H27A 2.7L V6, ఇది 185 HP (138 kW) ను ఉత్పత్తి చేస్తుంది. టైటాన్ టి -51 కోసం నిర్మాణం నుండి ఎగిరే సమయం సుమారు 1400–1600 గంటలు, మరియు జిగ్స్ లేదా సంక్లిష్టమైన సాధనాలు అవసరం లేదు. [సైటేషన్ అవసరం] నుండి డేటా వికీమీడియా కా"&amp;"మన్స్ వద్ద టైటాన్ టి -51 ముస్తాంగ్‌కు సంబంధించిన సాధారణ లక్షణాల పనితీరు మీడియా")</f>
        <v>టైటాన్ టి -51 ముస్తాంగ్ పి -51 ముస్తాంగ్ యొక్క మూడు-క్వార్టర్ స్కేల్ ప్రతిరూపం, దీనిని టైటాన్ ఎయిర్క్రాఫ్ట్ యజమాని జాన్ విలియమ్స్ రూపొందించారు. ఇది ద్వంద్వ నియంత్రణలు మరియు టెన్డం సీట్లతో కూడిన రెండు-సీట్ల హోమ్‌బిల్ట్ విమానం, మరియు ఇంజిన్ యొక్క చిన్న పరిమాణాన్ని ఇచ్చిన గొప్ప పనితీరును కలిగి ఉంది. [1] [2] టి -51 కిట్లను యునైటెడ్ స్టేట్స్ లోని ఒహియోలోని సౌత్ ఆస్టిన్బర్గ్ వద్ద టైటాన్ ఎయిర్క్రాఫ్ట్ కంపెనీ కల్పించారు మరియు అనేక దేశాలలో సమావేశమై ఎగిరిపోతున్నారు, అక్కడ అవి పైలట్లతో మరియు ముఖ్యంగా ఎయిర్ షోలలో ప్రేక్షకులతో ప్రాచుర్యం పొందాయి. ఈ విమానం విస్తృతమైన నిర్వహణ సామర్ధ్యాలను కలిగి ఉంది, ఇది కేవలం 39 mph (63 km/h) నుండి కేవలం 197 mph (317 km/h) వరకు అధిక పనితీరు మరియు A +6G/-4G లోడ్ పరిమితి సామర్ధ్యం ద్వారా చురుకుదనం కలిగి ఉంటుంది . టైటాన్ అల్ట్రాలైట్ నిబంధనల క్రింద వివిధ రకాల విమానాలను నిర్మించటానికి సుదీర్ఘ చరిత్రను కలిగి ఉంది, ఇప్పుడు FAA లైట్-స్పోర్ట్ ఎయిర్క్రాఫ్ట్ వర్గంతో సహా. పైలట్లు వారు పూర్తిగా పూర్తి మరియు సమీకరించటానికి సిద్ధంగా ఉన్న కిట్‌సెట్‌ను కొనాలనుకుంటున్నారా లేదా ఒక ప్రాథమిక కిట్‌సెట్‌ను ఎంచుకుంటారా లేదా వారు ప్రొపెల్లర్లు, ఇంజన్లు మరియు సాధనాల యొక్క వారి స్వంత ఎంపికలను జోడిస్తారు. రెండు వెర్షన్లు అందుబాటులో ఉన్నాయి: ముడుచుకునే గేర్‌తో హోమ్‌బిల్ట్, ఇది ఉపసంహరించదగిన గేర్ అనుభవంతో పైలట్లచే ఎగురవేయబడాలి మరియు te త్సాహిక నిర్మించిన స్థిర-ల్యాండింగ్-గేర్ వెర్షన్, ఇది 1,200 పౌండ్లు (540 కిలోలు) మరియు న్యూజిలాండ్ మరియు ఆస్ట్రేలియా మరియు ఆస్ట్రేలియా మరియు ఆస్ట్రేలియా మరియు వెయిట్ కేటగిరీకి అర్హత కలిగిస్తుంది యుఎస్‌లో స్పోర్ట్ పైలట్ చేత ఎగరవచ్చు. టైటాన్ టి -51 ను స్కేల్ చేసినప్పుడు ప్రామాణిక విమాన ఇంజిన్‌కు సరిపోయేంత వెడల్పు లేదు, కాబట్టి టైటాన్ టి -51 లైట్-స్పోర్ట్ మరియు అల్ట్రాలైట్ టైప్ ఎయిర్‌క్రాఫ్ట్ ఇంజిన్‌లను కలిగి ఉంటుంది. చాలా తరచుగా వర్తించే పవర్‌ప్లాంట్ రోటాక్స్ 912లు/3, ఇది 100 హెచ్‌పి (75 కిలోవాట్) ను ఉత్పత్తి చేస్తుంది, అయితే 115 హెచ్‌పి (86 కిలోవాట్) ను ఉత్పత్తి చేసే రోటాక్స్ 914 యుఎల్ 3 కూడా అధిక పనితీరును కోరుకునే యజమానులు కూడా అమర్చారు. కొంతమంది బిల్డర్లు మాజ్డా రోటరీ ఇంజిన్లను వారి శక్తి నుండి బరువు నిష్పత్తులు మరియు వాటి ఆధారపడటం వలన కూడా భావిస్తారు. T-51 కోసం ఎంపిక యొక్క ప్రస్తుత ఇంజిన్ సుజుకి H ఇంజిన్, ప్రత్యేకంగా H27A 2.7L V6, ఇది 185 HP (138 kW) ను ఉత్పత్తి చేస్తుంది. టైటాన్ టి -51 కోసం నిర్మాణం నుండి ఎగిరే సమయం సుమారు 1400–1600 గంటలు, మరియు జిగ్స్ లేదా సంక్లిష్టమైన సాధనాలు అవసరం లేదు. [సైటేషన్ అవసరం] నుండి డేటా వికీమీడియా కామన్స్ వద్ద టైటాన్ టి -51 ముస్తాంగ్‌కు సంబంధించిన సాధారణ లక్షణాల పనితీరు మీడియా</v>
      </c>
      <c r="F178" s="1" t="s">
        <v>1336</v>
      </c>
      <c r="G178" s="1" t="str">
        <f>IFERROR(__xludf.DUMMYFUNCTION("GOOGLETRANSLATE(F:F,""en"", ""te"")"),"కిట్ విమానం")</f>
        <v>కిట్ విమానం</v>
      </c>
      <c r="H178" s="1" t="s">
        <v>1337</v>
      </c>
      <c r="I178" s="1" t="s">
        <v>158</v>
      </c>
      <c r="J178" s="1" t="str">
        <f>IFERROR(__xludf.DUMMYFUNCTION("GOOGLETRANSLATE(I:I,""en"", ""te"")"),"అమెరికా")</f>
        <v>అమెరికా</v>
      </c>
      <c r="L178" s="1" t="s">
        <v>2990</v>
      </c>
      <c r="M178" s="1" t="str">
        <f>IFERROR(__xludf.DUMMYFUNCTION("GOOGLETRANSLATE(L:L,""en"", ""te"")"),"టైటాన్ విమానం")</f>
        <v>టైటాన్ విమానం</v>
      </c>
      <c r="N178" s="1" t="s">
        <v>2991</v>
      </c>
      <c r="P178" s="1" t="s">
        <v>162</v>
      </c>
      <c r="Q178" s="1"/>
      <c r="R178" s="1" t="s">
        <v>3308</v>
      </c>
      <c r="S178" s="1">
        <v>2.0</v>
      </c>
      <c r="U178" s="1" t="s">
        <v>3309</v>
      </c>
      <c r="V178" s="1" t="s">
        <v>1398</v>
      </c>
      <c r="W178" s="1" t="s">
        <v>3310</v>
      </c>
      <c r="X178" s="1" t="s">
        <v>3311</v>
      </c>
      <c r="Y178" s="1" t="s">
        <v>2181</v>
      </c>
      <c r="AA178" s="1" t="s">
        <v>3312</v>
      </c>
      <c r="AB178" s="1" t="s">
        <v>1194</v>
      </c>
      <c r="AD178" s="1" t="s">
        <v>269</v>
      </c>
      <c r="AE178" s="1" t="s">
        <v>3313</v>
      </c>
      <c r="AH178" s="1" t="s">
        <v>249</v>
      </c>
      <c r="AI178" s="1" t="s">
        <v>1876</v>
      </c>
      <c r="AJ178" s="1" t="s">
        <v>3314</v>
      </c>
      <c r="AK178" s="1" t="s">
        <v>3315</v>
      </c>
      <c r="AL178" s="1" t="s">
        <v>3316</v>
      </c>
      <c r="AM178" s="1" t="s">
        <v>3317</v>
      </c>
      <c r="AQ178" s="1" t="s">
        <v>3314</v>
      </c>
      <c r="EJ178" s="1" t="s">
        <v>3318</v>
      </c>
      <c r="EK178" s="1" t="s">
        <v>3318</v>
      </c>
    </row>
    <row r="179">
      <c r="A179" s="1" t="s">
        <v>3319</v>
      </c>
      <c r="B179" s="1" t="str">
        <f>IFERROR(__xludf.DUMMYFUNCTION("GOOGLETRANSLATE(A:A,""en"", ""te"")"),"స్వేచ్ఛా ఫ్లిట్‌ప్లేన్ యొక్క రెక్కలు")</f>
        <v>స్వేచ్ఛా ఫ్లిట్‌ప్లేన్ యొక్క రెక్కలు</v>
      </c>
      <c r="C179" s="1" t="s">
        <v>3320</v>
      </c>
      <c r="D179" s="1" t="str">
        <f>IFERROR(__xludf.DUMMYFUNCTION("GOOGLETRANSLATE(C:C,""en"", ""te"")"),"ఫ్రీడమ్ ఫ్లిట్‌ప్లేన్ యొక్క రెక్కలు ఒక అమెరికన్ సింగిల్-సీట్, హై-వింగ్, సింగిల్-ఇంజిన్ అల్ట్రాలైట్ విమానం, ఇది కిట్ విమానంగా లేదా హబ్బర్డ్, ఒహియో స్వేచ్ఛ యొక్క రెక్కల నుండి te త్సాహిక నిర్మాణానికి ప్రణాళికలుగా ఉంది. [1] [2] [ 3 వాలు ఫ్లిట్‌ప్లేన్ తక్కువ ఖ"&amp;"ర్చుతో కూడిన విమానంగా రూపొందించబడింది, యుఎస్ ఫార్ 103 అల్ట్రాలైట్ వెహికల్స్ వర్గం కోసం పురాతన విమాన రూపకల్పన దాని గరిష్ట 254 ఎల్బి (115 కిలోల) ఖాళీ బరువు అవసరాన్ని కలిగి ఉంది. [3] [5] 2019 చివరలో కంపెనీ వెబ్‌సైట్ తొలగించబడింది మరియు ఉత్పత్తి ముగిసినట్లు త"&amp;"ెలుస్తోంది. [6] ఫ్లిట్‌ప్లేన్‌ను 1995 లో ఎడ్ ఫిషర్ రూపొందించారు, అతను స్కైలైట్ అల్ట్రాలైట్ మరియు మైక్రో-మోంగ్ ఇంట్లో నిర్మించిన విమానాలను కూడా రూపొందించాడు. డిజైన్‌ను అభివృద్ధి చేయడానికి మరియు మార్కెట్ చేయడానికి 1996 లో ఫ్రీడమ్ ఏవియేషన్ ఇంక్ యొక్క రెక్కలన"&amp;"ు ఏర్పాటు చేసిన జో నాయిలర్ మరియు మార్క్ డబ్ల్యూ. క్లోట్జ్ ఈ డిజైన్‌ను కొనుగోలు చేశారు. [7] నాయిలర్ మరియు క్లోట్జ్ డిజైన్‌లో చాలా మార్పులు చేశారు, కాని విమానం యొక్క పురాతన రూపాన్ని మరియు దాని విలక్షణమైన పెద్ద త్రిభుజాకార విండ్‌షీల్డ్‌ను నిలుపుకున్నారు. [2]"&amp;" ఫ్లిట్‌ప్లేన్ యొక్క ఫ్యూజ్‌లేజ్ 4130 స్టీల్ గొట్టాల వెల్డెడ్ ట్రస్ నుండి తయారు చేయబడింది. 27 అడుగుల (8.2 మీ) రెక్కలు అల్యూమినియం ""నిచ్చెన-రకం"" నిర్మాణానికి చెందినవి, స్ట్రట్-బ్రేస్డ్ మరియు జ్యూరీ స్ట్రట్‌లను ఉపయోగించుకుంటాయి. ఇంధన ట్యాంక్ వింగ్ సెంటర్-"&amp;"సెక్షన్‌లో విలీనం చేయబడింది. రెక్కలు మరియు తోక డోప్డ్ ఎయిర్క్రాఫ్ట్ ఫాబ్రిక్‌లో కప్పబడి ఉంటాయి. ఇంజిన్ కాక్‌పిట్ పైన, ఎత్తైన రెక్క ముందు అమర్చబడి ఉంటుంది. అసలు పవర్‌ప్లాంట్ 35 హెచ్‌పి (26 కిలోవాట్ల) కుయునా 460 ఇంజిన్, 40 హెచ్‌పి (30 కిలోవాట్) రోటాక్స్ 447"&amp;" ఐచ్ఛికం. తరువాత ఇంజిన్ ఎంపికలలో 28 HP (21 kW) హిర్త్ F-33, 45 HP (34 kW) జాన్జోటెరా MZ 201 మరియు కవాసాకి 440 40 HP (30 kW) ఇంజిన్ ఉన్నాయి. [2] [4] సాంప్రదాయిక ల్యాండింగ్ గేర్ ఫైబర్గ్లాస్ ఇరుసులను ఉపయోగించి నిలిపివేయబడుతుంది. టెయిల్‌వీల్ స్టీరబుల్. నియంత్"&amp;"రణలు సాంప్రదాయ మూడు-అక్షం మరియు పూర్తి-స్పాన్ ఐలెరాన్‌లను కలిగి ఉంటాయి. పెద్ద, ఫ్లాట్-ప్లేట్ త్రిభుజాకార విండ్‌షీల్డ్ పైలట్‌ను ప్రొపెల్లర్ పేలుడు నుండి రక్షిస్తుంది మరియు చుక్కాని పెడల్స్ కోసం విలక్షణమైన కటౌట్‌లను కలిగి ఉంటుంది. [2] [4] ఫ్లిట్‌ప్లేన్ ప్రణ"&amp;"ాళికలు, పూర్తి కిట్, పాక్షిక కిట్‌లు లేదా పూర్తయిన మరియు రెడీ-టు-ఫ్లై విమానంగా లభిస్తుంది. ఈ విమానం కిట్ నుండి 100 గంటలు లేదా ప్రణాళికల నుండి 500 గంటలలో నిర్మించవచ్చని కంపెనీ పేర్కొంది. [2] [5] కంపెనీ వెబ్‌సైట్ నుండి డేటా [4] పోల్చదగిన పాత్ర, కాన్ఫిగరేషన్"&amp;" మరియు యుగం యొక్క సాధారణ లక్షణాలు పనితీరు విమానం")</f>
        <v>ఫ్రీడమ్ ఫ్లిట్‌ప్లేన్ యొక్క రెక్కలు ఒక అమెరికన్ సింగిల్-సీట్, హై-వింగ్, సింగిల్-ఇంజిన్ అల్ట్రాలైట్ విమానం, ఇది కిట్ విమానంగా లేదా హబ్బర్డ్, ఒహియో స్వేచ్ఛ యొక్క రెక్కల నుండి te త్సాహిక నిర్మాణానికి ప్రణాళికలుగా ఉంది. [1] [2] [ 3 వాలు ఫ్లిట్‌ప్లేన్ తక్కువ ఖర్చుతో కూడిన విమానంగా రూపొందించబడింది, యుఎస్ ఫార్ 103 అల్ట్రాలైట్ వెహికల్స్ వర్గం కోసం పురాతన విమాన రూపకల్పన దాని గరిష్ట 254 ఎల్బి (115 కిలోల) ఖాళీ బరువు అవసరాన్ని కలిగి ఉంది. [3] [5] 2019 చివరలో కంపెనీ వెబ్‌సైట్ తొలగించబడింది మరియు ఉత్పత్తి ముగిసినట్లు తెలుస్తోంది. [6] ఫ్లిట్‌ప్లేన్‌ను 1995 లో ఎడ్ ఫిషర్ రూపొందించారు, అతను స్కైలైట్ అల్ట్రాలైట్ మరియు మైక్రో-మోంగ్ ఇంట్లో నిర్మించిన విమానాలను కూడా రూపొందించాడు. డిజైన్‌ను అభివృద్ధి చేయడానికి మరియు మార్కెట్ చేయడానికి 1996 లో ఫ్రీడమ్ ఏవియేషన్ ఇంక్ యొక్క రెక్కలను ఏర్పాటు చేసిన జో నాయిలర్ మరియు మార్క్ డబ్ల్యూ. క్లోట్జ్ ఈ డిజైన్‌ను కొనుగోలు చేశారు. [7] నాయిలర్ మరియు క్లోట్జ్ డిజైన్‌లో చాలా మార్పులు చేశారు, కాని విమానం యొక్క పురాతన రూపాన్ని మరియు దాని విలక్షణమైన పెద్ద త్రిభుజాకార విండ్‌షీల్డ్‌ను నిలుపుకున్నారు. [2] ఫ్లిట్‌ప్లేన్ యొక్క ఫ్యూజ్‌లేజ్ 4130 స్టీల్ గొట్టాల వెల్డెడ్ ట్రస్ నుండి తయారు చేయబడింది. 27 అడుగుల (8.2 మీ) రెక్కలు అల్యూమినియం "నిచ్చెన-రకం" నిర్మాణానికి చెందినవి, స్ట్రట్-బ్రేస్డ్ మరియు జ్యూరీ స్ట్రట్‌లను ఉపయోగించుకుంటాయి. ఇంధన ట్యాంక్ వింగ్ సెంటర్-సెక్షన్‌లో విలీనం చేయబడింది. రెక్కలు మరియు తోక డోప్డ్ ఎయిర్క్రాఫ్ట్ ఫాబ్రిక్‌లో కప్పబడి ఉంటాయి. ఇంజిన్ కాక్‌పిట్ పైన, ఎత్తైన రెక్క ముందు అమర్చబడి ఉంటుంది. అసలు పవర్‌ప్లాంట్ 35 హెచ్‌పి (26 కిలోవాట్ల) కుయునా 460 ఇంజిన్, 40 హెచ్‌పి (30 కిలోవాట్) రోటాక్స్ 447 ఐచ్ఛికం. తరువాత ఇంజిన్ ఎంపికలలో 28 HP (21 kW) హిర్త్ F-33, 45 HP (34 kW) జాన్జోటెరా MZ 201 మరియు కవాసాకి 440 40 HP (30 kW) ఇంజిన్ ఉన్నాయి. [2] [4] సాంప్రదాయిక ల్యాండింగ్ గేర్ ఫైబర్గ్లాస్ ఇరుసులను ఉపయోగించి నిలిపివేయబడుతుంది. టెయిల్‌వీల్ స్టీరబుల్. నియంత్రణలు సాంప్రదాయ మూడు-అక్షం మరియు పూర్తి-స్పాన్ ఐలెరాన్‌లను కలిగి ఉంటాయి. పెద్ద, ఫ్లాట్-ప్లేట్ త్రిభుజాకార విండ్‌షీల్డ్ పైలట్‌ను ప్రొపెల్లర్ పేలుడు నుండి రక్షిస్తుంది మరియు చుక్కాని పెడల్స్ కోసం విలక్షణమైన కటౌట్‌లను కలిగి ఉంటుంది. [2] [4] ఫ్లిట్‌ప్లేన్ ప్రణాళికలు, పూర్తి కిట్, పాక్షిక కిట్‌లు లేదా పూర్తయిన మరియు రెడీ-టు-ఫ్లై విమానంగా లభిస్తుంది. ఈ విమానం కిట్ నుండి 100 గంటలు లేదా ప్రణాళికల నుండి 500 గంటలలో నిర్మించవచ్చని కంపెనీ పేర్కొంది. [2] [5] కంపెనీ వెబ్‌సైట్ నుండి డేటా [4] పోల్చదగిన పాత్ర, కాన్ఫిగరేషన్ మరియు యుగం యొక్క సాధారణ లక్షణాలు పనితీరు విమానం</v>
      </c>
      <c r="F179" s="1" t="s">
        <v>459</v>
      </c>
      <c r="G179" s="1" t="str">
        <f>IFERROR(__xludf.DUMMYFUNCTION("GOOGLETRANSLATE(F:F,""en"", ""te"")"),"అల్ట్రాలైట్ విమానం")</f>
        <v>అల్ట్రాలైట్ విమానం</v>
      </c>
      <c r="H179" s="1" t="s">
        <v>460</v>
      </c>
      <c r="I179" s="1" t="s">
        <v>158</v>
      </c>
      <c r="J179" s="1" t="str">
        <f>IFERROR(__xludf.DUMMYFUNCTION("GOOGLETRANSLATE(I:I,""en"", ""te"")"),"అమెరికా")</f>
        <v>అమెరికా</v>
      </c>
      <c r="K179" s="1" t="s">
        <v>159</v>
      </c>
      <c r="L179" s="1" t="s">
        <v>3321</v>
      </c>
      <c r="M179" s="1" t="str">
        <f>IFERROR(__xludf.DUMMYFUNCTION("GOOGLETRANSLATE(L:L,""en"", ""te"")"),"స్వేచ్ఛ యొక్క రెక్కలు")</f>
        <v>స్వేచ్ఛ యొక్క రెక్కలు</v>
      </c>
      <c r="N179" s="1" t="s">
        <v>3322</v>
      </c>
      <c r="O179" s="1">
        <v>1995.0</v>
      </c>
      <c r="P179" s="1" t="s">
        <v>3323</v>
      </c>
      <c r="Q179" s="1"/>
      <c r="R179" s="1" t="s">
        <v>3324</v>
      </c>
      <c r="S179" s="1" t="s">
        <v>164</v>
      </c>
      <c r="T179" s="1" t="s">
        <v>3325</v>
      </c>
      <c r="U179" s="1" t="s">
        <v>3326</v>
      </c>
      <c r="W179" s="1" t="s">
        <v>3327</v>
      </c>
      <c r="X179" s="1" t="s">
        <v>3328</v>
      </c>
      <c r="AA179" s="1" t="s">
        <v>3329</v>
      </c>
      <c r="AB179" s="1" t="s">
        <v>3330</v>
      </c>
      <c r="AD179" s="1" t="s">
        <v>3331</v>
      </c>
      <c r="AE179" s="1" t="s">
        <v>3332</v>
      </c>
      <c r="AF179" s="1" t="s">
        <v>3333</v>
      </c>
      <c r="AH179" s="1" t="s">
        <v>3334</v>
      </c>
      <c r="AI179" s="1" t="s">
        <v>1861</v>
      </c>
      <c r="AJ179" s="1" t="s">
        <v>506</v>
      </c>
      <c r="AM179" s="1" t="s">
        <v>3335</v>
      </c>
      <c r="AN179" s="1" t="s">
        <v>3336</v>
      </c>
      <c r="AO179" s="1">
        <v>1995.0</v>
      </c>
      <c r="AT179" s="1" t="s">
        <v>2127</v>
      </c>
      <c r="BH179" s="1" t="s">
        <v>3337</v>
      </c>
    </row>
    <row r="180">
      <c r="A180" s="1" t="s">
        <v>3338</v>
      </c>
      <c r="B180" s="1" t="str">
        <f>IFERROR(__xludf.DUMMYFUNCTION("GOOGLETRANSLATE(A:A,""en"", ""te"")"),"యమహా కెటి 100")</f>
        <v>యమహా కెటి 100</v>
      </c>
      <c r="C180" s="1" t="s">
        <v>3339</v>
      </c>
      <c r="D180" s="1" t="str">
        <f>IFERROR(__xludf.DUMMYFUNCTION("GOOGLETRANSLATE(C:C,""en"", ""te"")"),"యమహా KT100 అనేది 100 సిసి టూ-స్ట్రోక్ సైకిల్ కార్ట్ ఇంజిన్, ఇది యమహా చేత తయారు చేయబడింది, ఇది అల్ట్రాలైట్ విమానాల ఉపయోగం కోసం కూడా స్వీకరించబడింది. [1] KT100 అనేది సరళమైన మరియు కఠినమైన ఎయిర్-కూల్డ్ ఇంజిన్, ఇది వాల్‌బ్రో WB-3A కార్బ్యురేటర్‌తో పిస్టన్-పోర్"&amp;"ట్ తీసుకోవడం ప్రేరణను ఉపయోగిస్తుంది. KT100 ఒక ప్రసిద్ధ హై-పెర్ఫార్మెన్స్ టూ-స్ట్రోక్ కార్ట్ రేసింగ్ ఇంజిన్. ఇది అనేక దేశాలలో ఉపయోగించే వివిధ రూపాల్లో వస్తుంది. KT100J దాని పెద్ద సోదరుడు KT100SE తో పోల్చితే తక్కువ ఎంపికలతో కొంచెం చిన్నది. KT100 చాలా సిరీస్"&amp;" మరియు సంస్థలకు గరిష్ట మరియు కనీస నియమాలతో ట్యూన్ చేయవచ్చు. [సైటేషన్ అవసరం] 1970 ల చివరలో మరియు 1980 ల ప్రారంభంలో ఇంజిన్ అల్ట్రాలైట్ విమానాలలో ఉపయోగం కోసం స్వీకరించబడింది. ఆ యుగం యొక్క అల్ట్రాలైట్స్ తేలికైనవి మరియు ఈ రోజు కంటే చాలా తక్కువ వింగ్ లోడింగ్లను"&amp;" కలిగి ఉన్నాయి, KT100 యొక్క 15 HP (11 kW) పై ఫ్లైట్ ప్రాక్టికల్ 10,000 RPM వద్ద అభివృద్ధి చెందింది. విమాన వాడకంలో ఇది సాధారణంగా రీకోయిల్ స్టార్టర్ మరియు బెల్ట్ తగ్గింపు డ్రైవ్‌తో అమర్చబడి ఉంటుంది. [1] క్లిచ్ [1] మరియు యమహా నుండి డేటా [2]")</f>
        <v>యమహా KT100 అనేది 100 సిసి టూ-స్ట్రోక్ సైకిల్ కార్ట్ ఇంజిన్, ఇది యమహా చేత తయారు చేయబడింది, ఇది అల్ట్రాలైట్ విమానాల ఉపయోగం కోసం కూడా స్వీకరించబడింది. [1] KT100 అనేది సరళమైన మరియు కఠినమైన ఎయిర్-కూల్డ్ ఇంజిన్, ఇది వాల్‌బ్రో WB-3A కార్బ్యురేటర్‌తో పిస్టన్-పోర్ట్ తీసుకోవడం ప్రేరణను ఉపయోగిస్తుంది. KT100 ఒక ప్రసిద్ధ హై-పెర్ఫార్మెన్స్ టూ-స్ట్రోక్ కార్ట్ రేసింగ్ ఇంజిన్. ఇది అనేక దేశాలలో ఉపయోగించే వివిధ రూపాల్లో వస్తుంది. KT100J దాని పెద్ద సోదరుడు KT100SE తో పోల్చితే తక్కువ ఎంపికలతో కొంచెం చిన్నది. KT100 చాలా సిరీస్ మరియు సంస్థలకు గరిష్ట మరియు కనీస నియమాలతో ట్యూన్ చేయవచ్చు. [సైటేషన్ అవసరం] 1970 ల చివరలో మరియు 1980 ల ప్రారంభంలో ఇంజిన్ అల్ట్రాలైట్ విమానాలలో ఉపయోగం కోసం స్వీకరించబడింది. ఆ యుగం యొక్క అల్ట్రాలైట్స్ తేలికైనవి మరియు ఈ రోజు కంటే చాలా తక్కువ వింగ్ లోడింగ్లను కలిగి ఉన్నాయి, KT100 యొక్క 15 HP (11 kW) పై ఫ్లైట్ ప్రాక్టికల్ 10,000 RPM వద్ద అభివృద్ధి చెందింది. విమాన వాడకంలో ఇది సాధారణంగా రీకోయిల్ స్టార్టర్ మరియు బెల్ట్ తగ్గింపు డ్రైవ్‌తో అమర్చబడి ఉంటుంది. [1] క్లిచ్ [1] మరియు యమహా నుండి డేటా [2]</v>
      </c>
      <c r="E180" s="1" t="s">
        <v>3340</v>
      </c>
      <c r="G180" s="1" t="str">
        <f>IFERROR(__xludf.DUMMYFUNCTION("GOOGLETRANSLATE(F:F,""en"", ""te"")"),"#VALUE!")</f>
        <v>#VALUE!</v>
      </c>
      <c r="I180" s="1" t="s">
        <v>1204</v>
      </c>
      <c r="J180" s="1" t="str">
        <f>IFERROR(__xludf.DUMMYFUNCTION("GOOGLETRANSLATE(I:I,""en"", ""te"")"),"జపాన్")</f>
        <v>జపాన్</v>
      </c>
      <c r="K180" s="2" t="s">
        <v>1205</v>
      </c>
      <c r="L180" s="1" t="s">
        <v>3341</v>
      </c>
      <c r="M180" s="1" t="str">
        <f>IFERROR(__xludf.DUMMYFUNCTION("GOOGLETRANSLATE(L:L,""en"", ""te"")"),"యమహా మోటార్ కార్పొరేషన్")</f>
        <v>యమహా మోటార్ కార్పొరేషన్</v>
      </c>
      <c r="N180" s="1" t="s">
        <v>3342</v>
      </c>
      <c r="BV180" s="1" t="s">
        <v>3343</v>
      </c>
      <c r="BW180" s="1" t="s">
        <v>3344</v>
      </c>
      <c r="EL180" s="1" t="s">
        <v>3345</v>
      </c>
      <c r="EM180" s="1" t="s">
        <v>3346</v>
      </c>
      <c r="EN180" s="1" t="s">
        <v>3347</v>
      </c>
      <c r="EO180" s="1" t="s">
        <v>3348</v>
      </c>
      <c r="EP180" s="1" t="s">
        <v>3349</v>
      </c>
      <c r="EQ180" s="1" t="s">
        <v>3350</v>
      </c>
      <c r="ER180" s="1" t="s">
        <v>3351</v>
      </c>
      <c r="ES180" s="1" t="s">
        <v>3352</v>
      </c>
      <c r="ET180" s="1" t="s">
        <v>3353</v>
      </c>
      <c r="EU180" s="1" t="s">
        <v>3354</v>
      </c>
      <c r="EV180" s="1" t="s">
        <v>3355</v>
      </c>
      <c r="EW180" s="1" t="s">
        <v>3356</v>
      </c>
    </row>
    <row r="181">
      <c r="A181" s="1" t="s">
        <v>3357</v>
      </c>
      <c r="B181" s="1" t="str">
        <f>IFERROR(__xludf.DUMMYFUNCTION("GOOGLETRANSLATE(A:A,""en"", ""te"")"),"యెమన్ క్రాప్ మాస్టర్")</f>
        <v>యెమన్ క్రాప్ మాస్టర్</v>
      </c>
      <c r="C181" s="1" t="s">
        <v>3358</v>
      </c>
      <c r="D181" s="1" t="str">
        <f>IFERROR(__xludf.DUMMYFUNCTION("GOOGLETRANSLATE(C:C,""en"", ""te"")"),"యెమన్ క్రాప్ మాస్టర్ ఒక ఆస్ట్రేలియన్ వ్యవసాయ విమానం, ఇది రెండవ ప్రపంచ యుద్ధం యొక్క CAC వాకెట్ ట్రైనర్ నుండి అభివృద్ధి చేయబడింది. వ్యవసాయ విమానాల ఉత్పత్తిలో పాల్గొనడానికి బ్యాంక్‌స్టౌన్ విమానాశ్రయంలో కింగ్స్‌ఫోర్డ్ స్మిత్ ఏవియేషన్ సర్వీసెస్ పిటి. లిమిటెడ్ "&amp;"(కెఎస్‌ఎ) ఏర్పాటు చేసిన యెమన్ ఏవియేషన్ అనే సంస్థ ఈ రకాన్ని అభివృద్ధి చేసింది. రాయల్ ఆస్ట్రేలియన్ ఎయిర్ ఫోర్స్ సర్వీస్ నుండి టైప్ పదవీ విరమణ చేసిన తరువాత KSA అనేక వాకెట్లను పొందింది మరియు 1950 ల రెండవ భాగంలో వ్యవసాయ ఉపయోగం కోసం నాలుగు KS-3 క్రాప్ మాస్టర్లు"&amp;"గా మార్చింది. [1] ఈ మార్పిడి వాకెట్ యొక్క వెనుక కాక్‌పిట్‌లో ఉన్న హాప్పర్ యొక్క సంస్థాపన కంటే కొంచెం ఎక్కువ, రసాయన భారం యొక్క చెదరగొట్టడానికి మరియు రీపాస్ చేయడానికి నియంత్రణలను తిరిగి రౌటింగ్ చేయడానికి వాకెట్ యొక్క చెక్క వింగ్ యొక్క మధ్య విభాగంలో రంధ్రం క"&amp;"త్తిరించడం హాప్పర్. [1] దీనికి విరుద్ధంగా, YA-1 క్రాప్ మాస్టర్ వాకెట్ ఎయిర్ఫ్రేమ్కు ప్రధాన మార్పులను కలిగి ఉంది. స్టీల్ ట్యూబ్ యొక్క వాకెట్ ఫ్యూజ్‌లేజ్ నిర్మాణం నిలుపుకుంది, కాని వాకెట్ యొక్క వెనుక కాక్‌పిట్ మరియు మెటల్ మరియు ఫైబర్‌గ్లాస్ యొక్క వివిధ బాహ్"&amp;"య ప్యానెల్స్‌కు బదులుగా 23 క్యూబిక్ అడుగుల (650 లీటర్) సామర్థ్యం హాప్పర్‌ను కలిగి ఉంది (వాకెట్ ఫ్యూజ్‌లేజ్ ఫాబ్రిక్ కప్పబడి ఉంది); వాకెట్ యొక్క చెక్క వింగ్ స్థానంలో కొత్త మెటల్ వింగ్ ఉంది. మొదటి ఐదు విమానాలు వాకెట్ యొక్క చెక్క తోకను కలిగి ఉన్నాయి, కాని తర"&amp;"ువాతి విమానాలలో ఒక మెటల్ తోక ఉంది, ఇందులో స్టెబిటేటర్, తుడిచిపెట్టిన బ్యాక్ ఫిన్ మరియు పెద్ద చుక్కాని ఉన్నాయి. వాకెట్ యొక్క స్థిర టెయిల్‌వీల్ అండర్ క్యారేజీని అలాగే ఉంచారు. వాకెట్ యొక్క వార్నర్ స్కార్బ్ రేడియల్ ఇంజిన్‌ను అడ్డంగా-సంతృప్తి చెందిన ఇంజిన్ ద్వ"&amp;"ారా భర్తీ చేశారు, YA-1 250 ను 250HP యొక్క లైమింగ్ O-540 ఇంజిన్‌తో అమర్చారు, హార్ట్జెల్ ప్రొపెల్లర్‌ను నడుపుతుండగా, YA-10 250R ఒక ఖండాంతర IO తో అమర్చబడి ఉంది -470 కూడా 250 హెచ్‌పి (190 కిలోవాట్) ను అభివృద్ధి చేస్తుంది, హార్ట్జెల్ లేదా మెక్కాలీ ప్రొపెల్లర్‌"&amp;"ను నడుపుతోంది. మొదటి క్రాప్ మాస్టర్, YA-1 250, 15 జనవరి 1960 న మొదటిసారిగా ప్రసారం చేసాడు. [2] 1966 లో ఉత్పత్తి ఆగిపోయే ముందు మరో ఇరవై విమానాలు మార్చబడ్డాయి, ఆ సమయానికి ఈ సంస్థను క్రోప్ మాస్టర్ విమానం అని పిలుస్తారు. దాని సమకాలీన మాదిరిగానే CAC సెరెస్ క్ర"&amp;"ాప్ మాస్టర్ మరింత ఆధునిక రకాల వ్యవసాయ విమానాలతో పోటీ పడలేకపోయాడు. ఇరవై ఒక్క విమానంలో ఆరు YA-1 250R మోడల్ మరియు చివరి మూడు విమానాలు ఉత్పత్తి చేయబడినవి, రిలోకేటెడ్ మెయిన్ ల్యాండింగ్ గేర్‌ను కలిగి ఉన్నాయి. ఆరుగురు పంట మాస్టర్లను న్యూజిలాండ్‌కు ఎగుమతి చేశారు,"&amp;" అక్కడ ఒక ఉదాహరణ ఇప్పటికీ సివిల్ ఎయిర్క్రాఫ్ట్ రిజిస్టర్‌లో ఉంది. ఒక ఉదాహరణ ఆస్ట్రేలియాలో నమోదు చేయబడింది [3] మరియు వాగ్గా వాగ్గా వద్ద పునర్నిర్మించబడింది. అనేక ఇతర పంట మాస్టర్లు ఇప్పటికీ ఆస్ట్రేలియా మరియు న్యూజిలాండ్‌లో ఉన్నారు. ఇంటర్మీడియట్ ఫ్లయింగ్ టెస"&amp;"్ట్-బెడ్, సింగిల్ యెమన్ 175 ను కొత్త ఆల్-మెటల్ ఎంపెనేజ్ యొక్క ట్రయల్స్ కోసం CA-6 వాకెట్ ఎయిర్ఫ్రేమ్ సి/ఎన్ 257 నుండి మార్చారు, మరియు తరువాతి పంట మాస్టర్ల యొక్క తుడిచిపెట్టిన ఫిన్ కలిగి ఉంది, కాని వార్నర్ స్కార్బ్ రేడియల్ ఇంజిన్ మరియు ఫాబ్రిక్ను కలిగి ఉంది"&amp;" -వాకెట్ యొక్క వెనుక ఫ్యూజ్‌లేజ్. ట్రైసైకిల్ అండర్ క్యారేజీతో ప్రతిపాదిత వేరియంట్ YA-1B, ఏదీ నిర్మించబడలేదు. YA-1B యొక్క కట్-అవే డ్రాయింగ్ యెమన్ ఏవియేషన్ బ్రోచర్‌లో చేర్చబడింది. YA-1B డిజైన్ ప్రతిపాదనలో ఆల్-మెటల్ ఎంపెనేజ్ కోసం డిజైన్ యొక్క ప్రారంభ సంస్కరణ"&amp;" కూడా ఉంది, వాస్తవానికి ఉత్పత్తి చేయబడిన దానికంటే ఎక్కువ నిటారుగా ఉన్న తోక-ఫిన్ ఉంది. మరొక వేరియంట్ 285 హెచ్‌పి (213 కిలోవాట్ల) కాంటినెంటల్ ఇంజిన్‌తో YA-1 285, ఈ వేరియంట్‌లో ఏదైనా ఉత్పత్తి చేయబడిందా అనే దానిపై వర్గాలు విభేదిస్తున్నాయి. తయారీ ఆగిపోయిన సమయం"&amp;"లో, తదుపరి పరిణామంలో లోహం కత్తిరించబడింది, ఇది క్రాప్ మాస్టర్ 300. ప్రస్తుతం ఉన్న రెక్కను 37 అడుగుల (11.28 మీ) కు పెంచడంతో నిలుపుకోవాలి. తోక సమూహం మారదు. భారీ టేక్-ఆఫ్ బరువును నిర్వహించడానికి కొత్త ఒలియో కాళ్ళు అవసరం అయినప్పటికీ టెయిల్‌వీల్ కాన్ఫిగరేషన్ అ"&amp;"లాగే ఉంచబడింది. కొత్త ప్లాస్టిక్ ఇంధన ట్యాంకులు, ఇప్పటికీ ముందు మరియు వెనుక వింగ్ స్పార్‌ల మధ్య అమర్చబడి, 21.5 ఇంపీరియల్ గ్యాలన్ల సామర్థ్యంతో ఉన్నాయి, ఇది మొత్తం 43 గ్యాలన్ల (195 వెలిగించిన) సామర్థ్యాన్ని ఇస్తుంది. అందువల్ల, ప్రాక్టికల్ వర్కింగ్ ఓర్పు రెం"&amp;"డు గంటలు లేదా అంతకంటే ఎక్కువ సమయం ఉంది. ఫ్యూజ్‌లేజ్ టాప్‌డ్రెస్సింగ్ పాత్ర కోసం ఆప్టిమైజ్ చేయబడిన అన్ని కొత్త డిజైన్. హాప్పర్ అదే స్థితిలో ఉన్నాడు కాని గణనీయంగా పెరిగిన సామర్థ్యాన్ని కలిగి ఉన్నాడు. టాప్‌డ్రెస్సింగ్‌పై హాప్పర్ లోడ్ 12 మరియు 17 సిడబ్ల్యుటి "&amp;"మధ్య మారుతూ ఉంటుంది. (611/865 కిలోలు). హాప్పర్ నుండి తోక వరకు ఉన్న ప్రాంతం సరుకు/పని పరికరాలను లోడ్ చేయడానికి అనుమతించడానికి లేదా (ఎటువంటి సందేహం లేదు) బేసి ప్రయాణీకుడిని అనుమతించడానికి యాక్సెస్ హాచ్‌తో మోనోకోక్ నిర్మాణంలో ఉండాలి. హాప్పర్ యొక్క కాక్‌పిట్ "&amp;"విభాగాన్ని స్టీల్ ట్యూబ్ ఫ్రేమ్‌పై నిర్మించవలసి ఉంది మరియు పైలట్ మరియు ప్రయాణీకుడి కోసం సైడ్ సీటింగ్ ద్వారా సైడ్ బై సైడ్ (సాధారణంగా ల్యాండ్ హోల్డర్ లేదా లోడర్ డ్రైవర్). పంట మాస్టర్లలో నలుగురు పైలట్లు చంపబడ్డారు. 1961 లో డెనిలిక్విన్లో, రాల్ఫ్ డెన్నిస్ మార"&amp;"్షల్ యొక్క VH-MSS లో ఒక ట్యాంక్ పొడిగా పరిగెత్తి, 1964 లో జాన్ వాడ్డెల్ తక్కువ స్థాయి ఏరోబాటిక్స్ చేస్తున్నప్పుడు బూరోవాకు సమీపంలో ఉన్న VH-BAQ ను ప్రీంగ్ చేశాడు. 1965 లో, ఎయిర్-కల్చర్ యొక్క VH-CXQ, రిచర్డ్ ఆడమ్స్ ఎగురుతూ, ఒక చెట్టును కొట్టాడు, అదే సమయంలో "&amp;"హైక్రాగిన్ సమీపంలో హైబరీ వద్ద స్ప్రే రన్ లోకి ప్రవేశించాడు. 1965 లో, కెంప్టన్ వద్ద బిల్ పియర్సన్ ఫ్లయింగ్ బెండర్ యొక్క VH-RPB లిఫ్ట్-ఆఫ్ తర్వాత వంద అడుగుల లేదా అంతకంటే ఎక్కువ నుండి వెళ్ళింది. ప్రాణాంతకం కాని దురదృష్టాలలో వైర్ సమ్మె, కంచె సమ్మె తర్వాత జామ్"&amp;"డ్ ఎలివేటర్లు, బ్లైండ్ గల్లీలో చిక్కుకోవడం, హార్ట్జెల్ ప్రొపెల్లర్ బ్లేడ్ వైఫల్యాలు మరియు ముక్కు-ఓవర్లు ఉన్నాయి. జేన్ యొక్క అన్ని ప్రపంచ విమానాల నుండి డేటా 1965-66 [4] పోల్చదగిన పాత్ర, కాన్ఫిగరేషన్ మరియు యుగం యొక్క సాధారణ లక్షణాల పనితీరు విమానం")</f>
        <v>యెమన్ క్రాప్ మాస్టర్ ఒక ఆస్ట్రేలియన్ వ్యవసాయ విమానం, ఇది రెండవ ప్రపంచ యుద్ధం యొక్క CAC వాకెట్ ట్రైనర్ నుండి అభివృద్ధి చేయబడింది. వ్యవసాయ విమానాల ఉత్పత్తిలో పాల్గొనడానికి బ్యాంక్‌స్టౌన్ విమానాశ్రయంలో కింగ్స్‌ఫోర్డ్ స్మిత్ ఏవియేషన్ సర్వీసెస్ పిటి. లిమిటెడ్ (కెఎస్‌ఎ) ఏర్పాటు చేసిన యెమన్ ఏవియేషన్ అనే సంస్థ ఈ రకాన్ని అభివృద్ధి చేసింది. రాయల్ ఆస్ట్రేలియన్ ఎయిర్ ఫోర్స్ సర్వీస్ నుండి టైప్ పదవీ విరమణ చేసిన తరువాత KSA అనేక వాకెట్లను పొందింది మరియు 1950 ల రెండవ భాగంలో వ్యవసాయ ఉపయోగం కోసం నాలుగు KS-3 క్రాప్ మాస్టర్లుగా మార్చింది. [1] ఈ మార్పిడి వాకెట్ యొక్క వెనుక కాక్‌పిట్‌లో ఉన్న హాప్పర్ యొక్క సంస్థాపన కంటే కొంచెం ఎక్కువ, రసాయన భారం యొక్క చెదరగొట్టడానికి మరియు రీపాస్ చేయడానికి నియంత్రణలను తిరిగి రౌటింగ్ చేయడానికి వాకెట్ యొక్క చెక్క వింగ్ యొక్క మధ్య విభాగంలో రంధ్రం కత్తిరించడం హాప్పర్. [1] దీనికి విరుద్ధంగా, YA-1 క్రాప్ మాస్టర్ వాకెట్ ఎయిర్ఫ్రేమ్కు ప్రధాన మార్పులను కలిగి ఉంది. స్టీల్ ట్యూబ్ యొక్క వాకెట్ ఫ్యూజ్‌లేజ్ నిర్మాణం నిలుపుకుంది, కాని వాకెట్ యొక్క వెనుక కాక్‌పిట్ మరియు మెటల్ మరియు ఫైబర్‌గ్లాస్ యొక్క వివిధ బాహ్య ప్యానెల్స్‌కు బదులుగా 23 క్యూబిక్ అడుగుల (650 లీటర్) సామర్థ్యం హాప్పర్‌ను కలిగి ఉంది (వాకెట్ ఫ్యూజ్‌లేజ్ ఫాబ్రిక్ కప్పబడి ఉంది); వాకెట్ యొక్క చెక్క వింగ్ స్థానంలో కొత్త మెటల్ వింగ్ ఉంది. మొదటి ఐదు విమానాలు వాకెట్ యొక్క చెక్క తోకను కలిగి ఉన్నాయి, కాని తరువాతి విమానాలలో ఒక మెటల్ తోక ఉంది, ఇందులో స్టెబిటేటర్, తుడిచిపెట్టిన బ్యాక్ ఫిన్ మరియు పెద్ద చుక్కాని ఉన్నాయి. వాకెట్ యొక్క స్థిర టెయిల్‌వీల్ అండర్ క్యారేజీని అలాగే ఉంచారు. వాకెట్ యొక్క వార్నర్ స్కార్బ్ రేడియల్ ఇంజిన్‌ను అడ్డంగా-సంతృప్తి చెందిన ఇంజిన్ ద్వారా భర్తీ చేశారు, YA-1 250 ను 250HP యొక్క లైమింగ్ O-540 ఇంజిన్‌తో అమర్చారు, హార్ట్జెల్ ప్రొపెల్లర్‌ను నడుపుతుండగా, YA-10 250R ఒక ఖండాంతర IO తో అమర్చబడి ఉంది -470 కూడా 250 హెచ్‌పి (190 కిలోవాట్) ను అభివృద్ధి చేస్తుంది, హార్ట్జెల్ లేదా మెక్కాలీ ప్రొపెల్లర్‌ను నడుపుతోంది. మొదటి క్రాప్ మాస్టర్, YA-1 250, 15 జనవరి 1960 న మొదటిసారిగా ప్రసారం చేసాడు. [2] 1966 లో ఉత్పత్తి ఆగిపోయే ముందు మరో ఇరవై విమానాలు మార్చబడ్డాయి, ఆ సమయానికి ఈ సంస్థను క్రోప్ మాస్టర్ విమానం అని పిలుస్తారు. దాని సమకాలీన మాదిరిగానే CAC సెరెస్ క్రాప్ మాస్టర్ మరింత ఆధునిక రకాల వ్యవసాయ విమానాలతో పోటీ పడలేకపోయాడు. ఇరవై ఒక్క విమానంలో ఆరు YA-1 250R మోడల్ మరియు చివరి మూడు విమానాలు ఉత్పత్తి చేయబడినవి, రిలోకేటెడ్ మెయిన్ ల్యాండింగ్ గేర్‌ను కలిగి ఉన్నాయి. ఆరుగురు పంట మాస్టర్లను న్యూజిలాండ్‌కు ఎగుమతి చేశారు, అక్కడ ఒక ఉదాహరణ ఇప్పటికీ సివిల్ ఎయిర్క్రాఫ్ట్ రిజిస్టర్‌లో ఉంది. ఒక ఉదాహరణ ఆస్ట్రేలియాలో నమోదు చేయబడింది [3] మరియు వాగ్గా వాగ్గా వద్ద పునర్నిర్మించబడింది. అనేక ఇతర పంట మాస్టర్లు ఇప్పటికీ ఆస్ట్రేలియా మరియు న్యూజిలాండ్‌లో ఉన్నారు. ఇంటర్మీడియట్ ఫ్లయింగ్ టెస్ట్-బెడ్, సింగిల్ యెమన్ 175 ను కొత్త ఆల్-మెటల్ ఎంపెనేజ్ యొక్క ట్రయల్స్ కోసం CA-6 వాకెట్ ఎయిర్ఫ్రేమ్ సి/ఎన్ 257 నుండి మార్చారు, మరియు తరువాతి పంట మాస్టర్ల యొక్క తుడిచిపెట్టిన ఫిన్ కలిగి ఉంది, కాని వార్నర్ స్కార్బ్ రేడియల్ ఇంజిన్ మరియు ఫాబ్రిక్ను కలిగి ఉంది -వాకెట్ యొక్క వెనుక ఫ్యూజ్‌లేజ్. ట్రైసైకిల్ అండర్ క్యారేజీతో ప్రతిపాదిత వేరియంట్ YA-1B, ఏదీ నిర్మించబడలేదు. YA-1B యొక్క కట్-అవే డ్రాయింగ్ యెమన్ ఏవియేషన్ బ్రోచర్‌లో చేర్చబడింది. YA-1B డిజైన్ ప్రతిపాదనలో ఆల్-మెటల్ ఎంపెనేజ్ కోసం డిజైన్ యొక్క ప్రారంభ సంస్కరణ కూడా ఉంది, వాస్తవానికి ఉత్పత్తి చేయబడిన దానికంటే ఎక్కువ నిటారుగా ఉన్న తోక-ఫిన్ ఉంది. మరొక వేరియంట్ 285 హెచ్‌పి (213 కిలోవాట్ల) కాంటినెంటల్ ఇంజిన్‌తో YA-1 285, ఈ వేరియంట్‌లో ఏదైనా ఉత్పత్తి చేయబడిందా అనే దానిపై వర్గాలు విభేదిస్తున్నాయి. తయారీ ఆగిపోయిన సమయంలో, తదుపరి పరిణామంలో లోహం కత్తిరించబడింది, ఇది క్రాప్ మాస్టర్ 300. ప్రస్తుతం ఉన్న రెక్కను 37 అడుగుల (11.28 మీ) కు పెంచడంతో నిలుపుకోవాలి. తోక సమూహం మారదు. భారీ టేక్-ఆఫ్ బరువును నిర్వహించడానికి కొత్త ఒలియో కాళ్ళు అవసరం అయినప్పటికీ టెయిల్‌వీల్ కాన్ఫిగరేషన్ అలాగే ఉంచబడింది. కొత్త ప్లాస్టిక్ ఇంధన ట్యాంకులు, ఇప్పటికీ ముందు మరియు వెనుక వింగ్ స్పార్‌ల మధ్య అమర్చబడి, 21.5 ఇంపీరియల్ గ్యాలన్ల సామర్థ్యంతో ఉన్నాయి, ఇది మొత్తం 43 గ్యాలన్ల (195 వెలిగించిన) సామర్థ్యాన్ని ఇస్తుంది. అందువల్ల, ప్రాక్టికల్ వర్కింగ్ ఓర్పు రెండు గంటలు లేదా అంతకంటే ఎక్కువ సమయం ఉంది. ఫ్యూజ్‌లేజ్ టాప్‌డ్రెస్సింగ్ పాత్ర కోసం ఆప్టిమైజ్ చేయబడిన అన్ని కొత్త డిజైన్. హాప్పర్ అదే స్థితిలో ఉన్నాడు కాని గణనీయంగా పెరిగిన సామర్థ్యాన్ని కలిగి ఉన్నాడు. టాప్‌డ్రెస్సింగ్‌పై హాప్పర్ లోడ్ 12 మరియు 17 సిడబ్ల్యుటి మధ్య మారుతూ ఉంటుంది. (611/865 కిలోలు). హాప్పర్ నుండి తోక వరకు ఉన్న ప్రాంతం సరుకు/పని పరికరాలను లోడ్ చేయడానికి అనుమతించడానికి లేదా (ఎటువంటి సందేహం లేదు) బేసి ప్రయాణీకుడిని అనుమతించడానికి యాక్సెస్ హాచ్‌తో మోనోకోక్ నిర్మాణంలో ఉండాలి. హాప్పర్ యొక్క కాక్‌పిట్ విభాగాన్ని స్టీల్ ట్యూబ్ ఫ్రేమ్‌పై నిర్మించవలసి ఉంది మరియు పైలట్ మరియు ప్రయాణీకుడి కోసం సైడ్ సీటింగ్ ద్వారా సైడ్ బై సైడ్ (సాధారణంగా ల్యాండ్ హోల్డర్ లేదా లోడర్ డ్రైవర్). పంట మాస్టర్లలో నలుగురు పైలట్లు చంపబడ్డారు. 1961 లో డెనిలిక్విన్లో, రాల్ఫ్ డెన్నిస్ మార్షల్ యొక్క VH-MSS లో ఒక ట్యాంక్ పొడిగా పరిగెత్తి, 1964 లో జాన్ వాడ్డెల్ తక్కువ స్థాయి ఏరోబాటిక్స్ చేస్తున్నప్పుడు బూరోవాకు సమీపంలో ఉన్న VH-BAQ ను ప్రీంగ్ చేశాడు. 1965 లో, ఎయిర్-కల్చర్ యొక్క VH-CXQ, రిచర్డ్ ఆడమ్స్ ఎగురుతూ, ఒక చెట్టును కొట్టాడు, అదే సమయంలో హైక్రాగిన్ సమీపంలో హైబరీ వద్ద స్ప్రే రన్ లోకి ప్రవేశించాడు. 1965 లో, కెంప్టన్ వద్ద బిల్ పియర్సన్ ఫ్లయింగ్ బెండర్ యొక్క VH-RPB లిఫ్ట్-ఆఫ్ తర్వాత వంద అడుగుల లేదా అంతకంటే ఎక్కువ నుండి వెళ్ళింది. ప్రాణాంతకం కాని దురదృష్టాలలో వైర్ సమ్మె, కంచె సమ్మె తర్వాత జామ్డ్ ఎలివేటర్లు, బ్లైండ్ గల్లీలో చిక్కుకోవడం, హార్ట్జెల్ ప్రొపెల్లర్ బ్లేడ్ వైఫల్యాలు మరియు ముక్కు-ఓవర్లు ఉన్నాయి. జేన్ యొక్క అన్ని ప్రపంచ విమానాల నుండి డేటా 1965-66 [4] పోల్చదగిన పాత్ర, కాన్ఫిగరేషన్ మరియు యుగం యొక్క సాధారణ లక్షణాల పనితీరు విమానం</v>
      </c>
      <c r="F181" s="1" t="s">
        <v>3359</v>
      </c>
      <c r="G181" s="1" t="str">
        <f>IFERROR(__xludf.DUMMYFUNCTION("GOOGLETRANSLATE(F:F,""en"", ""te"")"),"వ్యవసాయ విమానం")</f>
        <v>వ్యవసాయ విమానం</v>
      </c>
      <c r="H181" s="1" t="s">
        <v>3360</v>
      </c>
      <c r="L181" s="1" t="s">
        <v>3361</v>
      </c>
      <c r="M181" s="1" t="str">
        <f>IFERROR(__xludf.DUMMYFUNCTION("GOOGLETRANSLATE(L:L,""en"", ""te"")"),"యెమన్ ఏవియేషన్")</f>
        <v>యెమన్ ఏవియేషన్</v>
      </c>
      <c r="O181" s="1">
        <v>1960.0</v>
      </c>
      <c r="R181" s="1">
        <v>21.0</v>
      </c>
      <c r="S181" s="1">
        <v>1.0</v>
      </c>
      <c r="T181" s="1" t="s">
        <v>3362</v>
      </c>
      <c r="U181" s="1" t="s">
        <v>848</v>
      </c>
      <c r="V181" s="1" t="s">
        <v>3363</v>
      </c>
      <c r="W181" s="1" t="s">
        <v>3364</v>
      </c>
      <c r="X181" s="1" t="s">
        <v>3365</v>
      </c>
      <c r="Z181" s="1" t="s">
        <v>3366</v>
      </c>
      <c r="AA181" s="1" t="s">
        <v>3367</v>
      </c>
      <c r="AB181" s="1" t="s">
        <v>3368</v>
      </c>
      <c r="AD181" s="1" t="s">
        <v>3369</v>
      </c>
      <c r="AE181" s="1" t="s">
        <v>3370</v>
      </c>
      <c r="AG181" s="1" t="s">
        <v>3371</v>
      </c>
      <c r="AH181" s="1" t="s">
        <v>3372</v>
      </c>
      <c r="AI181" s="1" t="s">
        <v>2053</v>
      </c>
      <c r="AJ181" s="1" t="s">
        <v>3373</v>
      </c>
      <c r="AM181" s="1" t="s">
        <v>3374</v>
      </c>
      <c r="AO181" s="4">
        <v>21930.0</v>
      </c>
      <c r="AQ181" s="1" t="s">
        <v>3375</v>
      </c>
      <c r="AT181" s="1" t="s">
        <v>3376</v>
      </c>
      <c r="AU181" s="1" t="s">
        <v>3377</v>
      </c>
      <c r="AV181" s="1" t="s">
        <v>3378</v>
      </c>
      <c r="AZ181" s="1" t="s">
        <v>1218</v>
      </c>
      <c r="BG181" s="1" t="s">
        <v>3379</v>
      </c>
      <c r="EX181" s="1" t="s">
        <v>3380</v>
      </c>
    </row>
    <row r="182">
      <c r="A182" s="1" t="s">
        <v>3381</v>
      </c>
      <c r="B182" s="1" t="str">
        <f>IFERROR(__xludf.DUMMYFUNCTION("GOOGLETRANSLATE(A:A,""en"", ""te"")"),"జెనెయిర్ జిప్పర్")</f>
        <v>జెనెయిర్ జిప్పర్</v>
      </c>
      <c r="C182" s="1" t="s">
        <v>3382</v>
      </c>
      <c r="D182" s="1" t="str">
        <f>IFERROR(__xludf.DUMMYFUNCTION("GOOGLETRANSLATE(C:C,""en"", ""te"")"),"జెనెయిర్ జిప్పర్ కెనడియన్ అల్ట్రాలైట్ హై-వింగ్, సింగిల్ సీట్ విమానం, దీనిని క్రిస్ హీంట్జ్ రూపొందించారు మరియు జెనైర్ నిర్మించారు. జిప్పర్ అనేది చాలా వినూత్నమైన డిజైన్, ఇది వేగం లేదా మోసే సామర్థ్యంపై పోర్టబిలిటీని గట్టిగా నొక్కి చెబుతుంది. [1] జిప్పర్‌ను 1"&amp;"980 ల ప్రారంభంలో కెనడియన్ ఎయిర్‌క్రాఫ్ట్ డిజైనర్ క్రిస్ హీంట్జ్ స్థాపించారు మరియు అంటారియోలోని మిడ్‌ల్యాండ్‌కు చెందిన అతని సంస్థ జెనెయిర్ చేత ఉత్పత్తి చేయబడింది. జిప్పర్ కోసం హీంట్జ్ యొక్క ప్రేరణ ఆ సమయంలో కెనడాలో సంభవిస్తున్న అల్ట్రాలైట్ ఏవియేషన్ విజృంభణ "&amp;"మరియు రవాణా కెనడా అల్ట్రాలైట్స్ యొక్క ఆపరేషన్‌ను చట్టబద్ధంగా అనుమతించడం ద్వారా కొత్త విమానయాన నిబంధనలను ప్రవేశపెట్టడం. జిప్పర్ అనేక ప్రత్యేక లక్షణాలను కలిగి ఉంటుంది, ఇవన్నీ విమానం మరింత పోర్టబుల్ చేయడాన్ని లక్ష్యంగా పెట్టుకున్నాయి. ఈ దృష్టి అల్ట్రాలైట్ ప్"&amp;"రజాదరణ యొక్క ప్రారంభ రోజులలో కార్యకలాపాల స్వభావం కారణంగా ఉంది. విమానం ఫ్లై-ఇన్‌లు లేదా ఇతర సైట్‌లకు పెద్ద దూరం ఎగురవేయలేదు, కానీ ట్రైలర్ ద్వారా లేదా కారు పైభాగంలో రిమోట్ ప్రదేశాలలో స్థానికంగా ఎగరడానికి రవాణా చేయబడ్డాయి. [1] జిప్పర్ శీఘ్ర-మడత రెక్కను కలిగి"&amp;" ఉంది, ఇది డి-సెల్ లీడింగ్ ఎడ్జ్ మరియు స్పార్ చుట్టూ నిర్మించబడింది. వింగ్ పక్కటెముకలు లేవు మరియు రెక్క యొక్క వెనుకంజలో ఉన్న అంచు కేబుల్ ద్వారా స్థాపించబడింది, ఇది సెల్క్లోత్ వింగ్ కవరింగ్. ముక్కు వీ రెక్క +6 మరియు -3 గ్రా. [1] జిప్పర్ సాంప్రదాయ మూడు-యాక్"&amp;"సిస్ నియంత్రణలను కలిగి ఉంది, ఇది ఈ సమయంలో రూపొందించిన అల్ట్రాలైట్లలో అసాధారణమైనది. ఆల్-మెటల్, వన్ పీస్, ఆల్-ఎగిరే చుక్కాని మరియు ఎలివేటర్ రవాణా కోసం త్వరగా తొలగించబడతాయి. టెయిల్‌బూమ్ క్రాస్ సెక్షన్‌లో అల్యూమినియం మరియు చదరపు. [1] జిప్పర్ కిట్లతో అందించబడి"&amp;"న ప్రామాణిక పవర్‌ప్లాంట్లు 26 హెచ్‌పి (19 కిలోవాట్) యొక్క జెపిఎక్స్ పల్ 425 ఇంజిన్ మరియు 28 హెచ్‌పి (21 కిలోవాట్ల) లో రోటాక్స్ 277. ఇంధన సామర్థ్యం 6 యుఎస్ గాల్ (5 ఇంప్ గల్; 23 ఎల్). ట్విన్-ఇంజిన్ జిప్పర్ II దాని పోటీదారు అయిన అల్ట్రాఫ్లైట్ లాజైర్‌కు ఇలాంట"&amp;"ి ఇంజిన్ కాన్ఫిగరేషన్‌ను ఉపయోగించింది, ఇంజిన్-అవుట్ అవసరాలను తగ్గించడానికి రెండు ఇంజిన్‌లను దగ్గరగా ఉంచింది. [1] జెనిత్ ఎయిర్క్రాఫ్ట్ కంపెనీ ప్రెసిడెంట్ సెబాస్టియన్ హీంట్జ్, డిజైనర్ క్రిస్ హీంట్జ్ కుమారుడు జెనెయిర్ జిప్పర్లో ఎగరడం నేర్చుకున్నారు. [2] డిసె"&amp;"ంబర్ 2008 లో కెనడాలో ఇప్పటికీ నాలుగు జిప్పర్లు నమోదు చేయబడ్డాయి. అల్ట్రాలైట్ ఎయిర్క్రాఫ్ట్ షాపర్ గైడ్ 8 వ ఎడిషన్ [1] నుండి రెండు జిప్పర్లు, ఒక జిప్పర్-ఆర్ఎక్స్ మరియు ఒక జిప్పర్ II [3] డేటాను కలిగి ఉంటుంది.")</f>
        <v>జెనెయిర్ జిప్పర్ కెనడియన్ అల్ట్రాలైట్ హై-వింగ్, సింగిల్ సీట్ విమానం, దీనిని క్రిస్ హీంట్జ్ రూపొందించారు మరియు జెనైర్ నిర్మించారు. జిప్పర్ అనేది చాలా వినూత్నమైన డిజైన్, ఇది వేగం లేదా మోసే సామర్థ్యంపై పోర్టబిలిటీని గట్టిగా నొక్కి చెబుతుంది. [1] జిప్పర్‌ను 1980 ల ప్రారంభంలో కెనడియన్ ఎయిర్‌క్రాఫ్ట్ డిజైనర్ క్రిస్ హీంట్జ్ స్థాపించారు మరియు అంటారియోలోని మిడ్‌ల్యాండ్‌కు చెందిన అతని సంస్థ జెనెయిర్ చేత ఉత్పత్తి చేయబడింది. జిప్పర్ కోసం హీంట్జ్ యొక్క ప్రేరణ ఆ సమయంలో కెనడాలో సంభవిస్తున్న అల్ట్రాలైట్ ఏవియేషన్ విజృంభణ మరియు రవాణా కెనడా అల్ట్రాలైట్స్ యొక్క ఆపరేషన్‌ను చట్టబద్ధంగా అనుమతించడం ద్వారా కొత్త విమానయాన నిబంధనలను ప్రవేశపెట్టడం. జిప్పర్ అనేక ప్రత్యేక లక్షణాలను కలిగి ఉంటుంది, ఇవన్నీ విమానం మరింత పోర్టబుల్ చేయడాన్ని లక్ష్యంగా పెట్టుకున్నాయి. ఈ దృష్టి అల్ట్రాలైట్ ప్రజాదరణ యొక్క ప్రారంభ రోజులలో కార్యకలాపాల స్వభావం కారణంగా ఉంది. విమానం ఫ్లై-ఇన్‌లు లేదా ఇతర సైట్‌లకు పెద్ద దూరం ఎగురవేయలేదు, కానీ ట్రైలర్ ద్వారా లేదా కారు పైభాగంలో రిమోట్ ప్రదేశాలలో స్థానికంగా ఎగరడానికి రవాణా చేయబడ్డాయి. [1] జిప్పర్ శీఘ్ర-మడత రెక్కను కలిగి ఉంది, ఇది డి-సెల్ లీడింగ్ ఎడ్జ్ మరియు స్పార్ చుట్టూ నిర్మించబడింది. వింగ్ పక్కటెముకలు లేవు మరియు రెక్క యొక్క వెనుకంజలో ఉన్న అంచు కేబుల్ ద్వారా స్థాపించబడింది, ఇది సెల్క్లోత్ వింగ్ కవరింగ్. ముక్కు వీ రెక్క +6 మరియు -3 గ్రా. [1] జిప్పర్ సాంప్రదాయ మూడు-యాక్సిస్ నియంత్రణలను కలిగి ఉంది, ఇది ఈ సమయంలో రూపొందించిన అల్ట్రాలైట్లలో అసాధారణమైనది. ఆల్-మెటల్, వన్ పీస్, ఆల్-ఎగిరే చుక్కాని మరియు ఎలివేటర్ రవాణా కోసం త్వరగా తొలగించబడతాయి. టెయిల్‌బూమ్ క్రాస్ సెక్షన్‌లో అల్యూమినియం మరియు చదరపు. [1] జిప్పర్ కిట్లతో అందించబడిన ప్రామాణిక పవర్‌ప్లాంట్లు 26 హెచ్‌పి (19 కిలోవాట్) యొక్క జెపిఎక్స్ పల్ 425 ఇంజిన్ మరియు 28 హెచ్‌పి (21 కిలోవాట్ల) లో రోటాక్స్ 277. ఇంధన సామర్థ్యం 6 యుఎస్ గాల్ (5 ఇంప్ గల్; 23 ఎల్). ట్విన్-ఇంజిన్ జిప్పర్ II దాని పోటీదారు అయిన అల్ట్రాఫ్లైట్ లాజైర్‌కు ఇలాంటి ఇంజిన్ కాన్ఫిగరేషన్‌ను ఉపయోగించింది, ఇంజిన్-అవుట్ అవసరాలను తగ్గించడానికి రెండు ఇంజిన్‌లను దగ్గరగా ఉంచింది. [1] జెనిత్ ఎయిర్క్రాఫ్ట్ కంపెనీ ప్రెసిడెంట్ సెబాస్టియన్ హీంట్జ్, డిజైనర్ క్రిస్ హీంట్జ్ కుమారుడు జెనెయిర్ జిప్పర్లో ఎగరడం నేర్చుకున్నారు. [2] డిసెంబర్ 2008 లో కెనడాలో ఇప్పటికీ నాలుగు జిప్పర్లు నమోదు చేయబడ్డాయి. అల్ట్రాలైట్ ఎయిర్క్రాఫ్ట్ షాపర్ గైడ్ 8 వ ఎడిషన్ [1] నుండి రెండు జిప్పర్లు, ఒక జిప్పర్-ఆర్ఎక్స్ మరియు ఒక జిప్పర్ II [3] డేటాను కలిగి ఉంటుంది.</v>
      </c>
      <c r="F182" s="1" t="s">
        <v>459</v>
      </c>
      <c r="G182" s="1" t="str">
        <f>IFERROR(__xludf.DUMMYFUNCTION("GOOGLETRANSLATE(F:F,""en"", ""te"")"),"అల్ట్రాలైట్ విమానం")</f>
        <v>అల్ట్రాలైట్ విమానం</v>
      </c>
      <c r="H182" s="1" t="s">
        <v>460</v>
      </c>
      <c r="I182" s="1" t="s">
        <v>1338</v>
      </c>
      <c r="J182" s="1" t="str">
        <f>IFERROR(__xludf.DUMMYFUNCTION("GOOGLETRANSLATE(I:I,""en"", ""te"")"),"కెనడా")</f>
        <v>కెనడా</v>
      </c>
      <c r="K182" s="2" t="s">
        <v>1339</v>
      </c>
      <c r="L182" s="1" t="s">
        <v>3383</v>
      </c>
      <c r="M182" s="1" t="str">
        <f>IFERROR(__xludf.DUMMYFUNCTION("GOOGLETRANSLATE(L:L,""en"", ""te"")"),"జెనైర్")</f>
        <v>జెనైర్</v>
      </c>
      <c r="N182" s="2" t="s">
        <v>3384</v>
      </c>
      <c r="O182" s="1">
        <v>1983.0</v>
      </c>
      <c r="S182" s="1" t="s">
        <v>685</v>
      </c>
      <c r="T182" s="1" t="s">
        <v>3385</v>
      </c>
      <c r="W182" s="1" t="s">
        <v>3386</v>
      </c>
      <c r="X182" s="1" t="s">
        <v>3387</v>
      </c>
      <c r="Y182" s="1" t="s">
        <v>3388</v>
      </c>
      <c r="AA182" s="1" t="s">
        <v>3389</v>
      </c>
      <c r="AB182" s="1" t="s">
        <v>3390</v>
      </c>
      <c r="AD182" s="1" t="s">
        <v>1814</v>
      </c>
      <c r="AF182" s="1" t="s">
        <v>3391</v>
      </c>
      <c r="AG182" s="1" t="s">
        <v>208</v>
      </c>
      <c r="AH182" s="1" t="s">
        <v>3392</v>
      </c>
      <c r="AI182" s="1" t="s">
        <v>2054</v>
      </c>
      <c r="AK182" s="1" t="s">
        <v>3393</v>
      </c>
      <c r="AM182" s="1" t="s">
        <v>3394</v>
      </c>
      <c r="AN182" s="1" t="s">
        <v>3395</v>
      </c>
      <c r="AQ182" s="1" t="s">
        <v>3396</v>
      </c>
      <c r="AR182" s="1" t="s">
        <v>3397</v>
      </c>
      <c r="AT182" s="1" t="s">
        <v>3388</v>
      </c>
      <c r="BH182" s="1" t="s">
        <v>3398</v>
      </c>
    </row>
    <row r="183">
      <c r="A183" s="1" t="s">
        <v>3399</v>
      </c>
      <c r="B183" s="1" t="str">
        <f>IFERROR(__xludf.DUMMYFUNCTION("GOOGLETRANSLATE(A:A,""en"", ""te"")"),"మెడ్వెకి హెచ్ఎల్ 2")</f>
        <v>మెడ్వెకి హెచ్ఎల్ 2</v>
      </c>
      <c r="C183" s="1" t="s">
        <v>3400</v>
      </c>
      <c r="D183" s="1" t="str">
        <f>IFERROR(__xludf.DUMMYFUNCTION("GOOGLETRANSLATE(C:C,""en"", ""te"")"),"మెడ్వెకి హెచ్ఎల్ 2 1927 లో పోలిష్ రెండు సీట్ల లైట్ ప్లేన్. తక్కువ శక్తి, నమ్మదగని ఇంజిన్ చేత వికలాంగులు, దాని ఎగిరే జీవితం ఒక నెల కన్నా కొంచెం ఎక్కువ కాలం కొనసాగింది. పోలాండ్‌లో తేలికపాటి విమాన రూపకల్పన ప్రారంభమైంది, కాని 1924 నుండి వైమానిక మరియు ఆంటిగాస్"&amp;" డిఫెన్స్ లీగ్, సాధారణంగా వారి పోలిష్ ఎక్రోనిం ఎల్.ఓ.పి.పి. మొదటి విజయవంతమైన బిడ్డర్లలో ఒకరు సమోలోట్ కంపెనీతో విమాన డిజైనర్ అయిన జోజెఫ్ మెడ్‌వెక్కీ. ఫలితం హెచ్ఎల్ 2 టూ-సీటర్లు మెడ్ వెక్కి తన ఖాళీ సమయంలో వారి కర్మాగారంలో సమోలోట్ ఆమోదంతో నిర్మించినవి. ఇది ఆ"&amp;"గస్టు 1927 లో పూర్తయింది. [1] HL 2 లో పారాసోల్ వింగ్ చాలా మందపాటి విభాగం మరియు పైలట్ యొక్క వీక్షణ క్షేత్రాన్ని మెరుగుపరచడానికి కేంద్ర వెనుకంజలో ఉన్న అంచు కటౌట్ కాకుండా ఖచ్చితంగా దీర్ఘచతురస్రాకారంగా ఉండే ప్రణాళికను కలిగి ఉంది. రెక్క రెండు భాగాలుగా ఉంది, చె"&amp;"క్క స్పార్స్ మరియు ప్లై-కప్పబడిన జతల చుట్టూ నిర్మించబడింది. ఇది కాబేన్ స్ట్రట్స్‌లోని ఫ్యూజ్‌లేజ్‌పై మద్దతు ఇచ్చింది, ఒకటి ఎగువ సెంట్రల్ ఫ్యూజ్‌లేజ్ నుండి ఫార్వర్డ్ స్ట్రట్‌కు వెనుకకు వంగి, మరొకటి నిలువు విలోమ వి-స్ట్రట్ వెనుక స్పార్ వరకు; ప్రధాన బ్రేసింగ"&amp;"్ సభ్యులు తక్కువ ఫ్యూజ్‌లేజ్ లాంగన్స్ నుండి స్పార్స్‌కు సమాంతర ఉక్కు గొట్టాలు. [1] మెడ్వెకి యొక్క గొప్ప సమస్య ఏమిటంటే, తగిన ఇంజిన్‌ను పొందడం మరియు చివరికి వృద్ధులు, మూడు సిలిండర్ల 26 కిలోవాట్ల (35 హెచ్‌పి) అంజని సమోలోట్ ద్వారా అతనికి అప్పుగా ఇవ్వవలసి వచ్చ"&amp;"ింది, ఇది హెచ్‌ఎల్ 2 ను తీవ్రంగా తగ్గించింది. ఇది సరళమైన, ఫ్లాట్-సైడెడ్ మెటల్ కౌలింగ్‌లో దాని సిలిండర్ తలలను శీతలీకరణ కోసం బహిర్గతం చేసింది. కౌలింగ్ హెచ్‌ఎల్ 2 యొక్క సరళమైన, దీర్ఘచతురస్రాకార విభాగం ఫ్యూజ్‌లేజ్ యొక్క కొలతలతో సరిపోయేలా వెనుకకు విస్తరించింది"&amp;", ఇది నాలుగు చెక్క లాంగన్‌ల చుట్టూ నిర్మించబడింది మరియు ప్లై కప్పబడి ఉంది. ఇంధన ట్యాంకుల వెనుక ఓపెన్ కాక్‌పిట్స్ కలిసి ఉన్నాయి మరియు ద్వంద్వ నియంత్రణతో అమర్చబడి ఉంటాయి. ఫార్వర్డ్ ఒకటి రెక్క కింద ఉంది మరియు ఎగువ లాంగన్ యొక్క సమగ్రతను భీమా చేయడానికి ప్రత్యే"&amp;"క తాళంతో కారు-రకం తలుపు ద్వారా ప్రవేశించింది మరియు వెనుక ఒకటి, సాంప్రదాయకంగా ప్రవేశించింది, వెనుకంజలో ఉన్న అంచు కటౌట్ కింద ఉంది. [1] HL 2 యొక్క స్ట్రట్-బ్రేస్డ్ టెయిల్‌ప్లేన్ ఫ్యూజ్‌లేజ్ పైన అమర్చబడింది మరియు ఎలివేటర్ల మాదిరిగా, తప్పనిసరిగా ప్రణాళికలో దీర"&amp;"్ఘచతురస్రాకారంగా ఉంది. ఫిన్ త్రిభుజాకారంగా ఉంది మరియు దీర్ఘచతురస్రాకార చుక్కాని తీసుకువెళ్ళింది. దాని స్థిర అండర్ క్యారేజీలో రబ్బరు త్రాడు షాక్ అబ్జార్బర్స్ తో ఒకే ఇరుసుపై మెయిన్‌వీల్స్ ఉన్నాయి మరియు ప్రతి చివర V- స్ట్రట్ ద్వారా దిగువ ఫ్యూజ్‌లేజ్ లాంగన్‌క"&amp;"ు మద్దతు ఇస్తుంది. ఫిన్ కింద ఒక చిన్న టెయిల్‌స్కిడ్ ఉంది. [1] హెచ్‌ఎల్ 2 సెప్టెంబర్ 1927 లో సమోలోట్ యొక్క హోమ్ గ్రౌండ్ పోజ్నాన్-లావైకా నుండి మొదటి విమానాలను చేసింది, వ్లాడిస్లా స్జుల్జ్వెస్కీ చేత ఎగిరింది. శక్తి లేకపోయినప్పటికీ అది ఏరోబాటిక్స్ చేయగలదు. ఇద"&amp;"ి అక్టోబర్ ప్రారంభంలో వార్సాలో జరిగిన L.O.P.P.- ఆర్గనైజ్డ్ ఫస్ట్ నేషనల్ లైట్ ప్లేన్ పోటీలో పోటీదారుగా ప్రవేశించింది, కాని అక్కడ ఉన్న మార్గంలో ఇంజిన్ సమస్యలు గడువును తీర్చడంలో విఫలమయ్యాయి. ఏదేమైనా, స్జుల్జ్వెస్కీ అనధికారిక పోటీదారుగా పాల్గొన్నాడు మరియు మొద"&amp;"ట దాని పనితీరు అత్యుత్తమమైనది కాని క్రాస్ కంట్రీ ఫ్లైట్ సమయంలో ఇంజిన్ మళ్లీ విఫలమైంది. పర్యవసానంగా అత్యవసర ల్యాండింగ్‌లో హెచ్‌ఎల్ 2 తీవ్రంగా దెబ్బతింది మరియు మళ్లీ ఎగరలేదు. [1] సింక్ (1971) [1] నుండి డేటా గుర్తించబడిన చోట తప్ప")</f>
        <v>మెడ్వెకి హెచ్ఎల్ 2 1927 లో పోలిష్ రెండు సీట్ల లైట్ ప్లేన్. తక్కువ శక్తి, నమ్మదగని ఇంజిన్ చేత వికలాంగులు, దాని ఎగిరే జీవితం ఒక నెల కన్నా కొంచెం ఎక్కువ కాలం కొనసాగింది. పోలాండ్‌లో తేలికపాటి విమాన రూపకల్పన ప్రారంభమైంది, కాని 1924 నుండి వైమానిక మరియు ఆంటిగాస్ డిఫెన్స్ లీగ్, సాధారణంగా వారి పోలిష్ ఎక్రోనిం ఎల్.ఓ.పి.పి. మొదటి విజయవంతమైన బిడ్డర్లలో ఒకరు సమోలోట్ కంపెనీతో విమాన డిజైనర్ అయిన జోజెఫ్ మెడ్‌వెక్కీ. ఫలితం హెచ్ఎల్ 2 టూ-సీటర్లు మెడ్ వెక్కి తన ఖాళీ సమయంలో వారి కర్మాగారంలో సమోలోట్ ఆమోదంతో నిర్మించినవి. ఇది ఆగస్టు 1927 లో పూర్తయింది. [1] HL 2 లో పారాసోల్ వింగ్ చాలా మందపాటి విభాగం మరియు పైలట్ యొక్క వీక్షణ క్షేత్రాన్ని మెరుగుపరచడానికి కేంద్ర వెనుకంజలో ఉన్న అంచు కటౌట్ కాకుండా ఖచ్చితంగా దీర్ఘచతురస్రాకారంగా ఉండే ప్రణాళికను కలిగి ఉంది. రెక్క రెండు భాగాలుగా ఉంది, చెక్క స్పార్స్ మరియు ప్లై-కప్పబడిన జతల చుట్టూ నిర్మించబడింది. ఇది కాబేన్ స్ట్రట్స్‌లోని ఫ్యూజ్‌లేజ్‌పై మద్దతు ఇచ్చింది, ఒకటి ఎగువ సెంట్రల్ ఫ్యూజ్‌లేజ్ నుండి ఫార్వర్డ్ స్ట్రట్‌కు వెనుకకు వంగి, మరొకటి నిలువు విలోమ వి-స్ట్రట్ వెనుక స్పార్ వరకు; ప్రధాన బ్రేసింగ్ సభ్యులు తక్కువ ఫ్యూజ్‌లేజ్ లాంగన్స్ నుండి స్పార్స్‌కు సమాంతర ఉక్కు గొట్టాలు. [1] మెడ్వెకి యొక్క గొప్ప సమస్య ఏమిటంటే, తగిన ఇంజిన్‌ను పొందడం మరియు చివరికి వృద్ధులు, మూడు సిలిండర్ల 26 కిలోవాట్ల (35 హెచ్‌పి) అంజని సమోలోట్ ద్వారా అతనికి అప్పుగా ఇవ్వవలసి వచ్చింది, ఇది హెచ్‌ఎల్ 2 ను తీవ్రంగా తగ్గించింది. ఇది సరళమైన, ఫ్లాట్-సైడెడ్ మెటల్ కౌలింగ్‌లో దాని సిలిండర్ తలలను శీతలీకరణ కోసం బహిర్గతం చేసింది. కౌలింగ్ హెచ్‌ఎల్ 2 యొక్క సరళమైన, దీర్ఘచతురస్రాకార విభాగం ఫ్యూజ్‌లేజ్ యొక్క కొలతలతో సరిపోయేలా వెనుకకు విస్తరించింది, ఇది నాలుగు చెక్క లాంగన్‌ల చుట్టూ నిర్మించబడింది మరియు ప్లై కప్పబడి ఉంది. ఇంధన ట్యాంకుల వెనుక ఓపెన్ కాక్‌పిట్స్ కలిసి ఉన్నాయి మరియు ద్వంద్వ నియంత్రణతో అమర్చబడి ఉంటాయి. ఫార్వర్డ్ ఒకటి రెక్క కింద ఉంది మరియు ఎగువ లాంగన్ యొక్క సమగ్రతను భీమా చేయడానికి ప్రత్యేక తాళంతో కారు-రకం తలుపు ద్వారా ప్రవేశించింది మరియు వెనుక ఒకటి, సాంప్రదాయకంగా ప్రవేశించింది, వెనుకంజలో ఉన్న అంచు కటౌట్ కింద ఉంది. [1] HL 2 యొక్క స్ట్రట్-బ్రేస్డ్ టెయిల్‌ప్లేన్ ఫ్యూజ్‌లేజ్ పైన అమర్చబడింది మరియు ఎలివేటర్ల మాదిరిగా, తప్పనిసరిగా ప్రణాళికలో దీర్ఘచతురస్రాకారంగా ఉంది. ఫిన్ త్రిభుజాకారంగా ఉంది మరియు దీర్ఘచతురస్రాకార చుక్కాని తీసుకువెళ్ళింది. దాని స్థిర అండర్ క్యారేజీలో రబ్బరు త్రాడు షాక్ అబ్జార్బర్స్ తో ఒకే ఇరుసుపై మెయిన్‌వీల్స్ ఉన్నాయి మరియు ప్రతి చివర V- స్ట్రట్ ద్వారా దిగువ ఫ్యూజ్‌లేజ్ లాంగన్‌కు మద్దతు ఇస్తుంది. ఫిన్ కింద ఒక చిన్న టెయిల్‌స్కిడ్ ఉంది. [1] హెచ్‌ఎల్ 2 సెప్టెంబర్ 1927 లో సమోలోట్ యొక్క హోమ్ గ్రౌండ్ పోజ్నాన్-లావైకా నుండి మొదటి విమానాలను చేసింది, వ్లాడిస్లా స్జుల్జ్వెస్కీ చేత ఎగిరింది. శక్తి లేకపోయినప్పటికీ అది ఏరోబాటిక్స్ చేయగలదు. ఇది అక్టోబర్ ప్రారంభంలో వార్సాలో జరిగిన L.O.P.P.- ఆర్గనైజ్డ్ ఫస్ట్ నేషనల్ లైట్ ప్లేన్ పోటీలో పోటీదారుగా ప్రవేశించింది, కాని అక్కడ ఉన్న మార్గంలో ఇంజిన్ సమస్యలు గడువును తీర్చడంలో విఫలమయ్యాయి. ఏదేమైనా, స్జుల్జ్వెస్కీ అనధికారిక పోటీదారుగా పాల్గొన్నాడు మరియు మొదట దాని పనితీరు అత్యుత్తమమైనది కాని క్రాస్ కంట్రీ ఫ్లైట్ సమయంలో ఇంజిన్ మళ్లీ విఫలమైంది. పర్యవసానంగా అత్యవసర ల్యాండింగ్‌లో హెచ్‌ఎల్ 2 తీవ్రంగా దెబ్బతింది మరియు మళ్లీ ఎగరలేదు. [1] సింక్ (1971) [1] నుండి డేటా గుర్తించబడిన చోట తప్ప</v>
      </c>
      <c r="E183" s="1" t="s">
        <v>3401</v>
      </c>
      <c r="F183" s="1" t="s">
        <v>3402</v>
      </c>
      <c r="G183" s="1" t="str">
        <f>IFERROR(__xludf.DUMMYFUNCTION("GOOGLETRANSLATE(F:F,""en"", ""te"")"),"తేలికపాటి విమానం")</f>
        <v>తేలికపాటి విమానం</v>
      </c>
      <c r="H183" s="1" t="s">
        <v>3403</v>
      </c>
      <c r="I183" s="1" t="s">
        <v>1508</v>
      </c>
      <c r="J183" s="1" t="str">
        <f>IFERROR(__xludf.DUMMYFUNCTION("GOOGLETRANSLATE(I:I,""en"", ""te"")"),"పోలాండ్")</f>
        <v>పోలాండ్</v>
      </c>
      <c r="K183" s="2" t="s">
        <v>1509</v>
      </c>
      <c r="R183" s="1">
        <v>1.0</v>
      </c>
      <c r="S183" s="1" t="s">
        <v>685</v>
      </c>
      <c r="U183" s="1" t="s">
        <v>1547</v>
      </c>
      <c r="V183" s="1" t="s">
        <v>3404</v>
      </c>
      <c r="W183" s="1" t="s">
        <v>2080</v>
      </c>
      <c r="X183" s="1" t="s">
        <v>3405</v>
      </c>
      <c r="Y183" s="1" t="s">
        <v>3406</v>
      </c>
      <c r="AA183" s="1" t="s">
        <v>3407</v>
      </c>
      <c r="AB183" s="1" t="s">
        <v>3408</v>
      </c>
      <c r="AD183" s="1" t="s">
        <v>3409</v>
      </c>
      <c r="AE183" s="1" t="s">
        <v>375</v>
      </c>
      <c r="AH183" s="1" t="s">
        <v>1381</v>
      </c>
      <c r="AK183" s="1" t="s">
        <v>1000</v>
      </c>
      <c r="AL183" s="1" t="s">
        <v>3410</v>
      </c>
      <c r="AM183" s="1" t="s">
        <v>3411</v>
      </c>
      <c r="AO183" s="3">
        <v>10106.0</v>
      </c>
      <c r="AQ183" s="1" t="s">
        <v>1600</v>
      </c>
      <c r="AW183" s="1" t="s">
        <v>1004</v>
      </c>
      <c r="CE183" s="1" t="s">
        <v>3412</v>
      </c>
    </row>
    <row r="184">
      <c r="A184" s="1" t="s">
        <v>3413</v>
      </c>
      <c r="B184" s="1" t="str">
        <f>IFERROR(__xludf.DUMMYFUNCTION("GOOGLETRANSLATE(A:A,""en"", ""te"")"),"తులిన్ గ్రా")</f>
        <v>తులిన్ గ్రా</v>
      </c>
      <c r="C184" s="1" t="s">
        <v>3414</v>
      </c>
      <c r="D184" s="1" t="str">
        <f>IFERROR(__xludf.DUMMYFUNCTION("GOOGLETRANSLATE(C:C,""en"", ""te"")"),"థులిన్ జి 1910 ల చివరలో నిర్మించిన స్వీడిష్ సైనిక నిఘా విమానం. థులిన్ జి అనేది అల్బాట్రోస్ B.II నుండి తీసుకోబడిన సాంప్రదాయిక కాన్ఫిగరేషన్ యొక్క రెండు-సీట్ల బిప్‌లేన్, ఇది పరిశీలకుడు మరియు పైలట్‌ను సమిష్టిగా ప్రత్యేక కాక్‌పిట్స్‌లో కూర్చుంది. అప్పర్ వింగ్‌"&amp;"కు అండర్వింగ్ నుండి 12 స్ట్రట్‌లు మరియు ఫ్యూజ్‌లేజ్ నుండి నాలుగు మద్దతు ఉన్నాయి. ఇన్లైన్ ఇంజిన్ విమానం యొక్క ముక్కులో అమర్చబడింది, అక్కడ అది చెక్క ప్రొపెల్లర్‌ను నడిపించింది. ఇంజిన్ నుండి ఎగ్జాస్ట్ వాయువులను ఎగువ వింగ్ పైన వెళ్ళడానికి ఒక మానిఫోల్డ్ ద్వారా"&amp;" నడిపించారు. పైలట్ ఫ్రంట్ కాక్‌పిట్‌లో కూర్చున్నాడు, దీనిని రెక్క కింద ఉంచారు, అయితే పరిశీలకుడు రెక్కల వెనుక కాక్‌పిట్‌లో కూర్చున్నాడు. ఉపయోగించిన G రకం టేకాఫ్ మరియు నీటిపై దిగడానికి ఫ్లోట్లు. ఐదు రకం G మరియు రెండు రకం GA విమానాలు స్వీడిష్ నావికాదళ వైమాని"&amp;"క దళం కోసం నిర్మించబడ్డాయి, ఇది 1917-1922 నుండి పనిచేస్తోంది. రెండు విమానాలు మినహా మిగతావన్నీ ప్రమాదాలలో పోయాయి లేదా హ్యాంగర్ మంటల్లో నాశనమయ్యాయి. [1] సాధారణ లక్షణాల పనితీరు సంబంధిత జాబితాల నుండి డేటా")</f>
        <v>థులిన్ జి 1910 ల చివరలో నిర్మించిన స్వీడిష్ సైనిక నిఘా విమానం. థులిన్ జి అనేది అల్బాట్రోస్ B.II నుండి తీసుకోబడిన సాంప్రదాయిక కాన్ఫిగరేషన్ యొక్క రెండు-సీట్ల బిప్‌లేన్, ఇది పరిశీలకుడు మరియు పైలట్‌ను సమిష్టిగా ప్రత్యేక కాక్‌పిట్స్‌లో కూర్చుంది. అప్పర్ వింగ్‌కు అండర్వింగ్ నుండి 12 స్ట్రట్‌లు మరియు ఫ్యూజ్‌లేజ్ నుండి నాలుగు మద్దతు ఉన్నాయి. ఇన్లైన్ ఇంజిన్ విమానం యొక్క ముక్కులో అమర్చబడింది, అక్కడ అది చెక్క ప్రొపెల్లర్‌ను నడిపించింది. ఇంజిన్ నుండి ఎగ్జాస్ట్ వాయువులను ఎగువ వింగ్ పైన వెళ్ళడానికి ఒక మానిఫోల్డ్ ద్వారా నడిపించారు. పైలట్ ఫ్రంట్ కాక్‌పిట్‌లో కూర్చున్నాడు, దీనిని రెక్క కింద ఉంచారు, అయితే పరిశీలకుడు రెక్కల వెనుక కాక్‌పిట్‌లో కూర్చున్నాడు. ఉపయోగించిన G రకం టేకాఫ్ మరియు నీటిపై దిగడానికి ఫ్లోట్లు. ఐదు రకం G మరియు రెండు రకం GA విమానాలు స్వీడిష్ నావికాదళ వైమానిక దళం కోసం నిర్మించబడ్డాయి, ఇది 1917-1922 నుండి పనిచేస్తోంది. రెండు విమానాలు మినహా మిగతావన్నీ ప్రమాదాలలో పోయాయి లేదా హ్యాంగర్ మంటల్లో నాశనమయ్యాయి. [1] సాధారణ లక్షణాల పనితీరు సంబంధిత జాబితాల నుండి డేటా</v>
      </c>
      <c r="E184" s="1" t="s">
        <v>3415</v>
      </c>
      <c r="F184" s="1" t="s">
        <v>2317</v>
      </c>
      <c r="G184" s="1" t="str">
        <f>IFERROR(__xludf.DUMMYFUNCTION("GOOGLETRANSLATE(F:F,""en"", ""te"")"),"నిఘా విమానం")</f>
        <v>నిఘా విమానం</v>
      </c>
      <c r="L184" s="1" t="s">
        <v>3416</v>
      </c>
      <c r="M184" s="1" t="str">
        <f>IFERROR(__xludf.DUMMYFUNCTION("GOOGLETRANSLATE(L:L,""en"", ""te"")"),"అబ్ థిన్వెన్వెర్కెన్")</f>
        <v>అబ్ థిన్వెన్వెర్కెన్</v>
      </c>
      <c r="N184" s="1" t="s">
        <v>3417</v>
      </c>
      <c r="O184" s="1">
        <v>1917.0</v>
      </c>
      <c r="R184" s="1">
        <v>7.0</v>
      </c>
      <c r="S184" s="1">
        <v>2.0</v>
      </c>
      <c r="U184" s="1" t="s">
        <v>2529</v>
      </c>
      <c r="X184" s="1" t="s">
        <v>3418</v>
      </c>
      <c r="AA184" s="1" t="s">
        <v>3419</v>
      </c>
      <c r="AG184" s="1" t="s">
        <v>208</v>
      </c>
      <c r="AH184" s="1" t="s">
        <v>3420</v>
      </c>
      <c r="AO184" s="4">
        <v>6402.0</v>
      </c>
      <c r="AQ184" s="1" t="s">
        <v>3421</v>
      </c>
      <c r="AR184" s="1" t="s">
        <v>3422</v>
      </c>
      <c r="BA184" s="1" t="s">
        <v>3423</v>
      </c>
      <c r="BC184" s="1">
        <v>1922.0</v>
      </c>
    </row>
    <row r="185">
      <c r="A185" s="1" t="s">
        <v>3424</v>
      </c>
      <c r="B185" s="1" t="str">
        <f>IFERROR(__xludf.DUMMYFUNCTION("GOOGLETRANSLATE(A:A,""en"", ""te"")"),"రెక్కల స్వేచ్ఛ ఫీనిక్స్ 103")</f>
        <v>రెక్కల స్వేచ్ఛ ఫీనిక్స్ 103</v>
      </c>
      <c r="C185" s="1" t="s">
        <v>3425</v>
      </c>
      <c r="D185" s="1" t="str">
        <f>IFERROR(__xludf.DUMMYFUNCTION("GOOGLETRANSLATE(C:C,""en"", ""te"")"),"ఫ్రీడమ్ ఫీనిక్స్ 103 యొక్క రెక్కలు ఒక అమెరికన్ te త్సాహిక-నిర్మిత అల్ట్రాలైట్ విమానం, ఇది ఒహియోలోని హబ్బర్డ్ స్వేచ్ఛ యొక్క రెక్కల ద్వారా ఉత్పత్తి చేయబడింది. ఇది అందుబాటులో ఉన్నప్పుడు ఇది te త్సాహిక నిర్మాణానికి కిట్‌గా సరఫరా చేయబడింది. [1] 2019 చివరలో కంప"&amp;"ెనీ వెబ్‌సైట్ తొలగించబడింది మరియు ఉత్పత్తి ముగిసినట్లు తెలుస్తోంది. [2] ఫీనిక్స్ 103 నిలిపివేయబడిన ఏరో-వర్క్స్ ఏరోలైట్ 103 పై ఆధారపడింది. ప్రామాణిక ఖాళీ బరువు 254 ఎల్బి (115 కిలోలు) తో, ఇది యుఎస్ ఫార్ 103 అల్ట్రాలైట్ వెహికల్స్ నిబంధనలకు అనుగుణంగా రూపొందిం"&amp;"చబడింది, వర్గం యొక్క గరిష్ట ఖాళీ బరువు 254 ఎల్బి (115 కిలోలు). ఇది స్ట్రట్-బ్రేస్డ్ హై-వింగ్, విండ్‌షీల్డ్‌తో సింగిల్-సీట్ల ఓపెన్ కాక్‌పిట్, స్థిర ట్రైసైకిల్ ల్యాండింగ్ గేర్ మరియు పషర్ కాన్ఫిగరేషన్‌లో ఒకే ఇంజిన్ కలిగి ఉంది. [1] ఈ విమానం అల్యూమినియం గొట్టా"&amp;"ల నుండి తయారవుతుంది, దాని ఎగిరే ఉపరితలాలు డాక్రాన్ సెయిల్‌క్లాత్‌లో కప్పబడి ఉంటాయి. దాని 26.8 అడుగుల (8.2 మీ) స్పాన్ వింగ్ 124 చదరపు అడుగుల (11.5 మీ 2) విస్తీర్ణంలో ఉంది. దీని సిఫార్సు చేసిన ఇంజిన్ శక్తి శ్రేణి 28 నుండి 50 హెచ్‌పి (21 నుండి 37 కిలోవాట్); "&amp;"ఉపయోగించిన ప్రామాణిక ఇంజన్లు 50 HP (37 kW) రెండు-స్ట్రోక్ హిర్త్ F-23. నిర్మాణ సమయం 100 గంటలు అంచనా వేయబడింది. [1] డిసెంబర్ 2011 నాటికి, తయారీదారు పది విమానాలు పూర్తయ్యాయని మరియు ఎగిరిపోయాయని నివేదించారు. [1] కిట్‌ప్లాన్‌ల నుండి డేటా [1] సాధారణ లక్షణాల పన"&amp;"ితీరు")</f>
        <v>ఫ్రీడమ్ ఫీనిక్స్ 103 యొక్క రెక్కలు ఒక అమెరికన్ te త్సాహిక-నిర్మిత అల్ట్రాలైట్ విమానం, ఇది ఒహియోలోని హబ్బర్డ్ స్వేచ్ఛ యొక్క రెక్కల ద్వారా ఉత్పత్తి చేయబడింది. ఇది అందుబాటులో ఉన్నప్పుడు ఇది te త్సాహిక నిర్మాణానికి కిట్‌గా సరఫరా చేయబడింది. [1] 2019 చివరలో కంపెనీ వెబ్‌సైట్ తొలగించబడింది మరియు ఉత్పత్తి ముగిసినట్లు తెలుస్తోంది. [2] ఫీనిక్స్ 103 నిలిపివేయబడిన ఏరో-వర్క్స్ ఏరోలైట్ 103 పై ఆధారపడింది. ప్రామాణిక ఖాళీ బరువు 254 ఎల్బి (115 కిలోలు) తో, ఇది యుఎస్ ఫార్ 103 అల్ట్రాలైట్ వెహికల్స్ నిబంధనలకు అనుగుణంగా రూపొందించబడింది, వర్గం యొక్క గరిష్ట ఖాళీ బరువు 254 ఎల్బి (115 కిలోలు). ఇది స్ట్రట్-బ్రేస్డ్ హై-వింగ్, విండ్‌షీల్డ్‌తో సింగిల్-సీట్ల ఓపెన్ కాక్‌పిట్, స్థిర ట్రైసైకిల్ ల్యాండింగ్ గేర్ మరియు పషర్ కాన్ఫిగరేషన్‌లో ఒకే ఇంజిన్ కలిగి ఉంది. [1] ఈ విమానం అల్యూమినియం గొట్టాల నుండి తయారవుతుంది, దాని ఎగిరే ఉపరితలాలు డాక్రాన్ సెయిల్‌క్లాత్‌లో కప్పబడి ఉంటాయి. దాని 26.8 అడుగుల (8.2 మీ) స్పాన్ వింగ్ 124 చదరపు అడుగుల (11.5 మీ 2) విస్తీర్ణంలో ఉంది. దీని సిఫార్సు చేసిన ఇంజిన్ శక్తి శ్రేణి 28 నుండి 50 హెచ్‌పి (21 నుండి 37 కిలోవాట్); ఉపయోగించిన ప్రామాణిక ఇంజన్లు 50 HP (37 kW) రెండు-స్ట్రోక్ హిర్త్ F-23. నిర్మాణ సమయం 100 గంటలు అంచనా వేయబడింది. [1] డిసెంబర్ 2011 నాటికి, తయారీదారు పది విమానాలు పూర్తయ్యాయని మరియు ఎగిరిపోయాయని నివేదించారు. [1] కిట్‌ప్లాన్‌ల నుండి డేటా [1] సాధారణ లక్షణాల పనితీరు</v>
      </c>
      <c r="F185" s="1" t="s">
        <v>278</v>
      </c>
      <c r="G185" s="1" t="str">
        <f>IFERROR(__xludf.DUMMYFUNCTION("GOOGLETRANSLATE(F:F,""en"", ""te"")"),"Te త్సాహిక నిర్మించిన విమానం")</f>
        <v>Te త్సాహిక నిర్మించిన విమానం</v>
      </c>
      <c r="H185" s="1" t="s">
        <v>279</v>
      </c>
      <c r="I185" s="1" t="s">
        <v>158</v>
      </c>
      <c r="J185" s="1" t="str">
        <f>IFERROR(__xludf.DUMMYFUNCTION("GOOGLETRANSLATE(I:I,""en"", ""te"")"),"అమెరికా")</f>
        <v>అమెరికా</v>
      </c>
      <c r="K185" s="1" t="s">
        <v>159</v>
      </c>
      <c r="L185" s="1" t="s">
        <v>3321</v>
      </c>
      <c r="M185" s="1" t="str">
        <f>IFERROR(__xludf.DUMMYFUNCTION("GOOGLETRANSLATE(L:L,""en"", ""te"")"),"స్వేచ్ఛ యొక్క రెక్కలు")</f>
        <v>స్వేచ్ఛ యొక్క రెక్కలు</v>
      </c>
      <c r="N185" s="1" t="s">
        <v>3322</v>
      </c>
      <c r="P185" s="1" t="s">
        <v>3426</v>
      </c>
      <c r="Q185" s="1"/>
      <c r="S185" s="1" t="s">
        <v>164</v>
      </c>
      <c r="U185" s="1" t="s">
        <v>349</v>
      </c>
      <c r="W185" s="1" t="s">
        <v>3427</v>
      </c>
      <c r="X185" s="1" t="s">
        <v>3428</v>
      </c>
      <c r="Y185" s="1" t="s">
        <v>353</v>
      </c>
      <c r="Z185" s="1" t="s">
        <v>354</v>
      </c>
      <c r="AA185" s="1" t="s">
        <v>3429</v>
      </c>
      <c r="AB185" s="1" t="s">
        <v>2057</v>
      </c>
      <c r="AD185" s="1" t="s">
        <v>3369</v>
      </c>
      <c r="AE185" s="1" t="s">
        <v>2161</v>
      </c>
      <c r="AF185" s="1" t="s">
        <v>3430</v>
      </c>
      <c r="AH185" s="1" t="s">
        <v>3431</v>
      </c>
      <c r="AI185" s="1" t="s">
        <v>2916</v>
      </c>
      <c r="AK185" s="1" t="s">
        <v>3432</v>
      </c>
      <c r="AU185" s="1" t="s">
        <v>3433</v>
      </c>
      <c r="AV185" s="1" t="s">
        <v>3434</v>
      </c>
    </row>
    <row r="186">
      <c r="A186" s="1" t="s">
        <v>3435</v>
      </c>
      <c r="B186" s="1" t="str">
        <f>IFERROR(__xludf.DUMMYFUNCTION("GOOGLETRANSLATE(A:A,""en"", ""te"")"),"విట్టేమాన్-లూయిస్ ట్రైనింగ్ ట్రాక్టర్")</f>
        <v>విట్టేమాన్-లూయిస్ ట్రైనింగ్ ట్రాక్టర్</v>
      </c>
      <c r="C186" s="1" t="s">
        <v>3436</v>
      </c>
      <c r="D186" s="1" t="str">
        <f>IFERROR(__xludf.DUMMYFUNCTION("GOOGLETRANSLATE(C:C,""en"", ""te"")"),"విట్టేమాన్-లూయిస్ ట్రైనింగ్ ట్రాక్టర్ (కొన్నిసార్లు టి-టి అని పిలుస్తారు) అనేది విట్టేమాన్-లూయిస్ ఎయిర్క్రాఫ్ట్ కంపెనీ రూపొందించిన మరియు నిర్మించిన ఒక అమెరికన్ రెండు-సీట్ల సైనిక శిక్షణ బైప్‌లేన్. [1] [2] శిక్షణా ట్రాక్టర్ సైనిక శిక్షణా బిప్‌లేన్‌గా రూపొంద"&amp;"ించబడింది, సాంప్రదాయిక ట్రాక్టర్ బైప్‌లేన్ రెండు-ఓపెన్ కాక్‌పిట్‌లతో సమిష్టిగా ఉంటుంది. [1] ఇది ఒక చదరపు విభాగం ఫ్యూజ్‌లేజ్ మరియు టెయిల్‌స్కిడ్‌తో సాంప్రదాయిక ల్యాండింగ్ గేర్‌ను కలిగి ఉంది. [1] శిక్షణ ట్రాక్టర్ ముక్కులో అమర్చిన 70 హెచ్‌పి (52 కిలోవాట్ల) హ"&amp;"ాల్-స్కాట్ ఎ -7 ఇంజిన్ ద్వారా శక్తినిచ్చింది. [1] ఇది ఉత్పత్తిలోకి ఆదేశించబడలేదు. సాధారణ లక్షణాల పనితీరు 1910 ల విమానంలో ఈ వ్యాసం ఒక స్టబ్. వికీపీడియా విస్తరించడం ద్వారా మీరు సహాయపడవచ్చు.")</f>
        <v>విట్టేమాన్-లూయిస్ ట్రైనింగ్ ట్రాక్టర్ (కొన్నిసార్లు టి-టి అని పిలుస్తారు) అనేది విట్టేమాన్-లూయిస్ ఎయిర్క్రాఫ్ట్ కంపెనీ రూపొందించిన మరియు నిర్మించిన ఒక అమెరికన్ రెండు-సీట్ల సైనిక శిక్షణ బైప్‌లేన్. [1] [2] శిక్షణా ట్రాక్టర్ సైనిక శిక్షణా బిప్‌లేన్‌గా రూపొందించబడింది, సాంప్రదాయిక ట్రాక్టర్ బైప్‌లేన్ రెండు-ఓపెన్ కాక్‌పిట్‌లతో సమిష్టిగా ఉంటుంది. [1] ఇది ఒక చదరపు విభాగం ఫ్యూజ్‌లేజ్ మరియు టెయిల్‌స్కిడ్‌తో సాంప్రదాయిక ల్యాండింగ్ గేర్‌ను కలిగి ఉంది. [1] శిక్షణ ట్రాక్టర్ ముక్కులో అమర్చిన 70 హెచ్‌పి (52 కిలోవాట్ల) హాల్-స్కాట్ ఎ -7 ఇంజిన్ ద్వారా శక్తినిచ్చింది. [1] ఇది ఉత్పత్తిలోకి ఆదేశించబడలేదు. సాధారణ లక్షణాల పనితీరు 1910 ల విమానంలో ఈ వ్యాసం ఒక స్టబ్. వికీపీడియా విస్తరించడం ద్వారా మీరు సహాయపడవచ్చు.</v>
      </c>
      <c r="F186" s="1" t="s">
        <v>3437</v>
      </c>
      <c r="G186" s="1" t="str">
        <f>IFERROR(__xludf.DUMMYFUNCTION("GOOGLETRANSLATE(F:F,""en"", ""te"")"),"సైనిక శిక్షణ బిప్‌లేన్")</f>
        <v>సైనిక శిక్షణ బిప్‌లేన్</v>
      </c>
      <c r="H186" s="1" t="s">
        <v>3438</v>
      </c>
      <c r="I186" s="1" t="s">
        <v>158</v>
      </c>
      <c r="J186" s="1" t="str">
        <f>IFERROR(__xludf.DUMMYFUNCTION("GOOGLETRANSLATE(I:I,""en"", ""te"")"),"అమెరికా")</f>
        <v>అమెరికా</v>
      </c>
      <c r="L186" s="1" t="s">
        <v>3439</v>
      </c>
      <c r="M186" s="1" t="str">
        <f>IFERROR(__xludf.DUMMYFUNCTION("GOOGLETRANSLATE(L:L,""en"", ""te"")"),"విట్టేమాన్-లూయిస్ ఎయిర్క్రాఫ్ట్ కంపెనీ")</f>
        <v>విట్టేమాన్-లూయిస్ ఎయిర్క్రాఫ్ట్ కంపెనీ</v>
      </c>
      <c r="N186" s="1" t="s">
        <v>3440</v>
      </c>
      <c r="R186" s="1">
        <v>1.0</v>
      </c>
      <c r="S186" s="1">
        <v>2.0</v>
      </c>
      <c r="U186" s="1" t="s">
        <v>2833</v>
      </c>
      <c r="V186" s="1" t="s">
        <v>3441</v>
      </c>
      <c r="W186" s="1" t="s">
        <v>3442</v>
      </c>
      <c r="X186" s="1" t="s">
        <v>3443</v>
      </c>
      <c r="Y186" s="1" t="s">
        <v>3444</v>
      </c>
      <c r="AA186" s="1" t="s">
        <v>3445</v>
      </c>
      <c r="AD186" s="1" t="s">
        <v>467</v>
      </c>
      <c r="AH186" s="1" t="s">
        <v>3446</v>
      </c>
      <c r="AI186" s="1" t="s">
        <v>3447</v>
      </c>
      <c r="AO186" s="1">
        <v>1918.0</v>
      </c>
      <c r="AQ186" s="1" t="s">
        <v>3448</v>
      </c>
      <c r="AZ186" s="1" t="s">
        <v>3449</v>
      </c>
    </row>
    <row r="187">
      <c r="A187" s="1" t="s">
        <v>3450</v>
      </c>
      <c r="B187" s="1" t="str">
        <f>IFERROR(__xludf.DUMMYFUNCTION("GOOGLETRANSLATE(A:A,""en"", ""te"")"),"ఫావెల్ AV.36")</f>
        <v>ఫావెల్ AV.36</v>
      </c>
      <c r="C187" s="1" t="s">
        <v>3451</v>
      </c>
      <c r="D187" s="1" t="str">
        <f>IFERROR(__xludf.DUMMYFUNCTION("GOOGLETRANSLATE(C:C,""en"", ""te"")"),"ఫౌవెల్ AV.36 1950 లలో చార్లెస్ ఫావెల్ చేత ఫ్రాన్స్‌లో రూపొందించిన సింగిల్-సీట్ టైలెస్ గ్లైడర్. AV.36 లోని ""AV"" అంటే ఐలే వోలాంటే (ఫ్లయింగ్ వింగ్), ఇది నిజమైన ఫ్లయింగ్ వింగ్ కాదు: ఇది రెక్క యొక్క వెనుకంజలో ఉన్న అంచు నుండి వెనుకకు విస్తరించి ఉన్న స్టబ్బీ ట"&amp;"ైల్బూమ్‌లపై రెండు పెద్ద రెక్కలను కలిగి ఉంది మరియు పైలట్‌ను స్టబ్బీలో ఉంచారు ఫ్యూజ్‌లేజ్. ఈ విమానం రహదారి రవాణా కోసం త్వరగా విడదీయడానికి రూపొందించబడింది, ముక్కును వేరుచేయడం మరియు రెక్కల వెనుకంజలో ఉన్న అంచుకు వ్యతిరేకంగా రెక్కలు తిరిగి మడవగలవు. కొంచెం పొడవై"&amp;"న రెక్కలతో కూడిన శుద్ధి చేసిన సంస్కరణ, AV.361 1960 లో ప్రవేశపెట్టబడింది. AV.36 సులభంగా మోటరైజేషన్‌కు ఇచ్చింది, కొంతమంది బిల్డర్లు కాక్‌పిట్ పాడ్ వెనుక భాగంలో ఇంజిన్‌ను ఇన్‌స్టాల్ చేస్తారు, తోక మధ్య పషర్ ప్రొపెల్లర్ తిరగడం రెక్కలు, మరియు బోల్కో ఫ్యాక్టరీ ఈ"&amp;" కాన్ఫిగరేషన్‌లో కొన్ని విమానాలను AV.36 C11 గా తయారు చేసింది. AV.36 కోసం ప్రణాళికలు 1979 లో ఫౌవెల్ మరణించినప్పటి నుండి ఫ్రాన్స్‌లో అందుబాటులో లేవు, కానీ 2012 నాటికి [నవీకరణ] అవి ఇప్పటికీ అల్బెర్టాలోని ఎడ్మొంటన్‌కు చెందిన కెనడియన్ సరఫరాదారు ఫాల్కోనార్ ఏవియ"&amp;"ా నుండి అందుబాటులో ఉన్నాయి. [1] ప్రపంచంలోని సెయిల్‌ప్లేన్‌ల నుండి డేటా: డై సెగెల్ఫ్లుగ్జ్యూజ్ డెర్ వెల్ట్: లెస్ ప్లానర్స్ డు మోండే వాల్యూమ్ II [3] సాధారణ లక్షణాల పనితీరు పనితీరు, కాన్ఫిగరేషన్ మరియు యుగం ఫౌవెల్ AV.45 సంబంధిత జాబితాలు గ్లైడర్‌ల జాబితా")</f>
        <v>ఫౌవెల్ AV.36 1950 లలో చార్లెస్ ఫావెల్ చేత ఫ్రాన్స్‌లో రూపొందించిన సింగిల్-సీట్ టైలెస్ గ్లైడర్. AV.36 లోని "AV" అంటే ఐలే వోలాంటే (ఫ్లయింగ్ వింగ్), ఇది నిజమైన ఫ్లయింగ్ వింగ్ కాదు: ఇది రెక్క యొక్క వెనుకంజలో ఉన్న అంచు నుండి వెనుకకు విస్తరించి ఉన్న స్టబ్బీ టైల్బూమ్‌లపై రెండు పెద్ద రెక్కలను కలిగి ఉంది మరియు పైలట్‌ను స్టబ్బీలో ఉంచారు ఫ్యూజ్‌లేజ్. ఈ విమానం రహదారి రవాణా కోసం త్వరగా విడదీయడానికి రూపొందించబడింది, ముక్కును వేరుచేయడం మరియు రెక్కల వెనుకంజలో ఉన్న అంచుకు వ్యతిరేకంగా రెక్కలు తిరిగి మడవగలవు. కొంచెం పొడవైన రెక్కలతో కూడిన శుద్ధి చేసిన సంస్కరణ, AV.361 1960 లో ప్రవేశపెట్టబడింది. AV.36 సులభంగా మోటరైజేషన్‌కు ఇచ్చింది, కొంతమంది బిల్డర్లు కాక్‌పిట్ పాడ్ వెనుక భాగంలో ఇంజిన్‌ను ఇన్‌స్టాల్ చేస్తారు, తోక మధ్య పషర్ ప్రొపెల్లర్ తిరగడం రెక్కలు, మరియు బోల్కో ఫ్యాక్టరీ ఈ కాన్ఫిగరేషన్‌లో కొన్ని విమానాలను AV.36 C11 గా తయారు చేసింది. AV.36 కోసం ప్రణాళికలు 1979 లో ఫౌవెల్ మరణించినప్పటి నుండి ఫ్రాన్స్‌లో అందుబాటులో లేవు, కానీ 2012 నాటికి [నవీకరణ] అవి ఇప్పటికీ అల్బెర్టాలోని ఎడ్మొంటన్‌కు చెందిన కెనడియన్ సరఫరాదారు ఫాల్కోనార్ ఏవియా నుండి అందుబాటులో ఉన్నాయి. [1] ప్రపంచంలోని సెయిల్‌ప్లేన్‌ల నుండి డేటా: డై సెగెల్ఫ్లుగ్జ్యూజ్ డెర్ వెల్ట్: లెస్ ప్లానర్స్ డు మోండే వాల్యూమ్ II [3] సాధారణ లక్షణాల పనితీరు పనితీరు, కాన్ఫిగరేషన్ మరియు యుగం ఫౌవెల్ AV.45 సంబంధిత జాబితాలు గ్లైడర్‌ల జాబితా</v>
      </c>
      <c r="E187" s="1" t="s">
        <v>3452</v>
      </c>
      <c r="F187" s="1" t="s">
        <v>3453</v>
      </c>
      <c r="G187" s="1" t="str">
        <f>IFERROR(__xludf.DUMMYFUNCTION("GOOGLETRANSLATE(F:F,""en"", ""te"")"),"ఫ్లయింగ్ వింగ్ గ్లైడర్")</f>
        <v>ఫ్లయింగ్ వింగ్ గ్లైడర్</v>
      </c>
      <c r="L187" s="1" t="s">
        <v>3454</v>
      </c>
      <c r="M187" s="1" t="str">
        <f>IFERROR(__xludf.DUMMYFUNCTION("GOOGLETRANSLATE(L:L,""en"", ""te"")"),"హోమ్‌బిల్ట్")</f>
        <v>హోమ్‌బిల్ట్</v>
      </c>
      <c r="N187" s="2" t="s">
        <v>3455</v>
      </c>
      <c r="R187" s="1" t="s">
        <v>3456</v>
      </c>
      <c r="S187" s="1">
        <v>1.0</v>
      </c>
      <c r="U187" s="1" t="s">
        <v>3457</v>
      </c>
      <c r="V187" s="1" t="s">
        <v>3458</v>
      </c>
      <c r="W187" s="1" t="s">
        <v>3459</v>
      </c>
      <c r="X187" s="1" t="s">
        <v>3460</v>
      </c>
      <c r="Y187" s="1" t="s">
        <v>3461</v>
      </c>
      <c r="AC187" s="1" t="s">
        <v>3462</v>
      </c>
      <c r="AF187" s="1" t="s">
        <v>3463</v>
      </c>
      <c r="AG187" s="1" t="s">
        <v>208</v>
      </c>
      <c r="AH187" s="1" t="s">
        <v>3464</v>
      </c>
      <c r="AI187" s="1" t="s">
        <v>3465</v>
      </c>
      <c r="AJ187" s="1" t="s">
        <v>205</v>
      </c>
      <c r="AM187" s="1" t="s">
        <v>3466</v>
      </c>
      <c r="AN187" s="1" t="s">
        <v>3467</v>
      </c>
      <c r="AO187" s="7">
        <v>18993.0</v>
      </c>
      <c r="AT187" s="1" t="s">
        <v>3468</v>
      </c>
      <c r="AW187" s="1" t="s">
        <v>3469</v>
      </c>
      <c r="BB187" s="1" t="s">
        <v>3470</v>
      </c>
      <c r="BD187" s="1">
        <v>11.4</v>
      </c>
      <c r="BE187" s="1" t="s">
        <v>3471</v>
      </c>
      <c r="CD187" s="1" t="s">
        <v>3472</v>
      </c>
      <c r="EY187" s="1" t="s">
        <v>3473</v>
      </c>
      <c r="EZ187" s="1" t="s">
        <v>3474</v>
      </c>
      <c r="FA187" s="1" t="s">
        <v>3475</v>
      </c>
      <c r="FB187" s="1" t="s">
        <v>3476</v>
      </c>
    </row>
    <row r="188">
      <c r="A188" s="1" t="s">
        <v>3477</v>
      </c>
      <c r="B188" s="1" t="str">
        <f>IFERROR(__xludf.DUMMYFUNCTION("GOOGLETRANSLATE(A:A,""en"", ""te"")"),"తులిన్ FA")</f>
        <v>తులిన్ FA</v>
      </c>
      <c r="C188" s="1" t="s">
        <v>3478</v>
      </c>
      <c r="D188" s="1" t="str">
        <f>IFERROR(__xludf.DUMMYFUNCTION("GOOGLETRANSLATE(C:C,""en"", ""te"")"),"థులిన్ FA అనేది 1910 ల చివరలో నిర్మించిన స్వీడిష్ నిఘా విమానం. థులిన్ ఫా రెండు సీట్ల బిప్‌లేన్, ఫ్యూజ్‌లేజ్ దిగువన దిగువ రెక్కలు అమర్చబడి ఉంటాయి. అప్పర్ వింగ్‌కు నాలుగు వింగ్ స్ట్రట్స్ మరియు ఫ్యూజ్‌లేజ్ నుండి రెండు వి-ఆకారపు మద్దతు ఉన్నాయి. ఎగువ రెక్కలు మ"&amp;"ాత్రమే ఐలెరాన్‌లతో అమర్చారు. ఫ్యూజ్‌లేజ్‌కు అప్పర్ వింగ్ కింద రెండు ఓపెన్ కాక్‌పిట్‌లు అందించబడ్డాయి. చక్రాల భూమిని ఎత్తు నాబ్ (??) కింద స్పర్ స్ప్రింగ్‌తో పరిష్కరించారు. FA రకం ప్రత్యామ్నాయంగా నీటి ఆపరేషన్ కోసం ఫ్లోట్లను కలిగి ఉంది. ఎనిమిది రకం FA ఎయిర్‌"&amp;"ఫ్రేమ్‌లు నిర్మించబడ్డాయి, ఏడు బెంజ్ BZ.III తో మరియు ఎనిమిదవ థులిన్ డి రోటరీ ఇంజిన్‌తో. 1919 చివరి నాటికి మూడు ప్రమాదాలలో నాశనం చేయబడ్డాయి. [1] సాధారణ లక్షణాల నుండి డేటా పనితీరు ఆయుధ సంబంధిత జాబితాలు")</f>
        <v>థులిన్ FA అనేది 1910 ల చివరలో నిర్మించిన స్వీడిష్ నిఘా విమానం. థులిన్ ఫా రెండు సీట్ల బిప్‌లేన్, ఫ్యూజ్‌లేజ్ దిగువన దిగువ రెక్కలు అమర్చబడి ఉంటాయి. అప్పర్ వింగ్‌కు నాలుగు వింగ్ స్ట్రట్స్ మరియు ఫ్యూజ్‌లేజ్ నుండి రెండు వి-ఆకారపు మద్దతు ఉన్నాయి. ఎగువ రెక్కలు మాత్రమే ఐలెరాన్‌లతో అమర్చారు. ఫ్యూజ్‌లేజ్‌కు అప్పర్ వింగ్ కింద రెండు ఓపెన్ కాక్‌పిట్‌లు అందించబడ్డాయి. చక్రాల భూమిని ఎత్తు నాబ్ (??) కింద స్పర్ స్ప్రింగ్‌తో పరిష్కరించారు. FA రకం ప్రత్యామ్నాయంగా నీటి ఆపరేషన్ కోసం ఫ్లోట్లను కలిగి ఉంది. ఎనిమిది రకం FA ఎయిర్‌ఫ్రేమ్‌లు నిర్మించబడ్డాయి, ఏడు బెంజ్ BZ.III తో మరియు ఎనిమిదవ థులిన్ డి రోటరీ ఇంజిన్‌తో. 1919 చివరి నాటికి మూడు ప్రమాదాలలో నాశనం చేయబడ్డాయి. [1] సాధారణ లక్షణాల నుండి డేటా పనితీరు ఆయుధ సంబంధిత జాబితాలు</v>
      </c>
      <c r="E188" s="1" t="s">
        <v>3479</v>
      </c>
      <c r="F188" s="1" t="s">
        <v>2317</v>
      </c>
      <c r="G188" s="1" t="str">
        <f>IFERROR(__xludf.DUMMYFUNCTION("GOOGLETRANSLATE(F:F,""en"", ""te"")"),"నిఘా విమానం")</f>
        <v>నిఘా విమానం</v>
      </c>
      <c r="L188" s="1" t="s">
        <v>3416</v>
      </c>
      <c r="M188" s="1" t="str">
        <f>IFERROR(__xludf.DUMMYFUNCTION("GOOGLETRANSLATE(L:L,""en"", ""te"")"),"అబ్ థిన్వెన్వెర్కెన్")</f>
        <v>అబ్ థిన్వెన్వెర్కెన్</v>
      </c>
      <c r="N188" s="1" t="s">
        <v>3417</v>
      </c>
      <c r="R188" s="1">
        <v>8.0</v>
      </c>
      <c r="S188" s="1">
        <v>2.0</v>
      </c>
      <c r="U188" s="1" t="s">
        <v>3480</v>
      </c>
      <c r="V188" s="1" t="s">
        <v>2554</v>
      </c>
      <c r="W188" s="1" t="s">
        <v>3481</v>
      </c>
      <c r="Y188" s="1" t="s">
        <v>3482</v>
      </c>
      <c r="AA188" s="1" t="s">
        <v>3483</v>
      </c>
      <c r="AB188" s="1" t="s">
        <v>1600</v>
      </c>
      <c r="AH188" s="1" t="s">
        <v>3484</v>
      </c>
      <c r="AM188" s="1" t="s">
        <v>3485</v>
      </c>
      <c r="AN188" s="1" t="s">
        <v>3486</v>
      </c>
      <c r="AO188" s="4">
        <v>6792.0</v>
      </c>
      <c r="AQ188" s="1" t="s">
        <v>2089</v>
      </c>
      <c r="AR188" s="1" t="s">
        <v>3487</v>
      </c>
      <c r="BA188" s="1" t="s">
        <v>3488</v>
      </c>
      <c r="BR188" s="1" t="s">
        <v>3489</v>
      </c>
    </row>
    <row r="189">
      <c r="A189" s="1" t="s">
        <v>3490</v>
      </c>
      <c r="B189" s="1" t="str">
        <f>IFERROR(__xludf.DUMMYFUNCTION("GOOGLETRANSLATE(A:A,""en"", ""te"")"),"రైట్ XF3W అపాచీ")</f>
        <v>రైట్ XF3W అపాచీ</v>
      </c>
      <c r="C189" s="1" t="s">
        <v>3491</v>
      </c>
      <c r="D189" s="1" t="str">
        <f>IFERROR(__xludf.DUMMYFUNCTION("GOOGLETRANSLATE(C:C,""en"", ""te"")"),"రైట్ XF3W అనేది యునైటెడ్ స్టేట్స్ నేవీ కోసం రైట్ ఏరోనాటికల్ నిర్మించిన ఒక అమెరికన్ రేసింగ్ విమానం. యు.ఎస్. నేవీ రేడియల్ ఇంజిన్లకు తన ప్రాధాన్యతను ప్రకటించిన తరువాత, రైట్ పి -1 సిమూన్‌ను అభివృద్ధి చేశాడు. ఇంజిన్‌ను ప్రదర్శించడానికి, F3W దానిని తీసుకువెళ్ళడ"&amp;"ానికి రూపొందించబడింది. F3W సింగిల్-సీట్ల బిప్‌లేన్, స్టీల్ ట్యూబింగ్ ఫ్యూజ్‌లేజ్ మరియు కలప రెక్కలు, బట్టతో కప్పబడి ఉంటాయి. క్యారియర్-ఆధారిత ఫైటర్ మరియు సిమున్ ఇంజిన్ చేత శక్తినిచ్చేలా రూపొందించబడింది, దాని పనితీరు పేలవంగా ఉంది. నేవీ విమానం యొక్క డెలివరీని"&amp;" తీసుకున్న తరువాత, వారు ప్రత్యర్థి సంస్థ యొక్క ఇంజిన్, ప్రాట్ &amp; విట్నీ R-1340 రేడియల్ ను వ్యవస్థాపించారు. ఈ విమానం XF3W ను పున es రూపకల్పన చేసింది మరియు 5 మే 1926 న మొదటిసారి కొత్త ఇంజిన్‌తో ప్రయాణించింది. [1] నేవీ 1930 వరకు ప్రాట్ &amp; విట్నీ ఇంజిన్ కోసం XF"&amp;"3W ను టెస్ట్ బెడ్‌గా ఉపయోగించింది, ఈ సమయంలో విమానం అనేక రికార్డులను సృష్టించింది. 6 సెప్టెంబర్ 1926 న, XF3W 38,500 అడుగుల (11,700 మీ) సీప్లేన్ల కోసం ప్రపంచ ఎత్తు రికార్డును నెలకొల్పింది. 6 ఏప్రిల్ 1930 న, ఇది 43,166 అడుగుల (13,157 మీ) ల్యాండ్‌ప్లేన్ ఆల్టి"&amp;"ట్యూడ్ రికార్డును నెలకొల్పింది. యుద్ధనౌకలపై ఫ్లోట్‌ప్లేన్‌లను బేసింగ్ చేసే భావనను అంచనా వేయడానికి XF3W ఒకే సెంట్రెలైన్ ఫ్లోట్‌తో అమర్చబడింది. [2] ఏంజెకి నుండి డేటా, 1987. పే. 462. [1] వికీమీడియా కామన్స్ వద్ద రైట్ XF3W అపాచీకి సంబంధించిన సాధారణ లక్షణాలు పన"&amp;"ితీరు మీడియా")</f>
        <v>రైట్ XF3W అనేది యునైటెడ్ స్టేట్స్ నేవీ కోసం రైట్ ఏరోనాటికల్ నిర్మించిన ఒక అమెరికన్ రేసింగ్ విమానం. యు.ఎస్. నేవీ రేడియల్ ఇంజిన్లకు తన ప్రాధాన్యతను ప్రకటించిన తరువాత, రైట్ పి -1 సిమూన్‌ను అభివృద్ధి చేశాడు. ఇంజిన్‌ను ప్రదర్శించడానికి, F3W దానిని తీసుకువెళ్ళడానికి రూపొందించబడింది. F3W సింగిల్-సీట్ల బిప్‌లేన్, స్టీల్ ట్యూబింగ్ ఫ్యూజ్‌లేజ్ మరియు కలప రెక్కలు, బట్టతో కప్పబడి ఉంటాయి. క్యారియర్-ఆధారిత ఫైటర్ మరియు సిమున్ ఇంజిన్ చేత శక్తినిచ్చేలా రూపొందించబడింది, దాని పనితీరు పేలవంగా ఉంది. నేవీ విమానం యొక్క డెలివరీని తీసుకున్న తరువాత, వారు ప్రత్యర్థి సంస్థ యొక్క ఇంజిన్, ప్రాట్ &amp; విట్నీ R-1340 రేడియల్ ను వ్యవస్థాపించారు. ఈ విమానం XF3W ను పున es రూపకల్పన చేసింది మరియు 5 మే 1926 న మొదటిసారి కొత్త ఇంజిన్‌తో ప్రయాణించింది. [1] నేవీ 1930 వరకు ప్రాట్ &amp; విట్నీ ఇంజిన్ కోసం XF3W ను టెస్ట్ బెడ్‌గా ఉపయోగించింది, ఈ సమయంలో విమానం అనేక రికార్డులను సృష్టించింది. 6 సెప్టెంబర్ 1926 న, XF3W 38,500 అడుగుల (11,700 మీ) సీప్లేన్ల కోసం ప్రపంచ ఎత్తు రికార్డును నెలకొల్పింది. 6 ఏప్రిల్ 1930 న, ఇది 43,166 అడుగుల (13,157 మీ) ల్యాండ్‌ప్లేన్ ఆల్టిట్యూడ్ రికార్డును నెలకొల్పింది. యుద్ధనౌకలపై ఫ్లోట్‌ప్లేన్‌లను బేసింగ్ చేసే భావనను అంచనా వేయడానికి XF3W ఒకే సెంట్రెలైన్ ఫ్లోట్‌తో అమర్చబడింది. [2] ఏంజెకి నుండి డేటా, 1987. పే. 462. [1] వికీమీడియా కామన్స్ వద్ద రైట్ XF3W అపాచీకి సంబంధించిన సాధారణ లక్షణాలు పనితీరు మీడియా</v>
      </c>
      <c r="E189" s="1" t="s">
        <v>3492</v>
      </c>
      <c r="F189" s="1" t="s">
        <v>3493</v>
      </c>
      <c r="G189" s="1" t="str">
        <f>IFERROR(__xludf.DUMMYFUNCTION("GOOGLETRANSLATE(F:F,""en"", ""te"")"),"రేసర్")</f>
        <v>రేసర్</v>
      </c>
      <c r="I189" s="1" t="s">
        <v>158</v>
      </c>
      <c r="J189" s="1" t="str">
        <f>IFERROR(__xludf.DUMMYFUNCTION("GOOGLETRANSLATE(I:I,""en"", ""te"")"),"అమెరికా")</f>
        <v>అమెరికా</v>
      </c>
      <c r="K189" s="1" t="s">
        <v>159</v>
      </c>
      <c r="L189" s="1" t="s">
        <v>3494</v>
      </c>
      <c r="M189" s="1" t="str">
        <f>IFERROR(__xludf.DUMMYFUNCTION("GOOGLETRANSLATE(L:L,""en"", ""te"")"),"రైట్ ఏరోనాటికల్")</f>
        <v>రైట్ ఏరోనాటికల్</v>
      </c>
      <c r="N189" s="1" t="s">
        <v>3495</v>
      </c>
      <c r="R189" s="1">
        <v>1.0</v>
      </c>
      <c r="S189" s="1">
        <v>1.0</v>
      </c>
      <c r="U189" s="1" t="s">
        <v>3496</v>
      </c>
      <c r="V189" s="1" t="s">
        <v>3497</v>
      </c>
      <c r="W189" s="1" t="s">
        <v>3498</v>
      </c>
      <c r="X189" s="1" t="s">
        <v>3499</v>
      </c>
      <c r="Y189" s="1" t="s">
        <v>3500</v>
      </c>
      <c r="AA189" s="1" t="s">
        <v>3501</v>
      </c>
      <c r="AH189" s="1" t="s">
        <v>3502</v>
      </c>
      <c r="AL189" s="1" t="s">
        <v>3503</v>
      </c>
      <c r="AO189" s="1" t="s">
        <v>3504</v>
      </c>
      <c r="AQ189" s="1" t="s">
        <v>3505</v>
      </c>
    </row>
    <row r="190">
      <c r="A190" s="1" t="s">
        <v>3506</v>
      </c>
      <c r="B190" s="1" t="str">
        <f>IFERROR(__xludf.DUMMYFUNCTION("GOOGLETRANSLATE(A:A,""en"", ""te"")"),"యునీక్ ఇంటర్నేషనల్ ఎవివా")</f>
        <v>యునీక్ ఇంటర్నేషనల్ ఎవివా</v>
      </c>
      <c r="C190" s="1" t="s">
        <v>3507</v>
      </c>
      <c r="D190" s="1" t="str">
        <f>IFERROR(__xludf.DUMMYFUNCTION("GOOGLETRANSLATE(C:C,""en"", ""te"")"),"యునీక్ ఎవివా ఒక చైనీస్ లో-వింగ్, రెండు-సీట్ల మోటార్ గ్లైడర్, దీనిని మార్టిన్ వెజెల్ రూపొందించారు, ఇప్పుడు జియాంగ్సులోని కున్షాన్ యొక్క యునీక్ ఇంటర్నేషనల్ అభివృద్ధిలో ఉంది. [1] ఈవివాను మొదట మార్టిన్ వెజెల్ చెక్ కంపెనీ కంపోజిట్‌తో కలిసి రూపొందించారు మరియు మ"&amp;"ొదట్లో 50 హెచ్‌పి (37 కిలోవాట్ల) రోటాక్స్ 503 టూ-స్ట్రోక్ లేదా 60 హెచ్‌పి (45 కిలోవాట్) హెచ్‌కెఎస్ 700 ఇ ఫోర్-స్ట్రోక్ పవర్‌ప్లాంట్ చేత శక్తిని పొందటానికి ఉద్దేశించబడింది. ఈ డిజైన్‌ను యునీక్ కొనుగోలు చేసింది, అభివృద్ధి చైనాకు మార్చబడింది మరియు విమానం విద్"&amp;"యుత్ శక్తి కోసం స్వీకరించబడింది. [1] ఈ విమానం ఫెడెరేషన్ ఏరోనటిక్ ఇంటర్నేషనల్ మైక్రోలైట్ నిబంధనలకు అనుగుణంగా రూపొందించబడింది. ఇది ఒక కాంటిలివర్ వింగ్, టి-టెయిల్, బబుల్ పందిరి కింద రెండు-సైడ్-సైడ్-సైడ్ కాన్ఫిగరేషన్ పరివేష్టిత కాక్‌పిట్, వింగ్ చిట్కా మరియు త"&amp;"ోక కాస్టర్‌లతో ముడుచుకునే మోనోహీల్ గేర్ మరియు ట్రాక్టర్ కాన్ఫిగరేషన్ డ్రైవింగ్ లో ఒకే ఎలక్ట్రిక్ మోటారును కలిగి ఉంది. మడత ప్రొపెల్లర్. [1] విమానం మిశ్రమాల నుండి తయారవుతుంది. దీని 17 మీ (55.8 అడుగులు) స్పాన్ వింగ్ 14.2 మీ 2 (153 చదరపు అడుగులు) మరియు అప్పర్"&amp;" వింగ్ టెలిస్కోపిక్ ఎయిర్ బ్రేక్‌తో పాటు ఫ్లాప్‌లను కలిగి ఉంది. వింగ్ వెజెల్ అపిస్ 2 వింగ్ నుండి తీసుకోబడింది. అమర్చిన ప్రామాణిక ఇంజిన్ 40 కిలోవాట్ మొత్తం). ఇంజిన్ బరువు 23 కిలోలు (51 ఎల్బి), కంట్రోలర్ 7 కిలోల (15 ఎల్బి) మరియు బ్యాటరీలు మొత్తం 67 కిలోల (1"&amp;"48 ఎల్బి) బరువు కలిగి ఉంటాయి. ప్రొపెల్లర్ ఉపయోగంలో లేనప్పుడు ఇంజిన్ శీతలీకరణ గుంటల్లోకి వెనుకకు మడతపెడుతుంది మరియు ఇంజిన్ ప్రారంభంలో స్వయంచాలకంగా అమలు చేస్తుంది. బ్యాటరీలు యునీక్ ఇ-ఛార్జర్ చేత ఛార్జ్ చేయబడతాయి, ఇవి 110-240 వోల్ట్లలో నడుస్తాయి మరియు 3-4 గం"&amp;"టల్లో ఛార్జ్ చేయగలవు. ఈ విమానం బాలిస్టిక్ రికవరీ సిస్టమ్స్ బాలిస్టిక్ పారాచూట్ [1] [2] వరల్డ్ డైరెక్టరీ ఆఫ్ లీజర్ ఏవియేషన్ 2011-12 మరియు యునీక్ [1] [2] సాధారణ లక్షణాల పనితీరును కలిగి ఉంటుంది")</f>
        <v>యునీక్ ఎవివా ఒక చైనీస్ లో-వింగ్, రెండు-సీట్ల మోటార్ గ్లైడర్, దీనిని మార్టిన్ వెజెల్ రూపొందించారు, ఇప్పుడు జియాంగ్సులోని కున్షాన్ యొక్క యునీక్ ఇంటర్నేషనల్ అభివృద్ధిలో ఉంది. [1] ఈవివాను మొదట మార్టిన్ వెజెల్ చెక్ కంపెనీ కంపోజిట్‌తో కలిసి రూపొందించారు మరియు మొదట్లో 50 హెచ్‌పి (37 కిలోవాట్ల) రోటాక్స్ 503 టూ-స్ట్రోక్ లేదా 60 హెచ్‌పి (45 కిలోవాట్) హెచ్‌కెఎస్ 700 ఇ ఫోర్-స్ట్రోక్ పవర్‌ప్లాంట్ చేత శక్తిని పొందటానికి ఉద్దేశించబడింది. ఈ డిజైన్‌ను యునీక్ కొనుగోలు చేసింది, అభివృద్ధి చైనాకు మార్చబడింది మరియు విమానం విద్యుత్ శక్తి కోసం స్వీకరించబడింది. [1] ఈ విమానం ఫెడెరేషన్ ఏరోనటిక్ ఇంటర్నేషనల్ మైక్రోలైట్ నిబంధనలకు అనుగుణంగా రూపొందించబడింది. ఇది ఒక కాంటిలివర్ వింగ్, టి-టెయిల్, బబుల్ పందిరి కింద రెండు-సైడ్-సైడ్-సైడ్ కాన్ఫిగరేషన్ పరివేష్టిత కాక్‌పిట్, వింగ్ చిట్కా మరియు తోక కాస్టర్‌లతో ముడుచుకునే మోనోహీల్ గేర్ మరియు ట్రాక్టర్ కాన్ఫిగరేషన్ డ్రైవింగ్ లో ఒకే ఎలక్ట్రిక్ మోటారును కలిగి ఉంది. మడత ప్రొపెల్లర్. [1] విమానం మిశ్రమాల నుండి తయారవుతుంది. దీని 17 మీ (55.8 అడుగులు) స్పాన్ వింగ్ 14.2 మీ 2 (153 చదరపు అడుగులు) మరియు అప్పర్ వింగ్ టెలిస్కోపిక్ ఎయిర్ బ్రేక్‌తో పాటు ఫ్లాప్‌లను కలిగి ఉంది. వింగ్ వెజెల్ అపిస్ 2 వింగ్ నుండి తీసుకోబడింది. అమర్చిన ప్రామాణిక ఇంజిన్ 40 కిలోవాట్ మొత్తం). ఇంజిన్ బరువు 23 కిలోలు (51 ఎల్బి), కంట్రోలర్ 7 కిలోల (15 ఎల్బి) మరియు బ్యాటరీలు మొత్తం 67 కిలోల (148 ఎల్బి) బరువు కలిగి ఉంటాయి. ప్రొపెల్లర్ ఉపయోగంలో లేనప్పుడు ఇంజిన్ శీతలీకరణ గుంటల్లోకి వెనుకకు మడతపెడుతుంది మరియు ఇంజిన్ ప్రారంభంలో స్వయంచాలకంగా అమలు చేస్తుంది. బ్యాటరీలు యునీక్ ఇ-ఛార్జర్ చేత ఛార్జ్ చేయబడతాయి, ఇవి 110-240 వోల్ట్లలో నడుస్తాయి మరియు 3-4 గంటల్లో ఛార్జ్ చేయగలవు. ఈ విమానం బాలిస్టిక్ రికవరీ సిస్టమ్స్ బాలిస్టిక్ పారాచూట్ [1] [2] వరల్డ్ డైరెక్టరీ ఆఫ్ లీజర్ ఏవియేషన్ 2011-12 మరియు యునీక్ [1] [2] సాధారణ లక్షణాల పనితీరును కలిగి ఉంటుంది</v>
      </c>
      <c r="E190" s="1" t="s">
        <v>3508</v>
      </c>
      <c r="F190" s="1" t="s">
        <v>3509</v>
      </c>
      <c r="G190" s="1" t="str">
        <f>IFERROR(__xludf.DUMMYFUNCTION("GOOGLETRANSLATE(F:F,""en"", ""te"")"),"ఎలక్ట్రిక్ మోటార్ గ్లైడర్")</f>
        <v>ఎలక్ట్రిక్ మోటార్ గ్లైడర్</v>
      </c>
      <c r="H190" s="1" t="s">
        <v>3510</v>
      </c>
      <c r="I190" s="1" t="s">
        <v>193</v>
      </c>
      <c r="J190" s="1" t="str">
        <f>IFERROR(__xludf.DUMMYFUNCTION("GOOGLETRANSLATE(I:I,""en"", ""te"")"),"చైనా")</f>
        <v>చైనా</v>
      </c>
      <c r="K190" s="2" t="s">
        <v>194</v>
      </c>
      <c r="L190" s="1" t="s">
        <v>3511</v>
      </c>
      <c r="M190" s="1" t="str">
        <f>IFERROR(__xludf.DUMMYFUNCTION("GOOGLETRANSLATE(L:L,""en"", ""te"")"),"యునీక్ ఇంటర్నేషనల్")</f>
        <v>యునీక్ ఇంటర్నేషనల్</v>
      </c>
      <c r="N190" s="1" t="s">
        <v>3512</v>
      </c>
      <c r="P190" s="1" t="s">
        <v>3513</v>
      </c>
      <c r="Q190" s="1"/>
      <c r="R190" s="1" t="s">
        <v>3514</v>
      </c>
      <c r="S190" s="1" t="s">
        <v>164</v>
      </c>
      <c r="T190" s="1" t="s">
        <v>165</v>
      </c>
      <c r="U190" s="1" t="s">
        <v>198</v>
      </c>
      <c r="V190" s="1" t="s">
        <v>3515</v>
      </c>
      <c r="W190" s="1" t="s">
        <v>3516</v>
      </c>
      <c r="X190" s="1" t="s">
        <v>3517</v>
      </c>
      <c r="Y190" s="1" t="s">
        <v>1171</v>
      </c>
      <c r="AA190" s="1" t="s">
        <v>3518</v>
      </c>
      <c r="AB190" s="1" t="s">
        <v>2160</v>
      </c>
      <c r="AC190" s="1">
        <v>38.0</v>
      </c>
      <c r="AE190" s="1" t="s">
        <v>3519</v>
      </c>
      <c r="AF190" s="1" t="s">
        <v>3520</v>
      </c>
      <c r="AH190" s="1" t="s">
        <v>3521</v>
      </c>
      <c r="AI190" s="1" t="s">
        <v>3522</v>
      </c>
      <c r="AJ190" s="1" t="s">
        <v>3523</v>
      </c>
      <c r="AM190" s="1" t="s">
        <v>3524</v>
      </c>
      <c r="AQ190" s="1" t="s">
        <v>2275</v>
      </c>
      <c r="AZ190" s="1" t="s">
        <v>3525</v>
      </c>
      <c r="BB190" s="1" t="s">
        <v>3526</v>
      </c>
    </row>
    <row r="191">
      <c r="A191" s="1" t="s">
        <v>3527</v>
      </c>
      <c r="B191" s="1" t="str">
        <f>IFERROR(__xludf.DUMMYFUNCTION("GOOGLETRANSLATE(A:A,""en"", ""te"")"),"జెనైర్ సిహెచ్ 150")</f>
        <v>జెనైర్ సిహెచ్ 150</v>
      </c>
      <c r="C191" s="1" t="s">
        <v>3528</v>
      </c>
      <c r="D191" s="1" t="str">
        <f>IFERROR(__xludf.DUMMYFUNCTION("GOOGLETRANSLATE(C:C,""en"", ""te"")"),"జెనిత్ సిహెచ్ 150 అక్రో జెనిత్ కెనడియన్ సింగిల్-ఇంజిన్, తక్కువ వింగ్, క్రిస్ హీంట్జ్ రూపొందించిన ఆల్-అల్యూమినియం విమానం మరియు te త్సాహిక నిర్మాణం కోసం కిట్ రూపంలో జెనైర్ నిర్మించింది. ఈ విమానం ఏరోబాటిక్ ఉపయోగం కోసం ఉద్దేశించబడింది మరియు 1980 లో ప్రయోగాత్మ"&amp;"క ఎయిర్క్రాఫ్ట్ అసోసియేషన్ కన్వెన్షన్‌లో ప్రవేశపెట్టబడింది. [1] [2] ఇతర పరిమితులు లేకుండా, ఏరోబాటిక్స్ కోసం రవాణా కెనడా ప్రత్యేకంగా ఆమోదించబడిన ఆరు te త్సాహిక-నిర్మిత విమాన రకాల్లో CH 150 ఒకటి. [3] కెనడాకు వలస వచ్చిన తరువాత మరియు తన జెనిత్ రెండు సీట్-లైట్"&amp;" విమానాల te త్సాహిక నిర్మాణానికి ప్రణాళికలు మరియు వస్తు సామగ్రిని విక్రయించడానికి జెనెయిర్‌ను ఏర్పాటు చేసిన తరువాత, జర్మన్ విమాన డిజైనర్ క్రిస్ హీంట్జ్ జెనిత్ యొక్క చిన్న, ఒకే సీటు అభివృద్ధి రూపకల్పనను ప్రారంభించాడు, జెనెయిర్ సిహెచ్ 100 మోనో- జెనిత్. మొట్"&amp;"టమొదటి CH 100 తన తొలి విమానంలో 8 మే 1975 న, 55 HP (41 kW) వోక్స్వ్యాగన్ ఎయిర్-కూల్డ్ ఇంజిన్ 1600 CC. [4] హీంట్జ్ మోనో-జెనిత్‌ను ఏరోబాటిక్ శిక్షణ మరియు పోటీ ఎగిరే, ఫలితంగా వచ్చిన విమానం, సిహెచ్ 150 అక్రో-జెనిత్ 19 1980 న తొలి విమాన ప్రయాణానికి ఒకే-సీట్ల వి"&amp;"మానాన్ని అభివృద్ధి చేయడానికి ఒక ప్రారంభ బిందువుగా ఉపయోగించాడు. ఇది శక్తితో రూపొందించబడింది 100–180 హెచ్‌పి (75–134 కిలోవాట్) మధ్య ఇంజన్లు మరియు మునుపటి విమానం యొక్క నోస్‌వీల్ అండర్ క్యారేజీకి బదులుగా టెయిల్‌వీల్ అండర్ క్యారేజ్ ఉన్నాయి. [4] జెనెయిర్ 1988 వ"&amp;"రకు కిట్లను ఉత్పత్తి చేస్తూనే ఉంది. [5] 1983 ప్రకటనలో జెనెయిర్ CH150 యొక్క రూపకల్పన లక్ష్యాలను వివరించింది: ఏరోబాటిక్స్లో తీవ్రమైన విద్యార్థికి దండి చిన్న విమానం. అక్రో జెనిత్ నేర్చుకోవడం మరియు పోటీకి బలం కలిగి ఉంది (+/- 12 జి). నియంత్రణలపై కాంతి మరియు ఎగ"&amp;"రడానికి అందంగా ఉంది. ఇది ఎలా ఉత్తమంగా చేస్తుందో కనుగొనండి - లేడీ ఫ్లైయర్స్ ముఖ్యంగా దాని రోల్ మరియు పిచ్ శక్తులను చేతుల్లో సులభంగా కనుగొంటుంది. అన్ని ఏరోబాటిక్ విన్యాసాలకు ఆమోదించబడింది - పూర్తిగా విలోమ వ్యవస్థ. ఏదైనా ఏరోబాటిక్ పైలట్‌కు అద్భుతమైన చవకైన ఎగ"&amp;"ిరే ఇవ్వడానికి 115 నుండి 180 హెచ్‌పి వరకు ఇంజిన్‌లకు అనుకూలం. [2] జేన్ యొక్క అన్ని ప్రపంచ విమానాల నుండి డేటా 1982–83 [4] సాధారణ లక్షణాల పనితీరు సంబంధిత అభివృద్ధి")</f>
        <v>జెనిత్ సిహెచ్ 150 అక్రో జెనిత్ కెనడియన్ సింగిల్-ఇంజిన్, తక్కువ వింగ్, క్రిస్ హీంట్జ్ రూపొందించిన ఆల్-అల్యూమినియం విమానం మరియు te త్సాహిక నిర్మాణం కోసం కిట్ రూపంలో జెనైర్ నిర్మించింది. ఈ విమానం ఏరోబాటిక్ ఉపయోగం కోసం ఉద్దేశించబడింది మరియు 1980 లో ప్రయోగాత్మక ఎయిర్క్రాఫ్ట్ అసోసియేషన్ కన్వెన్షన్‌లో ప్రవేశపెట్టబడింది. [1] [2] ఇతర పరిమితులు లేకుండా, ఏరోబాటిక్స్ కోసం రవాణా కెనడా ప్రత్యేకంగా ఆమోదించబడిన ఆరు te త్సాహిక-నిర్మిత విమాన రకాల్లో CH 150 ఒకటి. [3] కెనడాకు వలస వచ్చిన తరువాత మరియు తన జెనిత్ రెండు సీట్-లైట్ విమానాల te త్సాహిక నిర్మాణానికి ప్రణాళికలు మరియు వస్తు సామగ్రిని విక్రయించడానికి జెనెయిర్‌ను ఏర్పాటు చేసిన తరువాత, జర్మన్ విమాన డిజైనర్ క్రిస్ హీంట్జ్ జెనిత్ యొక్క చిన్న, ఒకే సీటు అభివృద్ధి రూపకల్పనను ప్రారంభించాడు, జెనెయిర్ సిహెచ్ 100 మోనో- జెనిత్. మొట్టమొదటి CH 100 తన తొలి విమానంలో 8 మే 1975 న, 55 HP (41 kW) వోక్స్వ్యాగన్ ఎయిర్-కూల్డ్ ఇంజిన్ 1600 CC. [4] హీంట్జ్ మోనో-జెనిత్‌ను ఏరోబాటిక్ శిక్షణ మరియు పోటీ ఎగిరే, ఫలితంగా వచ్చిన విమానం, సిహెచ్ 150 అక్రో-జెనిత్ 19 1980 న తొలి విమాన ప్రయాణానికి ఒకే-సీట్ల విమానాన్ని అభివృద్ధి చేయడానికి ఒక ప్రారంభ బిందువుగా ఉపయోగించాడు. ఇది శక్తితో రూపొందించబడింది 100–180 హెచ్‌పి (75–134 కిలోవాట్) మధ్య ఇంజన్లు మరియు మునుపటి విమానం యొక్క నోస్‌వీల్ అండర్ క్యారేజీకి బదులుగా టెయిల్‌వీల్ అండర్ క్యారేజ్ ఉన్నాయి. [4] జెనెయిర్ 1988 వరకు కిట్లను ఉత్పత్తి చేస్తూనే ఉంది. [5] 1983 ప్రకటనలో జెనెయిర్ CH150 యొక్క రూపకల్పన లక్ష్యాలను వివరించింది: ఏరోబాటిక్స్లో తీవ్రమైన విద్యార్థికి దండి చిన్న విమానం. అక్రో జెనిత్ నేర్చుకోవడం మరియు పోటీకి బలం కలిగి ఉంది (+/- 12 జి). నియంత్రణలపై కాంతి మరియు ఎగరడానికి అందంగా ఉంది. ఇది ఎలా ఉత్తమంగా చేస్తుందో కనుగొనండి - లేడీ ఫ్లైయర్స్ ముఖ్యంగా దాని రోల్ మరియు పిచ్ శక్తులను చేతుల్లో సులభంగా కనుగొంటుంది. అన్ని ఏరోబాటిక్ విన్యాసాలకు ఆమోదించబడింది - పూర్తిగా విలోమ వ్యవస్థ. ఏదైనా ఏరోబాటిక్ పైలట్‌కు అద్భుతమైన చవకైన ఎగిరే ఇవ్వడానికి 115 నుండి 180 హెచ్‌పి వరకు ఇంజిన్‌లకు అనుకూలం. [2] జేన్ యొక్క అన్ని ప్రపంచ విమానాల నుండి డేటా 1982–83 [4] సాధారణ లక్షణాల పనితీరు సంబంధిత అభివృద్ధి</v>
      </c>
      <c r="F191" s="1" t="s">
        <v>3529</v>
      </c>
      <c r="G191" s="1" t="str">
        <f>IFERROR(__xludf.DUMMYFUNCTION("GOOGLETRANSLATE(F:F,""en"", ""te"")"),"హోమ్‌బిల్ట్ లైట్ ఎయిర్‌క్రాఫ్ట్")</f>
        <v>హోమ్‌బిల్ట్ లైట్ ఎయిర్‌క్రాఫ్ట్</v>
      </c>
      <c r="H191" s="1" t="s">
        <v>3530</v>
      </c>
      <c r="I191" s="1" t="s">
        <v>1338</v>
      </c>
      <c r="J191" s="1" t="str">
        <f>IFERROR(__xludf.DUMMYFUNCTION("GOOGLETRANSLATE(I:I,""en"", ""te"")"),"కెనడా")</f>
        <v>కెనడా</v>
      </c>
      <c r="K191" s="2" t="s">
        <v>1339</v>
      </c>
      <c r="L191" s="1" t="s">
        <v>3383</v>
      </c>
      <c r="M191" s="1" t="str">
        <f>IFERROR(__xludf.DUMMYFUNCTION("GOOGLETRANSLATE(L:L,""en"", ""te"")"),"జెనైర్")</f>
        <v>జెనైర్</v>
      </c>
      <c r="N191" s="2" t="s">
        <v>3384</v>
      </c>
      <c r="O191" s="1">
        <v>1980.0</v>
      </c>
      <c r="S191" s="1">
        <v>1.0</v>
      </c>
      <c r="U191" s="1" t="s">
        <v>3531</v>
      </c>
      <c r="V191" s="1" t="s">
        <v>3532</v>
      </c>
      <c r="X191" s="1" t="s">
        <v>3533</v>
      </c>
      <c r="AA191" s="1" t="s">
        <v>3534</v>
      </c>
      <c r="AB191" s="1" t="s">
        <v>3535</v>
      </c>
      <c r="AD191" s="1" t="s">
        <v>3536</v>
      </c>
      <c r="AH191" s="1" t="s">
        <v>3537</v>
      </c>
      <c r="AI191" s="1" t="s">
        <v>3538</v>
      </c>
      <c r="AK191" s="1" t="s">
        <v>3539</v>
      </c>
      <c r="AL191" s="1" t="s">
        <v>3540</v>
      </c>
      <c r="AM191" s="1" t="s">
        <v>3394</v>
      </c>
      <c r="AN191" s="1" t="s">
        <v>3395</v>
      </c>
      <c r="AO191" s="1">
        <v>1980.0</v>
      </c>
      <c r="AQ191" s="1" t="s">
        <v>3541</v>
      </c>
      <c r="AT191" s="1" t="s">
        <v>3542</v>
      </c>
      <c r="AU191" s="1" t="s">
        <v>3543</v>
      </c>
      <c r="AV191" s="1" t="s">
        <v>3544</v>
      </c>
    </row>
    <row r="192">
      <c r="A192" s="1" t="s">
        <v>3545</v>
      </c>
      <c r="B192" s="1" t="str">
        <f>IFERROR(__xludf.DUMMYFUNCTION("GOOGLETRANSLATE(A:A,""en"", ""te"")"),"ఫ్లారిస్ LAR01")</f>
        <v>ఫ్లారిస్ LAR01</v>
      </c>
      <c r="C192" s="1" t="s">
        <v>3546</v>
      </c>
      <c r="D192" s="1" t="str">
        <f>IFERROR(__xludf.DUMMYFUNCTION("GOOGLETRANSLATE(C:C,""en"", ""te"")"),"ఫ్లారిస్ LAR01, LAR 1 మరియు LAR-1 అని కూడా పిలుస్తారు, ఇది ఒక పోలిష్ ఐదు-సీట్ల చాలా తేలికపాటి జెట్, ప్రస్తుతం జెలెనియా గోరా యొక్క మెటల్-మాస్టర్ అభివృద్ధిలో ఉంది. [3] ఇది ప్రస్తుతం అమెరికన్ కాని విమాన తయారీదారు అభివృద్ధి చేస్తున్న ఏకైక సింగిల్-ఇంజిన్ చాలా "&amp;"లైట్ జెట్. [4] ఈ కార్యక్రమం 2013 పారిస్ ఎయిర్ షోలో బహిరంగంగా ఆవిష్కరించబడింది మరియు ప్రైవేట్ యజమాని-ఆపరేటర్లు మరియు కార్పొరేట్ కస్టమర్లతో పాటు వాణిజ్య ఆపరేటర్లకు పదోన్నతి పొందారు. [4] వాస్తవానికి 2013 లోనే తన తొలి విమానంలో ప్రదర్శించడానికి ఉద్దేశించినది, "&amp;"ప్రోటోటైప్ మొదట 5 ఏప్రిల్ 2019 న ప్రయాణించింది. మరియు వోజ్స్కోవా అకాడెమియా టెక్నిక్జ్నా. [5] [6] ఓడ్జియస్కి ప్రకారం, ఈ విమానం సరసమైన విమానాన్ని ఉత్పత్తి చేయాలనే ఆశయం నుండి బయటపడింది, ఇది స్వల్ప-దూర పాయింట్-పాయింట్ మార్గాలకు బాగా సరిపోతుంది మరియు వివిధ రకా"&amp;"ల వాణిజ్య, కార్పొరేట్ మరియు ప్రైవేట్ యజమానులచే నిర్వహించబడుతుంది, ఇది పురోగమిస్తుంది. ఆపరేటింగ్ పిస్టన్ ఇంజిన్ మరియు టర్బోప్రాప్-శక్తితో కూడిన విమానం. [4] సిల్వియా ఓడ్జియస్కీతో విమానం రూపకల్పనను సహ-మూలం చేసిన రాఫా అడ్జియస్కి, ఫ్లారిస్ ప్రాజెక్ట్ మరియు పరి"&amp;"శోధన మరియు అభివృద్ధి చీఫ్ యొక్క అధిపతిగా పనిచేస్తుంది. [7] [8] చీఫ్ డిజైనర్ ఆండ్రేజ్ ఫ్రైడ్రిచెవిచ్. [9] విమానం యొక్క ఏరోడైనమిక్స్లో గణనీయమైన పనిని క్రిజిజ్టోఫ్ కుబ్రియస్కి నిర్వహించింది. [10] జూన్ 2013 లో, LAR01 కార్యక్రమం యొక్క ఉనికిని 2013 పారిస్ ఎయిర్"&amp;" షోలో బహిరంగంగా ఆవిష్కరించారు. [6] [11] [12] ప్రారంభ ప్రకటన సమయంలో నొక్కిచెప్పిన విమానం యొక్క లక్షణాలలో సాధారణ విమానయాన మార్కెట్, విమాన సౌలభ్యం, తేలికపాటి నిర్మాణం, తక్కువ కార్యాచరణ వ్యయం, భద్రత మరియు బహుముఖ ప్రజ్ఞ. [13] సంవత్సరానికి వందల విమానాల కోసం డిమ"&amp;"ాండ్ ఉందని కంపెనీ అంచనా వేసింది. [14] 2013 ఈవెంట్ సందర్భంగా, విమానం యొక్క నమూనాను ప్రదర్శించారు, తయారీదారు ప్రారంభించటానికి ప్రణాళిక వేసిన మూడు విమానాలలో LAR01 మొదటిది అని ప్రకటించారు; కొన్ని వివరాలు చెప్పబడినప్పటికీ, భవిష్యత్ రెండు విమానాలలో, ఒకటి LAR01 "&amp;"కన్నా చిన్నదిగా ఉంటుంది, మరొకటి పెద్దదిగా ఉంటుంది. [11] జూన్ 2015 లో, భవిష్యత్ కుటుంబ సభ్యుల అంశాన్ని తయారీదారు మరింత వివరంగా చర్చించారు, వ్యాపార జెట్ల శ్రేణిని ఉత్పత్తి చేయడానికి భవిష్యత్తులో ఆశయాలు ఉన్నాయని మరియు లార్ 01 నుండి తదుపరి డిజైన్ అనుసరిస్తుంద"&amp;"ని వెల్లడించారు. జంట-ఇంజిన్ కాన్ఫిగరేషన్‌ను అవలంబించడం. [13] పారిస్ ఎయిర్‌షోలో 2013 వెల్లడి సమయంలో, అదే సంవత్సరం తరువాత విమానం యొక్క ప్రారంభ నమూనా ఎగురుతుందని, అలాగే 2014 లో 20 విమానాల బ్యాచ్ పంపిణీపై ulation హాగానాలు అని పేర్కొన్నారు. [11] [15] మార్చి 20"&amp;"14 లో, ఎగిరే లేని ఫస్ట్ ప్రోటోటైప్ నాన్-డిస్ట్రక్టివ్ లోడ్ పరీక్ష కోసం ఉపయోగించబడుతోంది, రెండవ నమూనా ఆ సంవత్సరం తరువాత టైప్ యొక్క తొలి విమానాలను నిర్వహించడానికి ఉద్దేశించినట్లు ప్రకటించబడింది; ఏదేమైనా, ఖచ్చితమైన తేదీలపై నిశ్చయత లేకపోవడం ఆ సమయంలో గుర్తించబ"&amp;"డింది. [16] [15] తొలి ఫ్లైట్ జరుగుతున్న కొద్దిసేపటికే ఆర్డర్ పుస్తకం తెరవడానికి ఉద్దేశించబడింది. [14] [4] మే 2014 నాటికి, కంపెనీ ఇప్పటికే ఈ రకం కోసం అసెంబ్లీ లైన్‌ను స్థాపించే ప్రక్రియలో ఉంది, అలాగే మూడవ మరియు నాల్గవ ప్రోటోటైప్‌ల నిర్మాణాన్ని ప్రారంభించిం"&amp;"ది. [17] రెండవ నమూనా సింగిల్ ప్రాట్ &amp; విట్నీ కెనడా పిడబ్ల్యు 610 చేత శక్తిని పొందింది, అయినప్పటికీ ప్రత్యామ్నాయ పవర్‌ప్లాంట్లు ఇప్పటికే తదుపరి ఉత్పత్తి విమానాలను శక్తివంతం చేయడానికి పరిశీలనలో ఉన్నాయి. ఏరోస్పేస్ పబ్లికేషన్ ఏవియేషన్ వీక్ ప్రోగ్రామ్‌లో జాప్య"&amp;"ానికి ఒక కారణం ఇంజిన్‌పై అనిశ్చితిని ఆపాదించింది. [15] [17] విమానంలో ఒకసారి, రెండవ నమూనా ధృవీకరణ కార్యక్రమంలో, మరో రెండు ప్రోటోటైప్‌లతో పాటు పాల్గొంటుంది; డిసెంబర్ 2014 లో, తయారీదారు మొత్తం ఐదు ప్రోటోటైప్‌ల నిర్మాణాన్ని ed హించాడు. [16] యూరోపియన్ ఏవియేషన్"&amp;" సేఫ్టీ ఏజెన్సీ (EASA) నుండి LAR01 కోసం ఫైనల్ CS-23 ధృవీకరణ మొదటి విమానంలో సుమారు మూడు సంవత్సరాలు సంభవిస్తుందని was హించబడింది. [18] [4] ఫిబ్రవరి 2015 లో, రెండవ నమూనా టాక్సీ పరీక్షల శ్రేణిని ప్రారంభించింది, అయితే ఇది భూమి-ఆధారిత పరీక్ష ముగింపుకు చేరుకుంది"&amp;". [19] [20] మార్చి 2015 లో, ఈ రకం 2018 లో రకం ధృవీకరణను అందుకుంటుందని భావించారు. [21] 2015 లో, ప్రారంభ డెలివరీలు, తరువాత 2016 లో జరుగుతాయని అంచనా వేయడం, పూర్తి EASA ధృవీకరణ జారీ చేయడానికి ముందు, పోలిష్ సివిల్ ఏవియేషన్ అథారిటీ యొక్క S-1 ప్రయోగాత్మక విమాన హ"&amp;"ోదా కింద ధృవీకరించబడుతుంది. [22] ఫిబ్రవరి 2016 లో, LAR01 యొక్క మొదటి ఫ్లైట్ తరువాతి నెలల్లోనే జరగబోతోందని పేర్కొంది. [23] జూలై 2016 లో, విలియమ్స్ FJ33-5A తో కూడిన LAR-1 యొక్క ఇంజిన్ గ్రౌండ్ పరీక్షలు, ఇది ఉత్పత్తి విమానాలలో ఉపయోగించబడుతుంది, ఇది ప్రారంభమైం"&amp;"ది. [14] [24] ఫిబ్రవరి 2017 లో, LAR01 గ్రౌండ్ టెస్టింగ్ యొక్క చివరి దశలోకి ప్రవేశించిందని మరియు సంవత్సరం మొదటి భాగంలో మొదటి విమానంలో ఉంటుందని నివేదించబడింది. సంస్థ ప్రకారం, ఇది ఆన్‌బోర్డ్ వ్యవస్థల పరీక్షలపై పోలిష్ సివిల్ ఏవియేషన్ అథారిటీతో కలిసి పనిచేస్తో"&amp;"ంది, విమానం యొక్క వేరు చేయగలిగిన వింగ్ మరియు క్యాబిన్ ప్రెస్‌రైజేషన్ సిస్టమ్ యొక్క తుది పరీక్షలతో సహా. [4] జూన్ 2018 లో, జూలై 2018 న ఆ సమయంలో ated హించిన తొలి విమానానికి ముందు గ్రౌండ్ టెస్టింగ్ పూర్తయింది. కోపర్నికస్‌కు బదిలీ చేయడానికి ముందు పశ్చిమ పోలాండ"&amp;"్‌లోని జీలోనా గోరా విమానాశ్రయంలో మొదటి 50–100 గంటల విమాన పరీక్షలు నిర్వహించబడుతున్నాయి. విమానాశ్రయ వ్రోక్వా. ఆ సమయంలో పోలిష్ సివిల్ ఏవియేషన్ అథారిటీ ఎస్ -1 ప్రయోగాత్మక ధృవీకరణ 150 గంటల విమాన పరీక్ష తర్వాత మంజూరు చేయబడుతుందని కంపెనీ ated హించింది, అన్నీ 12"&amp;" నెలల్లో, 10 స్థానిక డెలివరీలకు ముందు, మరియు పూర్తి ఈసా సిఎస్ -23 రకం ధృవీకరణకు ముందు, ఇది అవుతుంది 18 మరియు 24 నెలల్లో అనుసరించండి. కస్టమర్ ఆర్డర్లు 2019 నుండి అంగీకరించబడతాయని భావించారు. ఈ విమానం మే 2019 లో జెనీవాలోని ఈబాస్ వద్ద మరియు జూలై 2019 లో EAA ఎ"&amp;"యిర్‌వెంచర్ ఓష్కోష్‌లో ప్రదర్శించబడుతోంది. [25] సెప్టెంబర్ 2018 లో మొదటి ఫ్లైట్ ఇంకా జరగలేదు మరియు కంపెనీ వెబ్‌సైట్ ఇలా పేర్కొంది, ""తొలి విమానము వాతావరణం వంటి అనేక అంశాలపై ఆధారపడి ఉంటుంది మరియు ఖచ్చితమైన తేదీని నిర్ణయించడం కష్టం. మేము తరువాత మాత్రమే బహిర"&amp;"ంగ ప్రదర్శన విమానాన్ని నిర్వహించాలని ప్లాన్ చేస్తున్నాము మొదటి టెస్ట్ విమానాలను పూర్తి చేయడం. ""[26] రిజిస్టర్డ్ ఎస్పి-వైల్ అయిన ప్రోటోటైప్, మొదట 5 ఏప్రిల్ 2019 న జీలోనా గోరా బాబిమోస్ట్ విమానాశ్రయం నుండి ప్రయాణించింది. [27] ఫిబ్రవరి 2020 నాటికి, ప్రారంభ ప"&amp;"్రోటోటైప్ 60 గంటలు లాగిన్ అయింది మరియు ఏప్రిల్ ప్రారంభంలో కన్య విమానంలో ఉత్పత్తి-ధృవీకరించే పరీక్ష విమానం తయారు చేయబడింది. కంపెనీకి 50 ఆర్డర్లు వచ్చాయి, ఎక్కువగా యజమాని-ఫ్లైయర్స్ నుండి. 200 గంటల విమాన పరీక్షల తరువాత, నాల్గవ త్రైమాసికంలో పోలిష్ ఎస్ -1 ప్రయ"&amp;"ోగాత్మక ధృవీకరణ on హించబడింది, 2021 కోసం మొదటి విమాన సూచనను డెలివరీ చేయడంతో, ఆ తర్వాత కొంతకాలం EASA CS-23 ధృవీకరణ కోసం దరఖాస్తు చేసుకునే ముందు. విలియమ్స్ FJ33 ఇంజిన్, ముడుచుకునే ల్యాండింగ్ గేర్, హైడ్రాలిక్స్, గార్మిన్ G600TXI ఫ్లైట్‌డెక్, ఆటోపైలట్ మరియు ఆ"&amp;"టోథ్రాటిల్‌పై సిస్టమ్ పరీక్షలను చేర్చడానికి ఫ్లైట్ టెస్టింగ్ ప్రోగ్రామ్‌లో ప్రణాళిక చేయబడింది. ప్రోటోటైప్ మూడు నిమిషాల 30 సెకన్లలోపు 25,000 అడుగులకు చేరుకుంది మరియు 58 నాట్ల (107 కిమీ/గం) యొక్క స్టాల్ వేగాన్ని ప్రదర్శించింది. [28] ఫ్లేరిస్ LAR01 అనేది సాధ"&amp;"ారణ విమానయాన ఉపయోగం కోసం ఉద్దేశించిన పోలిష్ ఐదు-సీట్ల చాలా లైట్ జెట్. [16] [12] ఇది ఎక్కువగా కార్బన్ ఫైబర్ రీన్ఫోర్స్డ్ పాలిమర్‌లతో తయారు చేయబడింది మరియు ఒకే టర్బోజెట్ ఇంజిన్ ద్వారా శక్తినిస్తుంది-LAR01 యొక్క ఉత్పత్తి వెర్షన్ ఒకే విలియమ్స్ FJ33-5A ఇంజిన్ "&amp;"ద్వారా శక్తినివ్వాలి. [29] [22] LAR01 సరసమైనదిగా మరియు వ్యక్తిగత ప్రైవేట్ యజమానులకు అందుబాటులో ఉండటానికి ఉద్దేశించబడింది. [16] ఐటి కోసం ప్రతిపాదిత ఉపయోగాలు ఎయిర్ టాక్సీ కార్యకలాపాలు, వ్యక్తిగత రవాణా, అత్యవసర వైద్య సేవలు మరియు వైమానిక నిఘా, అలాగే మానవరహిత "&amp;"వైమానిక వాహనం (యుఎవి) లోకి దాని సంభావ్య సవరణ. [13] LAR01 ప్రైవేట్ పైలట్ల ఉపయోగం కోసం ఆప్టిమైజ్ చేయబడింది. సాధ్యమైన చోట, కాక్‌పిట్ ఉద్దేశపూర్వకంగా సాంప్రదాయ కారును అనుకరించటానికి రూపొందించబడింది. [15] డిజైనర్లు విమానం కోసం తొలగించగల ఎలిప్టికల్ రెక్కలను అంద"&amp;"ించాలని భావిస్తున్నారు; ఈ కొలత రకాన్ని సాధారణ గ్యారేజీలలో సులభంగా ఆపి ఉంచడానికి వీలు కల్పిస్తుంది; టెయిల్ ప్లేన్ యొక్క విభాగాలను అదే ప్రయోజనం కోసం వేరు చేయవచ్చు. [30] [16] ఇంధనాన్ని ఫ్యూజ్‌లేజ్‌పై అమర్చిన ట్యాంక్‌లో ఉంచారు, ఉద్దేశపూర్వకంగా ఇంధన నిల్వ కోసం"&amp;" రెక్కల వాడకాన్ని నివారించారు. [12] LAR01 కూడా నియంత్రించడం చాలా సులభం అని నివేదించబడింది. [15] భద్రత మరియు సౌలభ్యం కోసం వివిధ లక్షణాలను LAR01 యొక్క రూపకల్పనలో చేర్చాలి. అనేక జెట్-శక్తితో కూడిన విమానాల మాదిరిగా కాకుండా, ఇది చదును చేయని రన్‌వేలు మరియు గడ్డ"&amp;"ి స్ట్రిప్స్ నుండి పనిచేయగల సామర్థ్యాన్ని కలిగి ఉందని పేర్కొన్నారు. [13] భద్రతా ప్రయోజనాల కోసం, LAR01 బాలిస్టిక్ రెస్క్యూ పారాచూట్ వ్యవస్థను ఉపయోగించడానికి రూపొందించబడింది, ఒక పారాచూట్ తోక లోపల మరియు మరొకటి ముక్కు లోపల వ్యవస్థాపించబడింది, ఇది విమానం యొక్క"&amp;" సురక్షితమైన పునరుద్ధరణకు సహాయపడటానికి ఉద్దేశించబడింది. [13] [18] ఇది గార్మిన్ గ్లాస్ కాక్‌పిట్‌ల యొక్క వివిధ మోడళ్లను కలిగి ఉంటుంది. [16] ఎలక్ట్రిక్ డి-ఐసింగ్ వ్యవస్థ కూడా అమర్చబడింది. [12] 8 1.8 మిలియన్ ($ 2 మిలియన్) విమానం గంటకు $ 450 యొక్క ప్రత్యక్ష న"&amp;"ిర్వహణ ఖర్చులు (ఇంధనం, నిర్వహణ మరియు భీమా) కలిగి ఉంటుందని అంచనా వేయబడింది మరియు గార్మిన్ G600 TXI ఫ్లైట్ డెక్ కలిగి ఉంది. ఇది 430 kN (796 km/h) వద్ద క్రూజ్ చేయాలి, 1,900 nmi (3,519 కిమీ) పరిధిని కలిగి ఉండాలి, ఇది 1,500 కిలోల (3,300 పౌండ్లు), మరియు గడ్డి వ"&amp;"ైమానిక ఎయిర్‌స్ట్రిప్స్ మరియు చిన్న రన్‌వేలపై బయలుదేరి భూమిని తీసుకెళ్లగలదు. 250 మీ (820 అడుగులు) కంటే తక్కువ. [25] [31] కంపెనీ నుండి డేటా [29] [31] [32] [33] [34] [35] సాధారణ లక్షణాల పనితీరు సంబంధిత జాబితాలు")</f>
        <v>ఫ్లారిస్ LAR01, LAR 1 మరియు LAR-1 అని కూడా పిలుస్తారు, ఇది ఒక పోలిష్ ఐదు-సీట్ల చాలా తేలికపాటి జెట్, ప్రస్తుతం జెలెనియా గోరా యొక్క మెటల్-మాస్టర్ అభివృద్ధిలో ఉంది. [3] ఇది ప్రస్తుతం అమెరికన్ కాని విమాన తయారీదారు అభివృద్ధి చేస్తున్న ఏకైక సింగిల్-ఇంజిన్ చాలా లైట్ జెట్. [4] ఈ కార్యక్రమం 2013 పారిస్ ఎయిర్ షోలో బహిరంగంగా ఆవిష్కరించబడింది మరియు ప్రైవేట్ యజమాని-ఆపరేటర్లు మరియు కార్పొరేట్ కస్టమర్లతో పాటు వాణిజ్య ఆపరేటర్లకు పదోన్నతి పొందారు. [4] వాస్తవానికి 2013 లోనే తన తొలి విమానంలో ప్రదర్శించడానికి ఉద్దేశించినది, ప్రోటోటైప్ మొదట 5 ఏప్రిల్ 2019 న ప్రయాణించింది. మరియు వోజ్స్కోవా అకాడెమియా టెక్నిక్జ్నా. [5] [6] ఓడ్జియస్కి ప్రకారం, ఈ విమానం సరసమైన విమానాన్ని ఉత్పత్తి చేయాలనే ఆశయం నుండి బయటపడింది, ఇది స్వల్ప-దూర పాయింట్-పాయింట్ మార్గాలకు బాగా సరిపోతుంది మరియు వివిధ రకాల వాణిజ్య, కార్పొరేట్ మరియు ప్రైవేట్ యజమానులచే నిర్వహించబడుతుంది, ఇది పురోగమిస్తుంది. ఆపరేటింగ్ పిస్టన్ ఇంజిన్ మరియు టర్బోప్రాప్-శక్తితో కూడిన విమానం. [4] సిల్వియా ఓడ్జియస్కీతో విమానం రూపకల్పనను సహ-మూలం చేసిన రాఫా అడ్జియస్కి, ఫ్లారిస్ ప్రాజెక్ట్ మరియు పరిశోధన మరియు అభివృద్ధి చీఫ్ యొక్క అధిపతిగా పనిచేస్తుంది. [7] [8] చీఫ్ డిజైనర్ ఆండ్రేజ్ ఫ్రైడ్రిచెవిచ్. [9] విమానం యొక్క ఏరోడైనమిక్స్లో గణనీయమైన పనిని క్రిజిజ్టోఫ్ కుబ్రియస్కి నిర్వహించింది. [10] జూన్ 2013 లో, LAR01 కార్యక్రమం యొక్క ఉనికిని 2013 పారిస్ ఎయిర్ షోలో బహిరంగంగా ఆవిష్కరించారు. [6] [11] [12] ప్రారంభ ప్రకటన సమయంలో నొక్కిచెప్పిన విమానం యొక్క లక్షణాలలో సాధారణ విమానయాన మార్కెట్, విమాన సౌలభ్యం, తేలికపాటి నిర్మాణం, తక్కువ కార్యాచరణ వ్యయం, భద్రత మరియు బహుముఖ ప్రజ్ఞ. [13] సంవత్సరానికి వందల విమానాల కోసం డిమాండ్ ఉందని కంపెనీ అంచనా వేసింది. [14] 2013 ఈవెంట్ సందర్భంగా, విమానం యొక్క నమూనాను ప్రదర్శించారు, తయారీదారు ప్రారంభించటానికి ప్రణాళిక వేసిన మూడు విమానాలలో LAR01 మొదటిది అని ప్రకటించారు; కొన్ని వివరాలు చెప్పబడినప్పటికీ, భవిష్యత్ రెండు విమానాలలో, ఒకటి LAR01 కన్నా చిన్నదిగా ఉంటుంది, మరొకటి పెద్దదిగా ఉంటుంది. [11] జూన్ 2015 లో, భవిష్యత్ కుటుంబ సభ్యుల అంశాన్ని తయారీదారు మరింత వివరంగా చర్చించారు, వ్యాపార జెట్ల శ్రేణిని ఉత్పత్తి చేయడానికి భవిష్యత్తులో ఆశయాలు ఉన్నాయని మరియు లార్ 01 నుండి తదుపరి డిజైన్ అనుసరిస్తుందని వెల్లడించారు. జంట-ఇంజిన్ కాన్ఫిగరేషన్‌ను అవలంబించడం. [13] పారిస్ ఎయిర్‌షోలో 2013 వెల్లడి సమయంలో, అదే సంవత్సరం తరువాత విమానం యొక్క ప్రారంభ నమూనా ఎగురుతుందని, అలాగే 2014 లో 20 విమానాల బ్యాచ్ పంపిణీపై ulation హాగానాలు అని పేర్కొన్నారు. [11] [15] మార్చి 2014 లో, ఎగిరే లేని ఫస్ట్ ప్రోటోటైప్ నాన్-డిస్ట్రక్టివ్ లోడ్ పరీక్ష కోసం ఉపయోగించబడుతోంది, రెండవ నమూనా ఆ సంవత్సరం తరువాత టైప్ యొక్క తొలి విమానాలను నిర్వహించడానికి ఉద్దేశించినట్లు ప్రకటించబడింది; ఏదేమైనా, ఖచ్చితమైన తేదీలపై నిశ్చయత లేకపోవడం ఆ సమయంలో గుర్తించబడింది. [16] [15] తొలి ఫ్లైట్ జరుగుతున్న కొద్దిసేపటికే ఆర్డర్ పుస్తకం తెరవడానికి ఉద్దేశించబడింది. [14] [4] మే 2014 నాటికి, కంపెనీ ఇప్పటికే ఈ రకం కోసం అసెంబ్లీ లైన్‌ను స్థాపించే ప్రక్రియలో ఉంది, అలాగే మూడవ మరియు నాల్గవ ప్రోటోటైప్‌ల నిర్మాణాన్ని ప్రారంభించింది. [17] రెండవ నమూనా సింగిల్ ప్రాట్ &amp; విట్నీ కెనడా పిడబ్ల్యు 610 చేత శక్తిని పొందింది, అయినప్పటికీ ప్రత్యామ్నాయ పవర్‌ప్లాంట్లు ఇప్పటికే తదుపరి ఉత్పత్తి విమానాలను శక్తివంతం చేయడానికి పరిశీలనలో ఉన్నాయి. ఏరోస్పేస్ పబ్లికేషన్ ఏవియేషన్ వీక్ ప్రోగ్రామ్‌లో జాప్యానికి ఒక కారణం ఇంజిన్‌పై అనిశ్చితిని ఆపాదించింది. [15] [17] విమానంలో ఒకసారి, రెండవ నమూనా ధృవీకరణ కార్యక్రమంలో, మరో రెండు ప్రోటోటైప్‌లతో పాటు పాల్గొంటుంది; డిసెంబర్ 2014 లో, తయారీదారు మొత్తం ఐదు ప్రోటోటైప్‌ల నిర్మాణాన్ని ed హించాడు. [16] యూరోపియన్ ఏవియేషన్ సేఫ్టీ ఏజెన్సీ (EASA) నుండి LAR01 కోసం ఫైనల్ CS-23 ధృవీకరణ మొదటి విమానంలో సుమారు మూడు సంవత్సరాలు సంభవిస్తుందని was హించబడింది. [18] [4] ఫిబ్రవరి 2015 లో, రెండవ నమూనా టాక్సీ పరీక్షల శ్రేణిని ప్రారంభించింది, అయితే ఇది భూమి-ఆధారిత పరీక్ష ముగింపుకు చేరుకుంది. [19] [20] మార్చి 2015 లో, ఈ రకం 2018 లో రకం ధృవీకరణను అందుకుంటుందని భావించారు. [21] 2015 లో, ప్రారంభ డెలివరీలు, తరువాత 2016 లో జరుగుతాయని అంచనా వేయడం, పూర్తి EASA ధృవీకరణ జారీ చేయడానికి ముందు, పోలిష్ సివిల్ ఏవియేషన్ అథారిటీ యొక్క S-1 ప్రయోగాత్మక విమాన హోదా కింద ధృవీకరించబడుతుంది. [22] ఫిబ్రవరి 2016 లో, LAR01 యొక్క మొదటి ఫ్లైట్ తరువాతి నెలల్లోనే జరగబోతోందని పేర్కొంది. [23] జూలై 2016 లో, విలియమ్స్ FJ33-5A తో కూడిన LAR-1 యొక్క ఇంజిన్ గ్రౌండ్ పరీక్షలు, ఇది ఉత్పత్తి విమానాలలో ఉపయోగించబడుతుంది, ఇది ప్రారంభమైంది. [14] [24] ఫిబ్రవరి 2017 లో, LAR01 గ్రౌండ్ టెస్టింగ్ యొక్క చివరి దశలోకి ప్రవేశించిందని మరియు సంవత్సరం మొదటి భాగంలో మొదటి విమానంలో ఉంటుందని నివేదించబడింది. సంస్థ ప్రకారం, ఇది ఆన్‌బోర్డ్ వ్యవస్థల పరీక్షలపై పోలిష్ సివిల్ ఏవియేషన్ అథారిటీతో కలిసి పనిచేస్తోంది, విమానం యొక్క వేరు చేయగలిగిన వింగ్ మరియు క్యాబిన్ ప్రెస్‌రైజేషన్ సిస్టమ్ యొక్క తుది పరీక్షలతో సహా. [4] జూన్ 2018 లో, జూలై 2018 న ఆ సమయంలో ated హించిన తొలి విమానానికి ముందు గ్రౌండ్ టెస్టింగ్ పూర్తయింది. కోపర్నికస్‌కు బదిలీ చేయడానికి ముందు పశ్చిమ పోలాండ్‌లోని జీలోనా గోరా విమానాశ్రయంలో మొదటి 50–100 గంటల విమాన పరీక్షలు నిర్వహించబడుతున్నాయి. విమానాశ్రయ వ్రోక్వా. ఆ సమయంలో పోలిష్ సివిల్ ఏవియేషన్ అథారిటీ ఎస్ -1 ప్రయోగాత్మక ధృవీకరణ 150 గంటల విమాన పరీక్ష తర్వాత మంజూరు చేయబడుతుందని కంపెనీ ated హించింది, అన్నీ 12 నెలల్లో, 10 స్థానిక డెలివరీలకు ముందు, మరియు పూర్తి ఈసా సిఎస్ -23 రకం ధృవీకరణకు ముందు, ఇది అవుతుంది 18 మరియు 24 నెలల్లో అనుసరించండి. కస్టమర్ ఆర్డర్లు 2019 నుండి అంగీకరించబడతాయని భావించారు. ఈ విమానం మే 2019 లో జెనీవాలోని ఈబాస్ వద్ద మరియు జూలై 2019 లో EAA ఎయిర్‌వెంచర్ ఓష్కోష్‌లో ప్రదర్శించబడుతోంది. [25] సెప్టెంబర్ 2018 లో మొదటి ఫ్లైట్ ఇంకా జరగలేదు మరియు కంపెనీ వెబ్‌సైట్ ఇలా పేర్కొంది, "తొలి విమానము వాతావరణం వంటి అనేక అంశాలపై ఆధారపడి ఉంటుంది మరియు ఖచ్చితమైన తేదీని నిర్ణయించడం కష్టం. మేము తరువాత మాత్రమే బహిరంగ ప్రదర్శన విమానాన్ని నిర్వహించాలని ప్లాన్ చేస్తున్నాము మొదటి టెస్ట్ విమానాలను పూర్తి చేయడం. "[26] రిజిస్టర్డ్ ఎస్పి-వైల్ అయిన ప్రోటోటైప్, మొదట 5 ఏప్రిల్ 2019 న జీలోనా గోరా బాబిమోస్ట్ విమానాశ్రయం నుండి ప్రయాణించింది. [27] ఫిబ్రవరి 2020 నాటికి, ప్రారంభ ప్రోటోటైప్ 60 గంటలు లాగిన్ అయింది మరియు ఏప్రిల్ ప్రారంభంలో కన్య విమానంలో ఉత్పత్తి-ధృవీకరించే పరీక్ష విమానం తయారు చేయబడింది. కంపెనీకి 50 ఆర్డర్లు వచ్చాయి, ఎక్కువగా యజమాని-ఫ్లైయర్స్ నుండి. 200 గంటల విమాన పరీక్షల తరువాత, నాల్గవ త్రైమాసికంలో పోలిష్ ఎస్ -1 ప్రయోగాత్మక ధృవీకరణ on హించబడింది, 2021 కోసం మొదటి విమాన సూచనను డెలివరీ చేయడంతో, ఆ తర్వాత కొంతకాలం EASA CS-23 ధృవీకరణ కోసం దరఖాస్తు చేసుకునే ముందు. విలియమ్స్ FJ33 ఇంజిన్, ముడుచుకునే ల్యాండింగ్ గేర్, హైడ్రాలిక్స్, గార్మిన్ G600TXI ఫ్లైట్‌డెక్, ఆటోపైలట్ మరియు ఆటోథ్రాటిల్‌పై సిస్టమ్ పరీక్షలను చేర్చడానికి ఫ్లైట్ టెస్టింగ్ ప్రోగ్రామ్‌లో ప్రణాళిక చేయబడింది. ప్రోటోటైప్ మూడు నిమిషాల 30 సెకన్లలోపు 25,000 అడుగులకు చేరుకుంది మరియు 58 నాట్ల (107 కిమీ/గం) యొక్క స్టాల్ వేగాన్ని ప్రదర్శించింది. [28] ఫ్లేరిస్ LAR01 అనేది సాధారణ విమానయాన ఉపయోగం కోసం ఉద్దేశించిన పోలిష్ ఐదు-సీట్ల చాలా లైట్ జెట్. [16] [12] ఇది ఎక్కువగా కార్బన్ ఫైబర్ రీన్ఫోర్స్డ్ పాలిమర్‌లతో తయారు చేయబడింది మరియు ఒకే టర్బోజెట్ ఇంజిన్ ద్వారా శక్తినిస్తుంది-LAR01 యొక్క ఉత్పత్తి వెర్షన్ ఒకే విలియమ్స్ FJ33-5A ఇంజిన్ ద్వారా శక్తినివ్వాలి. [29] [22] LAR01 సరసమైనదిగా మరియు వ్యక్తిగత ప్రైవేట్ యజమానులకు అందుబాటులో ఉండటానికి ఉద్దేశించబడింది. [16] ఐటి కోసం ప్రతిపాదిత ఉపయోగాలు ఎయిర్ టాక్సీ కార్యకలాపాలు, వ్యక్తిగత రవాణా, అత్యవసర వైద్య సేవలు మరియు వైమానిక నిఘా, అలాగే మానవరహిత వైమానిక వాహనం (యుఎవి) లోకి దాని సంభావ్య సవరణ. [13] LAR01 ప్రైవేట్ పైలట్ల ఉపయోగం కోసం ఆప్టిమైజ్ చేయబడింది. సాధ్యమైన చోట, కాక్‌పిట్ ఉద్దేశపూర్వకంగా సాంప్రదాయ కారును అనుకరించటానికి రూపొందించబడింది. [15] డిజైనర్లు విమానం కోసం తొలగించగల ఎలిప్టికల్ రెక్కలను అందించాలని భావిస్తున్నారు; ఈ కొలత రకాన్ని సాధారణ గ్యారేజీలలో సులభంగా ఆపి ఉంచడానికి వీలు కల్పిస్తుంది; టెయిల్ ప్లేన్ యొక్క విభాగాలను అదే ప్రయోజనం కోసం వేరు చేయవచ్చు. [30] [16] ఇంధనాన్ని ఫ్యూజ్‌లేజ్‌పై అమర్చిన ట్యాంక్‌లో ఉంచారు, ఉద్దేశపూర్వకంగా ఇంధన నిల్వ కోసం రెక్కల వాడకాన్ని నివారించారు. [12] LAR01 కూడా నియంత్రించడం చాలా సులభం అని నివేదించబడింది. [15] భద్రత మరియు సౌలభ్యం కోసం వివిధ లక్షణాలను LAR01 యొక్క రూపకల్పనలో చేర్చాలి. అనేక జెట్-శక్తితో కూడిన విమానాల మాదిరిగా కాకుండా, ఇది చదును చేయని రన్‌వేలు మరియు గడ్డి స్ట్రిప్స్ నుండి పనిచేయగల సామర్థ్యాన్ని కలిగి ఉందని పేర్కొన్నారు. [13] భద్రతా ప్రయోజనాల కోసం, LAR01 బాలిస్టిక్ రెస్క్యూ పారాచూట్ వ్యవస్థను ఉపయోగించడానికి రూపొందించబడింది, ఒక పారాచూట్ తోక లోపల మరియు మరొకటి ముక్కు లోపల వ్యవస్థాపించబడింది, ఇది విమానం యొక్క సురక్షితమైన పునరుద్ధరణకు సహాయపడటానికి ఉద్దేశించబడింది. [13] [18] ఇది గార్మిన్ గ్లాస్ కాక్‌పిట్‌ల యొక్క వివిధ మోడళ్లను కలిగి ఉంటుంది. [16] ఎలక్ట్రిక్ డి-ఐసింగ్ వ్యవస్థ కూడా అమర్చబడింది. [12] 8 1.8 మిలియన్ ($ 2 మిలియన్) విమానం గంటకు $ 450 యొక్క ప్రత్యక్ష నిర్వహణ ఖర్చులు (ఇంధనం, నిర్వహణ మరియు భీమా) కలిగి ఉంటుందని అంచనా వేయబడింది మరియు గార్మిన్ G600 TXI ఫ్లైట్ డెక్ కలిగి ఉంది. ఇది 430 kN (796 km/h) వద్ద క్రూజ్ చేయాలి, 1,900 nmi (3,519 కిమీ) పరిధిని కలిగి ఉండాలి, ఇది 1,500 కిలోల (3,300 పౌండ్లు), మరియు గడ్డి వైమానిక ఎయిర్‌స్ట్రిప్స్ మరియు చిన్న రన్‌వేలపై బయలుదేరి భూమిని తీసుకెళ్లగలదు. 250 మీ (820 అడుగులు) కంటే తక్కువ. [25] [31] కంపెనీ నుండి డేటా [29] [31] [32] [33] [34] [35] సాధారణ లక్షణాల పనితీరు సంబంధిత జాబితాలు</v>
      </c>
      <c r="E192" s="1" t="s">
        <v>3547</v>
      </c>
      <c r="F192" s="1" t="s">
        <v>3548</v>
      </c>
      <c r="G192" s="1" t="str">
        <f>IFERROR(__xludf.DUMMYFUNCTION("GOOGLETRANSLATE(F:F,""en"", ""te"")"),"చాలా లైట్ జెట్")</f>
        <v>చాలా లైట్ జెట్</v>
      </c>
      <c r="H192" s="1" t="s">
        <v>3549</v>
      </c>
      <c r="I192" s="1" t="s">
        <v>1508</v>
      </c>
      <c r="J192" s="1" t="str">
        <f>IFERROR(__xludf.DUMMYFUNCTION("GOOGLETRANSLATE(I:I,""en"", ""te"")"),"పోలాండ్")</f>
        <v>పోలాండ్</v>
      </c>
      <c r="K192" s="2" t="s">
        <v>1509</v>
      </c>
      <c r="L192" s="1" t="s">
        <v>3550</v>
      </c>
      <c r="M192" s="1" t="str">
        <f>IFERROR(__xludf.DUMMYFUNCTION("GOOGLETRANSLATE(L:L,""en"", ""te"")"),"మెటల్-మాస్టర్")</f>
        <v>మెటల్-మాస్టర్</v>
      </c>
      <c r="N192" s="2" t="s">
        <v>3551</v>
      </c>
      <c r="P192" s="1" t="s">
        <v>3552</v>
      </c>
      <c r="Q192" s="1"/>
      <c r="R192" s="1">
        <v>1.0</v>
      </c>
      <c r="S192" s="1" t="s">
        <v>164</v>
      </c>
      <c r="T192" s="1" t="s">
        <v>3553</v>
      </c>
      <c r="U192" s="1" t="s">
        <v>3554</v>
      </c>
      <c r="V192" s="1" t="s">
        <v>3555</v>
      </c>
      <c r="W192" s="1" t="s">
        <v>3556</v>
      </c>
      <c r="X192" s="1" t="s">
        <v>1550</v>
      </c>
      <c r="Y192" s="1" t="s">
        <v>3557</v>
      </c>
      <c r="AA192" s="1" t="s">
        <v>3558</v>
      </c>
      <c r="AB192" s="1" t="s">
        <v>3559</v>
      </c>
      <c r="AC192" s="1">
        <v>18.0</v>
      </c>
      <c r="AD192" s="1" t="s">
        <v>3560</v>
      </c>
      <c r="AF192" s="1" t="s">
        <v>3561</v>
      </c>
      <c r="AH192" s="1" t="s">
        <v>3562</v>
      </c>
      <c r="AI192" s="1" t="s">
        <v>3563</v>
      </c>
      <c r="AK192" s="1" t="s">
        <v>3564</v>
      </c>
      <c r="AL192" s="1" t="s">
        <v>3565</v>
      </c>
      <c r="AM192" s="1" t="s">
        <v>3566</v>
      </c>
      <c r="AO192" s="4">
        <v>43560.0</v>
      </c>
      <c r="AQ192" s="1" t="s">
        <v>3567</v>
      </c>
      <c r="AT192" s="1" t="s">
        <v>3557</v>
      </c>
      <c r="FC192" s="1" t="s">
        <v>3568</v>
      </c>
    </row>
    <row r="193">
      <c r="A193" s="1" t="s">
        <v>3569</v>
      </c>
      <c r="B193" s="1" t="str">
        <f>IFERROR(__xludf.DUMMYFUNCTION("GOOGLETRANSLATE(A:A,""en"", ""te"")"),"బెర్లినర్-జాయిస్ XF3J")</f>
        <v>బెర్లినర్-జాయిస్ XF3J</v>
      </c>
      <c r="C193" s="1" t="s">
        <v>3570</v>
      </c>
      <c r="D193" s="1" t="str">
        <f>IFERROR(__xludf.DUMMYFUNCTION("GOOGLETRANSLATE(C:C,""en"", ""te"")"),"బెర్లినర్-జాయిస్ XF3J ఒక అమెరికన్ బిప్‌లేన్ ఫైటర్, దీనిని బెర్లినర్-జాయిస్ విమానం నిర్మించారు. 625 హెచ్‌పి (466 కిలోవాట్) రైట్ R-1510-26 ఇంజిన్‌తో నడిచే సింగిల్-సీట్ క్యారియర్-ఆధారిత ఫైటర్ కోసం వారి అభ్యర్థన కోసం ఇది యునైటెడ్ స్టేట్స్ నేవీకి సమర్పించబడింద"&amp;"ి. [1] XF3J లో ఎలిప్టికల్ ఫాబ్రిక్ కవర్ రెక్కలు ఉన్నాయి, ఇది సీతాకోకచిలుక యొక్క రూపాన్ని ఇచ్చింది. ఫ్యూజ్‌లేజ్ అల్యూమినియం చర్మంతో సెమిమోనోకోక్ మెటాలిక్. అండర్ క్యారేజ్ పరిష్కరించబడింది మరియు యు.ఎస్. నేవీ పరీక్షించే ముడుచుకునే గేర్ లేకుండా చివరి బిప్‌లేన్"&amp;" ఫైటర్ అవుతుంది. ఈ విమానం పరీక్షలో సంతృప్తికరంగా ప్రదర్శించింది, కాని మరింత ఆశాజనక విమానం అభివృద్ధి చేయబడింది మరియు సెప్టెంబర్ 1935 లో, ఈ కార్యక్రమం ముగిసింది. [1] [1] సాధారణ లక్షణాల నుండి డేటా పనితీరు ఆయుధాలు")</f>
        <v>బెర్లినర్-జాయిస్ XF3J ఒక అమెరికన్ బిప్‌లేన్ ఫైటర్, దీనిని బెర్లినర్-జాయిస్ విమానం నిర్మించారు. 625 హెచ్‌పి (466 కిలోవాట్) రైట్ R-1510-26 ఇంజిన్‌తో నడిచే సింగిల్-సీట్ క్యారియర్-ఆధారిత ఫైటర్ కోసం వారి అభ్యర్థన కోసం ఇది యునైటెడ్ స్టేట్స్ నేవీకి సమర్పించబడింది. [1] XF3J లో ఎలిప్టికల్ ఫాబ్రిక్ కవర్ రెక్కలు ఉన్నాయి, ఇది సీతాకోకచిలుక యొక్క రూపాన్ని ఇచ్చింది. ఫ్యూజ్‌లేజ్ అల్యూమినియం చర్మంతో సెమిమోనోకోక్ మెటాలిక్. అండర్ క్యారేజ్ పరిష్కరించబడింది మరియు యు.ఎస్. నేవీ పరీక్షించే ముడుచుకునే గేర్ లేకుండా చివరి బిప్‌లేన్ ఫైటర్ అవుతుంది. ఈ విమానం పరీక్షలో సంతృప్తికరంగా ప్రదర్శించింది, కాని మరింత ఆశాజనక విమానం అభివృద్ధి చేయబడింది మరియు సెప్టెంబర్ 1935 లో, ఈ కార్యక్రమం ముగిసింది. [1] [1] సాధారణ లక్షణాల నుండి డేటా పనితీరు ఆయుధాలు</v>
      </c>
      <c r="E193" s="1" t="s">
        <v>3571</v>
      </c>
      <c r="F193" s="1" t="s">
        <v>1098</v>
      </c>
      <c r="G193" s="1" t="str">
        <f>IFERROR(__xludf.DUMMYFUNCTION("GOOGLETRANSLATE(F:F,""en"", ""te"")"),"యుద్ధ")</f>
        <v>యుద్ధ</v>
      </c>
      <c r="H193" s="2" t="s">
        <v>1099</v>
      </c>
      <c r="I193" s="1" t="s">
        <v>158</v>
      </c>
      <c r="J193" s="1" t="str">
        <f>IFERROR(__xludf.DUMMYFUNCTION("GOOGLETRANSLATE(I:I,""en"", ""te"")"),"అమెరికా")</f>
        <v>అమెరికా</v>
      </c>
      <c r="K193" s="1" t="s">
        <v>159</v>
      </c>
      <c r="L193" s="1" t="s">
        <v>3572</v>
      </c>
      <c r="M193" s="1" t="str">
        <f>IFERROR(__xludf.DUMMYFUNCTION("GOOGLETRANSLATE(L:L,""en"", ""te"")"),"బెర్లినర్-జాయిస్ విమానం")</f>
        <v>బెర్లినర్-జాయిస్ విమానం</v>
      </c>
      <c r="N193" s="1" t="s">
        <v>3573</v>
      </c>
      <c r="R193" s="1">
        <v>1.0</v>
      </c>
      <c r="S193" s="1">
        <v>1.0</v>
      </c>
      <c r="U193" s="1" t="s">
        <v>3574</v>
      </c>
      <c r="V193" s="1" t="s">
        <v>3575</v>
      </c>
      <c r="W193" s="1" t="s">
        <v>3576</v>
      </c>
      <c r="X193" s="1" t="s">
        <v>3577</v>
      </c>
      <c r="Y193" s="1" t="s">
        <v>3578</v>
      </c>
      <c r="AA193" s="1" t="s">
        <v>3579</v>
      </c>
      <c r="AH193" s="1" t="s">
        <v>3237</v>
      </c>
      <c r="AK193" s="1" t="s">
        <v>3580</v>
      </c>
      <c r="AL193" s="1" t="s">
        <v>3581</v>
      </c>
      <c r="AO193" s="1" t="s">
        <v>3582</v>
      </c>
      <c r="AQ193" s="1" t="s">
        <v>3583</v>
      </c>
      <c r="AR193" s="1" t="s">
        <v>3584</v>
      </c>
      <c r="BA193" s="1" t="s">
        <v>3585</v>
      </c>
    </row>
    <row r="194">
      <c r="A194" s="1" t="s">
        <v>3586</v>
      </c>
      <c r="B194" s="1" t="str">
        <f>IFERROR(__xludf.DUMMYFUNCTION("GOOGLETRANSLATE(A:A,""en"", ""te"")"),"గుసగుస విమానం గుసగుస")</f>
        <v>గుసగుస విమానం గుసగుస</v>
      </c>
      <c r="C194" s="1" t="s">
        <v>3587</v>
      </c>
      <c r="D194" s="1" t="str">
        <f>IFERROR(__xludf.DUMMYFUNCTION("GOOGLETRANSLATE(C:C,""en"", ""te"")"),"విస్పర్ ఎయిర్క్రాఫ్ట్ విస్పర్ మోటార్ గ్లైడర్ అనేది దక్షిణాఫ్రికా రెండు-సీట్ల కిట్ విమానం, దీనిని 2004 లో రస్సెల్ ఫిలిప్స్ రూపొందించారు మరియు పోర్ట్ ఎలిజబెత్ యొక్క విస్పర్ ఎయిర్క్రాఫ్ట్ నిర్మించింది. యజమాని పూర్తి చేయడానికి ఉద్దేశించిన అసెంబ్లీతో ఫ్యాక్టరీ"&amp;"లో ప్రధాన సమావేశాలు పూర్తయ్యాయి. ఇది నాలుగు సిలిండర్ల లింబాచ్ L2000 ఏరో ఇంజిన్ ద్వారా శక్తిని కలిగి ఉంటుంది, ఇది 85 HP (63 kW) జబిరు 2200 మరియు 80 HP (60 kW) రోటాక్స్ 912 అందుబాటులో ఉంది. [1] [2] ఈ డిజైన్ 2015 లో విస్పర్ X350 జనరేషన్ II కిట్ విమానంగా అభివ"&amp;"ృద్ధి చేయబడింది. [1] విస్పర్ విమానం నుండి డేటా [3] సాధారణ లక్షణాల పనితీరు")</f>
        <v>విస్పర్ ఎయిర్క్రాఫ్ట్ విస్పర్ మోటార్ గ్లైడర్ అనేది దక్షిణాఫ్రికా రెండు-సీట్ల కిట్ విమానం, దీనిని 2004 లో రస్సెల్ ఫిలిప్స్ రూపొందించారు మరియు పోర్ట్ ఎలిజబెత్ యొక్క విస్పర్ ఎయిర్క్రాఫ్ట్ నిర్మించింది. యజమాని పూర్తి చేయడానికి ఉద్దేశించిన అసెంబ్లీతో ఫ్యాక్టరీలో ప్రధాన సమావేశాలు పూర్తయ్యాయి. ఇది నాలుగు సిలిండర్ల లింబాచ్ L2000 ఏరో ఇంజిన్ ద్వారా శక్తిని కలిగి ఉంటుంది, ఇది 85 HP (63 kW) జబిరు 2200 మరియు 80 HP (60 kW) రోటాక్స్ 912 అందుబాటులో ఉంది. [1] [2] ఈ డిజైన్ 2015 లో విస్పర్ X350 జనరేషన్ II కిట్ విమానంగా అభివృద్ధి చేయబడింది. [1] విస్పర్ విమానం నుండి డేటా [3] సాధారణ లక్షణాల పనితీరు</v>
      </c>
      <c r="E194" s="1" t="s">
        <v>3588</v>
      </c>
      <c r="F194" s="1" t="s">
        <v>1506</v>
      </c>
      <c r="G194" s="1" t="str">
        <f>IFERROR(__xludf.DUMMYFUNCTION("GOOGLETRANSLATE(F:F,""en"", ""te"")"),"మోటార్ గ్లైడర్")</f>
        <v>మోటార్ గ్లైడర్</v>
      </c>
      <c r="H194" s="1" t="s">
        <v>1507</v>
      </c>
      <c r="I194" s="1" t="s">
        <v>1892</v>
      </c>
      <c r="J194" s="1" t="str">
        <f>IFERROR(__xludf.DUMMYFUNCTION("GOOGLETRANSLATE(I:I,""en"", ""te"")"),"దక్షిణ ఆఫ్రికా")</f>
        <v>దక్షిణ ఆఫ్రికా</v>
      </c>
      <c r="K194" s="1" t="s">
        <v>3589</v>
      </c>
      <c r="L194" s="1" t="s">
        <v>3590</v>
      </c>
      <c r="M194" s="1" t="str">
        <f>IFERROR(__xludf.DUMMYFUNCTION("GOOGLETRANSLATE(L:L,""en"", ""te"")"),"గుసగుస విమానం")</f>
        <v>గుసగుస విమానం</v>
      </c>
      <c r="N194" s="1" t="s">
        <v>3591</v>
      </c>
      <c r="P194" s="1" t="s">
        <v>162</v>
      </c>
      <c r="Q194" s="1"/>
      <c r="R194" s="1" t="s">
        <v>3592</v>
      </c>
      <c r="S194" s="1" t="s">
        <v>3593</v>
      </c>
      <c r="T194" s="1" t="s">
        <v>629</v>
      </c>
      <c r="U194" s="1" t="s">
        <v>3594</v>
      </c>
      <c r="W194" s="1" t="s">
        <v>3595</v>
      </c>
      <c r="X194" s="1" t="s">
        <v>3596</v>
      </c>
      <c r="Y194" s="1" t="s">
        <v>3597</v>
      </c>
      <c r="Z194" s="1" t="s">
        <v>3598</v>
      </c>
      <c r="AA194" s="1" t="s">
        <v>3599</v>
      </c>
      <c r="AB194" s="1" t="s">
        <v>2275</v>
      </c>
      <c r="AC194" s="1">
        <v>28.0</v>
      </c>
      <c r="AD194" s="1" t="s">
        <v>3600</v>
      </c>
      <c r="AE194" s="1" t="s">
        <v>3601</v>
      </c>
      <c r="AF194" s="1" t="s">
        <v>3602</v>
      </c>
      <c r="AH194" s="1" t="s">
        <v>3603</v>
      </c>
      <c r="AI194" s="1" t="s">
        <v>1324</v>
      </c>
      <c r="AJ194" s="1" t="s">
        <v>2530</v>
      </c>
      <c r="AK194" s="1" t="s">
        <v>212</v>
      </c>
      <c r="AM194" s="1" t="s">
        <v>3604</v>
      </c>
      <c r="AQ194" s="1" t="s">
        <v>1178</v>
      </c>
      <c r="AX194" s="1" t="s">
        <v>3605</v>
      </c>
      <c r="AY194" s="1" t="s">
        <v>3606</v>
      </c>
      <c r="BB194" s="1" t="s">
        <v>3607</v>
      </c>
      <c r="BD194" s="1">
        <v>17.07</v>
      </c>
    </row>
    <row r="195">
      <c r="A195" s="1" t="s">
        <v>3608</v>
      </c>
      <c r="B195" s="1" t="str">
        <f>IFERROR(__xludf.DUMMYFUNCTION("GOOGLETRANSLATE(A:A,""en"", ""te"")"),"వింగ్కో అట్లాంటికా")</f>
        <v>వింగ్కో అట్లాంటికా</v>
      </c>
      <c r="C195" s="1" t="s">
        <v>3609</v>
      </c>
      <c r="D195" s="1" t="str">
        <f>IFERROR(__xludf.DUMMYFUNCTION("GOOGLETRANSLATE(C:C,""en"", ""te"")"),"అట్లాంటికా అనేది బ్లెండెడ్ వింగ్ బాడీ విమానం, ఇది వింగ్కో చేత అభివృద్ధి చేయబడుతోంది, [2] ఒక విమాన తయారీదారు. వింగ్కో యొక్క వెబ్‌సైట్ ఈ విమానం రెండవ ప్రపంచ యుద్ధానికి ముందు అభివృద్ధి చేసిన సాంకేతికతపై ఆధారపడి ఉందని పేర్కొంది. ఈ విమానం ఐదు సీట్లు మరియు 240 "&amp;"నాట్ల టాప్ స్పీడ్ కలిగి ఉంది. విమానం ప్రత్యేకమైనది, ఇది ఐదు వేర్వేరు విభాగాల నుండి కలిసి వెల్డింగ్ చేయబడింది. [3] జనవరి 2003 లో ఫ్లోరిడాలోని ఓర్లాండో మెల్బోర్న్ అంతర్జాతీయ విమానాశ్రయంలో పరీక్ష సమయంలో, ఒక ప్రోటోటైప్ విమానం ప్రమాదంలో చిక్కుకుంది. విమానాన్ని"&amp;" పరీక్షించడానికి తాను హై స్పీడ్ టాక్సీని నిర్వహిస్తున్నానని, మరియు గాలిలో మారడానికి ఉద్దేశించలేదని పైలట్ అధికారులకు చెప్పాడు, అయితే విమానం టార్మాక్ నుండి ఎత్తివేసి, సెకన్ల తరువాత మళ్ళీ దానితో ప్రభావం చూపింది. ఈ ప్రమాదంలో పైలట్‌కు స్వల్ప గాయాలయ్యాయి. ఎన్‌ట"&amp;"ిఎస్‌బి (నేషనల్ ట్రాన్స్‌పోర్టేషన్ సేఫ్టీ బోర్డ్) యొక్క నివేదికను కనుగొన్నది: హై స్పీడ్ టాక్సీ సమయంలో, పైలట్ విమానం యొక్క ముక్కును పెంచాడు మరియు అది వాయుమార్గాలుగా మారింది. విమానం సుమారు 100 అడుగుల దాడికి అధిక కోణంతో ఎక్కింది. అప్పుడు పైలట్ శక్తిని పనిలేక"&amp;"ుండా తగ్గించి, విమానం ముక్కును తగ్గించాడు. అనుకోకుండా ఫ్లైట్ నుండి పైలట్ కోలుకోవడానికి ప్రయత్నించడంతో విమానం నేలమీద ided ీకొట్టింది. మైదానంతో ision ీకొన్న సమయంలో బాలిస్టిక్ రికవరీ పారాచూట్ మోహరించబడింది, మరియు విమానం రన్వే నుండి 200 అడుగుల నుండి లాగబడింది"&amp;". [4] పైలట్ లోపం కారణమని పరిశోధకులు తేల్చారు, ప్రత్యేకంగా ""నేషనల్ ట్రాన్స్‌పోర్టేషన్ సేఫ్టీ బోర్డ్ ఈ ప్రమాదానికి సంభావ్య కారణాన్ని నిర్ణయిస్తుంది [పైలట్ యొక్క అనుకోకుండా లిఫ్టాఫ్ మరియు ఎయిర్‌స్పీడ్‌ను నిర్వహించడంలో అతని వైఫల్యం, దీని ఫలితంగా ఒక స్టాల్‌కు"&amp;" దారితీసింది."" 2000 ల విమానంలో ఈ వ్యాసం ఒక స్టబ్. వికీపీడియా విస్తరించడం ద్వారా మీరు సహాయపడవచ్చు.")</f>
        <v>అట్లాంటికా అనేది బ్లెండెడ్ వింగ్ బాడీ విమానం, ఇది వింగ్కో చేత అభివృద్ధి చేయబడుతోంది, [2] ఒక విమాన తయారీదారు. వింగ్కో యొక్క వెబ్‌సైట్ ఈ విమానం రెండవ ప్రపంచ యుద్ధానికి ముందు అభివృద్ధి చేసిన సాంకేతికతపై ఆధారపడి ఉందని పేర్కొంది. ఈ విమానం ఐదు సీట్లు మరియు 240 నాట్ల టాప్ స్పీడ్ కలిగి ఉంది. విమానం ప్రత్యేకమైనది, ఇది ఐదు వేర్వేరు విభాగాల నుండి కలిసి వెల్డింగ్ చేయబడింది. [3] జనవరి 2003 లో ఫ్లోరిడాలోని ఓర్లాండో మెల్బోర్న్ అంతర్జాతీయ విమానాశ్రయంలో పరీక్ష సమయంలో, ఒక ప్రోటోటైప్ విమానం ప్రమాదంలో చిక్కుకుంది. విమానాన్ని పరీక్షించడానికి తాను హై స్పీడ్ టాక్సీని నిర్వహిస్తున్నానని, మరియు గాలిలో మారడానికి ఉద్దేశించలేదని పైలట్ అధికారులకు చెప్పాడు, అయితే విమానం టార్మాక్ నుండి ఎత్తివేసి, సెకన్ల తరువాత మళ్ళీ దానితో ప్రభావం చూపింది. ఈ ప్రమాదంలో పైలట్‌కు స్వల్ప గాయాలయ్యాయి. ఎన్‌టిఎస్‌బి (నేషనల్ ట్రాన్స్‌పోర్టేషన్ సేఫ్టీ బోర్డ్) యొక్క నివేదికను కనుగొన్నది: హై స్పీడ్ టాక్సీ సమయంలో, పైలట్ విమానం యొక్క ముక్కును పెంచాడు మరియు అది వాయుమార్గాలుగా మారింది. విమానం సుమారు 100 అడుగుల దాడికి అధిక కోణంతో ఎక్కింది. అప్పుడు పైలట్ శక్తిని పనిలేకుండా తగ్గించి, విమానం ముక్కును తగ్గించాడు. అనుకోకుండా ఫ్లైట్ నుండి పైలట్ కోలుకోవడానికి ప్రయత్నించడంతో విమానం నేలమీద ided ీకొట్టింది. మైదానంతో ision ీకొన్న సమయంలో బాలిస్టిక్ రికవరీ పారాచూట్ మోహరించబడింది, మరియు విమానం రన్వే నుండి 200 అడుగుల నుండి లాగబడింది. [4] పైలట్ లోపం కారణమని పరిశోధకులు తేల్చారు, ప్రత్యేకంగా "నేషనల్ ట్రాన్స్‌పోర్టేషన్ సేఫ్టీ బోర్డ్ ఈ ప్రమాదానికి సంభావ్య కారణాన్ని నిర్ణయిస్తుంది [పైలట్ యొక్క అనుకోకుండా లిఫ్టాఫ్ మరియు ఎయిర్‌స్పీడ్‌ను నిర్వహించడంలో అతని వైఫల్యం, దీని ఫలితంగా ఒక స్టాల్‌కు దారితీసింది." 2000 ల విమానంలో ఈ వ్యాసం ఒక స్టబ్. వికీపీడియా విస్తరించడం ద్వారా మీరు సహాయపడవచ్చు.</v>
      </c>
      <c r="F195" s="1" t="s">
        <v>3610</v>
      </c>
      <c r="G195" s="1" t="str">
        <f>IFERROR(__xludf.DUMMYFUNCTION("GOOGLETRANSLATE(F:F,""en"", ""te"")"),"వ్యక్తిగత విమానం")</f>
        <v>వ్యక్తిగత విమానం</v>
      </c>
      <c r="I195" s="1" t="s">
        <v>158</v>
      </c>
      <c r="J195" s="1" t="str">
        <f>IFERROR(__xludf.DUMMYFUNCTION("GOOGLETRANSLATE(I:I,""en"", ""te"")"),"అమెరికా")</f>
        <v>అమెరికా</v>
      </c>
      <c r="K195" s="1" t="s">
        <v>159</v>
      </c>
      <c r="L195" s="1" t="s">
        <v>3611</v>
      </c>
      <c r="M195" s="1" t="str">
        <f>IFERROR(__xludf.DUMMYFUNCTION("GOOGLETRANSLATE(L:L,""en"", ""te"")"),"వింగ్కో")</f>
        <v>వింగ్కో</v>
      </c>
      <c r="N195" s="2" t="s">
        <v>3612</v>
      </c>
      <c r="R195" s="1" t="s">
        <v>3613</v>
      </c>
      <c r="AM195" s="1" t="s">
        <v>3614</v>
      </c>
      <c r="AO195" s="1">
        <v>2002.0</v>
      </c>
    </row>
    <row r="196">
      <c r="A196" s="1" t="s">
        <v>3615</v>
      </c>
      <c r="B196" s="1" t="str">
        <f>IFERROR(__xludf.DUMMYFUNCTION("GOOGLETRANSLATE(A:A,""en"", ""te"")"),"ప్రపంచ విమాన ఆత్మ")</f>
        <v>ప్రపంచ విమాన ఆత్మ</v>
      </c>
      <c r="C196" s="1" t="s">
        <v>3616</v>
      </c>
      <c r="D196" s="1" t="str">
        <f>IFERROR(__xludf.DUMMYFUNCTION("GOOGLETRANSLATE(C:C,""en"", ""te"")"),"ప్రపంచ విమాన స్పిరిట్ కొలంబియన్/అమెరికన్ te త్సాహిక-నిర్మిత విమానం, దీనిని మాక్స్ టెడెస్కో రూపొందించారు మరియు ప్రపంచ విమాన సంస్థ నిర్మించింది. ఈ విమానం 2011 లో ఎయిర్‌వెంచర్‌లో బహిరంగంగా ప్రవేశపెట్టబడింది మరియు ఉత్పత్తి 2014 లో ప్రారంభమవుతుందని భావిస్తున్న"&amp;"ారు. ఇది te త్సాహిక నిర్మాణానికి కిట్‌గా లేదా పూర్తి రెడీ-టు-ఫ్లై విమానం వలె సరఫరా చేయబడుతుంది. [1] [2] [3] స్పిరిట్ స్ట్రట్-బ్రేస్డ్ హై-వింగ్, రెండు-సీట్ల-సైడ్-సైడ్ కాన్ఫిగరేషన్ పరివేష్టిత కాక్‌పిట్, ఇది 48 లో (122 సెం.మీ) వెడల్పు, స్థిర ట్రైసైకిల్ ల్యాం"&amp;"డింగ్ గేర్ మరియు ట్రాక్టర్ కాన్ఫిగరేషన్‌లో ఒకే ఇంజిన్. [1 ] విమానం అల్యూమినియం షీట్ నుండి తయారు చేయబడింది. దీని 32.9 అడుగుల (10.0 మీ) స్పాన్ వింగ్ 132 చదరపు అడుగుల (12.3 మీ 2) విస్తీర్ణంలో ఉంది మరియు ఫ్లాప్‌లను మౌంట్ చేస్తుంది. రెక్కకు ""V"" స్ట్రట్స్ మరి"&amp;"యు జ్యూరీ స్ట్రట్స్ మద్దతు ఇస్తున్నాయి. విమానం యొక్క సిఫార్సు చేసిన ఇంజిన్ శక్తి శ్రేణి 100 నుండి 130 హెచ్‌పి (75 నుండి 97 కిలోవాట్) మరియు ఉపయోగించిన ప్రామాణిక ఇంజన్లు 100 హెచ్‌పి (75 కిలోవాట్ లైమింగ్ IO-233 ఫోర్-స్ట్రోక్ పవర్‌ప్లాంట్లు. [1] [2] ఈ విమానం "&amp;"డిజైన్ గరిష్ట స్థూల బరువు 1,653 పౌండ్లు (750 కిలోలు), కానీ యుఎస్ లైట్-స్పోర్ట్ విమాన విభాగంలో ఎగిరితే 1,320 పౌండ్లు (599 కిలోల) కు పరిమితం చేయబడింది. [4] స్పిరిట్ ఎయిర్‌ఫ్రేమ్ కొలంబియాలో నిర్మించబడింది మరియు తరువాత టెనెస్సీలోని పారిస్‌లోని హెన్రీ కౌంటీ వి"&amp;"మానాశ్రయంలోని ప్రపంచ విమానాల సౌకర్యానికి తుది అసెంబ్లీ మరియు పెయింట్ కోసం రవాణా చేయబడింది. రవాణా చేయబడిన కిట్లు పూర్తిగా సమావేశమవుతాయి మరియు తరువాత కస్టమర్ డెలివరీ కోసం విడదీయబడతాయి మరియు పెయింట్ చేయబడతాయి. సరఫరా చేసిన కిట్ నుండి నిర్మాణ సమయం 110 గంటలుగా "&amp;"అంచనా వేయబడింది. [1] [2] [4] అక్టోబర్ 2012 నాటికి, ఫెడరల్ ఏవియేషన్ అడ్మినిస్ట్రేషన్ యొక్క ఆమోదించబడిన ప్రత్యేక లైట్-స్పోర్ట్ విమానాల జాబితాలో డిజైన్ కనిపిస్తుంది. [5] డిసెంబర్ 2011 నాటికి 55 ఉదాహరణలు పూర్తయ్యాయి మరియు ఎగిరిపోయాయి. [1] కిట్‌ప్లాన్లు, ప్రపం"&amp;"చ విమాన సంస్థ మరియు అవ్వేబ్ [1] [3] [4] సాధారణ లక్షణాల పనితీరు ఏవియానిక్స్ నుండి డేటా")</f>
        <v>ప్రపంచ విమాన స్పిరిట్ కొలంబియన్/అమెరికన్ te త్సాహిక-నిర్మిత విమానం, దీనిని మాక్స్ టెడెస్కో రూపొందించారు మరియు ప్రపంచ విమాన సంస్థ నిర్మించింది. ఈ విమానం 2011 లో ఎయిర్‌వెంచర్‌లో బహిరంగంగా ప్రవేశపెట్టబడింది మరియు ఉత్పత్తి 2014 లో ప్రారంభమవుతుందని భావిస్తున్నారు. ఇది te త్సాహిక నిర్మాణానికి కిట్‌గా లేదా పూర్తి రెడీ-టు-ఫ్లై విమానం వలె సరఫరా చేయబడుతుంది. [1] [2] [3] స్పిరిట్ స్ట్రట్-బ్రేస్డ్ హై-వింగ్, రెండు-సీట్ల-సైడ్-సైడ్ కాన్ఫిగరేషన్ పరివేష్టిత కాక్‌పిట్, ఇది 48 లో (122 సెం.మీ) వెడల్పు, స్థిర ట్రైసైకిల్ ల్యాండింగ్ గేర్ మరియు ట్రాక్టర్ కాన్ఫిగరేషన్‌లో ఒకే ఇంజిన్. [1 ] విమానం అల్యూమినియం షీట్ నుండి తయారు చేయబడింది. దీని 32.9 అడుగుల (10.0 మీ) స్పాన్ వింగ్ 132 చదరపు అడుగుల (12.3 మీ 2) విస్తీర్ణంలో ఉంది మరియు ఫ్లాప్‌లను మౌంట్ చేస్తుంది. రెక్కకు "V" స్ట్రట్స్ మరియు జ్యూరీ స్ట్రట్స్ మద్దతు ఇస్తున్నాయి. విమానం యొక్క సిఫార్సు చేసిన ఇంజిన్ శక్తి శ్రేణి 100 నుండి 130 హెచ్‌పి (75 నుండి 97 కిలోవాట్) మరియు ఉపయోగించిన ప్రామాణిక ఇంజన్లు 100 హెచ్‌పి (75 కిలోవాట్ లైమింగ్ IO-233 ఫోర్-స్ట్రోక్ పవర్‌ప్లాంట్లు. [1] [2] ఈ విమానం డిజైన్ గరిష్ట స్థూల బరువు 1,653 పౌండ్లు (750 కిలోలు), కానీ యుఎస్ లైట్-స్పోర్ట్ విమాన విభాగంలో ఎగిరితే 1,320 పౌండ్లు (599 కిలోల) కు పరిమితం చేయబడింది. [4] స్పిరిట్ ఎయిర్‌ఫ్రేమ్ కొలంబియాలో నిర్మించబడింది మరియు తరువాత టెనెస్సీలోని పారిస్‌లోని హెన్రీ కౌంటీ విమానాశ్రయంలోని ప్రపంచ విమానాల సౌకర్యానికి తుది అసెంబ్లీ మరియు పెయింట్ కోసం రవాణా చేయబడింది. రవాణా చేయబడిన కిట్లు పూర్తిగా సమావేశమవుతాయి మరియు తరువాత కస్టమర్ డెలివరీ కోసం విడదీయబడతాయి మరియు పెయింట్ చేయబడతాయి. సరఫరా చేసిన కిట్ నుండి నిర్మాణ సమయం 110 గంటలుగా అంచనా వేయబడింది. [1] [2] [4] అక్టోబర్ 2012 నాటికి, ఫెడరల్ ఏవియేషన్ అడ్మినిస్ట్రేషన్ యొక్క ఆమోదించబడిన ప్రత్యేక లైట్-స్పోర్ట్ విమానాల జాబితాలో డిజైన్ కనిపిస్తుంది. [5] డిసెంబర్ 2011 నాటికి 55 ఉదాహరణలు పూర్తయ్యాయి మరియు ఎగిరిపోయాయి. [1] కిట్‌ప్లాన్లు, ప్రపంచ విమాన సంస్థ మరియు అవ్వేబ్ [1] [3] [4] సాధారణ లక్షణాల పనితీరు ఏవియానిక్స్ నుండి డేటా</v>
      </c>
      <c r="E196" s="1" t="s">
        <v>3617</v>
      </c>
      <c r="F196" s="1" t="s">
        <v>3618</v>
      </c>
      <c r="G196" s="1" t="str">
        <f>IFERROR(__xludf.DUMMYFUNCTION("GOOGLETRANSLATE(F:F,""en"", ""te"")"),"Te త్సాహిక నిర్మించిన ఎయిర్క్రాఫ్ట్‌లైట్-స్పోర్ట్ విమానం")</f>
        <v>Te త్సాహిక నిర్మించిన ఎయిర్క్రాఫ్ట్‌లైట్-స్పోర్ట్ విమానం</v>
      </c>
      <c r="H196" s="1" t="s">
        <v>3619</v>
      </c>
      <c r="I196" s="1" t="s">
        <v>3620</v>
      </c>
      <c r="J196" s="1" t="str">
        <f>IFERROR(__xludf.DUMMYFUNCTION("GOOGLETRANSLATE(I:I,""en"", ""te"")"),"కొలంబియా/యునైటెడ్ స్టేట్స్")</f>
        <v>కొలంబియా/యునైటెడ్ స్టేట్స్</v>
      </c>
      <c r="K196" s="1" t="s">
        <v>3621</v>
      </c>
      <c r="L196" s="1" t="s">
        <v>3622</v>
      </c>
      <c r="M196" s="1" t="str">
        <f>IFERROR(__xludf.DUMMYFUNCTION("GOOGLETRANSLATE(L:L,""en"", ""te"")"),"ప్రపంచ విమాన సంస్థ")</f>
        <v>ప్రపంచ విమాన సంస్థ</v>
      </c>
      <c r="N196" s="1" t="s">
        <v>3623</v>
      </c>
      <c r="O196" s="1">
        <v>2011.0</v>
      </c>
      <c r="P196" s="1" t="s">
        <v>3624</v>
      </c>
      <c r="Q196" s="1"/>
      <c r="R196" s="1" t="s">
        <v>3625</v>
      </c>
      <c r="S196" s="1" t="s">
        <v>164</v>
      </c>
      <c r="T196" s="1" t="s">
        <v>165</v>
      </c>
      <c r="U196" s="1" t="s">
        <v>3626</v>
      </c>
      <c r="W196" s="1" t="s">
        <v>3627</v>
      </c>
      <c r="X196" s="1" t="s">
        <v>3628</v>
      </c>
      <c r="Y196" s="1" t="s">
        <v>3629</v>
      </c>
      <c r="Z196" s="1" t="s">
        <v>3630</v>
      </c>
      <c r="AA196" s="1" t="s">
        <v>3631</v>
      </c>
      <c r="AB196" s="1" t="s">
        <v>3632</v>
      </c>
      <c r="AC196" s="1">
        <v>10.5</v>
      </c>
      <c r="AD196" s="1" t="s">
        <v>337</v>
      </c>
      <c r="AE196" s="1" t="s">
        <v>2161</v>
      </c>
      <c r="AF196" s="1" t="s">
        <v>3633</v>
      </c>
      <c r="AG196" s="1" t="s">
        <v>3634</v>
      </c>
      <c r="AH196" s="1" t="s">
        <v>936</v>
      </c>
      <c r="AI196" s="1" t="s">
        <v>3635</v>
      </c>
      <c r="AJ196" s="1" t="s">
        <v>3636</v>
      </c>
      <c r="AK196" s="1" t="s">
        <v>3637</v>
      </c>
      <c r="AM196" s="1" t="s">
        <v>3638</v>
      </c>
      <c r="AS196" s="1" t="s">
        <v>3639</v>
      </c>
    </row>
    <row r="197">
      <c r="A197" s="1" t="s">
        <v>3634</v>
      </c>
      <c r="B197" s="1" t="str">
        <f>IFERROR(__xludf.DUMMYFUNCTION("GOOGLETRANSLATE(A:A,""en"", ""te"")"),"ప్రపంచ విమాన దృష్టి")</f>
        <v>ప్రపంచ విమాన దృష్టి</v>
      </c>
      <c r="C197" s="1" t="s">
        <v>3640</v>
      </c>
      <c r="D197" s="1" t="str">
        <f>IFERROR(__xludf.DUMMYFUNCTION("GOOGLETRANSLATE(C:C,""en"", ""te"")"),"ప్రపంచ విమాన దృష్టి, సెంటినెల్ అని కూడా పిలుస్తారు, ఇది ఒక అమెరికన్ స్టోల్ te త్సాహిక-నిర్మిత విమానం, దీనిని ప్రపంచ విమాన సంస్థ నిర్మించింది. ఈ విమానం 2012 లో సన్ ఎన్ ఫన్ వద్ద బహిరంగంగా ప్రవేశపెట్టబడింది మరియు ఉత్పత్తి 2014 లో ప్రారంభమవుతుందని భావిస్తున్న"&amp;"ారు. ఇది te త్సాహిక నిర్మాణానికి కిట్‌గా లేదా పూర్తి రెడీ-టు-ఫ్లై విమానంగా సరఫరా చేయబడుతుంది. [1] [2] ప్రపంచ విమాన స్పిరిట్ యొక్క అభివృద్ధి, ఈ దృష్టిలో స్ట్రట్-బ్రేస్డ్ హై-వింగ్, రెండు-సీట్ల-సైడ్-సైడ్-సైడ్ కాన్ఫిగరేషన్ పరివేష్టిత కాక్‌పిట్, ఇది 48.5 లో (1"&amp;"23 సెం.మీ) వెడల్పు, స్థిర ట్రైసైకిల్ ల్యాండింగ్ గేర్ మరియు ఎ ట్రాక్టర్ కాన్ఫిగరేషన్‌లో సింగిల్ ఇంజిన్. దృశ్యమానతను పెంచడానికి ఇది పెద్ద స్పష్టమైన ప్లాస్టిక్ తలుపులు మరియు విస్తరించిన ఫ్రంట్ విండ్‌షీల్డ్‌ను కలిగి ఉంది. [1] [3] విమానం అల్యూమినియం షీట్ నుండి"&amp;" తయారు చేయబడింది. దీని 31.4 అడుగుల (9.6 మీ) స్పాన్ వింగ్ 132 చదరపు అడుగుల (12.3 మీ 2) విస్తీర్ణంలో ఉంది మరియు ఫ్లాప్‌లను మౌంట్ చేస్తుంది. రెక్కకు ""V"" స్ట్రట్స్ మరియు జ్యూరీ స్ట్రట్స్ మద్దతు ఇస్తున్నాయి. విమానం సిఫార్సు చేసిన ఇంజిన్ 100 హెచ్‌పి (75 కిలోవ"&amp;"ాట్ల) రోటాక్స్ 912లు నాలుగు-స్ట్రోక్ పవర్‌ప్లాంట్. ట్రైసైకిల్ ల్యాండింగ్ గేర్ కఠినమైన క్షేత్ర కార్యకలాపాలకు బలోపేతం అవుతుంది మరియు సర్దుబాటు చేయగల ముక్కు స్ట్రట్ షాక్ అబ్జార్బర్‌ను కలిగి ఉంటుంది. ఎలక్ట్రిక్ రూడర్ ట్రిమ్ ప్రామాణికం. [1] [3] ఈ విమానం డిజైన్"&amp;" గరిష్ట స్థూల బరువు 1,653 పౌండ్లు (750 కిలోలు), కానీ యుఎస్ లైట్-స్పోర్ట్ విమాన విభాగంలో ఎగిరితే 1,320 పౌండ్లు (599 కిలోల) కు పరిమితం చేయబడింది. [3] విజన్ కిట్లు కర్మాగారంలో పూర్తిగా సమావేశమవుతాయి మరియు తరువాత కస్టమర్ డెలివరీ కోసం విడదీయబడతాయి మరియు పెయింట"&amp;"్ చేయబడతాయి. [4] అక్టోబర్ 2012 నాటికి, ఫెడరల్ ఏవియేషన్ అడ్మినిస్ట్రేషన్ యొక్క సెంటినెల్ పేరుతో ఆమోదించబడిన ప్రత్యేక లైట్-స్పోర్ట్ విమానాల జాబితాలో డిజైన్ కనిపిస్తుంది. [5] నవంబర్ 2012 నాటికి రెండు ఉదాహరణలు యునైటెడ్ స్టేట్స్లో ఫెడరల్ ఏవియేషన్ అడ్మినిస్ట్రే"&amp;"షన్తో సెంటినెల్ పేరుతో నమోదు చేయబడ్డాయి. [6] కిట్‌ప్లేన్లు మరియు ప్రపంచ విమాన సంస్థ నుండి డేటా [1] [3] సాధారణ లక్షణాల పనితీరు")</f>
        <v>ప్రపంచ విమాన దృష్టి, సెంటినెల్ అని కూడా పిలుస్తారు, ఇది ఒక అమెరికన్ స్టోల్ te త్సాహిక-నిర్మిత విమానం, దీనిని ప్రపంచ విమాన సంస్థ నిర్మించింది. ఈ విమానం 2012 లో సన్ ఎన్ ఫన్ వద్ద బహిరంగంగా ప్రవేశపెట్టబడింది మరియు ఉత్పత్తి 2014 లో ప్రారంభమవుతుందని భావిస్తున్నారు. ఇది te త్సాహిక నిర్మాణానికి కిట్‌గా లేదా పూర్తి రెడీ-టు-ఫ్లై విమానంగా సరఫరా చేయబడుతుంది. [1] [2] ప్రపంచ విమాన స్పిరిట్ యొక్క అభివృద్ధి, ఈ దృష్టిలో స్ట్రట్-బ్రేస్డ్ హై-వింగ్, రెండు-సీట్ల-సైడ్-సైడ్-సైడ్ కాన్ఫిగరేషన్ పరివేష్టిత కాక్‌పిట్, ఇది 48.5 లో (123 సెం.మీ) వెడల్పు, స్థిర ట్రైసైకిల్ ల్యాండింగ్ గేర్ మరియు ఎ ట్రాక్టర్ కాన్ఫిగరేషన్‌లో సింగిల్ ఇంజిన్. దృశ్యమానతను పెంచడానికి ఇది పెద్ద స్పష్టమైన ప్లాస్టిక్ తలుపులు మరియు విస్తరించిన ఫ్రంట్ విండ్‌షీల్డ్‌ను కలిగి ఉంది. [1] [3] విమానం అల్యూమినియం షీట్ నుండి తయారు చేయబడింది. దీని 31.4 అడుగుల (9.6 మీ) స్పాన్ వింగ్ 132 చదరపు అడుగుల (12.3 మీ 2) విస్తీర్ణంలో ఉంది మరియు ఫ్లాప్‌లను మౌంట్ చేస్తుంది. రెక్కకు "V" స్ట్రట్స్ మరియు జ్యూరీ స్ట్రట్స్ మద్దతు ఇస్తున్నాయి. విమానం సిఫార్సు చేసిన ఇంజిన్ 100 హెచ్‌పి (75 కిలోవాట్ల) రోటాక్స్ 912లు నాలుగు-స్ట్రోక్ పవర్‌ప్లాంట్. ట్రైసైకిల్ ల్యాండింగ్ గేర్ కఠినమైన క్షేత్ర కార్యకలాపాలకు బలోపేతం అవుతుంది మరియు సర్దుబాటు చేయగల ముక్కు స్ట్రట్ షాక్ అబ్జార్బర్‌ను కలిగి ఉంటుంది. ఎలక్ట్రిక్ రూడర్ ట్రిమ్ ప్రామాణికం. [1] [3] ఈ విమానం డిజైన్ గరిష్ట స్థూల బరువు 1,653 పౌండ్లు (750 కిలోలు), కానీ యుఎస్ లైట్-స్పోర్ట్ విమాన విభాగంలో ఎగిరితే 1,320 పౌండ్లు (599 కిలోల) కు పరిమితం చేయబడింది. [3] విజన్ కిట్లు కర్మాగారంలో పూర్తిగా సమావేశమవుతాయి మరియు తరువాత కస్టమర్ డెలివరీ కోసం విడదీయబడతాయి మరియు పెయింట్ చేయబడతాయి. [4] అక్టోబర్ 2012 నాటికి, ఫెడరల్ ఏవియేషన్ అడ్మినిస్ట్రేషన్ యొక్క సెంటినెల్ పేరుతో ఆమోదించబడిన ప్రత్యేక లైట్-స్పోర్ట్ విమానాల జాబితాలో డిజైన్ కనిపిస్తుంది. [5] నవంబర్ 2012 నాటికి రెండు ఉదాహరణలు యునైటెడ్ స్టేట్స్లో ఫెడరల్ ఏవియేషన్ అడ్మినిస్ట్రేషన్తో సెంటినెల్ పేరుతో నమోదు చేయబడ్డాయి. [6] కిట్‌ప్లేన్లు మరియు ప్రపంచ విమాన సంస్థ నుండి డేటా [1] [3] సాధారణ లక్షణాల పనితీరు</v>
      </c>
      <c r="E197" s="1" t="s">
        <v>3641</v>
      </c>
      <c r="F197" s="1" t="s">
        <v>3618</v>
      </c>
      <c r="G197" s="1" t="str">
        <f>IFERROR(__xludf.DUMMYFUNCTION("GOOGLETRANSLATE(F:F,""en"", ""te"")"),"Te త్సాహిక నిర్మించిన ఎయిర్క్రాఫ్ట్‌లైట్-స్పోర్ట్ విమానం")</f>
        <v>Te త్సాహిక నిర్మించిన ఎయిర్క్రాఫ్ట్‌లైట్-స్పోర్ట్ విమానం</v>
      </c>
      <c r="H197" s="1" t="s">
        <v>3619</v>
      </c>
      <c r="I197" s="1" t="s">
        <v>158</v>
      </c>
      <c r="J197" s="1" t="str">
        <f>IFERROR(__xludf.DUMMYFUNCTION("GOOGLETRANSLATE(I:I,""en"", ""te"")"),"అమెరికా")</f>
        <v>అమెరికా</v>
      </c>
      <c r="K197" s="1" t="s">
        <v>159</v>
      </c>
      <c r="L197" s="1" t="s">
        <v>3622</v>
      </c>
      <c r="M197" s="1" t="str">
        <f>IFERROR(__xludf.DUMMYFUNCTION("GOOGLETRANSLATE(L:L,""en"", ""te"")"),"ప్రపంచ విమాన సంస్థ")</f>
        <v>ప్రపంచ విమాన సంస్థ</v>
      </c>
      <c r="N197" s="1" t="s">
        <v>3623</v>
      </c>
      <c r="O197" s="1">
        <v>2012.0</v>
      </c>
      <c r="P197" s="1" t="s">
        <v>3642</v>
      </c>
      <c r="Q197" s="1"/>
      <c r="R197" s="1" t="s">
        <v>3643</v>
      </c>
      <c r="S197" s="1" t="s">
        <v>164</v>
      </c>
      <c r="T197" s="1" t="s">
        <v>165</v>
      </c>
      <c r="U197" s="1" t="s">
        <v>3626</v>
      </c>
      <c r="W197" s="1" t="s">
        <v>3644</v>
      </c>
      <c r="X197" s="1" t="s">
        <v>3628</v>
      </c>
      <c r="Y197" s="1" t="s">
        <v>3629</v>
      </c>
      <c r="Z197" s="1" t="s">
        <v>3645</v>
      </c>
      <c r="AA197" s="1" t="s">
        <v>3631</v>
      </c>
      <c r="AB197" s="1" t="s">
        <v>2881</v>
      </c>
      <c r="AE197" s="1" t="s">
        <v>2161</v>
      </c>
      <c r="AF197" s="1" t="s">
        <v>3633</v>
      </c>
      <c r="AH197" s="1" t="s">
        <v>3646</v>
      </c>
      <c r="AI197" s="1" t="s">
        <v>3647</v>
      </c>
      <c r="AJ197" s="1" t="s">
        <v>3636</v>
      </c>
      <c r="AK197" s="1" t="s">
        <v>3648</v>
      </c>
      <c r="AU197" s="1" t="s">
        <v>3615</v>
      </c>
      <c r="AV197" s="1" t="s">
        <v>3649</v>
      </c>
    </row>
    <row r="198">
      <c r="A198" s="1" t="s">
        <v>3650</v>
      </c>
      <c r="B198" s="1" t="str">
        <f>IFERROR(__xludf.DUMMYFUNCTION("GOOGLETRANSLATE(A:A,""en"", ""te"")"),"తులిన్ ఎల్")</f>
        <v>తులిన్ ఎల్</v>
      </c>
      <c r="C198" s="1" t="s">
        <v>3651</v>
      </c>
      <c r="D198" s="1" t="str">
        <f>IFERROR(__xludf.DUMMYFUNCTION("GOOGLETRANSLATE(C:C,""en"", ""te"")"),"థులిన్ ఎల్ 1910 ల చివరలో నిర్మించిన స్వీడిష్ నిఘా విమానం. థులిన్ ఎల్ అనేది విజయవంతం కాని థులిన్ ఇ నుండి తీసుకోబడిన రెండు-సీట్ల బైప్‌లేన్. ఇది రెక్కల ఉపరితలం పెరిగింది మరియు ఫ్లోట్ స్థానం సులభతరం చేయబడింది. నాలుగు ఉత్పత్తి థులిన్ ఎల్ ఫ్లోట్‌ప్లేన్‌లను జూలై"&amp;" 4, 1916 లో ఆదేశించారు మరియు అవి నవంబర్ 1916 నుండి మార్చి 1917 వరకు పంపిణీ చేయబడ్డాయి. [1] సాధారణ లక్షణాల పనితీరు సంబంధిత జాబితాల నుండి డేటా")</f>
        <v>థులిన్ ఎల్ 1910 ల చివరలో నిర్మించిన స్వీడిష్ నిఘా విమానం. థులిన్ ఎల్ అనేది విజయవంతం కాని థులిన్ ఇ నుండి తీసుకోబడిన రెండు-సీట్ల బైప్‌లేన్. ఇది రెక్కల ఉపరితలం పెరిగింది మరియు ఫ్లోట్ స్థానం సులభతరం చేయబడింది. నాలుగు ఉత్పత్తి థులిన్ ఎల్ ఫ్లోట్‌ప్లేన్‌లను జూలై 4, 1916 లో ఆదేశించారు మరియు అవి నవంబర్ 1916 నుండి మార్చి 1917 వరకు పంపిణీ చేయబడ్డాయి. [1] సాధారణ లక్షణాల పనితీరు సంబంధిత జాబితాల నుండి డేటా</v>
      </c>
      <c r="F198" s="1" t="s">
        <v>2317</v>
      </c>
      <c r="G198" s="1" t="str">
        <f>IFERROR(__xludf.DUMMYFUNCTION("GOOGLETRANSLATE(F:F,""en"", ""te"")"),"నిఘా విమానం")</f>
        <v>నిఘా విమానం</v>
      </c>
      <c r="L198" s="1" t="s">
        <v>3416</v>
      </c>
      <c r="M198" s="1" t="str">
        <f>IFERROR(__xludf.DUMMYFUNCTION("GOOGLETRANSLATE(L:L,""en"", ""te"")"),"అబ్ థిన్వెన్వెర్కెన్")</f>
        <v>అబ్ థిన్వెన్వెర్కెన్</v>
      </c>
      <c r="N198" s="1" t="s">
        <v>3417</v>
      </c>
      <c r="R198" s="1">
        <v>5.0</v>
      </c>
      <c r="S198" s="1">
        <v>2.0</v>
      </c>
      <c r="U198" s="1" t="s">
        <v>3652</v>
      </c>
      <c r="V198" s="1" t="s">
        <v>3653</v>
      </c>
      <c r="W198" s="1" t="s">
        <v>3654</v>
      </c>
      <c r="Y198" s="1" t="s">
        <v>3655</v>
      </c>
      <c r="AA198" s="1" t="s">
        <v>3656</v>
      </c>
      <c r="AB198" s="1" t="s">
        <v>3657</v>
      </c>
      <c r="AG198" s="1" t="s">
        <v>3658</v>
      </c>
      <c r="AH198" s="1" t="s">
        <v>3659</v>
      </c>
      <c r="AM198" s="1" t="s">
        <v>3485</v>
      </c>
      <c r="AN198" s="1" t="s">
        <v>3486</v>
      </c>
      <c r="AO198" s="3">
        <v>5936.0</v>
      </c>
      <c r="AQ198" s="1" t="s">
        <v>2084</v>
      </c>
      <c r="AR198" s="1" t="s">
        <v>3487</v>
      </c>
      <c r="AS198" s="1" t="s">
        <v>3660</v>
      </c>
      <c r="BA198" s="1" t="s">
        <v>3488</v>
      </c>
    </row>
    <row r="199">
      <c r="A199" s="1" t="s">
        <v>3661</v>
      </c>
      <c r="B199" s="1" t="str">
        <f>IFERROR(__xludf.DUMMYFUNCTION("GOOGLETRANSLATE(A:A,""en"", ""te"")"),"విట్‌క్రాఫ్ట్ మోడల్ 165")</f>
        <v>విట్‌క్రాఫ్ట్ మోడల్ 165</v>
      </c>
      <c r="C199" s="1" t="s">
        <v>3662</v>
      </c>
      <c r="D199" s="1" t="str">
        <f>IFERROR(__xludf.DUMMYFUNCTION("GOOGLETRANSLATE(C:C,""en"", ""te"")"),"విట్‌క్రాఫ్ట్ మోడల్ 165 అనేది మిక్కీ విట్టెన్‌బర్గ్ రూపొందించిన ఒక అమెరికన్ సింగిల్-సీట్ హోమ్‌బిల్ట్ స్పోర్ట్స్ విమానం మరియు పదేళ్ల కాలంలో అతనిచే నిర్మించబడింది, మొదట 1965 లో ఎగురుతుంది. [1] మోడల్ 165 అనేది స్ట్రట్-బ్రేస్డ్, తక్కువ-వింగ్ మోనోప్లేన్, ఇది ఫ"&amp;"ాబ్రిక్ కవరింగ్‌తో వెల్డెడ్ స్టీల్-ట్యూబ్ ఫ్యూజ్‌లేజ్‌తో ఉంటుంది. [1] రెక్క అనేది సాంప్రదాయిక కాంతి మిశ్రమం నిర్మాణం, ఇది ప్రతి వైపు వీ-బ్రేసింగ్ స్ట్రట్‌తో కప్పబడిన ఫాబ్రిక్, ఐలెరాన్లు కాని ఫ్లాప్‌లు లేవు. [1] ఈ విమానం 65 హెచ్‌పి (48 కిలోవాట్ పైలట్ వెనుక"&amp;" వైపు-స్లైడింగ్ పారదర్శక పందిరితో పరివేష్టిత కాక్‌పిట్‌ను కలిగి ఉంది, ల్యాండింగ్ గేర్ స్థిర టెయిల్‌వీల్ రకం. [1] జేన్ యొక్క అన్ని ప్రపంచ విమానాల నుండి డేటా 1973-74 [1] సాధారణ లక్షణాల పనితీరు")</f>
        <v>విట్‌క్రాఫ్ట్ మోడల్ 165 అనేది మిక్కీ విట్టెన్‌బర్గ్ రూపొందించిన ఒక అమెరికన్ సింగిల్-సీట్ హోమ్‌బిల్ట్ స్పోర్ట్స్ విమానం మరియు పదేళ్ల కాలంలో అతనిచే నిర్మించబడింది, మొదట 1965 లో ఎగురుతుంది. [1] మోడల్ 165 అనేది స్ట్రట్-బ్రేస్డ్, తక్కువ-వింగ్ మోనోప్లేన్, ఇది ఫాబ్రిక్ కవరింగ్‌తో వెల్డెడ్ స్టీల్-ట్యూబ్ ఫ్యూజ్‌లేజ్‌తో ఉంటుంది. [1] రెక్క అనేది సాంప్రదాయిక కాంతి మిశ్రమం నిర్మాణం, ఇది ప్రతి వైపు వీ-బ్రేసింగ్ స్ట్రట్‌తో కప్పబడిన ఫాబ్రిక్, ఐలెరాన్లు కాని ఫ్లాప్‌లు లేవు. [1] ఈ విమానం 65 హెచ్‌పి (48 కిలోవాట్ పైలట్ వెనుక వైపు-స్లైడింగ్ పారదర్శక పందిరితో పరివేష్టిత కాక్‌పిట్‌ను కలిగి ఉంది, ల్యాండింగ్ గేర్ స్థిర టెయిల్‌వీల్ రకం. [1] జేన్ యొక్క అన్ని ప్రపంచ విమానాల నుండి డేటా 1973-74 [1] సాధారణ లక్షణాల పనితీరు</v>
      </c>
      <c r="F199" s="1" t="s">
        <v>3663</v>
      </c>
      <c r="G199" s="1" t="str">
        <f>IFERROR(__xludf.DUMMYFUNCTION("GOOGLETRANSLATE(F:F,""en"", ""te"")"),"సింగిల్-సీట్ హోమ్‌బిల్ట్ స్పోర్టింగ్ ఎయిర్‌క్రాఫ్ట్")</f>
        <v>సింగిల్-సీట్ హోమ్‌బిల్ట్ స్పోర్టింగ్ ఎయిర్‌క్రాఫ్ట్</v>
      </c>
      <c r="H199" s="1" t="s">
        <v>3664</v>
      </c>
      <c r="I199" s="1" t="s">
        <v>158</v>
      </c>
      <c r="J199" s="1" t="str">
        <f>IFERROR(__xludf.DUMMYFUNCTION("GOOGLETRANSLATE(I:I,""en"", ""te"")"),"అమెరికా")</f>
        <v>అమెరికా</v>
      </c>
      <c r="L199" s="1" t="s">
        <v>3665</v>
      </c>
      <c r="M199" s="1" t="str">
        <f>IFERROR(__xludf.DUMMYFUNCTION("GOOGLETRANSLATE(L:L,""en"", ""te"")"),"విట్‌క్రాఫ్ట్ కార్పొరేషన్")</f>
        <v>విట్‌క్రాఫ్ట్ కార్పొరేషన్</v>
      </c>
      <c r="N199" s="1" t="s">
        <v>3666</v>
      </c>
      <c r="R199" s="1">
        <v>1.0</v>
      </c>
      <c r="S199" s="1">
        <v>1.0</v>
      </c>
      <c r="U199" s="1" t="s">
        <v>1188</v>
      </c>
      <c r="V199" s="1" t="s">
        <v>3667</v>
      </c>
      <c r="W199" s="1" t="s">
        <v>3668</v>
      </c>
      <c r="X199" s="1" t="s">
        <v>3669</v>
      </c>
      <c r="Y199" s="1" t="s">
        <v>3670</v>
      </c>
      <c r="AA199" s="1" t="s">
        <v>3671</v>
      </c>
      <c r="AB199" s="1" t="s">
        <v>3672</v>
      </c>
      <c r="AD199" s="1" t="s">
        <v>174</v>
      </c>
      <c r="AH199" s="1" t="s">
        <v>3673</v>
      </c>
      <c r="AI199" s="1" t="s">
        <v>2913</v>
      </c>
      <c r="AK199" s="1" t="s">
        <v>3674</v>
      </c>
      <c r="AL199" s="1" t="s">
        <v>3675</v>
      </c>
      <c r="AM199" s="1" t="s">
        <v>3676</v>
      </c>
      <c r="AO199" s="1">
        <v>1965.0</v>
      </c>
      <c r="AQ199" s="1" t="s">
        <v>3677</v>
      </c>
    </row>
    <row r="200">
      <c r="A200" s="1" t="s">
        <v>3678</v>
      </c>
      <c r="B200" s="1" t="str">
        <f>IFERROR(__xludf.DUMMYFUNCTION("GOOGLETRANSLATE(A:A,""en"", ""te"")"),"విండ్‌వర్డ్ పెర్ఫార్మెన్స్ డక్‌హాక్")</f>
        <v>విండ్‌వర్డ్ పెర్ఫార్మెన్స్ డక్‌హాక్</v>
      </c>
      <c r="C200" s="1" t="s">
        <v>3679</v>
      </c>
      <c r="D200" s="1" t="str">
        <f>IFERROR(__xludf.DUMMYFUNCTION("GOOGLETRANSLATE(C:C,""en"", ""te"")"),"విండ్‌వార్డ్ పెర్ఫార్మెన్స్ డక్హాక్ ఒక అమెరికన్ మిడ్-వింగ్, సింగిల్-సీట్, 15 మీటర్ల క్లాస్ గ్లైడర్, దీనిని ఒరెగాన్లోని బెండ్ యొక్క విండ్‌వార్డ్ పనితీరు ద్వారా రూపొందించారు మరియు ఉత్పత్తి చేశారు. [1] 2016 నుండి ఈ విమానం తయారీదారు అందుబాటులో ఉన్న విధంగా ప్ర"&amp;"చారం చేయబడలేదు. [2] డక్హాక్ అనేది విండ్‌వార్డ్ పెర్ఫార్మెన్స్ స్పారోహాక్ యొక్క అభివృద్ధి మరియు ఇది చాలా ఎక్కువ నిర్మాణ పరిమితులు మరియు VNE తో దాని పూర్వీకుల కంటే ఎక్కువ పనితీరు గల గ్లైడర్‌గా ఉద్దేశించబడింది. డక్కాక్ స్పారోహాక్‌తో 10% కంటే తక్కువ భాగాల సామ"&amp;"ాన్యతను కలిగి ఉంది. ఇది ఒక కాంటిలివర్ వింగ్, బబుల్ పందిరి కింద సింగిల్-సీట్ల పరివేష్టిత కాక్‌పిట్ మరియు ముడుచుకునే మోనోహీల్ గేర్. [1] [3] ఈ విమానం ప్రీఇమ్‌పెరెగ్నేటెడ్ కార్బన్ ఫైబర్ నుండి తయారవుతుంది. దీని 15 మీ (49.2 అడుగులు) స్పాన్ వింగ్ గ్రెగ్ కోల్-రూప"&amp;"ొందించిన ఎయిర్‌ఫాయిల్‌ను ఉపయోగిస్తుంది, ఇది 80 చదరపు అడుగుల (7.4 మీ 2) మరియు 30: 1 యొక్క కారక నిష్పత్తిని కలిగి ఉంది. [1] [4] డిసెంబర్ 2016 నాటికి నాలుగు ఉదాహరణలు యునైటెడ్ స్టేట్స్లో ఫెడరల్ ఏవియేషన్ అడ్మినిస్ట్రేషన్తో నమోదు చేయబడ్డాయి, వీటిలో మూడు ""వి"" "&amp;"మోడల్స్ మరియు ఒక ""ఇ"" మోడల్ ఉన్నాయి. [5] బేయర్ల్ మరియు విండ్‌వార్డ్ పనితీరు నుండి డేటా [1] [3] [7] సాధారణ లక్షణాలు పనితీరు సంబంధిత అభివృద్ధి సంబంధిత జాబితాలు")</f>
        <v>విండ్‌వార్డ్ పెర్ఫార్మెన్స్ డక్హాక్ ఒక అమెరికన్ మిడ్-వింగ్, సింగిల్-సీట్, 15 మీటర్ల క్లాస్ గ్లైడర్, దీనిని ఒరెగాన్లోని బెండ్ యొక్క విండ్‌వార్డ్ పనితీరు ద్వారా రూపొందించారు మరియు ఉత్పత్తి చేశారు. [1] 2016 నుండి ఈ విమానం తయారీదారు అందుబాటులో ఉన్న విధంగా ప్రచారం చేయబడలేదు. [2] డక్హాక్ అనేది విండ్‌వార్డ్ పెర్ఫార్మెన్స్ స్పారోహాక్ యొక్క అభివృద్ధి మరియు ఇది చాలా ఎక్కువ నిర్మాణ పరిమితులు మరియు VNE తో దాని పూర్వీకుల కంటే ఎక్కువ పనితీరు గల గ్లైడర్‌గా ఉద్దేశించబడింది. డక్కాక్ స్పారోహాక్‌తో 10% కంటే తక్కువ భాగాల సామాన్యతను కలిగి ఉంది. ఇది ఒక కాంటిలివర్ వింగ్, బబుల్ పందిరి కింద సింగిల్-సీట్ల పరివేష్టిత కాక్‌పిట్ మరియు ముడుచుకునే మోనోహీల్ గేర్. [1] [3] ఈ విమానం ప్రీఇమ్‌పెరెగ్నేటెడ్ కార్బన్ ఫైబర్ నుండి తయారవుతుంది. దీని 15 మీ (49.2 అడుగులు) స్పాన్ వింగ్ గ్రెగ్ కోల్-రూపొందించిన ఎయిర్‌ఫాయిల్‌ను ఉపయోగిస్తుంది, ఇది 80 చదరపు అడుగుల (7.4 మీ 2) మరియు 30: 1 యొక్క కారక నిష్పత్తిని కలిగి ఉంది. [1] [4] డిసెంబర్ 2016 నాటికి నాలుగు ఉదాహరణలు యునైటెడ్ స్టేట్స్లో ఫెడరల్ ఏవియేషన్ అడ్మినిస్ట్రేషన్తో నమోదు చేయబడ్డాయి, వీటిలో మూడు "వి" మోడల్స్ మరియు ఒక "ఇ" మోడల్ ఉన్నాయి. [5] బేయర్ల్ మరియు విండ్‌వార్డ్ పనితీరు నుండి డేటా [1] [3] [7] సాధారణ లక్షణాలు పనితీరు సంబంధిత అభివృద్ధి సంబంధిత జాబితాలు</v>
      </c>
      <c r="F200" s="1" t="s">
        <v>681</v>
      </c>
      <c r="G200" s="1" t="str">
        <f>IFERROR(__xludf.DUMMYFUNCTION("GOOGLETRANSLATE(F:F,""en"", ""te"")"),"గ్లైడర్")</f>
        <v>గ్లైడర్</v>
      </c>
      <c r="H200" s="2" t="s">
        <v>682</v>
      </c>
      <c r="I200" s="1" t="s">
        <v>158</v>
      </c>
      <c r="J200" s="1" t="str">
        <f>IFERROR(__xludf.DUMMYFUNCTION("GOOGLETRANSLATE(I:I,""en"", ""te"")"),"అమెరికా")</f>
        <v>అమెరికా</v>
      </c>
      <c r="K200" s="1" t="s">
        <v>159</v>
      </c>
      <c r="L200" s="1" t="s">
        <v>3680</v>
      </c>
      <c r="M200" s="1" t="str">
        <f>IFERROR(__xludf.DUMMYFUNCTION("GOOGLETRANSLATE(L:L,""en"", ""te"")"),"విండ్‌వర్డ్ పనితీరు")</f>
        <v>విండ్‌వర్డ్ పనితీరు</v>
      </c>
      <c r="N200" s="1" t="s">
        <v>3681</v>
      </c>
      <c r="P200" s="1" t="s">
        <v>3682</v>
      </c>
      <c r="Q200" s="1"/>
      <c r="S200" s="1" t="s">
        <v>164</v>
      </c>
      <c r="U200" s="1" t="s">
        <v>3683</v>
      </c>
      <c r="V200" s="1" t="s">
        <v>3684</v>
      </c>
      <c r="W200" s="1" t="s">
        <v>3685</v>
      </c>
      <c r="X200" s="1" t="s">
        <v>3012</v>
      </c>
      <c r="Y200" s="1" t="s">
        <v>3686</v>
      </c>
      <c r="AC200" s="1">
        <v>50.0</v>
      </c>
      <c r="AF200" s="1" t="s">
        <v>3687</v>
      </c>
      <c r="AG200" s="1" t="s">
        <v>208</v>
      </c>
      <c r="AH200" s="1" t="s">
        <v>3688</v>
      </c>
      <c r="AJ200" s="1" t="s">
        <v>3689</v>
      </c>
      <c r="AU200" s="1" t="s">
        <v>3690</v>
      </c>
      <c r="AV200" s="1" t="s">
        <v>3691</v>
      </c>
      <c r="AW200" s="1" t="s">
        <v>3692</v>
      </c>
      <c r="BD200" s="1">
        <v>30.0</v>
      </c>
      <c r="BE200" s="1" t="s">
        <v>3693</v>
      </c>
    </row>
    <row r="201">
      <c r="A201" s="1" t="s">
        <v>3694</v>
      </c>
      <c r="B201" s="1" t="str">
        <f>IFERROR(__xludf.DUMMYFUNCTION("GOOGLETRANSLATE(A:A,""en"", ""te"")"),"డాబ్రోవ్స్కీ డి .1 సైకాక్జ్")</f>
        <v>డాబ్రోవ్స్కీ డి .1 సైకాక్జ్</v>
      </c>
      <c r="C201" s="1" t="s">
        <v>3695</v>
      </c>
      <c r="D201" s="1" t="str">
        <f>IFERROR(__xludf.DUMMYFUNCTION("GOOGLETRANSLATE(C:C,""en"", ""te"")"),"డిబ్రోవ్స్కీ డి. ఇది అనూహ్యంగా ఏరోడైనమిక్‌గా శుభ్రంగా ఉన్నప్పటికీ, ఇది తక్కువ శక్తివంతమైనది మరియు పరిమిత పరిధిని కలిగి ఉంది. ఒకటి మాత్రమే నిర్మించబడింది. జెర్జీ డిబ్రోవ్స్కీ యొక్క మొట్టమొదటి విమాన రూపకల్పన, 1924 ప్రారంభంలో అతను వార్సా టెక్నికల్ విశ్వవిద్య"&amp;"ాలయంలో విద్యార్థిగా ఉన్నప్పుడు, పూర్తిగా చెక్క నిర్మాణంతో అసాధారణంగా శుభ్రమైన బైప్‌లేన్. దాని వన్-పీస్ రెక్కలు రెండు స్పార్‌ల చుట్టూ నిర్మించబడ్డాయి మరియు ప్లైవుడ్ ప్రముఖ అంచులను కవర్ చేసింది, ఫాబ్రిక్ ఇతర చోట్ల కప్పబడి ఉంటుంది. [1] ప్రముఖ అంచులు సూటిగా ఉ"&amp;"న్నాయి మరియు సెమీ-ఎలిప్టికల్ చిట్కాలకు బయలుదేరాయి మరియు రెక్కల యొక్క ఇన్బోర్డ్ భాగం సమాంతర తీగ లోపలికి ప్రవేశించింది, కాని అవుట్‌బోర్డ్ దెబ్బతింది. ఈ అవుట్‌బోర్డ్ ప్రాంతాలు దెబ్బతిన్న ఐలెరాన్‌లను తీసుకువెళ్ళాయి, ఎగువ రెక్కపై మాత్రమే; [2] ఐలెరాన్‌లు వేరుగా"&amp;", ఎగువ మరియు దిగువ రెక్కలు ఒకేలా ఉన్నాయి. చాలావరకు బిప్లేన్లలో ఎగువ మరియు దిగువ రెక్కలు ఇంటర్‌ప్లేన్ స్ట్రట్‌లతో కలిసి ఉన్నాయి, కాని సైకాజ్‌కు ఏదీ లేదు; బదులుగా, చాలా మందపాటి విభాగం రెక్కలు కాంటిలివర్లు. ఫార్వర్డ్ వి ఫెయిర్‌తో ఒక జత బాహ్య-వాలుగా ఉన్న ఎన్-"&amp;"స్ట్రట్‌లపై ఫ్యూజ్‌లేజ్‌పై ఎగువ వింగ్‌కు అధిక మద్దతు ఉంది మరియు దిగువ రెక్క మధ్యలో ఫ్యూజ్‌లేజ్ దిగువకు జతచేయబడింది. గణనీయమైన అస్థిరత ఉంది. [1] [2] సైకాక్జ్ 12 కిలోవాట్ల (16 హెచ్‌పి) బ్లాక్‌బర్న్ టామ్‌టిట్, ఎయిర్-కూల్డ్ వి-ట్విన్ ఇంజిన్. మొత్తం ఫ్యూజ్‌లేజ్"&amp;" ఒక మృదువైన, ఓవల్ సెక్షన్ సెమీ-మోనోకోక్ నిర్మాణం, చెక్క ఫ్రేమ్‌లు మరియు ప్లై చర్మం మరియు ఇంజిన్ దాని ఫార్వర్డ్ భాగంలో ఉంది, అయినప్పటికీ దాని సిలిండర్లు శీతలీకరణకు గురవుతాయి. డాబ్రోవ్స్కీ రూపొందించిన చిన్న వ్యాసం కలిగిన ప్రొపెల్లర్, డిష్డ్ స్పిన్నర్‌ను కలి"&amp;"గి ఉంది, అది ఫ్యూజ్‌లేజ్ యొక్క పంక్తులలో మిళితం చేయబడింది. బిప్‌లేన్ యొక్క సింగిల్, ఓపెన్ కాక్‌పిట్ ఎగువ వెనుకంజలో ఉన్న అంచు క్రింద ఉంది, అక్కడ పైలట్ యొక్క వీక్షణ క్షేత్రాన్ని పెంచడానికి కటౌట్ ఉంది. [1] సైకాక్జ్ ఒక సాంప్రదాయిక సామ్రాజ్యాన్ని కలిగి ఉంది, ఇ"&amp;"ది ఫ్యూజ్‌లేజ్‌తో సమగ్రంగా ఉంది మరియు ప్లై కవర్ చేయబడింది. దాని టెయిల్‌ప్లేన్ రెక్కల మాదిరిగా, ఒకే ముక్కలో ప్లై-కప్పబడిన ప్రముఖ అంచు మరియు ఇతర చోట్ల ఫాబ్రిక్‌తో ఉంది. ఇది ఫ్యూజ్‌లేజ్ పైభాగంలో అమర్చబడింది మరియు దాని వేరు చేయబడిన ఎలివేటర్లతో కలిసి, ప్రణాళిక"&amp;"లో సుమారు దీర్ఘవృత్తాకారంగా ఉంది. దాని చుక్కాని, గుండ్రంగా, తక్కువ కాని విశాలంగా ఉంది, కీల్ వరకు విస్తరించింది. ఈ నియంత్రణ ఉపరితలాలు ఫాబ్రిక్ కవరింగ్‌తో చెక్కతో ఉన్నాయి. [1] [2] దాని అండర్ క్యారేజ్ స్థిరంగా మరియు సాంప్రదాయంగా ఉంది, 1.03 మీ (40.6 అంగుళాలు)"&amp;" ట్రాక్ ఉంది. రబ్బరు తీగ షాక్ అబ్జార్బర్‌లతో దిగువ ఫ్యూజ్‌లేజ్ నుండి రెండు V- స్ట్రట్‌లపై ఒకే ఇరుసు జరిగింది. V- స్ట్రట్స్ ప్లై ఫెయిరింగ్‌లను కలిగి ఉన్నాయి మరియు ఇరుసు చిన్న లిఫ్ట్-ఇచ్చే ఏరోఫాయిల్ లోపల జతచేయబడింది. [1] మొదట పరీక్షించినప్పుడు, సైకాక్జ్ టేక"&amp;"ాఫ్ చేయడానికి ఇష్టపడలేదు, ఎందుకంటే టామ్‌టిట్ ఇంజిన్ నమ్మదగనిది మరియు ప్రొపెల్లర్ రూపకల్పన చేయబడిన అధిక అవుట్పుట్ షాఫ్ట్ వేగం కంటే తక్కువగా ఉంచవలసి ఉంది. బాబిన్స్కి దానిని 26 ఫిబ్రవరి 1925 న తన మొదటి విమానంలో తీసుకుంది. ఒకసారి భూమికి దూరంగా, అది ఎగరడం మరియ"&amp;"ు భూమికి ప్రతిస్పందించడం మరియు సులభంగా నిరూపించబడింది, ఇది తక్కువ వేగంతో మరియు తక్కువ దూరం లో చేసింది. చిన్న విమానాల శ్రేణి కొన్ని సామ్రాజ్యం మార్పులకు దారితీసింది మరియు మెరుగైన-సరిపోలిన ప్రొపెల్లర్ యొక్క అమరిక సైకాక్జ్ మొత్తం నలభై చిన్న విమానాలను లాగిన్ "&amp;"చేయడానికి వీలు కల్పించింది. దీని ఇంజిన్ నమ్మదగనిది మరియు బిప్‌లేన్ విమానంలో మరియు స్వల్ప శ్రేణిలో బలహీనంగా ఉంది. ఇది ఆగష్టు 1925 లో వార్సా టెక్నికల్ విశ్వవిద్యాలయంలో ఒక ప్రదర్శనలో కనిపించింది, కాని 1926 నాటికి డిబ్రోవ్స్కీ దానిని విడిచిపెట్టి కొత్త డిజైన్"&amp;"‌లో పనిచేస్తున్నాడు. [1] సింక్ (1971) p.115 [1] నుండి డేటా గుర్తించబడిన చోట తప్ప. జనరల్ లక్షణాల పనితీరు")</f>
        <v>డిబ్రోవ్స్కీ డి. ఇది అనూహ్యంగా ఏరోడైనమిక్‌గా శుభ్రంగా ఉన్నప్పటికీ, ఇది తక్కువ శక్తివంతమైనది మరియు పరిమిత పరిధిని కలిగి ఉంది. ఒకటి మాత్రమే నిర్మించబడింది. జెర్జీ డిబ్రోవ్స్కీ యొక్క మొట్టమొదటి విమాన రూపకల్పన, 1924 ప్రారంభంలో అతను వార్సా టెక్నికల్ విశ్వవిద్యాలయంలో విద్యార్థిగా ఉన్నప్పుడు, పూర్తిగా చెక్క నిర్మాణంతో అసాధారణంగా శుభ్రమైన బైప్‌లేన్. దాని వన్-పీస్ రెక్కలు రెండు స్పార్‌ల చుట్టూ నిర్మించబడ్డాయి మరియు ప్లైవుడ్ ప్రముఖ అంచులను కవర్ చేసింది, ఫాబ్రిక్ ఇతర చోట్ల కప్పబడి ఉంటుంది. [1] ప్రముఖ అంచులు సూటిగా ఉన్నాయి మరియు సెమీ-ఎలిప్టికల్ చిట్కాలకు బయలుదేరాయి మరియు రెక్కల యొక్క ఇన్బోర్డ్ భాగం సమాంతర తీగ లోపలికి ప్రవేశించింది, కాని అవుట్‌బోర్డ్ దెబ్బతింది. ఈ అవుట్‌బోర్డ్ ప్రాంతాలు దెబ్బతిన్న ఐలెరాన్‌లను తీసుకువెళ్ళాయి, ఎగువ రెక్కపై మాత్రమే; [2] ఐలెరాన్‌లు వేరుగా, ఎగువ మరియు దిగువ రెక్కలు ఒకేలా ఉన్నాయి. చాలావరకు బిప్లేన్లలో ఎగువ మరియు దిగువ రెక్కలు ఇంటర్‌ప్లేన్ స్ట్రట్‌లతో కలిసి ఉన్నాయి, కాని సైకాజ్‌కు ఏదీ లేదు; బదులుగా, చాలా మందపాటి విభాగం రెక్కలు కాంటిలివర్లు. ఫార్వర్డ్ వి ఫెయిర్‌తో ఒక జత బాహ్య-వాలుగా ఉన్న ఎన్-స్ట్రట్‌లపై ఫ్యూజ్‌లేజ్‌పై ఎగువ వింగ్‌కు అధిక మద్దతు ఉంది మరియు దిగువ రెక్క మధ్యలో ఫ్యూజ్‌లేజ్ దిగువకు జతచేయబడింది. గణనీయమైన అస్థిరత ఉంది. [1] [2] సైకాక్జ్ 12 కిలోవాట్ల (16 హెచ్‌పి) బ్లాక్‌బర్న్ టామ్‌టిట్, ఎయిర్-కూల్డ్ వి-ట్విన్ ఇంజిన్. మొత్తం ఫ్యూజ్‌లేజ్ ఒక మృదువైన, ఓవల్ సెక్షన్ సెమీ-మోనోకోక్ నిర్మాణం, చెక్క ఫ్రేమ్‌లు మరియు ప్లై చర్మం మరియు ఇంజిన్ దాని ఫార్వర్డ్ భాగంలో ఉంది, అయినప్పటికీ దాని సిలిండర్లు శీతలీకరణకు గురవుతాయి. డాబ్రోవ్స్కీ రూపొందించిన చిన్న వ్యాసం కలిగిన ప్రొపెల్లర్, డిష్డ్ స్పిన్నర్‌ను కలిగి ఉంది, అది ఫ్యూజ్‌లేజ్ యొక్క పంక్తులలో మిళితం చేయబడింది. బిప్‌లేన్ యొక్క సింగిల్, ఓపెన్ కాక్‌పిట్ ఎగువ వెనుకంజలో ఉన్న అంచు క్రింద ఉంది, అక్కడ పైలట్ యొక్క వీక్షణ క్షేత్రాన్ని పెంచడానికి కటౌట్ ఉంది. [1] సైకాక్జ్ ఒక సాంప్రదాయిక సామ్రాజ్యాన్ని కలిగి ఉంది, ఇది ఫ్యూజ్‌లేజ్‌తో సమగ్రంగా ఉంది మరియు ప్లై కవర్ చేయబడింది. దాని టెయిల్‌ప్లేన్ రెక్కల మాదిరిగా, ఒకే ముక్కలో ప్లై-కప్పబడిన ప్రముఖ అంచు మరియు ఇతర చోట్ల ఫాబ్రిక్‌తో ఉంది. ఇది ఫ్యూజ్‌లేజ్ పైభాగంలో అమర్చబడింది మరియు దాని వేరు చేయబడిన ఎలివేటర్లతో కలిసి, ప్రణాళికలో సుమారు దీర్ఘవృత్తాకారంగా ఉంది. దాని చుక్కాని, గుండ్రంగా, తక్కువ కాని విశాలంగా ఉంది, కీల్ వరకు విస్తరించింది. ఈ నియంత్రణ ఉపరితలాలు ఫాబ్రిక్ కవరింగ్‌తో చెక్కతో ఉన్నాయి. [1] [2] దాని అండర్ క్యారేజ్ స్థిరంగా మరియు సాంప్రదాయంగా ఉంది, 1.03 మీ (40.6 అంగుళాలు) ట్రాక్ ఉంది. రబ్బరు తీగ షాక్ అబ్జార్బర్‌లతో దిగువ ఫ్యూజ్‌లేజ్ నుండి రెండు V- స్ట్రట్‌లపై ఒకే ఇరుసు జరిగింది. V- స్ట్రట్స్ ప్లై ఫెయిరింగ్‌లను కలిగి ఉన్నాయి మరియు ఇరుసు చిన్న లిఫ్ట్-ఇచ్చే ఏరోఫాయిల్ లోపల జతచేయబడింది. [1] మొదట పరీక్షించినప్పుడు, సైకాక్జ్ టేకాఫ్ చేయడానికి ఇష్టపడలేదు, ఎందుకంటే టామ్‌టిట్ ఇంజిన్ నమ్మదగనిది మరియు ప్రొపెల్లర్ రూపకల్పన చేయబడిన అధిక అవుట్పుట్ షాఫ్ట్ వేగం కంటే తక్కువగా ఉంచవలసి ఉంది. బాబిన్స్కి దానిని 26 ఫిబ్రవరి 1925 న తన మొదటి విమానంలో తీసుకుంది. ఒకసారి భూమికి దూరంగా, అది ఎగరడం మరియు భూమికి ప్రతిస్పందించడం మరియు సులభంగా నిరూపించబడింది, ఇది తక్కువ వేగంతో మరియు తక్కువ దూరం లో చేసింది. చిన్న విమానాల శ్రేణి కొన్ని సామ్రాజ్యం మార్పులకు దారితీసింది మరియు మెరుగైన-సరిపోలిన ప్రొపెల్లర్ యొక్క అమరిక సైకాక్జ్ మొత్తం నలభై చిన్న విమానాలను లాగిన్ చేయడానికి వీలు కల్పించింది. దీని ఇంజిన్ నమ్మదగనిది మరియు బిప్‌లేన్ విమానంలో మరియు స్వల్ప శ్రేణిలో బలహీనంగా ఉంది. ఇది ఆగష్టు 1925 లో వార్సా టెక్నికల్ విశ్వవిద్యాలయంలో ఒక ప్రదర్శనలో కనిపించింది, కాని 1926 నాటికి డిబ్రోవ్స్కీ దానిని విడిచిపెట్టి కొత్త డిజైన్‌లో పనిచేస్తున్నాడు. [1] సింక్ (1971) p.115 [1] నుండి డేటా గుర్తించబడిన చోట తప్ప. జనరల్ లక్షణాల పనితీరు</v>
      </c>
      <c r="E201" s="1" t="s">
        <v>3696</v>
      </c>
      <c r="F201" s="1" t="s">
        <v>747</v>
      </c>
      <c r="G201" s="1" t="str">
        <f>IFERROR(__xludf.DUMMYFUNCTION("GOOGLETRANSLATE(F:F,""en"", ""te"")"),"సింగిల్ సీట్ స్పోర్ట్ విమానం")</f>
        <v>సింగిల్ సీట్ స్పోర్ట్ విమానం</v>
      </c>
      <c r="I201" s="1" t="s">
        <v>1508</v>
      </c>
      <c r="J201" s="1" t="str">
        <f>IFERROR(__xludf.DUMMYFUNCTION("GOOGLETRANSLATE(I:I,""en"", ""te"")"),"పోలాండ్")</f>
        <v>పోలాండ్</v>
      </c>
      <c r="K201" s="2" t="s">
        <v>1509</v>
      </c>
      <c r="R201" s="1">
        <v>1.0</v>
      </c>
      <c r="S201" s="1" t="s">
        <v>685</v>
      </c>
      <c r="U201" s="1" t="s">
        <v>3697</v>
      </c>
      <c r="V201" s="1" t="s">
        <v>3698</v>
      </c>
      <c r="W201" s="1" t="s">
        <v>3699</v>
      </c>
      <c r="X201" s="1" t="s">
        <v>3460</v>
      </c>
      <c r="Y201" s="1" t="s">
        <v>3700</v>
      </c>
      <c r="Z201" s="1" t="s">
        <v>3701</v>
      </c>
      <c r="AA201" s="1" t="s">
        <v>3702</v>
      </c>
      <c r="AE201" s="1" t="s">
        <v>3703</v>
      </c>
      <c r="AH201" s="1" t="s">
        <v>3704</v>
      </c>
      <c r="AI201" s="1" t="s">
        <v>3049</v>
      </c>
      <c r="AM201" s="1" t="s">
        <v>3705</v>
      </c>
      <c r="AN201" s="1" t="s">
        <v>3706</v>
      </c>
      <c r="AO201" s="4">
        <v>8458.0</v>
      </c>
      <c r="AQ201" s="1" t="s">
        <v>3707</v>
      </c>
      <c r="AW201" s="1" t="s">
        <v>2604</v>
      </c>
      <c r="BP201" s="1" t="s">
        <v>3708</v>
      </c>
      <c r="CE201" s="1" t="s">
        <v>3709</v>
      </c>
    </row>
  </sheetData>
  <hyperlinks>
    <hyperlink r:id="rId1" ref="K4"/>
    <hyperlink r:id="rId2" ref="K20"/>
    <hyperlink r:id="rId3" ref="K23"/>
    <hyperlink r:id="rId4" ref="K25"/>
    <hyperlink r:id="rId5" ref="H30"/>
    <hyperlink r:id="rId6" ref="H32"/>
    <hyperlink r:id="rId7" ref="N36"/>
    <hyperlink r:id="rId8" ref="N38"/>
    <hyperlink r:id="rId9" ref="AV40"/>
    <hyperlink r:id="rId10" ref="H43"/>
    <hyperlink r:id="rId11" ref="K43"/>
    <hyperlink r:id="rId12" ref="N43"/>
    <hyperlink r:id="rId13" ref="CD44"/>
    <hyperlink r:id="rId14" ref="N46"/>
    <hyperlink r:id="rId15" ref="N47"/>
    <hyperlink r:id="rId16" ref="N48"/>
    <hyperlink r:id="rId17" ref="N49"/>
    <hyperlink r:id="rId18" ref="H52"/>
    <hyperlink r:id="rId19" ref="N53"/>
    <hyperlink r:id="rId20" ref="K55"/>
    <hyperlink r:id="rId21" ref="N56"/>
    <hyperlink r:id="rId22" ref="K57"/>
    <hyperlink r:id="rId23" ref="N59"/>
    <hyperlink r:id="rId24" ref="K61"/>
    <hyperlink r:id="rId25" ref="N61"/>
    <hyperlink r:id="rId26" ref="N62"/>
    <hyperlink r:id="rId27" ref="BA62"/>
    <hyperlink r:id="rId28" ref="K64"/>
    <hyperlink r:id="rId29" ref="N67"/>
    <hyperlink r:id="rId30" ref="K68"/>
    <hyperlink r:id="rId31" ref="K70"/>
    <hyperlink r:id="rId32" ref="K71"/>
    <hyperlink r:id="rId33" ref="K74"/>
    <hyperlink r:id="rId34" ref="K75"/>
    <hyperlink r:id="rId35" ref="H76"/>
    <hyperlink r:id="rId36" ref="K77"/>
    <hyperlink r:id="rId37" ref="BA77"/>
    <hyperlink r:id="rId38" ref="K78"/>
    <hyperlink r:id="rId39" ref="CD79"/>
    <hyperlink r:id="rId40" ref="N80"/>
    <hyperlink r:id="rId41" ref="CD80"/>
    <hyperlink r:id="rId42" ref="N81"/>
    <hyperlink r:id="rId43" ref="K84"/>
    <hyperlink r:id="rId44" ref="N85"/>
    <hyperlink r:id="rId45" ref="N86"/>
    <hyperlink r:id="rId46" ref="K87"/>
    <hyperlink r:id="rId47" ref="CD89"/>
    <hyperlink r:id="rId48" ref="N90"/>
    <hyperlink r:id="rId49" ref="N91"/>
    <hyperlink r:id="rId50" ref="N92"/>
    <hyperlink r:id="rId51" ref="K95"/>
    <hyperlink r:id="rId52" ref="N97"/>
    <hyperlink r:id="rId53" ref="BA100"/>
    <hyperlink r:id="rId54" ref="CD100"/>
    <hyperlink r:id="rId55" ref="CU100"/>
    <hyperlink r:id="rId56" ref="CV100"/>
    <hyperlink r:id="rId57" ref="K103"/>
    <hyperlink r:id="rId58" ref="N104"/>
    <hyperlink r:id="rId59" ref="K107"/>
    <hyperlink r:id="rId60" ref="K108"/>
    <hyperlink r:id="rId61" ref="K109"/>
    <hyperlink r:id="rId62" ref="BA109"/>
    <hyperlink r:id="rId63" ref="N110"/>
    <hyperlink r:id="rId64" ref="K112"/>
    <hyperlink r:id="rId65" ref="K113"/>
    <hyperlink r:id="rId66" ref="K114"/>
    <hyperlink r:id="rId67" ref="N115"/>
    <hyperlink r:id="rId68" ref="N116"/>
    <hyperlink r:id="rId69" ref="DI116"/>
    <hyperlink r:id="rId70" ref="K120"/>
    <hyperlink r:id="rId71" ref="K121"/>
    <hyperlink r:id="rId72" ref="K122"/>
    <hyperlink r:id="rId73" ref="N123"/>
    <hyperlink r:id="rId74" ref="CU124"/>
    <hyperlink r:id="rId75" ref="DT124"/>
    <hyperlink r:id="rId76" ref="N125"/>
    <hyperlink r:id="rId77" ref="K127"/>
    <hyperlink r:id="rId78" ref="N130"/>
    <hyperlink r:id="rId79" ref="CD130"/>
    <hyperlink r:id="rId80" ref="CU130"/>
    <hyperlink r:id="rId81" ref="N131"/>
    <hyperlink r:id="rId82" ref="K132"/>
    <hyperlink r:id="rId83" ref="N134"/>
    <hyperlink r:id="rId84" ref="CU134"/>
    <hyperlink r:id="rId85" ref="DT134"/>
    <hyperlink r:id="rId86" ref="N135"/>
    <hyperlink r:id="rId87" ref="N136"/>
    <hyperlink r:id="rId88" ref="CD136"/>
    <hyperlink r:id="rId89" ref="H137"/>
    <hyperlink r:id="rId90" ref="N137"/>
    <hyperlink r:id="rId91" ref="AS137"/>
    <hyperlink r:id="rId92" ref="N139"/>
    <hyperlink r:id="rId93" ref="N140"/>
    <hyperlink r:id="rId94" ref="N143"/>
    <hyperlink r:id="rId95" ref="N145"/>
    <hyperlink r:id="rId96" ref="H146"/>
    <hyperlink r:id="rId97" ref="H147"/>
    <hyperlink r:id="rId98" ref="CK147"/>
    <hyperlink r:id="rId99" ref="DT147"/>
    <hyperlink r:id="rId100" ref="H148"/>
    <hyperlink r:id="rId101" ref="H151"/>
    <hyperlink r:id="rId102" ref="K154"/>
    <hyperlink r:id="rId103" ref="K156"/>
    <hyperlink r:id="rId104" ref="H157"/>
    <hyperlink r:id="rId105" ref="K162"/>
    <hyperlink r:id="rId106" ref="K168"/>
    <hyperlink r:id="rId107" ref="N171"/>
    <hyperlink r:id="rId108" ref="K173"/>
    <hyperlink r:id="rId109" ref="H174"/>
    <hyperlink r:id="rId110" ref="N176"/>
    <hyperlink r:id="rId111" ref="CU176"/>
    <hyperlink r:id="rId112" ref="DT176"/>
    <hyperlink r:id="rId113" ref="H177"/>
    <hyperlink r:id="rId114" ref="K180"/>
    <hyperlink r:id="rId115" ref="K182"/>
    <hyperlink r:id="rId116" ref="N182"/>
    <hyperlink r:id="rId117" ref="K183"/>
    <hyperlink r:id="rId118" ref="N187"/>
    <hyperlink r:id="rId119" ref="K190"/>
    <hyperlink r:id="rId120" ref="K191"/>
    <hyperlink r:id="rId121" ref="N191"/>
    <hyperlink r:id="rId122" ref="K192"/>
    <hyperlink r:id="rId123" ref="N192"/>
    <hyperlink r:id="rId124" ref="H193"/>
    <hyperlink r:id="rId125" ref="N195"/>
    <hyperlink r:id="rId126" ref="H200"/>
    <hyperlink r:id="rId127" ref="K201"/>
  </hyperlinks>
  <drawing r:id="rId128"/>
</worksheet>
</file>