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1"/>
  </bookViews>
  <sheets>
    <sheet name="Empacados mixtos" sheetId="1" r:id="rId1"/>
    <sheet name="FCL sacos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7" i="2" l="1"/>
  <c r="F11" i="2" l="1"/>
  <c r="J19" i="2"/>
  <c r="B16" i="2"/>
  <c r="B14" i="2"/>
  <c r="I22" i="2"/>
  <c r="I21" i="2"/>
  <c r="I20" i="2"/>
  <c r="I23" i="2" s="1"/>
  <c r="I24" i="2" s="1"/>
  <c r="F7" i="2" s="1"/>
  <c r="B9" i="2" s="1"/>
  <c r="B10" i="2" s="1"/>
  <c r="B11" i="2" s="1"/>
  <c r="B25" i="2"/>
  <c r="B12" i="2"/>
  <c r="J10" i="2" l="1"/>
  <c r="B18" i="2"/>
  <c r="B20" i="2" s="1"/>
  <c r="B22" i="2" l="1"/>
  <c r="B24" i="2" s="1"/>
  <c r="E16" i="2" l="1"/>
  <c r="B26" i="2"/>
  <c r="E19" i="2"/>
  <c r="B27" i="2" l="1"/>
  <c r="B28" i="2" l="1"/>
  <c r="E13" i="2" s="1"/>
  <c r="E15" i="2"/>
  <c r="B29" i="2" l="1"/>
  <c r="B31" i="2" s="1"/>
  <c r="E20" i="2"/>
  <c r="E22" i="2" s="1"/>
  <c r="F22" i="2" s="1"/>
  <c r="E11" i="2" l="1"/>
  <c r="J11" i="2" s="1"/>
  <c r="J12" i="2" s="1"/>
  <c r="J13" i="2" s="1"/>
  <c r="J14" i="2" s="1"/>
  <c r="E10" i="2"/>
</calcChain>
</file>

<file path=xl/sharedStrings.xml><?xml version="1.0" encoding="utf-8"?>
<sst xmlns="http://schemas.openxmlformats.org/spreadsheetml/2006/main" count="73" uniqueCount="71">
  <si>
    <t>esta estructura es la que uso para calcular el precio para conenedores completos de producto o que puede ser de varios productos</t>
  </si>
  <si>
    <t xml:space="preserve">la diferencia esta basicamente en que esto son solo sacos o paquetes a granel, a diferencia de la categoria que denomino mixtos </t>
  </si>
  <si>
    <t>QUINOA</t>
  </si>
  <si>
    <t>CONVENCIONAL</t>
  </si>
  <si>
    <t xml:space="preserve"> 22 TM (1 FCL 20´) </t>
  </si>
  <si>
    <t>FUENTES PROPIAS</t>
  </si>
  <si>
    <t>precio kg</t>
  </si>
  <si>
    <t>comparativo</t>
  </si>
  <si>
    <t>precio tonelada:</t>
  </si>
  <si>
    <t>PRECIO DE VENTA  C+F</t>
  </si>
  <si>
    <t xml:space="preserve">1. PRODUCTO </t>
  </si>
  <si>
    <t>PRECIO DE VENTA C+F   X  22 TM</t>
  </si>
  <si>
    <t>2. SACOS</t>
  </si>
  <si>
    <t>MENOS</t>
  </si>
  <si>
    <t>3. forrado  absorventes</t>
  </si>
  <si>
    <t>IMPUESTO A LA RENTA 2%</t>
  </si>
  <si>
    <t>4. PROCESAMIENTO</t>
  </si>
  <si>
    <t>FLETE MARINO</t>
  </si>
  <si>
    <t>5. COURIER/CERT/ORIGEN/FITO</t>
  </si>
  <si>
    <t xml:space="preserve">COMISION DE BROKER </t>
  </si>
  <si>
    <t>6. AGQ /seguridad/Fumigacion</t>
  </si>
  <si>
    <t>COSTO TOTAL</t>
  </si>
  <si>
    <t>7. ADUANA</t>
  </si>
  <si>
    <t>8. FINANCIERO 3%</t>
  </si>
  <si>
    <t>9. GASTOS BANCARIOS</t>
  </si>
  <si>
    <t xml:space="preserve">UTILIDAD      </t>
  </si>
  <si>
    <t>10. ITF 0.07%</t>
  </si>
  <si>
    <t>DRAWBACK 5%</t>
  </si>
  <si>
    <t xml:space="preserve">TOTAL </t>
  </si>
  <si>
    <t>TOTAL</t>
  </si>
  <si>
    <t xml:space="preserve">UTILIDAD </t>
  </si>
  <si>
    <t>FLETE</t>
  </si>
  <si>
    <t xml:space="preserve"> IGV total 18%</t>
  </si>
  <si>
    <t>TOTAL 1</t>
  </si>
  <si>
    <t>ingreso real</t>
  </si>
  <si>
    <t>pago util</t>
  </si>
  <si>
    <t>fondo para pago efectivo</t>
  </si>
  <si>
    <t>TOTAL 2</t>
  </si>
  <si>
    <t>luego del pago de IGV</t>
  </si>
  <si>
    <t>CANTIDAD DE PRODUCTO</t>
  </si>
  <si>
    <t>TM</t>
  </si>
  <si>
    <t>PRECIO DE VENTA</t>
  </si>
  <si>
    <t>huamani</t>
  </si>
  <si>
    <t>precio x kg</t>
  </si>
  <si>
    <t>aplica</t>
  </si>
  <si>
    <t>quinoa lavada secada al 12%</t>
  </si>
  <si>
    <t>flete ayacucho lima</t>
  </si>
  <si>
    <t>lavado y pelado</t>
  </si>
  <si>
    <t>selección optica y empacado</t>
  </si>
  <si>
    <t>costo de producto x kg sin merma</t>
  </si>
  <si>
    <t>costo x kg con merma</t>
  </si>
  <si>
    <t xml:space="preserve">los contenedores pueden ser de 20´o de 40´ y principalemente varian en capacidad de carga, ahora cada producto ocupa </t>
  </si>
  <si>
    <t>un espacio especifico respectivas clases aunque todos van por ahí</t>
  </si>
  <si>
    <t>T.C</t>
  </si>
  <si>
    <t>calculo de costo de proceso lavado quinoa</t>
  </si>
  <si>
    <t>calculo de pago de IGV Quinoa</t>
  </si>
  <si>
    <t>*´esto dejalo de lado y no hay que darle bola todavia</t>
  </si>
  <si>
    <t>ya que se compra solo lavada en el campo y</t>
  </si>
  <si>
    <t xml:space="preserve">se tiene que hacer todo un proceso mas </t>
  </si>
  <si>
    <t>extenso y por parte de un 3ro para alistarlo</t>
  </si>
  <si>
    <t xml:space="preserve">**esto aplica solo en el caso de la quinoa </t>
  </si>
  <si>
    <t>por ejemplo cuando es quinoa cargamos 20 toneladas a 22toneladas dependiendo del destino, si es usa solo se puede 20 si es europa u otro sitio que no sea USA se puede hasta 22 toneladas</t>
  </si>
  <si>
    <t>contenedor de 20´ pies</t>
  </si>
  <si>
    <t>en contenedor de 40´pies</t>
  </si>
  <si>
    <t>se carga un maximo de 25 tonelada a cualquier parte</t>
  </si>
  <si>
    <t>aduanas es un valor que cambia de acuerdo al costo de aduanas que tengamso por parte de la agencia de aduanas</t>
  </si>
  <si>
    <t>el flete maritimo lo detemina la naviera de acuerdo al destino al qie se dirija la carga}</t>
  </si>
  <si>
    <t xml:space="preserve">drawback es un beneficio que recibimos por exportar y este procentaje va a ir bajando hasta desaparecer con los años, ahora es 4% </t>
  </si>
  <si>
    <t>el proximo año sera 3% y asi susecivamente</t>
  </si>
  <si>
    <t xml:space="preserve">la comision es una variable que se aplica cuando hay un broker (intermediador de venta) y tiene un porcentaje que puede ser de 1 a 5% </t>
  </si>
  <si>
    <t>dependiendo del 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</si>
</sst>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[$$-409]#,##0.00"/>
    <numFmt numFmtId="165" formatCode="_(* #,##0.00_);_(* \(#,##0.00\);_(* &quot;-&quot;??_);_(@_)"/>
    <numFmt numFmtId="166" formatCode="_(* #,##0.000_);_(* \(#,##0.000\);_(* &quot;-&quot;??_);_(@_)"/>
    <numFmt numFmtId="167" formatCode="[$$-409]#,##0.00_);\([$$-409]#,##0.00\)"/>
    <numFmt numFmtId="168" formatCode="[$$-409]#,##0_);\([$$-409]#,##0\)"/>
    <numFmt numFmtId="169" formatCode="[$$-409]#.##0.00"/>
    <numFmt numFmtId="170" formatCode="[$$-409]#,##0"/>
    <numFmt numFmtId="172" formatCode="_ * #.##0.00_ ;_ * \-#.##0.00_ ;_ * &quot;-&quot;??_ ;_ @_ "/>
    <numFmt numFmtId="173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1F497D"/>
      <name val="Calibri"/>
      <family val="2"/>
    </font>
    <font>
      <b/>
      <sz val="10"/>
      <name val="Trebuchet MS"/>
      <family val="2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/>
    <xf numFmtId="164" fontId="4" fillId="0" borderId="0" xfId="0" applyNumberFormat="1" applyFont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4" fillId="0" borderId="3" xfId="0" applyFont="1" applyBorder="1"/>
    <xf numFmtId="0" fontId="0" fillId="0" borderId="2" xfId="0" applyBorder="1" applyAlignment="1">
      <alignment horizontal="right" indent="1"/>
    </xf>
    <xf numFmtId="165" fontId="0" fillId="0" borderId="2" xfId="1" applyNumberFormat="1" applyFont="1" applyBorder="1"/>
    <xf numFmtId="0" fontId="0" fillId="0" borderId="2" xfId="0" applyBorder="1"/>
    <xf numFmtId="167" fontId="0" fillId="0" borderId="2" xfId="0" applyNumberFormat="1" applyBorder="1"/>
    <xf numFmtId="164" fontId="0" fillId="0" borderId="0" xfId="0" applyNumberFormat="1"/>
    <xf numFmtId="0" fontId="5" fillId="0" borderId="2" xfId="0" applyFont="1" applyBorder="1"/>
    <xf numFmtId="164" fontId="0" fillId="0" borderId="2" xfId="0" applyNumberFormat="1" applyBorder="1"/>
    <xf numFmtId="168" fontId="0" fillId="0" borderId="0" xfId="0" applyNumberFormat="1"/>
    <xf numFmtId="164" fontId="0" fillId="3" borderId="2" xfId="0" applyNumberFormat="1" applyFill="1" applyBorder="1"/>
    <xf numFmtId="0" fontId="4" fillId="0" borderId="0" xfId="0" applyFont="1"/>
    <xf numFmtId="169" fontId="0" fillId="0" borderId="0" xfId="0" applyNumberFormat="1"/>
    <xf numFmtId="164" fontId="5" fillId="0" borderId="2" xfId="0" applyNumberFormat="1" applyFont="1" applyBorder="1"/>
    <xf numFmtId="0" fontId="0" fillId="0" borderId="0" xfId="0" applyBorder="1"/>
    <xf numFmtId="164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2" xfId="0" applyNumberFormat="1" applyFont="1" applyBorder="1" applyAlignment="1">
      <alignment horizontal="center"/>
    </xf>
    <xf numFmtId="170" fontId="4" fillId="0" borderId="2" xfId="0" applyNumberFormat="1" applyFont="1" applyBorder="1" applyAlignment="1">
      <alignment horizontal="center"/>
    </xf>
    <xf numFmtId="43" fontId="6" fillId="0" borderId="0" xfId="1" applyFont="1"/>
    <xf numFmtId="170" fontId="0" fillId="0" borderId="0" xfId="0" applyNumberFormat="1"/>
    <xf numFmtId="167" fontId="0" fillId="0" borderId="2" xfId="2" applyNumberFormat="1" applyFont="1" applyBorder="1" applyAlignment="1">
      <alignment horizontal="right"/>
    </xf>
    <xf numFmtId="172" fontId="0" fillId="0" borderId="0" xfId="0" applyNumberFormat="1"/>
    <xf numFmtId="167" fontId="4" fillId="0" borderId="2" xfId="2" applyNumberFormat="1" applyFont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Fill="1" applyBorder="1"/>
    <xf numFmtId="43" fontId="0" fillId="0" borderId="0" xfId="1" applyFont="1" applyFill="1" applyBorder="1"/>
    <xf numFmtId="2" fontId="0" fillId="0" borderId="0" xfId="0" applyNumberFormat="1"/>
    <xf numFmtId="2" fontId="0" fillId="0" borderId="2" xfId="0" applyNumberFormat="1" applyBorder="1"/>
    <xf numFmtId="0" fontId="7" fillId="0" borderId="0" xfId="0" applyFont="1"/>
    <xf numFmtId="0" fontId="0" fillId="2" borderId="2" xfId="2" applyNumberFormat="1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173" fontId="0" fillId="0" borderId="0" xfId="3" applyNumberFormat="1" applyFont="1" applyFill="1" applyBorder="1"/>
    <xf numFmtId="10" fontId="0" fillId="0" borderId="0" xfId="3" applyNumberFormat="1" applyFont="1" applyFill="1" applyBorder="1"/>
    <xf numFmtId="0" fontId="8" fillId="0" borderId="0" xfId="0" applyFont="1" applyFill="1" applyBorder="1" applyAlignment="1">
      <alignment horizontal="justify"/>
    </xf>
    <xf numFmtId="0" fontId="5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4" xfId="0" applyFont="1" applyBorder="1"/>
    <xf numFmtId="0" fontId="5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169" fontId="5" fillId="0" borderId="2" xfId="0" applyNumberFormat="1" applyFont="1" applyBorder="1" applyAlignment="1">
      <alignment horizontal="center"/>
    </xf>
    <xf numFmtId="43" fontId="0" fillId="0" borderId="5" xfId="1" applyFont="1" applyBorder="1"/>
    <xf numFmtId="43" fontId="5" fillId="0" borderId="2" xfId="1" applyFont="1" applyFill="1" applyBorder="1" applyAlignment="1">
      <alignment horizontal="center"/>
    </xf>
    <xf numFmtId="167" fontId="5" fillId="0" borderId="2" xfId="2" applyNumberFormat="1" applyFont="1" applyFill="1" applyBorder="1" applyAlignment="1">
      <alignment horizontal="center"/>
    </xf>
    <xf numFmtId="167" fontId="5" fillId="0" borderId="2" xfId="0" applyNumberFormat="1" applyFont="1" applyFill="1" applyBorder="1" applyAlignment="1">
      <alignment horizontal="center"/>
    </xf>
    <xf numFmtId="0" fontId="2" fillId="0" borderId="0" xfId="0" applyFont="1"/>
    <xf numFmtId="164" fontId="0" fillId="0" borderId="2" xfId="0" applyNumberFormat="1" applyFill="1" applyBorder="1"/>
    <xf numFmtId="164" fontId="9" fillId="5" borderId="2" xfId="0" applyNumberFormat="1" applyFont="1" applyFill="1" applyBorder="1"/>
    <xf numFmtId="166" fontId="0" fillId="6" borderId="2" xfId="1" applyNumberFormat="1" applyFont="1" applyFill="1" applyBorder="1"/>
    <xf numFmtId="0" fontId="5" fillId="6" borderId="0" xfId="0" applyFont="1" applyFill="1"/>
    <xf numFmtId="168" fontId="0" fillId="0" borderId="2" xfId="1" applyNumberFormat="1" applyFont="1" applyFill="1" applyBorder="1"/>
    <xf numFmtId="0" fontId="0" fillId="0" borderId="0" xfId="0" applyAlignment="1">
      <alignment horizontal="left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5" workbookViewId="0">
      <selection activeCell="E8" sqref="E8"/>
    </sheetView>
  </sheetViews>
  <sheetFormatPr baseColWidth="10" defaultRowHeight="15" x14ac:dyDescent="0.25"/>
  <cols>
    <col min="1" max="1" width="28.28515625" customWidth="1"/>
  </cols>
  <sheetData>
    <row r="1" spans="1:1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1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11" x14ac:dyDescent="0.25">
      <c r="A3" s="55" t="s">
        <v>51</v>
      </c>
      <c r="B3" s="55"/>
      <c r="C3" s="55"/>
      <c r="D3" s="55"/>
      <c r="E3" s="55"/>
      <c r="F3" s="55"/>
      <c r="G3" s="55"/>
      <c r="H3" s="55"/>
      <c r="I3" s="55"/>
      <c r="J3" s="55"/>
    </row>
    <row r="4" spans="1:11" x14ac:dyDescent="0.25">
      <c r="A4" s="56" t="s">
        <v>52</v>
      </c>
      <c r="B4" s="56"/>
      <c r="C4" s="56"/>
      <c r="D4" s="56"/>
      <c r="E4" s="56"/>
      <c r="F4" s="56"/>
      <c r="G4" s="56"/>
      <c r="H4" s="56"/>
      <c r="I4" s="56"/>
      <c r="J4" s="56"/>
    </row>
    <row r="5" spans="1:11" x14ac:dyDescent="0.25">
      <c r="A5" s="1" t="s">
        <v>2</v>
      </c>
      <c r="B5" s="1"/>
      <c r="C5" s="1"/>
      <c r="D5" s="2"/>
      <c r="F5" s="3"/>
      <c r="G5" s="4"/>
    </row>
    <row r="6" spans="1:11" x14ac:dyDescent="0.25">
      <c r="A6" s="5" t="s">
        <v>3</v>
      </c>
      <c r="B6" s="5"/>
      <c r="C6" s="5"/>
      <c r="D6" s="6"/>
      <c r="E6" t="s">
        <v>53</v>
      </c>
      <c r="F6" s="6">
        <v>2.95</v>
      </c>
    </row>
    <row r="7" spans="1:11" x14ac:dyDescent="0.25">
      <c r="A7" s="5" t="s">
        <v>4</v>
      </c>
      <c r="B7" s="5"/>
      <c r="C7" s="5"/>
      <c r="D7" s="6"/>
      <c r="E7">
        <f>I24</f>
        <v>7.4550000000000001</v>
      </c>
      <c r="F7" s="70">
        <f>E7/F6</f>
        <v>2.5271186440677966</v>
      </c>
    </row>
    <row r="8" spans="1:11" x14ac:dyDescent="0.25">
      <c r="A8" s="5" t="s">
        <v>5</v>
      </c>
      <c r="B8" s="5"/>
      <c r="C8" s="5"/>
      <c r="D8" s="8"/>
      <c r="E8" s="6"/>
      <c r="F8" s="7"/>
    </row>
    <row r="9" spans="1:11" x14ac:dyDescent="0.25">
      <c r="A9" s="9" t="s">
        <v>6</v>
      </c>
      <c r="B9" s="69">
        <f>ROUND(F7,3)</f>
        <v>2.5270000000000001</v>
      </c>
      <c r="E9" s="10"/>
      <c r="F9" s="11" t="s">
        <v>7</v>
      </c>
      <c r="H9" s="59" t="s">
        <v>55</v>
      </c>
      <c r="I9" s="59"/>
      <c r="J9" s="59"/>
      <c r="K9" s="66" t="s">
        <v>56</v>
      </c>
    </row>
    <row r="10" spans="1:11" x14ac:dyDescent="0.25">
      <c r="A10" s="12" t="s">
        <v>8</v>
      </c>
      <c r="B10" s="13">
        <f>1000*B9</f>
        <v>2527</v>
      </c>
      <c r="D10" s="14" t="s">
        <v>9</v>
      </c>
      <c r="E10" s="15">
        <f>B31</f>
        <v>3114.9220227313604</v>
      </c>
      <c r="F10" s="71">
        <v>3425</v>
      </c>
      <c r="G10" s="16"/>
      <c r="H10" s="61" t="s">
        <v>32</v>
      </c>
      <c r="I10" s="61"/>
      <c r="J10" s="62">
        <f>B11*0.18</f>
        <v>10006.92</v>
      </c>
    </row>
    <row r="11" spans="1:11" x14ac:dyDescent="0.25">
      <c r="A11" s="17" t="s">
        <v>10</v>
      </c>
      <c r="B11" s="18">
        <f>B30*B10</f>
        <v>55594</v>
      </c>
      <c r="C11" s="16"/>
      <c r="D11" s="14" t="s">
        <v>11</v>
      </c>
      <c r="E11" s="18">
        <f>B31*B30</f>
        <v>68528.284500089925</v>
      </c>
      <c r="F11" s="15">
        <f>F10*B30</f>
        <v>75350</v>
      </c>
      <c r="G11" s="19"/>
      <c r="H11" s="63" t="s">
        <v>34</v>
      </c>
      <c r="I11" s="63"/>
      <c r="J11" s="39">
        <f>E11</f>
        <v>68528.284500089925</v>
      </c>
    </row>
    <row r="12" spans="1:11" x14ac:dyDescent="0.25">
      <c r="A12" s="14" t="s">
        <v>12</v>
      </c>
      <c r="B12" s="67">
        <f>546</f>
        <v>546</v>
      </c>
      <c r="C12" s="16"/>
      <c r="D12" s="21" t="s">
        <v>13</v>
      </c>
      <c r="E12" s="16"/>
      <c r="F12" s="22"/>
      <c r="H12" s="64" t="s">
        <v>35</v>
      </c>
      <c r="I12" s="64"/>
      <c r="J12" s="41">
        <f>J11-(B28+B27+B18+B19+B20+B17+B15+B13+B16)</f>
        <v>63299.831022969491</v>
      </c>
    </row>
    <row r="13" spans="1:11" x14ac:dyDescent="0.25">
      <c r="A13" s="17" t="s">
        <v>14</v>
      </c>
      <c r="B13" s="23">
        <v>150</v>
      </c>
      <c r="C13" s="16"/>
      <c r="D13" t="s">
        <v>15</v>
      </c>
      <c r="E13" s="16">
        <f>B28</f>
        <v>1370.565690001793</v>
      </c>
      <c r="F13" s="22"/>
      <c r="G13" s="24"/>
      <c r="H13" s="65" t="s">
        <v>36</v>
      </c>
      <c r="I13" s="65"/>
      <c r="J13" s="41">
        <f>J12-B11</f>
        <v>7705.8310229694907</v>
      </c>
    </row>
    <row r="14" spans="1:11" x14ac:dyDescent="0.25">
      <c r="A14" s="14" t="s">
        <v>16</v>
      </c>
      <c r="B14" s="18">
        <f>((0.55*1000)*B30)/F6*0</f>
        <v>0</v>
      </c>
      <c r="C14" s="16"/>
      <c r="D14" t="s">
        <v>17</v>
      </c>
      <c r="E14" s="20">
        <v>2360</v>
      </c>
      <c r="H14" s="60" t="s">
        <v>38</v>
      </c>
      <c r="I14" s="60"/>
      <c r="J14" s="62">
        <f>J10-J13</f>
        <v>2301.0889770305093</v>
      </c>
    </row>
    <row r="15" spans="1:11" x14ac:dyDescent="0.25">
      <c r="A15" s="14" t="s">
        <v>18</v>
      </c>
      <c r="B15" s="18">
        <v>80</v>
      </c>
      <c r="C15" s="16"/>
      <c r="D15" t="s">
        <v>19</v>
      </c>
      <c r="E15" s="16">
        <f>B27</f>
        <v>0</v>
      </c>
      <c r="F15" s="25"/>
      <c r="G15" s="24"/>
    </row>
    <row r="16" spans="1:11" x14ac:dyDescent="0.25">
      <c r="A16" s="14" t="s">
        <v>20</v>
      </c>
      <c r="B16" s="18">
        <f>(260+(400/F6))+((150+136)/F6)</f>
        <v>492.5423728813559</v>
      </c>
      <c r="C16" s="16"/>
      <c r="D16" s="26" t="s">
        <v>21</v>
      </c>
      <c r="E16" s="27">
        <f>B22</f>
        <v>59997.887787118641</v>
      </c>
      <c r="G16" s="24"/>
    </row>
    <row r="17" spans="1:11" x14ac:dyDescent="0.25">
      <c r="A17" s="14" t="s">
        <v>22</v>
      </c>
      <c r="B17" s="68">
        <v>1250</v>
      </c>
      <c r="C17" s="16"/>
      <c r="E17" s="16"/>
      <c r="H17" s="59" t="s">
        <v>54</v>
      </c>
      <c r="I17" s="59"/>
      <c r="J17" s="59"/>
      <c r="K17" s="59"/>
    </row>
    <row r="18" spans="1:11" x14ac:dyDescent="0.25">
      <c r="A18" s="14" t="s">
        <v>23</v>
      </c>
      <c r="B18" s="18">
        <f>((B11+B12+B13+B14+B15+B16+B17)*3%)*1</f>
        <v>1743.3762711864406</v>
      </c>
      <c r="C18" s="16"/>
      <c r="E18" s="16"/>
      <c r="H18" t="s">
        <v>42</v>
      </c>
      <c r="I18" s="57" t="s">
        <v>43</v>
      </c>
      <c r="J18" s="58" t="s">
        <v>44</v>
      </c>
      <c r="K18" s="66" t="s">
        <v>60</v>
      </c>
    </row>
    <row r="19" spans="1:11" x14ac:dyDescent="0.25">
      <c r="A19" s="14" t="s">
        <v>24</v>
      </c>
      <c r="B19" s="18">
        <v>100</v>
      </c>
      <c r="C19" s="16"/>
      <c r="D19" t="s">
        <v>25</v>
      </c>
      <c r="E19" s="16">
        <f>B24</f>
        <v>4799.8310229694916</v>
      </c>
      <c r="H19" s="17" t="s">
        <v>45</v>
      </c>
      <c r="I19" s="14">
        <v>6.6</v>
      </c>
      <c r="J19" s="48">
        <f>I19/1.15</f>
        <v>5.7391304347826084</v>
      </c>
      <c r="K19" s="66" t="s">
        <v>57</v>
      </c>
    </row>
    <row r="20" spans="1:11" x14ac:dyDescent="0.25">
      <c r="A20" s="17" t="s">
        <v>26</v>
      </c>
      <c r="B20" s="18">
        <f>(B11+B12+B13+B14+B15+B16+B17+B18+B19)*0.07%</f>
        <v>41.969143050847464</v>
      </c>
      <c r="C20" s="16"/>
      <c r="D20" s="7" t="s">
        <v>27</v>
      </c>
      <c r="E20" s="28">
        <f>(B22+E15+B24+E13)*5%</f>
        <v>3308.4142250044965</v>
      </c>
      <c r="H20" s="17" t="s">
        <v>46</v>
      </c>
      <c r="I20" s="14">
        <f>0.15*J20</f>
        <v>0</v>
      </c>
      <c r="J20" s="49">
        <v>0</v>
      </c>
      <c r="K20" s="66" t="s">
        <v>58</v>
      </c>
    </row>
    <row r="21" spans="1:11" x14ac:dyDescent="0.25">
      <c r="A21" s="14"/>
      <c r="B21" s="14"/>
      <c r="E21" s="16"/>
      <c r="H21" s="17" t="s">
        <v>47</v>
      </c>
      <c r="I21" s="14">
        <f>0.55*J21</f>
        <v>0</v>
      </c>
      <c r="J21" s="14">
        <v>0</v>
      </c>
      <c r="K21" s="66" t="s">
        <v>59</v>
      </c>
    </row>
    <row r="22" spans="1:11" x14ac:dyDescent="0.25">
      <c r="A22" s="29" t="s">
        <v>28</v>
      </c>
      <c r="B22" s="30">
        <f>SUM(B11:B20)</f>
        <v>59997.887787118641</v>
      </c>
      <c r="C22" s="31"/>
      <c r="D22" s="29" t="s">
        <v>29</v>
      </c>
      <c r="E22" s="32">
        <f>E19+E20</f>
        <v>8108.2452479739877</v>
      </c>
      <c r="F22" s="33">
        <f>E22</f>
        <v>8108.2452479739877</v>
      </c>
      <c r="H22" s="17" t="s">
        <v>48</v>
      </c>
      <c r="I22" s="14">
        <f>(0.5+(0.28*0))*J22</f>
        <v>0.5</v>
      </c>
      <c r="J22" s="14">
        <v>1</v>
      </c>
    </row>
    <row r="23" spans="1:11" x14ac:dyDescent="0.25">
      <c r="B23" s="16"/>
      <c r="C23" s="16"/>
      <c r="D23" s="34"/>
      <c r="E23" s="16"/>
      <c r="F23" s="35"/>
      <c r="H23" s="17" t="s">
        <v>49</v>
      </c>
      <c r="I23" s="14">
        <f>SUM(I19:I22)</f>
        <v>7.1</v>
      </c>
      <c r="J23" s="24"/>
    </row>
    <row r="24" spans="1:11" x14ac:dyDescent="0.25">
      <c r="A24" s="18" t="s">
        <v>30</v>
      </c>
      <c r="B24" s="36">
        <f>B22*0.08</f>
        <v>4799.8310229694916</v>
      </c>
      <c r="D24" s="22"/>
      <c r="E24" s="16"/>
      <c r="F24" s="22"/>
      <c r="H24" s="53" t="s">
        <v>50</v>
      </c>
      <c r="I24" s="54">
        <f>I23*J24</f>
        <v>7.4550000000000001</v>
      </c>
      <c r="J24" s="14">
        <v>1.05</v>
      </c>
    </row>
    <row r="25" spans="1:11" x14ac:dyDescent="0.25">
      <c r="A25" s="18" t="s">
        <v>31</v>
      </c>
      <c r="B25" s="36">
        <f>+E14</f>
        <v>2360</v>
      </c>
      <c r="F25" s="37"/>
    </row>
    <row r="26" spans="1:11" x14ac:dyDescent="0.25">
      <c r="A26" s="29" t="s">
        <v>33</v>
      </c>
      <c r="B26" s="38">
        <f>B24+B25+B22</f>
        <v>67157.718810088132</v>
      </c>
      <c r="F26" s="40"/>
    </row>
    <row r="27" spans="1:11" x14ac:dyDescent="0.25">
      <c r="A27" s="23" t="s">
        <v>19</v>
      </c>
      <c r="B27" s="18">
        <f>((B26*(100/95))-B26)*0</f>
        <v>0</v>
      </c>
      <c r="F27" s="40"/>
      <c r="G27" s="42"/>
    </row>
    <row r="28" spans="1:11" x14ac:dyDescent="0.25">
      <c r="A28" s="43" t="s">
        <v>15</v>
      </c>
      <c r="B28" s="36">
        <f>(((B27+B26)/98%)-(B26+B27))*1</f>
        <v>1370.565690001793</v>
      </c>
      <c r="F28" s="40"/>
      <c r="G28" s="44"/>
    </row>
    <row r="29" spans="1:11" x14ac:dyDescent="0.25">
      <c r="A29" s="32" t="s">
        <v>37</v>
      </c>
      <c r="B29" s="38">
        <f>SUM(B26:B28)</f>
        <v>68528.284500089925</v>
      </c>
    </row>
    <row r="30" spans="1:11" x14ac:dyDescent="0.25">
      <c r="A30" s="14" t="s">
        <v>39</v>
      </c>
      <c r="B30" s="45">
        <v>22</v>
      </c>
      <c r="C30" s="14" t="s">
        <v>40</v>
      </c>
      <c r="F30" s="46"/>
      <c r="G30" s="46"/>
    </row>
    <row r="31" spans="1:11" x14ac:dyDescent="0.25">
      <c r="A31" s="14" t="s">
        <v>41</v>
      </c>
      <c r="B31" s="38">
        <f>B29/B30</f>
        <v>3114.9220227313604</v>
      </c>
      <c r="G31" s="47"/>
    </row>
    <row r="32" spans="1:11" x14ac:dyDescent="0.25">
      <c r="G32" s="40"/>
    </row>
    <row r="33" spans="1:7" x14ac:dyDescent="0.25">
      <c r="G33" s="50"/>
    </row>
    <row r="34" spans="1:7" x14ac:dyDescent="0.25">
      <c r="A34" s="47" t="s">
        <v>62</v>
      </c>
      <c r="B34" s="40"/>
      <c r="D34" t="s">
        <v>65</v>
      </c>
      <c r="G34" s="51"/>
    </row>
    <row r="35" spans="1:7" ht="105" x14ac:dyDescent="0.3">
      <c r="A35" s="52" t="s">
        <v>61</v>
      </c>
      <c r="B35" s="40"/>
      <c r="D35" s="72" t="s">
        <v>66</v>
      </c>
    </row>
    <row r="36" spans="1:7" ht="15.75" x14ac:dyDescent="0.3">
      <c r="A36" s="52"/>
      <c r="B36" s="40"/>
      <c r="D36" t="s">
        <v>67</v>
      </c>
    </row>
    <row r="37" spans="1:7" ht="15.75" x14ac:dyDescent="0.3">
      <c r="A37" s="52" t="s">
        <v>63</v>
      </c>
      <c r="B37" s="40"/>
      <c r="D37" t="s">
        <v>68</v>
      </c>
    </row>
    <row r="38" spans="1:7" ht="30" x14ac:dyDescent="0.3">
      <c r="A38" s="52" t="s">
        <v>64</v>
      </c>
      <c r="D38" t="s">
        <v>69</v>
      </c>
    </row>
    <row r="39" spans="1:7" x14ac:dyDescent="0.25">
      <c r="D39" t="s">
        <v>70</v>
      </c>
    </row>
  </sheetData>
  <mergeCells count="15">
    <mergeCell ref="H9:J9"/>
    <mergeCell ref="H14:I14"/>
    <mergeCell ref="H13:I13"/>
    <mergeCell ref="H12:I12"/>
    <mergeCell ref="H11:I11"/>
    <mergeCell ref="H10:I10"/>
    <mergeCell ref="A5:C5"/>
    <mergeCell ref="A6:C6"/>
    <mergeCell ref="A7:C7"/>
    <mergeCell ref="A8:C8"/>
    <mergeCell ref="F30:G30"/>
    <mergeCell ref="A1:J1"/>
    <mergeCell ref="A2:J2"/>
    <mergeCell ref="A3:J3"/>
    <mergeCell ref="H17:K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Empacados mixtos</vt:lpstr>
      <vt:lpstr>FCL sacos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Abregu</dc:creator>
  <cp:lastModifiedBy>Jose Abregu</cp:lastModifiedBy>
  <dcterms:created xsi:type="dcterms:W3CDTF">2015-01-09T14:25:58Z</dcterms:created>
  <dcterms:modified xsi:type="dcterms:W3CDTF">2015-01-21T17:51:43Z</dcterms:modified>
</cp:coreProperties>
</file>