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epsol365-my.sharepoint.com/personal/ines_gonzalez_pv_beca_repsol_com/Documents/"/>
    </mc:Choice>
  </mc:AlternateContent>
  <xr:revisionPtr revIDLastSave="0" documentId="8_{E87CBF46-3389-410D-A491-52F21B4FE87F}" xr6:coauthVersionLast="47" xr6:coauthVersionMax="47" xr10:uidLastSave="{00000000-0000-0000-0000-000000000000}"/>
  <bookViews>
    <workbookView xWindow="10245" yWindow="0" windowWidth="10245" windowHeight="10920" activeTab="1" xr2:uid="{00000000-000D-0000-FFFF-FFFF00000000}"/>
  </bookViews>
  <sheets>
    <sheet name="Hoja1" sheetId="2" r:id="rId1"/>
    <sheet name="tabla-73709" sheetId="1" r:id="rId2"/>
    <sheet name="Hoja4" sheetId="5" r:id="rId3"/>
    <sheet name="Hoja3" sheetId="4" r:id="rId4"/>
    <sheet name="Hoja2" sheetId="3" r:id="rId5"/>
  </sheet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A24" i="1"/>
  <c r="J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B13" i="1"/>
</calcChain>
</file>

<file path=xl/sharedStrings.xml><?xml version="1.0" encoding="utf-8"?>
<sst xmlns="http://schemas.openxmlformats.org/spreadsheetml/2006/main" count="1446" uniqueCount="717">
  <si>
    <t>Índices de producción y precios</t>
  </si>
  <si>
    <t>Índices de producción industrial. Base 2021</t>
  </si>
  <si>
    <t/>
  </si>
  <si>
    <t>Secciones  Nacional</t>
  </si>
  <si>
    <t>Unidades: Índice, Tasas</t>
  </si>
  <si>
    <t xml:space="preserve"> </t>
  </si>
  <si>
    <t>Índice</t>
  </si>
  <si>
    <t>2024M10</t>
  </si>
  <si>
    <t>2024M09</t>
  </si>
  <si>
    <t>2024M08</t>
  </si>
  <si>
    <t>2024M07</t>
  </si>
  <si>
    <t>2024M06</t>
  </si>
  <si>
    <t>2024M05</t>
  </si>
  <si>
    <t>2024M04</t>
  </si>
  <si>
    <t>2024M03</t>
  </si>
  <si>
    <t>2024M02</t>
  </si>
  <si>
    <t>2024M01</t>
  </si>
  <si>
    <t>2023M12</t>
  </si>
  <si>
    <t>2023M11</t>
  </si>
  <si>
    <t>2023M10</t>
  </si>
  <si>
    <t>2023M09</t>
  </si>
  <si>
    <t>2023M08</t>
  </si>
  <si>
    <t>2023M07</t>
  </si>
  <si>
    <t>2023M06</t>
  </si>
  <si>
    <t>2023M05</t>
  </si>
  <si>
    <t>2023M04</t>
  </si>
  <si>
    <t>2023M03</t>
  </si>
  <si>
    <t>2023M02</t>
  </si>
  <si>
    <t>2023M01</t>
  </si>
  <si>
    <t>2022M12</t>
  </si>
  <si>
    <t>2022M11</t>
  </si>
  <si>
    <t>2022M10</t>
  </si>
  <si>
    <t>2022M09</t>
  </si>
  <si>
    <t>2022M08</t>
  </si>
  <si>
    <t>2022M07</t>
  </si>
  <si>
    <t>2022M06</t>
  </si>
  <si>
    <t>2022M05</t>
  </si>
  <si>
    <t>2022M04</t>
  </si>
  <si>
    <t>2022M03</t>
  </si>
  <si>
    <t>2022M02</t>
  </si>
  <si>
    <t>2022M01</t>
  </si>
  <si>
    <t>2021M12</t>
  </si>
  <si>
    <t>2021M11</t>
  </si>
  <si>
    <t>2021M10</t>
  </si>
  <si>
    <t>2021M09</t>
  </si>
  <si>
    <t>2021M08</t>
  </si>
  <si>
    <t>2021M07</t>
  </si>
  <si>
    <t>2021M06</t>
  </si>
  <si>
    <t>2021M05</t>
  </si>
  <si>
    <t>2021M04</t>
  </si>
  <si>
    <t>2021M03</t>
  </si>
  <si>
    <t>2021M02</t>
  </si>
  <si>
    <t>2021M01</t>
  </si>
  <si>
    <t>2020M12</t>
  </si>
  <si>
    <t>2020M11</t>
  </si>
  <si>
    <t>2020M10</t>
  </si>
  <si>
    <t>2020M09</t>
  </si>
  <si>
    <t>2020M08</t>
  </si>
  <si>
    <t>2020M07</t>
  </si>
  <si>
    <t>2020M06</t>
  </si>
  <si>
    <t>2020M05</t>
  </si>
  <si>
    <t>2020M04</t>
  </si>
  <si>
    <t>2020M03</t>
  </si>
  <si>
    <t>2020M02</t>
  </si>
  <si>
    <t>2020M01</t>
  </si>
  <si>
    <t>2019M12</t>
  </si>
  <si>
    <t>2019M11</t>
  </si>
  <si>
    <t>2019M10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</si>
  <si>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</si>
  <si>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</si>
  <si>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</si>
  <si>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</si>
  <si>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</si>
  <si>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</si>
  <si>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</si>
  <si>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</si>
  <si>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</si>
  <si>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</si>
  <si>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</si>
  <si>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</si>
  <si>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</si>
  <si>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</si>
  <si>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</si>
  <si>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</si>
  <si>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</si>
  <si>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</si>
  <si>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</si>
  <si>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</si>
  <si>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</si>
  <si>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</si>
  <si>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</si>
  <si>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</si>
  <si>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</si>
  <si>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</si>
  <si>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</si>
  <si>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</si>
  <si>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</si>
  <si>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</si>
  <si>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</si>
  <si>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</si>
  <si>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</si>
  <si>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</si>
  <si>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</si>
  <si>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</si>
  <si>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</si>
  <si>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</si>
  <si>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</si>
  <si>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</si>
  <si>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</si>
  <si>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</si>
  <si>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</si>
  <si>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</si>
  <si>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</si>
  <si>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</si>
  <si>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</si>
  <si>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</si>
  <si>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2015M09</t>
  </si>
  <si>
    <t>2015M08</t>
  </si>
  <si>
    <t>2015M07</t>
  </si>
  <si>
    <t>2015M06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</si>
  <si>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</si>
  <si>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</si>
  <si>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</si>
  <si>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</si>
  <si>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</si>
  <si>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</si>
  <si>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</si>
  <si>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</si>
  <si>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</si>
  <si>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</si>
  <si>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2014M07</t>
  </si>
  <si>
    <t>2014M06</t>
  </si>
  <si>
    <t>2014M05</t>
  </si>
  <si>
    <t>2014M04</t>
  </si>
  <si>
    <t>2014M03</t>
  </si>
  <si>
    <t>2014M02</t>
  </si>
  <si>
    <t>2014M01</t>
  </si>
  <si>
    <t>2013M12</t>
  </si>
  <si>
    <t>2013M11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</si>
  <si>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</si>
  <si>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</si>
  <si>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</si>
  <si>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</si>
  <si>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</si>
  <si>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</si>
  <si>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</si>
  <si>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</si>
  <si>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</si>
  <si>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</si>
  <si>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</si>
  <si>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</si>
  <si>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</si>
  <si>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</si>
  <si>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</si>
  <si>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</si>
  <si>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</si>
  <si>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</si>
  <si>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</si>
  <si>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</si>
  <si>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</si>
  <si>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</si>
  <si>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</si>
  <si>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</si>
  <si>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</si>
  <si>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</si>
  <si>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</si>
  <si>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</si>
  <si>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</si>
  <si>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</si>
  <si>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</si>
  <si>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</si>
  <si>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</si>
  <si>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</si>
  <si>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</si>
  <si>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</si>
  <si>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</si>
  <si>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</si>
  <si>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</si>
  <si>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</si>
  <si>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</si>
  <si>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</si>
  <si>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</si>
  <si>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</si>
  <si>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</si>
  <si>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</si>
  <si>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</si>
  <si>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</si>
  <si>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</si>
  <si>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</si>
  <si>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</si>
  <si>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</si>
  <si>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</si>
  <si>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</si>
  <si>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</si>
  <si>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</si>
  <si>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</si>
  <si>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</si>
  <si>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</si>
  <si>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</si>
  <si>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</si>
  <si>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</si>
  <si>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</si>
  <si>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</si>
  <si>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</si>
  <si>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</si>
  <si>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</si>
  <si>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</si>
  <si>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</si>
  <si>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</si>
  <si>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</si>
  <si>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</si>
  <si>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</si>
  <si>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</si>
  <si>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</si>
  <si>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</si>
  <si>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</si>
  <si>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</si>
  <si>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</si>
  <si>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</si>
  <si>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</si>
  <si>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</si>
  <si>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</si>
  <si>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</si>
  <si>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</si>
  <si>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</si>
  <si>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</si>
  <si>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</si>
  <si>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</si>
  <si>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</si>
  <si>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</si>
  <si>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</si>
  <si>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</si>
  <si>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</si>
  <si>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</si>
  <si>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</si>
  <si>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</si>
  <si>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</si>
  <si>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</si>
  <si>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</si>
  <si>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</si>
  <si>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</si>
  <si>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</si>
  <si>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</si>
  <si>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</si>
  <si>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</si>
  <si>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</si>
  <si>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</si>
  <si>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</si>
  <si>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</si>
  <si>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</si>
  <si>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</si>
  <si>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</si>
  <si>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</si>
  <si>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</si>
  <si>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</si>
  <si>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</si>
  <si>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</si>
  <si>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</si>
  <si>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</si>
  <si>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</si>
  <si>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</si>
  <si>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</si>
  <si>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</si>
  <si>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</si>
  <si>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</si>
  <si>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</si>
  <si>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</si>
  <si>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</si>
  <si>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</si>
  <si>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</si>
  <si>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</si>
  <si>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</si>
  <si>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</si>
  <si>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</si>
  <si>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</si>
  <si>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</si>
  <si>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</si>
  <si>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</si>
  <si>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</si>
  <si>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</si>
  <si>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</si>
  <si>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</si>
  <si>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</si>
  <si>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</si>
  <si>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</si>
  <si>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</si>
  <si>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</si>
  <si>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</si>
  <si>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</si>
  <si>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</si>
  <si>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</si>
  <si>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</si>
  <si>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</si>
  <si>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</si>
  <si>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</si>
  <si>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</si>
  <si>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</si>
  <si>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</si>
  <si>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</si>
  <si>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</si>
  <si>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</si>
  <si>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</si>
  <si>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</si>
  <si>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</si>
  <si>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</si>
  <si>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B Industrias extractivas</t>
  </si>
  <si>
    <t>D Suministro de energía eléctrica, gas, vapor y aire acondicionado</t>
  </si>
  <si>
    <t>E Suministro de agua, actividades de saneamiento, gestión de residuos y descontaminación</t>
  </si>
  <si>
    <t>..</t>
  </si>
  <si>
    <t>C Industria manufacturera</t>
  </si>
  <si>
    <t>Notas:</t>
  </si>
  <si>
    <t xml:space="preserve">Fuente: </t>
  </si>
  <si>
    <t>Instituto Nacional de Estadística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</si>
  <si>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</si>
  <si>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</si>
  <si>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</si>
  <si>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</si>
  <si>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</si>
  <si>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</si>
  <si>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</si>
  <si>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</si>
  <si>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</si>
  <si>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</si>
  <si>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</si>
  <si>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</si>
  <si>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</si>
  <si>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</si>
  <si>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</si>
  <si>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</si>
  <si>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</si>
  <si>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</si>
  <si>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</si>
  <si>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</si>
  <si>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</si>
  <si>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</si>
  <si>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</si>
  <si>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</si>
  <si>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</si>
  <si>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</si>
  <si>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</si>
  <si>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</si>
  <si>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</si>
  <si>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</si>
  <si>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</si>
  <si>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</si>
  <si>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</si>
  <si>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</si>
  <si>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</si>
  <si>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</si>
  <si>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</si>
  <si>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</si>
  <si>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</si>
  <si>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</si>
  <si>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</si>
  <si>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</si>
  <si>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</si>
  <si>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</si>
  <si>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</si>
  <si>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Columna46</t>
  </si>
  <si>
    <t>Columna47</t>
  </si>
  <si>
    <t>Columna48</t>
  </si>
  <si>
    <t>Columna49</t>
  </si>
  <si>
    <t>Columna50</t>
  </si>
  <si>
    <t>Columna51</t>
  </si>
  <si>
    <t>Columna52</t>
  </si>
  <si>
    <t>Columna53</t>
  </si>
  <si>
    <t>Columna54</t>
  </si>
  <si>
    <t>Columna55</t>
  </si>
  <si>
    <t>Columna56</t>
  </si>
  <si>
    <t>Columna57</t>
  </si>
  <si>
    <t>Columna58</t>
  </si>
  <si>
    <t>Columna59</t>
  </si>
  <si>
    <t>Columna60</t>
  </si>
  <si>
    <t>Columna61</t>
  </si>
  <si>
    <t>Columna62</t>
  </si>
  <si>
    <t>Columna63</t>
  </si>
  <si>
    <t>Columna64</t>
  </si>
  <si>
    <t>Columna65</t>
  </si>
  <si>
    <t>Columna66</t>
  </si>
  <si>
    <t>Columna67</t>
  </si>
  <si>
    <t>Columna68</t>
  </si>
  <si>
    <t>Columna69</t>
  </si>
  <si>
    <t>Columna70</t>
  </si>
  <si>
    <t>Columna71</t>
  </si>
  <si>
    <t>Columna72</t>
  </si>
  <si>
    <t>Columna73</t>
  </si>
  <si>
    <t>Columna74</t>
  </si>
  <si>
    <t>Columna75</t>
  </si>
  <si>
    <t>Columna76</t>
  </si>
  <si>
    <t>Columna77</t>
  </si>
  <si>
    <t>Columna78</t>
  </si>
  <si>
    <t>Columna79</t>
  </si>
  <si>
    <t>Columna80</t>
  </si>
  <si>
    <t>Columna81</t>
  </si>
  <si>
    <t>Columna82</t>
  </si>
  <si>
    <t>Columna83</t>
  </si>
  <si>
    <t>Columna84</t>
  </si>
  <si>
    <t>Columna85</t>
  </si>
  <si>
    <t>Columna86</t>
  </si>
  <si>
    <t>Columna87</t>
  </si>
  <si>
    <t>Columna88</t>
  </si>
  <si>
    <t>Columna89</t>
  </si>
  <si>
    <t>Columna90</t>
  </si>
  <si>
    <t>Columna91</t>
  </si>
  <si>
    <t>Columna92</t>
  </si>
  <si>
    <t>Columna93</t>
  </si>
  <si>
    <t>Columna94</t>
  </si>
  <si>
    <t>Columna95</t>
  </si>
  <si>
    <t>Columna96</t>
  </si>
  <si>
    <t>Columna97</t>
  </si>
  <si>
    <t>Columna98</t>
  </si>
  <si>
    <t>Columna99</t>
  </si>
  <si>
    <t>Columna100</t>
  </si>
  <si>
    <t>Columna101</t>
  </si>
  <si>
    <t>Columna102</t>
  </si>
  <si>
    <t>Columna103</t>
  </si>
  <si>
    <t>Columna104</t>
  </si>
  <si>
    <t>Columna105</t>
  </si>
  <si>
    <t>Columna106</t>
  </si>
  <si>
    <t>Columna107</t>
  </si>
  <si>
    <t>Columna108</t>
  </si>
  <si>
    <t>Columna109</t>
  </si>
  <si>
    <t>Columna110</t>
  </si>
  <si>
    <t>Columna111</t>
  </si>
  <si>
    <t>Columna112</t>
  </si>
  <si>
    <t>Columna113</t>
  </si>
  <si>
    <t>Columna114</t>
  </si>
  <si>
    <t>Columna115</t>
  </si>
  <si>
    <t>Columna116</t>
  </si>
  <si>
    <t>Columna117</t>
  </si>
  <si>
    <t>Columna118</t>
  </si>
  <si>
    <t>Columna119</t>
  </si>
  <si>
    <t>Columna120</t>
  </si>
  <si>
    <t>Columna121</t>
  </si>
  <si>
    <t>Columna122</t>
  </si>
  <si>
    <t>Columna123</t>
  </si>
  <si>
    <t>Columna124</t>
  </si>
  <si>
    <t>Columna125</t>
  </si>
  <si>
    <t>Columna126</t>
  </si>
  <si>
    <t>Columna127</t>
  </si>
  <si>
    <t>Columna128</t>
  </si>
  <si>
    <t>Columna129</t>
  </si>
  <si>
    <t>Columna130</t>
  </si>
  <si>
    <t>Columna131</t>
  </si>
  <si>
    <t>Columna132</t>
  </si>
  <si>
    <t>Columna133</t>
  </si>
  <si>
    <t>Columna134</t>
  </si>
  <si>
    <t>Columna135</t>
  </si>
  <si>
    <t>Columna136</t>
  </si>
  <si>
    <t>Columna137</t>
  </si>
  <si>
    <t>Columna138</t>
  </si>
  <si>
    <t>Columna139</t>
  </si>
  <si>
    <t>Columna140</t>
  </si>
  <si>
    <t>Columna141</t>
  </si>
  <si>
    <t>Columna142</t>
  </si>
  <si>
    <t>Columna143</t>
  </si>
  <si>
    <t>Columna144</t>
  </si>
  <si>
    <t>Columna145</t>
  </si>
  <si>
    <t>Columna146</t>
  </si>
  <si>
    <t>Columna147</t>
  </si>
  <si>
    <t>Columna148</t>
  </si>
  <si>
    <t>Columna149</t>
  </si>
  <si>
    <t>Columna150</t>
  </si>
  <si>
    <t>Columna151</t>
  </si>
  <si>
    <t>Columna152</t>
  </si>
  <si>
    <t>Columna153</t>
  </si>
  <si>
    <t>Columna154</t>
  </si>
  <si>
    <t>Columna155</t>
  </si>
  <si>
    <t>Columna156</t>
  </si>
  <si>
    <t>Columna157</t>
  </si>
  <si>
    <t>Columna158</t>
  </si>
  <si>
    <t>Columna159</t>
  </si>
  <si>
    <t>Columna160</t>
  </si>
  <si>
    <t>Columna161</t>
  </si>
  <si>
    <t>Columna162</t>
  </si>
  <si>
    <t>Columna163</t>
  </si>
  <si>
    <t>Columna164</t>
  </si>
  <si>
    <t>Columna165</t>
  </si>
  <si>
    <t>Columna166</t>
  </si>
  <si>
    <t>Columna167</t>
  </si>
  <si>
    <t>Columna168</t>
  </si>
  <si>
    <t>Columna169</t>
  </si>
  <si>
    <t>Columna170</t>
  </si>
  <si>
    <t>Columna171</t>
  </si>
  <si>
    <t>Columna172</t>
  </si>
  <si>
    <t>Columna173</t>
  </si>
  <si>
    <t>Columna174</t>
  </si>
  <si>
    <t>Columna175</t>
  </si>
  <si>
    <t>Columna176</t>
  </si>
  <si>
    <t>Columna177</t>
  </si>
  <si>
    <t>Columna178</t>
  </si>
  <si>
    <t>Columna179</t>
  </si>
  <si>
    <t>Columna180</t>
  </si>
  <si>
    <t>Columna181</t>
  </si>
  <si>
    <t>Columna182</t>
  </si>
  <si>
    <t>Columna183</t>
  </si>
  <si>
    <t>Columna184</t>
  </si>
  <si>
    <t>Columna185</t>
  </si>
  <si>
    <t>Columna186</t>
  </si>
  <si>
    <t>Columna187</t>
  </si>
  <si>
    <t>Columna188</t>
  </si>
  <si>
    <t>Columna189</t>
  </si>
  <si>
    <t>Columna190</t>
  </si>
  <si>
    <t>Columna191</t>
  </si>
  <si>
    <t>Columna192</t>
  </si>
  <si>
    <t>Columna193</t>
  </si>
  <si>
    <t>Columna194</t>
  </si>
  <si>
    <t>Columna195</t>
  </si>
  <si>
    <t>Columna196</t>
  </si>
  <si>
    <t>Columna197</t>
  </si>
  <si>
    <t>Columna198</t>
  </si>
  <si>
    <t>Columna199</t>
  </si>
  <si>
    <t>Columna200</t>
  </si>
  <si>
    <t>Columna201</t>
  </si>
  <si>
    <t>Columna202</t>
  </si>
  <si>
    <t>Columna203</t>
  </si>
  <si>
    <t>Columna204</t>
  </si>
  <si>
    <t>Columna205</t>
  </si>
  <si>
    <t>Columna206</t>
  </si>
  <si>
    <t>Columna207</t>
  </si>
  <si>
    <t>Columna208</t>
  </si>
  <si>
    <t>Columna209</t>
  </si>
  <si>
    <t>Columna210</t>
  </si>
  <si>
    <t>Columna211</t>
  </si>
  <si>
    <t>Columna212</t>
  </si>
  <si>
    <t>Columna213</t>
  </si>
  <si>
    <t>Columna214</t>
  </si>
  <si>
    <t>Columna215</t>
  </si>
  <si>
    <t>Columna216</t>
  </si>
  <si>
    <t>Columna217</t>
  </si>
  <si>
    <t>Columna218</t>
  </si>
  <si>
    <t>Columna219</t>
  </si>
  <si>
    <t>Columna220</t>
  </si>
  <si>
    <t>Columna221</t>
  </si>
  <si>
    <t>Columna222</t>
  </si>
  <si>
    <t>Columna223</t>
  </si>
  <si>
    <t>Columna224</t>
  </si>
  <si>
    <t>Columna225</t>
  </si>
  <si>
    <t>Columna226</t>
  </si>
  <si>
    <t>Columna227</t>
  </si>
  <si>
    <t>Columna228</t>
  </si>
  <si>
    <t>Columna229</t>
  </si>
  <si>
    <t>Columna230</t>
  </si>
  <si>
    <t>Columna231</t>
  </si>
  <si>
    <t>Columna232</t>
  </si>
  <si>
    <t>Columna233</t>
  </si>
  <si>
    <t>Columna234</t>
  </si>
  <si>
    <t>Columna235</t>
  </si>
  <si>
    <t>Columna236</t>
  </si>
  <si>
    <t>Columna237</t>
  </si>
  <si>
    <t>Columna238</t>
  </si>
  <si>
    <t>Columna239</t>
  </si>
  <si>
    <t>Columna240</t>
  </si>
  <si>
    <t>Columna241</t>
  </si>
  <si>
    <t>Columna242</t>
  </si>
  <si>
    <t>Columna243</t>
  </si>
  <si>
    <t>Columna244</t>
  </si>
  <si>
    <t>Columna245</t>
  </si>
  <si>
    <t>Columna246</t>
  </si>
  <si>
    <t>Columna247</t>
  </si>
  <si>
    <t>Columna248</t>
  </si>
  <si>
    <t>Columna249</t>
  </si>
  <si>
    <t>Columna250</t>
  </si>
  <si>
    <t>Columna251</t>
  </si>
  <si>
    <t>Columna252</t>
  </si>
  <si>
    <t>Columna253</t>
  </si>
  <si>
    <t>Columna254</t>
  </si>
  <si>
    <t>Columna255</t>
  </si>
  <si>
    <t>Columna256</t>
  </si>
  <si>
    <t>Columna257</t>
  </si>
  <si>
    <t>Columna258</t>
  </si>
  <si>
    <t>Columna259</t>
  </si>
  <si>
    <t>Columna260</t>
  </si>
  <si>
    <t>Columna261</t>
  </si>
  <si>
    <t>Columna262</t>
  </si>
  <si>
    <t>Columna263</t>
  </si>
  <si>
    <t>Columna264</t>
  </si>
  <si>
    <t>Columna265</t>
  </si>
  <si>
    <t>Columna266</t>
  </si>
  <si>
    <t>Columna267</t>
  </si>
  <si>
    <t>Columna268</t>
  </si>
  <si>
    <t>Columna269</t>
  </si>
  <si>
    <t>Columna270</t>
  </si>
  <si>
    <t>Columna271</t>
  </si>
  <si>
    <t>Columna272</t>
  </si>
  <si>
    <t>Columna273</t>
  </si>
  <si>
    <t>Columna274</t>
  </si>
  <si>
    <t>Columna275</t>
  </si>
  <si>
    <t>Columna276</t>
  </si>
  <si>
    <t>Columna277</t>
  </si>
  <si>
    <t>Columna278</t>
  </si>
  <si>
    <t>Columna279</t>
  </si>
  <si>
    <t>Columna280</t>
  </si>
  <si>
    <t>Columna281</t>
  </si>
  <si>
    <t>Columna282</t>
  </si>
  <si>
    <t>Columna283</t>
  </si>
  <si>
    <t>Columna284</t>
  </si>
  <si>
    <t>Columna285</t>
  </si>
  <si>
    <t>Columna286</t>
  </si>
  <si>
    <t>Columna287</t>
  </si>
  <si>
    <t>Columna288</t>
  </si>
  <si>
    <t>Columna289</t>
  </si>
  <si>
    <t>Columna290</t>
  </si>
  <si>
    <t>Columna291</t>
  </si>
  <si>
    <t>Columna292</t>
  </si>
  <si>
    <t>Columna293</t>
  </si>
  <si>
    <t>Columna294</t>
  </si>
  <si>
    <t>Columna295</t>
  </si>
  <si>
    <t>Columna296</t>
  </si>
  <si>
    <t>Columna297</t>
  </si>
  <si>
    <t>Total</t>
  </si>
  <si>
    <t>trimestres</t>
  </si>
  <si>
    <t>2024T4</t>
  </si>
  <si>
    <t>2024T3</t>
  </si>
  <si>
    <t>2024T2</t>
  </si>
  <si>
    <t>2024T1</t>
  </si>
  <si>
    <t>2023T4</t>
  </si>
  <si>
    <t>2023T3</t>
  </si>
  <si>
    <t>2023T2</t>
  </si>
  <si>
    <t>2023T1</t>
  </si>
  <si>
    <t>2022T4</t>
  </si>
  <si>
    <t>2022T3</t>
  </si>
  <si>
    <t>2022T2</t>
  </si>
  <si>
    <t>2022T1</t>
  </si>
  <si>
    <t>2021T4</t>
  </si>
  <si>
    <t>2021T3</t>
  </si>
  <si>
    <t>2021T2</t>
  </si>
  <si>
    <t>2021T1</t>
  </si>
  <si>
    <t>2020T4</t>
  </si>
  <si>
    <t>2020T3</t>
  </si>
  <si>
    <t>2020T2</t>
  </si>
  <si>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</si>
  <si>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</si>
  <si>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</si>
  <si>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</si>
  <si>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</si>
  <si>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</si>
  <si>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</si>
  <si>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</si>
  <si>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</si>
  <si>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</si>
  <si>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</si>
  <si>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</si>
  <si>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</si>
  <si>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</si>
  <si>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</si>
  <si>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</si>
  <si>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</si>
  <si>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</si>
  <si>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</si>
  <si>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</si>
  <si>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</si>
  <si>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2014T4</t>
  </si>
  <si>
    <t>2014T3</t>
  </si>
  <si>
    <t>2014T2</t>
  </si>
  <si>
    <t>2014T1</t>
  </si>
  <si>
    <t>2013T4</t>
  </si>
  <si>
    <t>2013T3</t>
  </si>
  <si>
    <t>2013T2</t>
  </si>
  <si>
    <t>2013T1</t>
  </si>
  <si>
    <t>2012T4</t>
  </si>
  <si>
    <t>2012T3</t>
  </si>
  <si>
    <t>2012T2</t>
  </si>
  <si>
    <t>2012T1</t>
  </si>
  <si>
    <t>2011T4</t>
  </si>
  <si>
    <t>2011T3</t>
  </si>
  <si>
    <t>2011T2</t>
  </si>
  <si>
    <t>2011T1</t>
  </si>
  <si>
    <t>2010T4</t>
  </si>
  <si>
    <t>2010T3</t>
  </si>
  <si>
    <t>2010T2</t>
  </si>
  <si>
    <t>2010T1</t>
  </si>
  <si>
    <t>2009T4</t>
  </si>
  <si>
    <t>2009T3</t>
  </si>
  <si>
    <t>2009T2</t>
  </si>
  <si>
    <t>2009T1</t>
  </si>
  <si>
    <t>2008T4</t>
  </si>
  <si>
    <t>2008T3</t>
  </si>
  <si>
    <t>2008T2</t>
  </si>
  <si>
    <t>2008T1</t>
  </si>
  <si>
    <t>2007T4</t>
  </si>
  <si>
    <t>2007T3</t>
  </si>
  <si>
    <t>2007T2</t>
  </si>
  <si>
    <t>2007T1</t>
  </si>
  <si>
    <t>2006T4</t>
  </si>
  <si>
    <t>2006T3</t>
  </si>
  <si>
    <t>2006T2</t>
  </si>
  <si>
    <t>2006T1</t>
  </si>
  <si>
    <t>2005T4</t>
  </si>
  <si>
    <t>2005T3</t>
  </si>
  <si>
    <t>2005T2</t>
  </si>
  <si>
    <t>2005T1</t>
  </si>
  <si>
    <t>2004T4</t>
  </si>
  <si>
    <t>2004T3</t>
  </si>
  <si>
    <t>2004T2</t>
  </si>
  <si>
    <t>2004T1</t>
  </si>
  <si>
    <t>2003T4</t>
  </si>
  <si>
    <t>2003T3</t>
  </si>
  <si>
    <t>2003T2</t>
  </si>
  <si>
    <t>2003T1</t>
  </si>
  <si>
    <t>2002T4</t>
  </si>
  <si>
    <t>2002T3</t>
  </si>
  <si>
    <t>2002T2</t>
  </si>
  <si>
    <t>2002T1</t>
  </si>
  <si>
    <t>2001T4</t>
  </si>
  <si>
    <t>2001T3</t>
  </si>
  <si>
    <t>2001T2</t>
  </si>
  <si>
    <t>2001T1</t>
  </si>
  <si>
    <t>2000T4</t>
  </si>
  <si>
    <t>2000T3</t>
  </si>
  <si>
    <t>2000T2</t>
  </si>
  <si>
    <t>2000T1</t>
  </si>
  <si>
    <t>trimestre</t>
  </si>
  <si>
    <t>ipi</t>
  </si>
  <si>
    <t>Etiquetas de fila</t>
  </si>
  <si>
    <t>Total general</t>
  </si>
  <si>
    <t>Promedio de 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</si>
</sst>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indexed="8"/>
      <name val="Aptos Narrow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sz val="9"/>
      <color indexed="8"/>
      <name val="Arial"/>
    </font>
    <font>
      <sz val="11"/>
      <color indexed="9"/>
      <name val="Calibri"/>
    </font>
    <font>
      <sz val="9"/>
      <color indexed="8"/>
      <name val="Arial"/>
    </font>
    <font>
      <sz val="11"/>
      <color rgb="FF0000FF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  <fill>
      <patternFill patternType="solid">
        <fgColor rgb="FF89BEBA"/>
        <bgColor indexed="64"/>
      </patternFill>
    </fill>
    <fill>
      <patternFill patternType="solid">
        <fgColor rgb="FFF3F4F7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5" borderId="2" xfId="0" applyFont="1" applyFill="1" applyBorder="1"/>
    <xf numFmtId="0" fontId="2" fillId="3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right"/>
    </xf>
    <xf numFmtId="164" fontId="5" fillId="6" borderId="2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2" fillId="3" borderId="2" xfId="0" applyFont="1" applyFill="1" applyBorder="1"/>
    <xf numFmtId="0" fontId="4" fillId="4" borderId="2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0" fillId="2" borderId="3" xfId="0" applyFill="1" applyBorder="1"/>
    <xf numFmtId="0" fontId="2" fillId="2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0" fillId="2" borderId="4" xfId="0" applyFill="1" applyBorder="1"/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5" fillId="6" borderId="8" xfId="0" applyNumberFormat="1" applyFont="1" applyFill="1" applyBorder="1" applyAlignment="1">
      <alignment horizontal="right"/>
    </xf>
    <xf numFmtId="164" fontId="5" fillId="6" borderId="9" xfId="0" applyNumberFormat="1" applyFont="1" applyFill="1" applyBorder="1" applyAlignment="1">
      <alignment horizontal="right"/>
    </xf>
    <xf numFmtId="0" fontId="2" fillId="7" borderId="7" xfId="0" applyFont="1" applyFill="1" applyBorder="1" applyAlignment="1">
      <alignment horizontal="left"/>
    </xf>
    <xf numFmtId="164" fontId="3" fillId="8" borderId="8" xfId="0" applyNumberFormat="1" applyFont="1" applyFill="1" applyBorder="1" applyAlignment="1">
      <alignment horizontal="right"/>
    </xf>
    <xf numFmtId="0" fontId="6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rgb="FF89BEBA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9"/>
        </right>
        <top style="thin">
          <color indexed="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rgb="FF89BEB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164" formatCode="#,##0.000"/>
      <fill>
        <patternFill patternType="solid">
          <fgColor indexed="64"/>
          <bgColor rgb="FFF3F4F7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rgb="FF89BEBA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9"/>
        </right>
        <top style="thin">
          <color indexed="9"/>
        </top>
        <bottom style="thin">
          <color indexed="9"/>
        </bottom>
        <vertical/>
        <horizontal/>
      </border>
    </dxf>
    <dxf>
      <border outline="0">
        <top style="thin">
          <color indexed="9"/>
        </top>
      </border>
    </dxf>
    <dxf>
      <border outline="0">
        <bottom style="thin">
          <color indexed="9"/>
        </bottom>
      </border>
    </dxf>
    <dxf>
      <border outline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ález Pérez-Villacastín, Inés" refreshedDate="45696.696059490743" createdVersion="8" refreshedVersion="8" minRefreshableVersion="3" recordCount="298" xr:uid="{9ADEA5A7-4DE0-42BB-9A9F-484C67E48C48}">
  <cacheSource type="worksheet">
    <worksheetSource ref="A1:B299" sheet="Hoja3"/>
  </cacheSource>
  <cacheFields count="2">
    <cacheField name="trimestre" numFmtId="0">
      <sharedItems count="100">
        <s v="2024T4"/>
        <s v="2024T3"/>
        <s v="2024T2"/>
        <s v="2024T1"/>
        <s v="2023T4"/>
        <s v="2023T3"/>
        <s v="2023T2"/>
        <s v="2023T1"/>
        <s v="2022T4"/>
        <s v="2022T3"/>
        <s v="2022T2"/>
        <s v="2022T1"/>
        <s v="2021T4"/>
        <s v="2021T3"/>
        <s v="2021T2"/>
        <s v="2021T1"/>
        <s v="2020T4"/>
        <s v="2020T3"/>
        <s v="2020T2"/>
        <s v="2020T1"/>
        <s v="2019T4"/>
        <s v="2019T3"/>
        <s v="2019T2"/>
        <s v="2019T1"/>
        <s v="2018T4"/>
        <s v="2018T3"/>
        <s v="2018T2"/>
        <s v="2018T1"/>
        <s v="2017T4"/>
        <s v="2017T3"/>
        <s v="2017T2"/>
        <s v="2017T1"/>
        <s v="2016T4"/>
        <s v="2016T3"/>
        <s v="2016T2"/>
        <s v="2016T1"/>
        <s v="2015T4"/>
        <s v="2015T3"/>
        <s v="2015T2"/>
        <s v="2015T1"/>
        <s v="2014T4"/>
        <s v="2014T3"/>
        <s v="2014T2"/>
        <s v="2014T1"/>
        <s v="2013T4"/>
        <s v="2013T3"/>
        <s v="2013T2"/>
        <s v="2013T1"/>
        <s v="2012T4"/>
        <s v="2012T3"/>
        <s v="2012T2"/>
        <s v="2012T1"/>
        <s v="2011T4"/>
        <s v="2011T3"/>
        <s v="2011T2"/>
        <s v="2011T1"/>
        <s v="2010T4"/>
        <s v="2010T3"/>
        <s v="2010T2"/>
        <s v="2010T1"/>
        <s v="2009T4"/>
        <s v="2009T3"/>
        <s v="2009T2"/>
        <s v="2009T1"/>
        <s v="2008T4"/>
        <s v="2008T3"/>
        <s v="2008T2"/>
        <s v="2008T1"/>
        <s v="2007T4"/>
        <s v="2007T3"/>
        <s v="2007T2"/>
        <s v="2007T1"/>
        <s v="2006T4"/>
        <s v="2006T3"/>
        <s v="2006T2"/>
        <s v="2006T1"/>
        <s v="2005T4"/>
        <s v="2005T3"/>
        <s v="2005T2"/>
        <s v="2005T1"/>
        <s v="2004T4"/>
        <s v="2004T3"/>
        <s v="2004T2"/>
        <s v="2004T1"/>
        <s v="2003T4"/>
        <s v="2003T3"/>
        <s v="2003T2"/>
        <s v="2003T1"/>
        <s v="2002T4"/>
        <s v="2002T3"/>
        <s v="2002T2"/>
        <s v="2002T1"/>
        <s v="2001T4"/>
        <s v="2001T3"/>
        <s v="2001T2"/>
        <s v="2001T1"/>
        <s v="2000T4"/>
        <s v="2000T3"/>
        <s v="2000T2"/>
        <s v="2000T1"/>
      </sharedItems>
    </cacheField>
    <cacheField name="ipi" numFmtId="0">
      <sharedItems containsSemiMixedTypes="0" containsString="0" containsNumber="1" minValue="283.53100000000001" maxValue="633.136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  <n v="421.80900000000003"/>
  </r>
  <r>
    <x v="1"/>
    <n v="413.51600000000002"/>
  </r>
  <r>
    <x v="1"/>
    <n v="373.82499999999999"/>
  </r>
  <r>
    <x v="1"/>
    <n v="426.34200000000004"/>
  </r>
  <r>
    <x v="2"/>
    <n v="392.41800000000001"/>
  </r>
  <r>
    <x v="2"/>
    <n v="400.96500000000003"/>
  </r>
  <r>
    <x v="2"/>
    <n v="388.209"/>
  </r>
  <r>
    <x v="3"/>
    <n v="379.73800000000006"/>
  </r>
  <r>
    <x v="3"/>
    <n v="385.77600000000001"/>
  </r>
  <r>
    <x v="3"/>
    <n v="403.45400000000001"/>
  </r>
  <r>
    <x v="4"/>
    <n v="372.69499999999999"/>
  </r>
  <r>
    <x v="4"/>
    <n v="403.42899999999997"/>
  </r>
  <r>
    <x v="4"/>
    <n v="400.81400000000002"/>
  </r>
  <r>
    <x v="5"/>
    <n v="406.65"/>
  </r>
  <r>
    <x v="5"/>
    <n v="386.80099999999999"/>
  </r>
  <r>
    <x v="5"/>
    <n v="424.69799999999998"/>
  </r>
  <r>
    <x v="6"/>
    <n v="416.66399999999999"/>
  </r>
  <r>
    <x v="6"/>
    <n v="414.69100000000003"/>
  </r>
  <r>
    <x v="6"/>
    <n v="382.197"/>
  </r>
  <r>
    <x v="7"/>
    <n v="431.76499999999999"/>
  </r>
  <r>
    <x v="7"/>
    <n v="385.40300000000002"/>
  </r>
  <r>
    <x v="7"/>
    <n v="383.2"/>
  </r>
  <r>
    <x v="8"/>
    <n v="373.62"/>
  </r>
  <r>
    <x v="8"/>
    <n v="414.06099999999998"/>
  </r>
  <r>
    <x v="8"/>
    <n v="411.72199999999998"/>
  </r>
  <r>
    <x v="9"/>
    <n v="435.80099999999999"/>
  </r>
  <r>
    <x v="9"/>
    <n v="402.96299999999997"/>
  </r>
  <r>
    <x v="9"/>
    <n v="440.62799999999999"/>
  </r>
  <r>
    <x v="10"/>
    <n v="439.84699999999998"/>
  </r>
  <r>
    <x v="10"/>
    <n v="415.11199999999997"/>
  </r>
  <r>
    <x v="10"/>
    <n v="386.03300000000002"/>
  </r>
  <r>
    <x v="11"/>
    <n v="403.51300000000003"/>
  </r>
  <r>
    <x v="11"/>
    <n v="375.59800000000001"/>
  </r>
  <r>
    <x v="11"/>
    <n v="382.572"/>
  </r>
  <r>
    <x v="12"/>
    <n v="386.70299999999997"/>
  </r>
  <r>
    <x v="12"/>
    <n v="412.84699999999998"/>
  </r>
  <r>
    <x v="12"/>
    <n v="397.61099999999999"/>
  </r>
  <r>
    <x v="13"/>
    <n v="420.03499999999997"/>
  </r>
  <r>
    <x v="13"/>
    <n v="381.67"/>
  </r>
  <r>
    <x v="13"/>
    <n v="432.649"/>
  </r>
  <r>
    <x v="14"/>
    <n v="407.39"/>
  </r>
  <r>
    <x v="14"/>
    <n v="399.55400000000003"/>
  </r>
  <r>
    <x v="14"/>
    <n v="392.779"/>
  </r>
  <r>
    <x v="15"/>
    <n v="419.75"/>
  </r>
  <r>
    <x v="15"/>
    <n v="368.99099999999999"/>
  </r>
  <r>
    <x v="15"/>
    <n v="380.02"/>
  </r>
  <r>
    <x v="16"/>
    <n v="377.48899999999998"/>
  </r>
  <r>
    <x v="16"/>
    <n v="394.66200000000003"/>
  </r>
  <r>
    <x v="16"/>
    <n v="394.69400000000002"/>
  </r>
  <r>
    <x v="17"/>
    <n v="419.38900000000001"/>
  </r>
  <r>
    <x v="17"/>
    <n v="397.553"/>
  </r>
  <r>
    <x v="17"/>
    <n v="464.03300000000002"/>
  </r>
  <r>
    <x v="18"/>
    <n v="397.096"/>
  </r>
  <r>
    <x v="18"/>
    <n v="342.77099999999996"/>
  </r>
  <r>
    <x v="18"/>
    <n v="283.53100000000001"/>
  </r>
  <r>
    <x v="19"/>
    <n v="364.577"/>
  </r>
  <r>
    <x v="19"/>
    <n v="376.00299999999999"/>
  </r>
  <r>
    <x v="19"/>
    <n v="378.49099999999999"/>
  </r>
  <r>
    <x v="20"/>
    <n v="376.53300000000002"/>
  </r>
  <r>
    <x v="20"/>
    <n v="417.803"/>
  </r>
  <r>
    <x v="20"/>
    <n v="425.68799999999999"/>
  </r>
  <r>
    <x v="21"/>
    <n v="427.06299999999999"/>
  </r>
  <r>
    <x v="21"/>
    <n v="410.94700000000006"/>
  </r>
  <r>
    <x v="21"/>
    <n v="471.29699999999997"/>
  </r>
  <r>
    <x v="22"/>
    <n v="420.67199999999997"/>
  </r>
  <r>
    <x v="22"/>
    <n v="419.774"/>
  </r>
  <r>
    <x v="22"/>
    <n v="386.02099999999996"/>
  </r>
  <r>
    <x v="23"/>
    <n v="390.79200000000003"/>
  </r>
  <r>
    <x v="23"/>
    <n v="369.928"/>
  </r>
  <r>
    <x v="23"/>
    <n v="400.21800000000002"/>
  </r>
  <r>
    <x v="24"/>
    <n v="353.21200000000005"/>
  </r>
  <r>
    <x v="24"/>
    <n v="394.87099999999998"/>
  </r>
  <r>
    <x v="24"/>
    <n v="415.90600000000001"/>
  </r>
  <r>
    <x v="25"/>
    <n v="404.56799999999998"/>
  </r>
  <r>
    <x v="25"/>
    <n v="402.94399999999996"/>
  </r>
  <r>
    <x v="25"/>
    <n v="438.87799999999999"/>
  </r>
  <r>
    <x v="26"/>
    <n v="418.73900000000003"/>
  </r>
  <r>
    <x v="26"/>
    <n v="409.94600000000003"/>
  </r>
  <r>
    <x v="26"/>
    <n v="382.38800000000003"/>
  </r>
  <r>
    <x v="27"/>
    <n v="408.786"/>
  </r>
  <r>
    <x v="27"/>
    <n v="387.90800000000002"/>
  </r>
  <r>
    <x v="27"/>
    <n v="399.83600000000001"/>
  </r>
  <r>
    <x v="28"/>
    <n v="383.9"/>
  </r>
  <r>
    <x v="28"/>
    <n v="439.73099999999999"/>
  </r>
  <r>
    <x v="28"/>
    <n v="424.76699999999994"/>
  </r>
  <r>
    <x v="29"/>
    <n v="429.60499999999996"/>
  </r>
  <r>
    <x v="29"/>
    <n v="409.08200000000005"/>
  </r>
  <r>
    <x v="29"/>
    <n v="448.82899999999995"/>
  </r>
  <r>
    <x v="30"/>
    <n v="433.92500000000001"/>
  </r>
  <r>
    <x v="30"/>
    <n v="426.26400000000001"/>
  </r>
  <r>
    <x v="30"/>
    <n v="367.97800000000007"/>
  </r>
  <r>
    <x v="31"/>
    <n v="417.29199999999997"/>
  </r>
  <r>
    <x v="31"/>
    <n v="366.41100000000006"/>
  </r>
  <r>
    <x v="31"/>
    <n v="392.51100000000002"/>
  </r>
  <r>
    <x v="32"/>
    <n v="361.85200000000003"/>
  </r>
  <r>
    <x v="32"/>
    <n v="406.46600000000001"/>
  </r>
  <r>
    <x v="32"/>
    <n v="400.14"/>
  </r>
  <r>
    <x v="33"/>
    <n v="428.77800000000002"/>
  </r>
  <r>
    <x v="33"/>
    <n v="405.83"/>
  </r>
  <r>
    <x v="33"/>
    <n v="437.39"/>
  </r>
  <r>
    <x v="34"/>
    <n v="417.77799999999996"/>
  </r>
  <r>
    <x v="34"/>
    <n v="402.95900000000006"/>
  </r>
  <r>
    <x v="34"/>
    <n v="400.661"/>
  </r>
  <r>
    <x v="35"/>
    <n v="398.91800000000001"/>
  </r>
  <r>
    <x v="35"/>
    <n v="384.91"/>
  </r>
  <r>
    <x v="35"/>
    <n v="371.84100000000001"/>
  </r>
  <r>
    <x v="36"/>
    <n v="338.86900000000003"/>
  </r>
  <r>
    <x v="36"/>
    <n v="365.08400000000006"/>
  </r>
  <r>
    <x v="36"/>
    <n v="378.697"/>
  </r>
  <r>
    <x v="37"/>
    <n v="411.33300000000003"/>
  </r>
  <r>
    <x v="37"/>
    <n v="393.69000000000005"/>
  </r>
  <r>
    <x v="37"/>
    <n v="500.65699999999993"/>
  </r>
  <r>
    <x v="38"/>
    <n v="462.13300000000004"/>
  </r>
  <r>
    <x v="38"/>
    <n v="443.47800000000001"/>
  </r>
  <r>
    <x v="38"/>
    <n v="409.74900000000002"/>
  </r>
  <r>
    <x v="39"/>
    <n v="407.94200000000001"/>
  </r>
  <r>
    <x v="39"/>
    <n v="377.27800000000002"/>
  </r>
  <r>
    <x v="39"/>
    <n v="377.61099999999999"/>
  </r>
  <r>
    <x v="40"/>
    <n v="370.30799999999999"/>
  </r>
  <r>
    <x v="40"/>
    <n v="391.21500000000003"/>
  </r>
  <r>
    <x v="40"/>
    <n v="417.51300000000003"/>
  </r>
  <r>
    <x v="41"/>
    <n v="444.33000000000004"/>
  </r>
  <r>
    <x v="41"/>
    <n v="393.29899999999998"/>
  </r>
  <r>
    <x v="41"/>
    <n v="480.47400000000005"/>
  </r>
  <r>
    <x v="42"/>
    <n v="442.41199999999998"/>
  </r>
  <r>
    <x v="42"/>
    <n v="429.69100000000003"/>
  </r>
  <r>
    <x v="42"/>
    <n v="386.625"/>
  </r>
  <r>
    <x v="43"/>
    <n v="402.27199999999999"/>
  </r>
  <r>
    <x v="43"/>
    <n v="377.57600000000002"/>
  </r>
  <r>
    <x v="43"/>
    <n v="393.51600000000002"/>
  </r>
  <r>
    <x v="44"/>
    <n v="369.99"/>
  </r>
  <r>
    <x v="44"/>
    <n v="402.56"/>
  </r>
  <r>
    <x v="44"/>
    <n v="425.82100000000003"/>
  </r>
  <r>
    <x v="45"/>
    <n v="439.62099999999998"/>
  </r>
  <r>
    <x v="45"/>
    <n v="402.96300000000002"/>
  </r>
  <r>
    <x v="45"/>
    <n v="490.63200000000001"/>
  </r>
  <r>
    <x v="46"/>
    <n v="438.52800000000002"/>
  </r>
  <r>
    <x v="46"/>
    <n v="415.58900000000006"/>
  </r>
  <r>
    <x v="46"/>
    <n v="394.25799999999998"/>
  </r>
  <r>
    <x v="47"/>
    <n v="365.92200000000003"/>
  </r>
  <r>
    <x v="47"/>
    <n v="380.959"/>
  </r>
  <r>
    <x v="47"/>
    <n v="405.33100000000002"/>
  </r>
  <r>
    <x v="48"/>
    <n v="357.85400000000004"/>
  </r>
  <r>
    <x v="48"/>
    <n v="404.58500000000004"/>
  </r>
  <r>
    <x v="48"/>
    <n v="433.84100000000001"/>
  </r>
  <r>
    <x v="49"/>
    <n v="432.15099999999995"/>
  </r>
  <r>
    <x v="49"/>
    <n v="431.38600000000002"/>
  </r>
  <r>
    <x v="49"/>
    <n v="457.19200000000001"/>
  </r>
  <r>
    <x v="50"/>
    <n v="434.495"/>
  </r>
  <r>
    <x v="50"/>
    <n v="457.52500000000003"/>
  </r>
  <r>
    <x v="50"/>
    <n v="415.23199999999997"/>
  </r>
  <r>
    <x v="51"/>
    <n v="465.43799999999999"/>
  </r>
  <r>
    <x v="51"/>
    <n v="452.96200000000005"/>
  </r>
  <r>
    <x v="51"/>
    <n v="453.38099999999997"/>
  </r>
  <r>
    <x v="52"/>
    <n v="408.11500000000001"/>
  </r>
  <r>
    <x v="52"/>
    <n v="455.46000000000004"/>
  </r>
  <r>
    <x v="52"/>
    <n v="458.21699999999998"/>
  </r>
  <r>
    <x v="53"/>
    <n v="502.58000000000004"/>
  </r>
  <r>
    <x v="53"/>
    <n v="466.06699999999995"/>
  </r>
  <r>
    <x v="53"/>
    <n v="537.22400000000005"/>
  </r>
  <r>
    <x v="54"/>
    <n v="541.35200000000009"/>
  </r>
  <r>
    <x v="54"/>
    <n v="503.976"/>
  </r>
  <r>
    <x v="54"/>
    <n v="454.31300000000005"/>
  </r>
  <r>
    <x v="55"/>
    <n v="519.28600000000006"/>
  </r>
  <r>
    <x v="55"/>
    <n v="459.41200000000003"/>
  </r>
  <r>
    <x v="55"/>
    <n v="462.79100000000005"/>
  </r>
  <r>
    <x v="56"/>
    <n v="380.72400000000005"/>
  </r>
  <r>
    <x v="56"/>
    <n v="448.29500000000002"/>
  </r>
  <r>
    <x v="56"/>
    <n v="460.49099999999999"/>
  </r>
  <r>
    <x v="57"/>
    <n v="465.13499999999999"/>
  </r>
  <r>
    <x v="57"/>
    <n v="394.79899999999998"/>
  </r>
  <r>
    <x v="57"/>
    <n v="472.52199999999993"/>
  </r>
  <r>
    <x v="58"/>
    <n v="475.21999999999997"/>
  </r>
  <r>
    <x v="58"/>
    <n v="459.17500000000001"/>
  </r>
  <r>
    <x v="58"/>
    <n v="438.851"/>
  </r>
  <r>
    <x v="59"/>
    <n v="470.46600000000001"/>
  </r>
  <r>
    <x v="59"/>
    <n v="422.71200000000005"/>
  </r>
  <r>
    <x v="59"/>
    <n v="400.38"/>
  </r>
  <r>
    <x v="60"/>
    <n v="380.83600000000001"/>
  </r>
  <r>
    <x v="60"/>
    <n v="454.7"/>
  </r>
  <r>
    <x v="60"/>
    <n v="450.98500000000001"/>
  </r>
  <r>
    <x v="61"/>
    <n v="453.30500000000001"/>
  </r>
  <r>
    <x v="61"/>
    <n v="364.11700000000002"/>
  </r>
  <r>
    <x v="61"/>
    <n v="464.82400000000001"/>
  </r>
  <r>
    <x v="62"/>
    <n v="454.17199999999997"/>
  </r>
  <r>
    <x v="62"/>
    <n v="417.173"/>
  </r>
  <r>
    <x v="62"/>
    <n v="415.49"/>
  </r>
  <r>
    <x v="63"/>
    <n v="434.44800000000004"/>
  </r>
  <r>
    <x v="63"/>
    <n v="413.96899999999999"/>
  </r>
  <r>
    <x v="63"/>
    <n v="423.77"/>
  </r>
  <r>
    <x v="64"/>
    <n v="433.11799999999999"/>
  </r>
  <r>
    <x v="64"/>
    <n v="481.14100000000002"/>
  </r>
  <r>
    <x v="64"/>
    <n v="534.22699999999998"/>
  </r>
  <r>
    <x v="65"/>
    <n v="520.81200000000001"/>
  </r>
  <r>
    <x v="65"/>
    <n v="413.767"/>
  </r>
  <r>
    <x v="65"/>
    <n v="588.83199999999999"/>
  </r>
  <r>
    <x v="66"/>
    <n v="522.71199999999999"/>
  </r>
  <r>
    <x v="66"/>
    <n v="541.91"/>
  </r>
  <r>
    <x v="66"/>
    <n v="604.81399999999996"/>
  </r>
  <r>
    <x v="67"/>
    <n v="535.80999999999995"/>
  </r>
  <r>
    <x v="67"/>
    <n v="573.07799999999997"/>
  </r>
  <r>
    <x v="67"/>
    <n v="557.71199999999999"/>
  </r>
  <r>
    <x v="68"/>
    <n v="501.70500000000004"/>
  </r>
  <r>
    <x v="68"/>
    <n v="615.52599999999995"/>
  </r>
  <r>
    <x v="68"/>
    <n v="623.42699999999991"/>
  </r>
  <r>
    <x v="69"/>
    <n v="585.32999999999993"/>
  </r>
  <r>
    <x v="69"/>
    <n v="490.745"/>
  </r>
  <r>
    <x v="69"/>
    <n v="625.08100000000002"/>
  </r>
  <r>
    <x v="70"/>
    <n v="617.88400000000001"/>
  </r>
  <r>
    <x v="70"/>
    <n v="628.76400000000001"/>
  </r>
  <r>
    <x v="70"/>
    <n v="546.375"/>
  </r>
  <r>
    <x v="71"/>
    <n v="609.35300000000007"/>
  </r>
  <r>
    <x v="71"/>
    <n v="540.38599999999997"/>
  </r>
  <r>
    <x v="71"/>
    <n v="565.68200000000002"/>
  </r>
  <r>
    <x v="72"/>
    <n v="520.38199999999995"/>
  </r>
  <r>
    <x v="72"/>
    <n v="606.28"/>
  </r>
  <r>
    <x v="72"/>
    <n v="595.63800000000003"/>
  </r>
  <r>
    <x v="73"/>
    <n v="579.75199999999995"/>
  </r>
  <r>
    <x v="73"/>
    <n v="479.53699999999998"/>
  </r>
  <r>
    <x v="73"/>
    <n v="570.16499999999996"/>
  </r>
  <r>
    <x v="74"/>
    <n v="626.19499999999994"/>
  </r>
  <r>
    <x v="74"/>
    <n v="611.57099999999991"/>
  </r>
  <r>
    <x v="74"/>
    <n v="522.726"/>
  </r>
  <r>
    <x v="75"/>
    <n v="628.69200000000001"/>
  </r>
  <r>
    <x v="75"/>
    <n v="564.80799999999999"/>
  </r>
  <r>
    <x v="75"/>
    <n v="544.32500000000005"/>
  </r>
  <r>
    <x v="76"/>
    <n v="510.56600000000003"/>
  </r>
  <r>
    <x v="76"/>
    <n v="606.096"/>
  </r>
  <r>
    <x v="76"/>
    <n v="546.12700000000007"/>
  </r>
  <r>
    <x v="77"/>
    <n v="586.96500000000003"/>
  </r>
  <r>
    <x v="77"/>
    <n v="466.01800000000003"/>
  </r>
  <r>
    <x v="77"/>
    <n v="584.54300000000001"/>
  </r>
  <r>
    <x v="78"/>
    <n v="610.19800000000009"/>
  </r>
  <r>
    <x v="78"/>
    <n v="585.84299999999996"/>
  </r>
  <r>
    <x v="78"/>
    <n v="559.57399999999996"/>
  </r>
  <r>
    <x v="79"/>
    <n v="559.01"/>
  </r>
  <r>
    <x v="79"/>
    <n v="534.94399999999996"/>
  </r>
  <r>
    <x v="79"/>
    <n v="525.03200000000004"/>
  </r>
  <r>
    <x v="80"/>
    <n v="526.53099999999995"/>
  </r>
  <r>
    <x v="80"/>
    <n v="605.86799999999994"/>
  </r>
  <r>
    <x v="80"/>
    <n v="560.00199999999995"/>
  </r>
  <r>
    <x v="81"/>
    <n v="590.86799999999994"/>
  </r>
  <r>
    <x v="81"/>
    <n v="447.36599999999999"/>
  </r>
  <r>
    <x v="81"/>
    <n v="598.87400000000002"/>
  </r>
  <r>
    <x v="82"/>
    <n v="601.59699999999998"/>
  </r>
  <r>
    <x v="82"/>
    <n v="566.76199999999994"/>
  </r>
  <r>
    <x v="82"/>
    <n v="547.68499999999995"/>
  </r>
  <r>
    <x v="83"/>
    <n v="625.15800000000002"/>
  </r>
  <r>
    <x v="83"/>
    <n v="566.81899999999996"/>
  </r>
  <r>
    <x v="83"/>
    <n v="544.16000000000008"/>
  </r>
  <r>
    <x v="84"/>
    <n v="511.84300000000002"/>
  </r>
  <r>
    <x v="84"/>
    <n v="579.53800000000001"/>
  </r>
  <r>
    <x v="84"/>
    <n v="629.57799999999997"/>
  </r>
  <r>
    <x v="85"/>
    <n v="604.02"/>
  </r>
  <r>
    <x v="85"/>
    <n v="453.50900000000001"/>
  </r>
  <r>
    <x v="85"/>
    <n v="624.45299999999997"/>
  </r>
  <r>
    <x v="86"/>
    <n v="588.55600000000004"/>
  </r>
  <r>
    <x v="86"/>
    <n v="581.35199999999998"/>
  </r>
  <r>
    <x v="86"/>
    <n v="555.61"/>
  </r>
  <r>
    <x v="87"/>
    <n v="597.14699999999993"/>
  </r>
  <r>
    <x v="87"/>
    <n v="582.75599999999997"/>
  </r>
  <r>
    <x v="87"/>
    <n v="557.74299999999994"/>
  </r>
  <r>
    <x v="88"/>
    <n v="471.899"/>
  </r>
  <r>
    <x v="88"/>
    <n v="572.87200000000007"/>
  </r>
  <r>
    <x v="88"/>
    <n v="633.13699999999994"/>
  </r>
  <r>
    <x v="89"/>
    <n v="584.03199999999993"/>
  </r>
  <r>
    <x v="89"/>
    <n v="458.03000000000003"/>
  </r>
  <r>
    <x v="89"/>
    <n v="622.803"/>
  </r>
  <r>
    <x v="90"/>
    <n v="571.30100000000004"/>
  </r>
  <r>
    <x v="90"/>
    <n v="589.25900000000001"/>
  </r>
  <r>
    <x v="90"/>
    <n v="591.80999999999995"/>
  </r>
  <r>
    <x v="91"/>
    <n v="554.71600000000001"/>
  </r>
  <r>
    <x v="91"/>
    <n v="575.85900000000004"/>
  </r>
  <r>
    <x v="91"/>
    <n v="583.20400000000006"/>
  </r>
  <r>
    <x v="92"/>
    <n v="507.87299999999999"/>
  </r>
  <r>
    <x v="92"/>
    <n v="600.72299999999996"/>
  </r>
  <r>
    <x v="92"/>
    <n v="623.79999999999995"/>
  </r>
  <r>
    <x v="93"/>
    <n v="580.673"/>
  </r>
  <r>
    <x v="93"/>
    <n v="517.21899999999994"/>
  </r>
  <r>
    <x v="93"/>
    <n v="614.22900000000004"/>
  </r>
  <r>
    <x v="94"/>
    <n v="629.31500000000005"/>
  </r>
  <r>
    <x v="94"/>
    <n v="618.55200000000002"/>
  </r>
  <r>
    <x v="94"/>
    <n v="542.55499999999995"/>
  </r>
  <r>
    <x v="95"/>
    <n v="601.74300000000005"/>
  </r>
  <r>
    <x v="95"/>
    <n v="564.13700000000006"/>
  </r>
  <r>
    <x v="95"/>
    <n v="581.10800000000006"/>
  </r>
  <r>
    <x v="96"/>
    <n v="501.97299999999996"/>
  </r>
  <r>
    <x v="96"/>
    <n v="615.10900000000004"/>
  </r>
  <r>
    <x v="96"/>
    <n v="581.80799999999999"/>
  </r>
  <r>
    <x v="97"/>
    <n v="592.10599999999999"/>
  </r>
  <r>
    <x v="97"/>
    <n v="506.99199999999996"/>
  </r>
  <r>
    <x v="97"/>
    <n v="604.85599999999999"/>
  </r>
  <r>
    <x v="98"/>
    <n v="626.58799999999997"/>
  </r>
  <r>
    <x v="98"/>
    <n v="615.99699999999996"/>
  </r>
  <r>
    <x v="98"/>
    <n v="527.61099999999999"/>
  </r>
  <r>
    <x v="99"/>
    <n v="627.51199999999994"/>
  </r>
  <r>
    <x v="99"/>
    <n v="588.31899999999996"/>
  </r>
  <r>
    <x v="99"/>
    <n v="558.024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3405F-0E07-4565-BFBC-9EC5F44470D5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4" firstHeaderRow="1" firstDataRow="1" firstDataCol="1"/>
  <pivotFields count="2">
    <pivotField axis="axisRow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Promedio de ipi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AF28E-377F-4F79-A834-C32C6D2BA3D5}" name="Tabla1" displayName="Tabla1" ref="A7:KM13" totalsRowCount="1" headerRowDxfId="299" dataDxfId="300" headerRowBorderDxfId="601" tableBorderDxfId="602" totalsRowBorderDxfId="600">
  <autoFilter ref="A7:KM12" xr:uid="{D0AAF28E-377F-4F79-A834-C32C6D2BA3D5}"/>
  <tableColumns count="299">
    <tableColumn id="1" xr3:uid="{9CA501CC-68B4-49D4-9C84-DB4C89B665E7}" name=" " totalsRowLabel="Total" dataDxfId="599" totalsRowDxfId="298"/>
    <tableColumn id="2" xr3:uid="{48C04ADA-F7F8-4815-A870-FD4531C58C51}" name="Índice" totalsRowFunction="custom" dataDxfId="598" totalsRowDxfId="297">
      <totalsRowFormula>SUM(B9:B12)</totalsRowFormula>
    </tableColumn>
    <tableColumn id="3" xr3:uid="{18AF6636-0684-47FF-A31E-84543DB084FC}" name="Columna1" totalsRowFunction="custom" dataDxfId="597" totalsRowDxfId="296">
      <totalsRowFormula>SUM(C9:C12)</totalsRowFormula>
    </tableColumn>
    <tableColumn id="4" xr3:uid="{118BD0CC-9CB2-4B3F-B331-348191BD0172}" name="Columna2" totalsRowFunction="custom" dataDxfId="596" totalsRowDxfId="295">
      <totalsRowFormula>SUM(D9:D12)</totalsRowFormula>
    </tableColumn>
    <tableColumn id="5" xr3:uid="{8CDCDBF4-4F2A-46F7-9892-312584099927}" name="Columna3" totalsRowFunction="custom" dataDxfId="595" totalsRowDxfId="294">
      <totalsRowFormula>SUM(E9:E12)</totalsRowFormula>
    </tableColumn>
    <tableColumn id="6" xr3:uid="{CA2F12F2-922B-4423-958F-8F4C96CC019A}" name="Columna4" totalsRowFunction="custom" dataDxfId="594" totalsRowDxfId="293">
      <totalsRowFormula>SUM(F9:F12)</totalsRowFormula>
    </tableColumn>
    <tableColumn id="7" xr3:uid="{D7C5C8EB-1BA1-46F0-BAEC-923DD40EE340}" name="Columna5" totalsRowFunction="custom" dataDxfId="593" totalsRowDxfId="292">
      <totalsRowFormula>SUM(G9:G12)</totalsRowFormula>
    </tableColumn>
    <tableColumn id="8" xr3:uid="{E7E7B897-43A0-472A-8B08-6AB983353723}" name="Columna6" totalsRowFunction="custom" dataDxfId="592" totalsRowDxfId="291">
      <totalsRowFormula>SUM(H9:H12)</totalsRowFormula>
    </tableColumn>
    <tableColumn id="9" xr3:uid="{1A49B827-86E9-45EC-B2A8-E4F8A9499CD1}" name="Columna7" totalsRowFunction="custom" dataDxfId="591" totalsRowDxfId="290">
      <totalsRowFormula>SUM(I9:I12)</totalsRowFormula>
    </tableColumn>
    <tableColumn id="10" xr3:uid="{CC4CC2DE-1DEC-429D-8027-A9B8145F7161}" name="Columna8" totalsRowFunction="custom" dataDxfId="590" totalsRowDxfId="289">
      <totalsRowFormula>SUM(J9:J12)</totalsRowFormula>
    </tableColumn>
    <tableColumn id="11" xr3:uid="{0E43E714-A5B8-4441-9136-0D6574AAC846}" name="Columna9" totalsRowFunction="custom" dataDxfId="589" totalsRowDxfId="288">
      <totalsRowFormula>SUM(K9:K12)</totalsRowFormula>
    </tableColumn>
    <tableColumn id="12" xr3:uid="{3DE9670B-310D-463F-B32D-3E1841C4A2FC}" name="Columna10" totalsRowFunction="custom" dataDxfId="588" totalsRowDxfId="287">
      <totalsRowFormula>SUM(L9:L12)</totalsRowFormula>
    </tableColumn>
    <tableColumn id="13" xr3:uid="{32AB965D-53BC-4AFB-9B88-6E54A317384C}" name="Columna11" totalsRowFunction="custom" dataDxfId="587" totalsRowDxfId="286">
      <totalsRowFormula>SUM(M9:M12)</totalsRowFormula>
    </tableColumn>
    <tableColumn id="14" xr3:uid="{B820D03D-50CE-4A3A-AD38-171652057ED1}" name="Columna12" totalsRowFunction="custom" dataDxfId="586" totalsRowDxfId="285">
      <totalsRowFormula>SUM(N9:N12)</totalsRowFormula>
    </tableColumn>
    <tableColumn id="15" xr3:uid="{43296A9A-5807-48AF-8E98-365764F554A3}" name="Columna13" totalsRowFunction="custom" dataDxfId="585" totalsRowDxfId="284">
      <totalsRowFormula>SUM(O9:O12)</totalsRowFormula>
    </tableColumn>
    <tableColumn id="16" xr3:uid="{261A370F-4B32-4979-9881-D300232EABA1}" name="Columna14" totalsRowFunction="custom" dataDxfId="584" totalsRowDxfId="283">
      <totalsRowFormula>SUM(P9:P12)</totalsRowFormula>
    </tableColumn>
    <tableColumn id="17" xr3:uid="{2E95AA0F-0AB9-4A03-A2CA-642E3E5D5549}" name="Columna15" totalsRowFunction="custom" dataDxfId="583" totalsRowDxfId="282">
      <totalsRowFormula>SUM(Q9:Q12)</totalsRowFormula>
    </tableColumn>
    <tableColumn id="18" xr3:uid="{E35D3CE0-7D31-4DF2-87F2-358F5A3D5F73}" name="Columna16" totalsRowFunction="custom" dataDxfId="582" totalsRowDxfId="281">
      <totalsRowFormula>SUM(R9:R12)</totalsRowFormula>
    </tableColumn>
    <tableColumn id="19" xr3:uid="{60395FBD-B861-48AE-9AB7-5F3045172183}" name="Columna17" totalsRowFunction="custom" dataDxfId="581" totalsRowDxfId="280">
      <totalsRowFormula>SUM(S9:S12)</totalsRowFormula>
    </tableColumn>
    <tableColumn id="20" xr3:uid="{B669588E-4B02-4FC8-8C11-FBDC671B8EBD}" name="Columna18" totalsRowFunction="custom" dataDxfId="580" totalsRowDxfId="279">
      <totalsRowFormula>SUM(T9:T12)</totalsRowFormula>
    </tableColumn>
    <tableColumn id="21" xr3:uid="{B5F29127-0A86-402B-AA11-04E56099556E}" name="Columna19" totalsRowFunction="custom" dataDxfId="579" totalsRowDxfId="278">
      <totalsRowFormula>SUM(U9:U12)</totalsRowFormula>
    </tableColumn>
    <tableColumn id="22" xr3:uid="{3838178D-2E28-4246-8733-8AC3A553A660}" name="Columna20" totalsRowFunction="custom" dataDxfId="578" totalsRowDxfId="277">
      <totalsRowFormula>SUM(V9:V12)</totalsRowFormula>
    </tableColumn>
    <tableColumn id="23" xr3:uid="{09C3DC57-5611-4522-B418-4C635AD659A1}" name="Columna21" totalsRowFunction="custom" dataDxfId="577" totalsRowDxfId="276">
      <totalsRowFormula>SUM(W9:W12)</totalsRowFormula>
    </tableColumn>
    <tableColumn id="24" xr3:uid="{46E68B3C-6B50-42DE-8BBF-F17E2A05899F}" name="Columna22" totalsRowFunction="custom" dataDxfId="576" totalsRowDxfId="275">
      <totalsRowFormula>SUM(X9:X12)</totalsRowFormula>
    </tableColumn>
    <tableColumn id="25" xr3:uid="{2CA85A69-2F1B-4869-8F43-17511CD88627}" name="Columna23" totalsRowFunction="custom" dataDxfId="575" totalsRowDxfId="274">
      <totalsRowFormula>SUM(Y9:Y12)</totalsRowFormula>
    </tableColumn>
    <tableColumn id="26" xr3:uid="{20C2B018-7C40-4088-BF9B-9BF6B463ADE4}" name="Columna24" totalsRowFunction="custom" dataDxfId="574" totalsRowDxfId="273">
      <totalsRowFormula>SUM(Z9:Z12)</totalsRowFormula>
    </tableColumn>
    <tableColumn id="27" xr3:uid="{A30D804D-D6C1-48BC-AABD-D8CD0C74F8EA}" name="Columna25" totalsRowFunction="custom" dataDxfId="573" totalsRowDxfId="272">
      <totalsRowFormula>SUM(AA9:AA12)</totalsRowFormula>
    </tableColumn>
    <tableColumn id="28" xr3:uid="{EA3FFE82-DE67-4BF6-812B-5713B573A91C}" name="Columna26" totalsRowFunction="custom" dataDxfId="572" totalsRowDxfId="271">
      <totalsRowFormula>SUM(AB9:AB12)</totalsRowFormula>
    </tableColumn>
    <tableColumn id="29" xr3:uid="{FF9F1A97-2567-4286-A0E3-59B0997C0366}" name="Columna27" totalsRowFunction="custom" dataDxfId="571" totalsRowDxfId="270">
      <totalsRowFormula>SUM(AC9:AC12)</totalsRowFormula>
    </tableColumn>
    <tableColumn id="30" xr3:uid="{405EEEA2-8112-42A9-8383-FA81583C883A}" name="Columna28" totalsRowFunction="custom" dataDxfId="570" totalsRowDxfId="269">
      <totalsRowFormula>SUM(AD9:AD12)</totalsRowFormula>
    </tableColumn>
    <tableColumn id="31" xr3:uid="{C502DE64-3E6F-404E-8946-7ACBCC6D4091}" name="Columna29" totalsRowFunction="custom" dataDxfId="569" totalsRowDxfId="268">
      <totalsRowFormula>SUM(AE9:AE12)</totalsRowFormula>
    </tableColumn>
    <tableColumn id="32" xr3:uid="{3EDA7027-4BEE-4B94-BCC0-A745B298C4DA}" name="Columna30" totalsRowFunction="custom" dataDxfId="568" totalsRowDxfId="267">
      <totalsRowFormula>SUM(AF9:AF12)</totalsRowFormula>
    </tableColumn>
    <tableColumn id="33" xr3:uid="{38D0F2D2-8236-4338-939A-C78874E665CC}" name="Columna31" totalsRowFunction="custom" dataDxfId="567" totalsRowDxfId="266">
      <totalsRowFormula>SUM(AG9:AG12)</totalsRowFormula>
    </tableColumn>
    <tableColumn id="34" xr3:uid="{8C66B4F0-F8C2-49E1-B54A-A57081E52183}" name="Columna32" totalsRowFunction="custom" dataDxfId="566" totalsRowDxfId="265">
      <totalsRowFormula>SUM(AH9:AH12)</totalsRowFormula>
    </tableColumn>
    <tableColumn id="35" xr3:uid="{459DF667-95E2-4C85-9A12-8F5CB119FACC}" name="Columna33" totalsRowFunction="custom" dataDxfId="565" totalsRowDxfId="264">
      <totalsRowFormula>SUM(AI9:AI12)</totalsRowFormula>
    </tableColumn>
    <tableColumn id="36" xr3:uid="{23FA1480-9647-42CA-8D9F-405329701703}" name="Columna34" totalsRowFunction="custom" dataDxfId="564" totalsRowDxfId="263">
      <totalsRowFormula>SUM(AJ9:AJ12)</totalsRowFormula>
    </tableColumn>
    <tableColumn id="37" xr3:uid="{63D148EF-C64A-4561-9145-92B154831FC8}" name="Columna35" totalsRowFunction="custom" dataDxfId="563" totalsRowDxfId="262">
      <totalsRowFormula>SUM(AK9:AK12)</totalsRowFormula>
    </tableColumn>
    <tableColumn id="38" xr3:uid="{E36A6120-9044-4713-A507-BC50AD79E2E2}" name="Columna36" totalsRowFunction="custom" dataDxfId="562" totalsRowDxfId="261">
      <totalsRowFormula>SUM(AL9:AL12)</totalsRowFormula>
    </tableColumn>
    <tableColumn id="39" xr3:uid="{FC59B333-5874-44D5-B41E-7FD76ABF7A85}" name="Columna37" totalsRowFunction="custom" dataDxfId="561" totalsRowDxfId="260">
      <totalsRowFormula>SUM(AM9:AM12)</totalsRowFormula>
    </tableColumn>
    <tableColumn id="40" xr3:uid="{01D335EF-01C8-43E0-8B76-E5C286CD8737}" name="Columna38" totalsRowFunction="custom" dataDxfId="560" totalsRowDxfId="259">
      <totalsRowFormula>SUM(AN9:AN12)</totalsRowFormula>
    </tableColumn>
    <tableColumn id="41" xr3:uid="{F67A2137-131B-4FD3-ADDD-4827FF33019E}" name="Columna39" totalsRowFunction="custom" dataDxfId="559" totalsRowDxfId="258">
      <totalsRowFormula>SUM(AO9:AO12)</totalsRowFormula>
    </tableColumn>
    <tableColumn id="42" xr3:uid="{22A1C1D9-C37B-4214-890A-5CD972A8BC63}" name="Columna40" totalsRowFunction="custom" dataDxfId="558" totalsRowDxfId="257">
      <totalsRowFormula>SUM(AP9:AP12)</totalsRowFormula>
    </tableColumn>
    <tableColumn id="43" xr3:uid="{A6B48CDA-0FCD-4ABC-BC89-C67C2DC1A958}" name="Columna41" totalsRowFunction="custom" dataDxfId="557" totalsRowDxfId="256">
      <totalsRowFormula>SUM(AQ9:AQ12)</totalsRowFormula>
    </tableColumn>
    <tableColumn id="44" xr3:uid="{313F28D9-0546-4B7C-ADC7-6330C159EFEC}" name="Columna42" totalsRowFunction="custom" dataDxfId="556" totalsRowDxfId="255">
      <totalsRowFormula>SUM(AR9:AR12)</totalsRowFormula>
    </tableColumn>
    <tableColumn id="45" xr3:uid="{5AD15555-3A7A-4614-9F00-5AAA52D51364}" name="Columna43" totalsRowFunction="custom" dataDxfId="555" totalsRowDxfId="254">
      <totalsRowFormula>SUM(AS9:AS12)</totalsRowFormula>
    </tableColumn>
    <tableColumn id="46" xr3:uid="{81194734-FF49-4471-892C-6FE8D1AAD912}" name="Columna44" totalsRowFunction="custom" dataDxfId="554" totalsRowDxfId="253">
      <totalsRowFormula>SUM(AT9:AT12)</totalsRowFormula>
    </tableColumn>
    <tableColumn id="47" xr3:uid="{F4B6C220-CEA7-4EAB-B282-A48A02C893FD}" name="Columna45" totalsRowFunction="custom" dataDxfId="553" totalsRowDxfId="252">
      <totalsRowFormula>SUM(AU9:AU12)</totalsRowFormula>
    </tableColumn>
    <tableColumn id="48" xr3:uid="{3CE276A8-EA79-410F-9BE6-E1A847CF458A}" name="Columna46" totalsRowFunction="custom" dataDxfId="552" totalsRowDxfId="251">
      <totalsRowFormula>SUM(AV9:AV12)</totalsRowFormula>
    </tableColumn>
    <tableColumn id="49" xr3:uid="{5BF44416-E535-4BCE-BB6C-9707EDB1C206}" name="Columna47" totalsRowFunction="custom" dataDxfId="551" totalsRowDxfId="250">
      <totalsRowFormula>SUM(AW9:AW12)</totalsRowFormula>
    </tableColumn>
    <tableColumn id="50" xr3:uid="{8B78F366-ED27-4E51-8CB7-CEAD356FB2F7}" name="Columna48" totalsRowFunction="custom" dataDxfId="550" totalsRowDxfId="249">
      <totalsRowFormula>SUM(AX9:AX12)</totalsRowFormula>
    </tableColumn>
    <tableColumn id="51" xr3:uid="{91C3E5B5-75C0-4447-9572-351BCE6F0F24}" name="Columna49" totalsRowFunction="custom" dataDxfId="549" totalsRowDxfId="248">
      <totalsRowFormula>SUM(AY9:AY12)</totalsRowFormula>
    </tableColumn>
    <tableColumn id="52" xr3:uid="{DDBF818B-471D-4979-8640-9AD9F561982C}" name="Columna50" totalsRowFunction="custom" dataDxfId="548" totalsRowDxfId="247">
      <totalsRowFormula>SUM(AZ9:AZ12)</totalsRowFormula>
    </tableColumn>
    <tableColumn id="53" xr3:uid="{D59CF46A-2BEA-4251-BCA3-ED9B3A7611C7}" name="Columna51" totalsRowFunction="custom" dataDxfId="547" totalsRowDxfId="246">
      <totalsRowFormula>SUM(BA9:BA12)</totalsRowFormula>
    </tableColumn>
    <tableColumn id="54" xr3:uid="{9890457B-15ED-4ABC-A5A5-4CF9650FC510}" name="Columna52" totalsRowFunction="custom" dataDxfId="546" totalsRowDxfId="245">
      <totalsRowFormula>SUM(BB9:BB12)</totalsRowFormula>
    </tableColumn>
    <tableColumn id="55" xr3:uid="{09B26DAE-5CE7-4CF4-B2AE-2C77469E7B02}" name="Columna53" totalsRowFunction="custom" dataDxfId="545" totalsRowDxfId="244">
      <totalsRowFormula>SUM(BC9:BC12)</totalsRowFormula>
    </tableColumn>
    <tableColumn id="56" xr3:uid="{595A9E5D-A15D-48E7-854F-7E9D69255805}" name="Columna54" totalsRowFunction="custom" dataDxfId="544" totalsRowDxfId="243">
      <totalsRowFormula>SUM(BD9:BD12)</totalsRowFormula>
    </tableColumn>
    <tableColumn id="57" xr3:uid="{92D26E7F-86FA-4D5C-9B2C-C5E36B53FB16}" name="Columna55" totalsRowFunction="custom" dataDxfId="543" totalsRowDxfId="242">
      <totalsRowFormula>SUM(BE9:BE12)</totalsRowFormula>
    </tableColumn>
    <tableColumn id="58" xr3:uid="{A95D9C53-B67E-4EFF-B4ED-1EA7188B3156}" name="Columna56" totalsRowFunction="custom" dataDxfId="542" totalsRowDxfId="241">
      <totalsRowFormula>SUM(BF9:BF12)</totalsRowFormula>
    </tableColumn>
    <tableColumn id="59" xr3:uid="{FA75B262-5DB5-4A09-BBD5-6E8B36307861}" name="Columna57" totalsRowFunction="custom" dataDxfId="541" totalsRowDxfId="240">
      <totalsRowFormula>SUM(BG9:BG12)</totalsRowFormula>
    </tableColumn>
    <tableColumn id="60" xr3:uid="{4C02F537-0140-4E4A-BAB5-9B3BDC9B4C1C}" name="Columna58" totalsRowFunction="custom" dataDxfId="540" totalsRowDxfId="239">
      <totalsRowFormula>SUM(BH9:BH12)</totalsRowFormula>
    </tableColumn>
    <tableColumn id="61" xr3:uid="{7D0878DD-724A-4149-AE67-7573CCEF4CB3}" name="Columna59" totalsRowFunction="custom" dataDxfId="539" totalsRowDxfId="238">
      <totalsRowFormula>SUM(BI9:BI12)</totalsRowFormula>
    </tableColumn>
    <tableColumn id="62" xr3:uid="{EAB95379-34EB-4B3F-9A86-F29CA332DB1A}" name="Columna60" totalsRowFunction="custom" dataDxfId="538" totalsRowDxfId="237">
      <totalsRowFormula>SUM(BJ9:BJ12)</totalsRowFormula>
    </tableColumn>
    <tableColumn id="63" xr3:uid="{FD9987A5-BC4E-4D0B-B1E5-028E61F14F25}" name="Columna61" totalsRowFunction="custom" dataDxfId="537" totalsRowDxfId="236">
      <totalsRowFormula>SUM(BK9:BK12)</totalsRowFormula>
    </tableColumn>
    <tableColumn id="64" xr3:uid="{D0657751-C3BE-4644-A13B-443984DE789B}" name="Columna62" totalsRowFunction="custom" dataDxfId="536" totalsRowDxfId="235">
      <totalsRowFormula>SUM(BL9:BL12)</totalsRowFormula>
    </tableColumn>
    <tableColumn id="65" xr3:uid="{DD826573-A3C9-4581-B417-8EE18D90B877}" name="Columna63" totalsRowFunction="custom" dataDxfId="535" totalsRowDxfId="234">
      <totalsRowFormula>SUM(BM9:BM12)</totalsRowFormula>
    </tableColumn>
    <tableColumn id="66" xr3:uid="{B5E5D33D-1500-49C4-9AF0-6ED4F208DCD9}" name="Columna64" totalsRowFunction="custom" dataDxfId="534" totalsRowDxfId="233">
      <totalsRowFormula>SUM(BN9:BN12)</totalsRowFormula>
    </tableColumn>
    <tableColumn id="67" xr3:uid="{4BF22F85-8D4F-4F8E-ACF1-FD40A1DCC1B2}" name="Columna65" totalsRowFunction="custom" dataDxfId="533" totalsRowDxfId="232">
      <totalsRowFormula>SUM(BO9:BO12)</totalsRowFormula>
    </tableColumn>
    <tableColumn id="68" xr3:uid="{044E83CF-8999-4EE8-8C8D-BDD1E0CA0B58}" name="Columna66" totalsRowFunction="custom" dataDxfId="532" totalsRowDxfId="231">
      <totalsRowFormula>SUM(BP9:BP12)</totalsRowFormula>
    </tableColumn>
    <tableColumn id="69" xr3:uid="{A0E9A8B8-895B-4383-B719-1594AD9C3D01}" name="Columna67" totalsRowFunction="custom" dataDxfId="531" totalsRowDxfId="230">
      <totalsRowFormula>SUM(BQ9:BQ12)</totalsRowFormula>
    </tableColumn>
    <tableColumn id="70" xr3:uid="{29D75CF7-3261-4D58-AEB0-F33CDDE2F02A}" name="Columna68" totalsRowFunction="custom" dataDxfId="530" totalsRowDxfId="229">
      <totalsRowFormula>SUM(BR9:BR12)</totalsRowFormula>
    </tableColumn>
    <tableColumn id="71" xr3:uid="{5C8C329F-9C17-4FC3-8FE9-289697A1331D}" name="Columna69" totalsRowFunction="custom" dataDxfId="529" totalsRowDxfId="228">
      <totalsRowFormula>SUM(BS9:BS12)</totalsRowFormula>
    </tableColumn>
    <tableColumn id="72" xr3:uid="{D590344A-8376-4683-A556-4CE8676858BE}" name="Columna70" totalsRowFunction="custom" dataDxfId="528" totalsRowDxfId="227">
      <totalsRowFormula>SUM(BT9:BT12)</totalsRowFormula>
    </tableColumn>
    <tableColumn id="73" xr3:uid="{EC831104-9288-4F40-8AB3-2CD37FFF6DD6}" name="Columna71" totalsRowFunction="custom" dataDxfId="527" totalsRowDxfId="226">
      <totalsRowFormula>SUM(BU9:BU12)</totalsRowFormula>
    </tableColumn>
    <tableColumn id="74" xr3:uid="{254667D4-60B9-45A6-8A7D-2CC2B28A5824}" name="Columna72" totalsRowFunction="custom" dataDxfId="526" totalsRowDxfId="225">
      <totalsRowFormula>SUM(BV9:BV12)</totalsRowFormula>
    </tableColumn>
    <tableColumn id="75" xr3:uid="{17AFE7DE-130C-4685-9A94-435DE7629AFF}" name="Columna73" totalsRowFunction="custom" dataDxfId="525" totalsRowDxfId="224">
      <totalsRowFormula>SUM(BW9:BW12)</totalsRowFormula>
    </tableColumn>
    <tableColumn id="76" xr3:uid="{4F87D937-FC34-4AF8-8FDC-885FDDC83C71}" name="Columna74" totalsRowFunction="custom" dataDxfId="524" totalsRowDxfId="223">
      <totalsRowFormula>SUM(BX9:BX12)</totalsRowFormula>
    </tableColumn>
    <tableColumn id="77" xr3:uid="{74EFBFD8-5A36-488A-ACF2-B7E4846F3FF7}" name="Columna75" totalsRowFunction="custom" dataDxfId="523" totalsRowDxfId="222">
      <totalsRowFormula>SUM(BY9:BY12)</totalsRowFormula>
    </tableColumn>
    <tableColumn id="78" xr3:uid="{B78AA4DC-C949-496B-8FA8-2140796F2430}" name="Columna76" totalsRowFunction="custom" dataDxfId="522" totalsRowDxfId="221">
      <totalsRowFormula>SUM(BZ9:BZ12)</totalsRowFormula>
    </tableColumn>
    <tableColumn id="79" xr3:uid="{D2DE54C0-099B-4B6C-8463-943A202A88E7}" name="Columna77" totalsRowFunction="custom" dataDxfId="521" totalsRowDxfId="220">
      <totalsRowFormula>SUM(CA9:CA12)</totalsRowFormula>
    </tableColumn>
    <tableColumn id="80" xr3:uid="{D456DC41-8311-4196-B850-74B6907D7B5F}" name="Columna78" totalsRowFunction="custom" dataDxfId="520" totalsRowDxfId="219">
      <totalsRowFormula>SUM(CB9:CB12)</totalsRowFormula>
    </tableColumn>
    <tableColumn id="81" xr3:uid="{2F1A8309-C555-446E-9914-F08DE522B6FB}" name="Columna79" totalsRowFunction="custom" dataDxfId="519" totalsRowDxfId="218">
      <totalsRowFormula>SUM(CC9:CC12)</totalsRowFormula>
    </tableColumn>
    <tableColumn id="82" xr3:uid="{8DF3D07F-E666-4855-94C3-72ECB3306E6E}" name="Columna80" totalsRowFunction="custom" dataDxfId="518" totalsRowDxfId="217">
      <totalsRowFormula>SUM(CD9:CD12)</totalsRowFormula>
    </tableColumn>
    <tableColumn id="83" xr3:uid="{B449F723-DBF1-4193-AEDD-94774F004713}" name="Columna81" totalsRowFunction="custom" dataDxfId="517" totalsRowDxfId="216">
      <totalsRowFormula>SUM(CE9:CE12)</totalsRowFormula>
    </tableColumn>
    <tableColumn id="84" xr3:uid="{C7F6A29D-7FB7-4DB7-995F-1F2E03DECF34}" name="Columna82" totalsRowFunction="custom" dataDxfId="516" totalsRowDxfId="215">
      <totalsRowFormula>SUM(CF9:CF12)</totalsRowFormula>
    </tableColumn>
    <tableColumn id="85" xr3:uid="{6D5700E6-7FFB-4B6B-A8D2-0E341E9804F4}" name="Columna83" totalsRowFunction="custom" dataDxfId="515" totalsRowDxfId="214">
      <totalsRowFormula>SUM(CG9:CG12)</totalsRowFormula>
    </tableColumn>
    <tableColumn id="86" xr3:uid="{F7905198-A5E3-472E-84E3-678E8417E4DD}" name="Columna84" totalsRowFunction="custom" dataDxfId="514" totalsRowDxfId="213">
      <totalsRowFormula>SUM(CH9:CH12)</totalsRowFormula>
    </tableColumn>
    <tableColumn id="87" xr3:uid="{E35371E6-6F9A-4ED2-88AD-0D65F4F0D0C2}" name="Columna85" totalsRowFunction="custom" dataDxfId="513" totalsRowDxfId="212">
      <totalsRowFormula>SUM(CI9:CI12)</totalsRowFormula>
    </tableColumn>
    <tableColumn id="88" xr3:uid="{540CD7CA-35A4-4402-9DF7-A1E5EEB6BBDB}" name="Columna86" totalsRowFunction="custom" dataDxfId="512" totalsRowDxfId="211">
      <totalsRowFormula>SUM(CJ9:CJ12)</totalsRowFormula>
    </tableColumn>
    <tableColumn id="89" xr3:uid="{AF0FCE4E-0ED0-4763-8132-144CD98A08F7}" name="Columna87" totalsRowFunction="custom" dataDxfId="511" totalsRowDxfId="210">
      <totalsRowFormula>SUM(CK9:CK12)</totalsRowFormula>
    </tableColumn>
    <tableColumn id="90" xr3:uid="{8FAE4990-F7A3-4F8D-B9E3-A307CBBC57CB}" name="Columna88" totalsRowFunction="custom" dataDxfId="510" totalsRowDxfId="209">
      <totalsRowFormula>SUM(CL9:CL12)</totalsRowFormula>
    </tableColumn>
    <tableColumn id="91" xr3:uid="{1BEE946B-D383-4695-B5FD-980051E216D9}" name="Columna89" totalsRowFunction="custom" dataDxfId="509" totalsRowDxfId="208">
      <totalsRowFormula>SUM(CM9:CM12)</totalsRowFormula>
    </tableColumn>
    <tableColumn id="92" xr3:uid="{CDBECA27-B37E-411C-9364-40E1237E4AAA}" name="Columna90" totalsRowFunction="custom" dataDxfId="508" totalsRowDxfId="207">
      <totalsRowFormula>SUM(CN9:CN12)</totalsRowFormula>
    </tableColumn>
    <tableColumn id="93" xr3:uid="{9D896A4E-CA6B-4838-97C0-9869C241DD3F}" name="Columna91" totalsRowFunction="custom" dataDxfId="507" totalsRowDxfId="206">
      <totalsRowFormula>SUM(CO9:CO12)</totalsRowFormula>
    </tableColumn>
    <tableColumn id="94" xr3:uid="{1D46D672-42E9-4A8C-B00C-89E39F5B7746}" name="Columna92" totalsRowFunction="custom" dataDxfId="506" totalsRowDxfId="205">
      <totalsRowFormula>SUM(CP9:CP12)</totalsRowFormula>
    </tableColumn>
    <tableColumn id="95" xr3:uid="{9C1B825C-DE89-4058-AB3F-5DDD186EAA6C}" name="Columna93" totalsRowFunction="custom" dataDxfId="505" totalsRowDxfId="204">
      <totalsRowFormula>SUM(CQ9:CQ12)</totalsRowFormula>
    </tableColumn>
    <tableColumn id="96" xr3:uid="{48CE828D-D91B-44BA-98D5-784EFE820F13}" name="Columna94" totalsRowFunction="custom" dataDxfId="504" totalsRowDxfId="203">
      <totalsRowFormula>SUM(CR9:CR12)</totalsRowFormula>
    </tableColumn>
    <tableColumn id="97" xr3:uid="{60099E61-63D2-4205-A156-03A8493ED683}" name="Columna95" totalsRowFunction="custom" dataDxfId="503" totalsRowDxfId="202">
      <totalsRowFormula>SUM(CS9:CS12)</totalsRowFormula>
    </tableColumn>
    <tableColumn id="98" xr3:uid="{A19E4752-A1E6-42DE-8A9A-29FCD8C61946}" name="Columna96" totalsRowFunction="custom" dataDxfId="502" totalsRowDxfId="201">
      <totalsRowFormula>SUM(CT9:CT12)</totalsRowFormula>
    </tableColumn>
    <tableColumn id="99" xr3:uid="{4FF23C98-F9BB-4172-A99B-1D30D0FD2C6A}" name="Columna97" totalsRowFunction="custom" dataDxfId="501" totalsRowDxfId="200">
      <totalsRowFormula>SUM(CU9:CU12)</totalsRowFormula>
    </tableColumn>
    <tableColumn id="100" xr3:uid="{A528A8E8-8C55-451A-9F33-A5A1EC3A7869}" name="Columna98" totalsRowFunction="custom" dataDxfId="500" totalsRowDxfId="199">
      <totalsRowFormula>SUM(CV9:CV12)</totalsRowFormula>
    </tableColumn>
    <tableColumn id="101" xr3:uid="{BEEF601D-7401-4664-85CF-670A6552F3C7}" name="Columna99" totalsRowFunction="custom" dataDxfId="499" totalsRowDxfId="198">
      <totalsRowFormula>SUM(CW9:CW12)</totalsRowFormula>
    </tableColumn>
    <tableColumn id="102" xr3:uid="{C80CEB9B-2704-4DAD-AFA7-CD13972897F7}" name="Columna100" totalsRowFunction="custom" dataDxfId="498" totalsRowDxfId="197">
      <totalsRowFormula>SUM(CX9:CX12)</totalsRowFormula>
    </tableColumn>
    <tableColumn id="103" xr3:uid="{94B5160C-118F-41DD-8568-CF8AE6BEC264}" name="Columna101" totalsRowFunction="custom" dataDxfId="497" totalsRowDxfId="196">
      <totalsRowFormula>SUM(CY9:CY12)</totalsRowFormula>
    </tableColumn>
    <tableColumn id="104" xr3:uid="{6752381D-8094-42E4-9F9C-0C26363DEB57}" name="Columna102" totalsRowFunction="custom" dataDxfId="496" totalsRowDxfId="195">
      <totalsRowFormula>SUM(CZ9:CZ12)</totalsRowFormula>
    </tableColumn>
    <tableColumn id="105" xr3:uid="{898758E0-6504-40F7-8AE5-318DE35E78F6}" name="Columna103" totalsRowFunction="custom" dataDxfId="495" totalsRowDxfId="194">
      <totalsRowFormula>SUM(DA9:DA12)</totalsRowFormula>
    </tableColumn>
    <tableColumn id="106" xr3:uid="{354968F0-667A-4442-9CEE-1AC0EF65AC66}" name="Columna104" totalsRowFunction="custom" dataDxfId="494" totalsRowDxfId="193">
      <totalsRowFormula>SUM(DB9:DB12)</totalsRowFormula>
    </tableColumn>
    <tableColumn id="107" xr3:uid="{30AD6692-EF84-41B9-BB62-312C00C5F622}" name="Columna105" totalsRowFunction="custom" dataDxfId="493" totalsRowDxfId="192">
      <totalsRowFormula>SUM(DC9:DC12)</totalsRowFormula>
    </tableColumn>
    <tableColumn id="108" xr3:uid="{7DD23103-26BA-4B68-B688-A7C51DDE2CBA}" name="Columna106" totalsRowFunction="custom" dataDxfId="492" totalsRowDxfId="191">
      <totalsRowFormula>SUM(DD9:DD12)</totalsRowFormula>
    </tableColumn>
    <tableColumn id="109" xr3:uid="{C8E405BF-1198-4704-9749-243BD5990C20}" name="Columna107" totalsRowFunction="custom" dataDxfId="491" totalsRowDxfId="190">
      <totalsRowFormula>SUM(DE9:DE12)</totalsRowFormula>
    </tableColumn>
    <tableColumn id="110" xr3:uid="{465E1405-4458-4659-9CB5-B45713FEF4FD}" name="Columna108" totalsRowFunction="custom" dataDxfId="490" totalsRowDxfId="189">
      <totalsRowFormula>SUM(DF9:DF12)</totalsRowFormula>
    </tableColumn>
    <tableColumn id="111" xr3:uid="{C7F54D54-8F19-44BF-AE76-E299676B1A88}" name="Columna109" totalsRowFunction="custom" dataDxfId="489" totalsRowDxfId="188">
      <totalsRowFormula>SUM(DG9:DG12)</totalsRowFormula>
    </tableColumn>
    <tableColumn id="112" xr3:uid="{4FF0DEA8-177C-420C-A23F-F624402B7D4B}" name="Columna110" totalsRowFunction="custom" dataDxfId="488" totalsRowDxfId="187">
      <totalsRowFormula>SUM(DH9:DH12)</totalsRowFormula>
    </tableColumn>
    <tableColumn id="113" xr3:uid="{560D4D4A-0B27-44B5-A667-70E553F9E0A0}" name="Columna111" totalsRowFunction="custom" dataDxfId="487" totalsRowDxfId="186">
      <totalsRowFormula>SUM(DI9:DI12)</totalsRowFormula>
    </tableColumn>
    <tableColumn id="114" xr3:uid="{0D782EF9-4166-4CC1-AF9E-2898A30BFF3D}" name="Columna112" totalsRowFunction="custom" dataDxfId="486" totalsRowDxfId="185">
      <totalsRowFormula>SUM(DJ9:DJ12)</totalsRowFormula>
    </tableColumn>
    <tableColumn id="115" xr3:uid="{F47C5828-7A21-4DD5-933F-178930B6D298}" name="Columna113" totalsRowFunction="custom" dataDxfId="485" totalsRowDxfId="184">
      <totalsRowFormula>SUM(DK9:DK12)</totalsRowFormula>
    </tableColumn>
    <tableColumn id="116" xr3:uid="{B385EC6E-5665-4350-BD4D-EF37EC5408A4}" name="Columna114" totalsRowFunction="custom" dataDxfId="484" totalsRowDxfId="183">
      <totalsRowFormula>SUM(DL9:DL12)</totalsRowFormula>
    </tableColumn>
    <tableColumn id="117" xr3:uid="{FE8A05E7-7C14-4447-85F4-EDFB44BED6BD}" name="Columna115" totalsRowFunction="custom" dataDxfId="483" totalsRowDxfId="182">
      <totalsRowFormula>SUM(DM9:DM12)</totalsRowFormula>
    </tableColumn>
    <tableColumn id="118" xr3:uid="{8B7451CB-DA2F-4EF9-A250-C952F67D9457}" name="Columna116" totalsRowFunction="custom" dataDxfId="482" totalsRowDxfId="181">
      <totalsRowFormula>SUM(DN9:DN12)</totalsRowFormula>
    </tableColumn>
    <tableColumn id="119" xr3:uid="{ABB3F4EA-F41B-4BBF-A9D5-87C5FD4B998D}" name="Columna117" totalsRowFunction="custom" dataDxfId="481" totalsRowDxfId="180">
      <totalsRowFormula>SUM(DO9:DO12)</totalsRowFormula>
    </tableColumn>
    <tableColumn id="120" xr3:uid="{908DACD9-D9BF-4BA3-B3AB-275F54DE790E}" name="Columna118" totalsRowFunction="custom" dataDxfId="480" totalsRowDxfId="179">
      <totalsRowFormula>SUM(DP9:DP12)</totalsRowFormula>
    </tableColumn>
    <tableColumn id="121" xr3:uid="{ED0A0DE2-8725-4B6C-8ED1-E7D85A07FD4B}" name="Columna119" totalsRowFunction="custom" dataDxfId="479" totalsRowDxfId="178">
      <totalsRowFormula>SUM(DQ9:DQ12)</totalsRowFormula>
    </tableColumn>
    <tableColumn id="122" xr3:uid="{F1285197-4837-45D7-BA86-5A2F4519FE51}" name="Columna120" totalsRowFunction="custom" dataDxfId="478" totalsRowDxfId="177">
      <totalsRowFormula>SUM(DR9:DR12)</totalsRowFormula>
    </tableColumn>
    <tableColumn id="123" xr3:uid="{BFDE8753-ACCF-422D-AACE-BC0EF29AFE9F}" name="Columna121" totalsRowFunction="custom" dataDxfId="477" totalsRowDxfId="176">
      <totalsRowFormula>SUM(DS9:DS12)</totalsRowFormula>
    </tableColumn>
    <tableColumn id="124" xr3:uid="{9FB21779-9C37-4C32-8AB2-36FF9B77F579}" name="Columna122" totalsRowFunction="custom" dataDxfId="476" totalsRowDxfId="175">
      <totalsRowFormula>SUM(DT9:DT12)</totalsRowFormula>
    </tableColumn>
    <tableColumn id="125" xr3:uid="{F75F5B9A-7E4D-4B32-8220-08BA9459CFBD}" name="Columna123" totalsRowFunction="custom" dataDxfId="475" totalsRowDxfId="174">
      <totalsRowFormula>SUM(DU9:DU12)</totalsRowFormula>
    </tableColumn>
    <tableColumn id="126" xr3:uid="{D820ED63-DDAE-461A-B458-DB0119844AD9}" name="Columna124" totalsRowFunction="custom" dataDxfId="474" totalsRowDxfId="173">
      <totalsRowFormula>SUM(DV9:DV12)</totalsRowFormula>
    </tableColumn>
    <tableColumn id="127" xr3:uid="{71FCF738-560D-47E3-BB85-A04EF84B3D25}" name="Columna125" totalsRowFunction="custom" dataDxfId="473" totalsRowDxfId="172">
      <totalsRowFormula>SUM(DW9:DW12)</totalsRowFormula>
    </tableColumn>
    <tableColumn id="128" xr3:uid="{9FC611BD-9F99-44F0-ABB3-082DCBDBA38F}" name="Columna126" totalsRowFunction="custom" dataDxfId="472" totalsRowDxfId="171">
      <totalsRowFormula>SUM(DX9:DX12)</totalsRowFormula>
    </tableColumn>
    <tableColumn id="129" xr3:uid="{F7F8AB3E-F7C8-438F-95C8-7FEF5D22C2A2}" name="Columna127" totalsRowFunction="custom" dataDxfId="471" totalsRowDxfId="170">
      <totalsRowFormula>SUM(DY9:DY12)</totalsRowFormula>
    </tableColumn>
    <tableColumn id="130" xr3:uid="{5E4ADEBE-BB2C-4338-B9F9-872B241FB9C3}" name="Columna128" totalsRowFunction="custom" dataDxfId="470" totalsRowDxfId="169">
      <totalsRowFormula>SUM(DZ9:DZ12)</totalsRowFormula>
    </tableColumn>
    <tableColumn id="131" xr3:uid="{ED946279-A972-4462-B61A-8E3B6FF4A6AD}" name="Columna129" totalsRowFunction="custom" dataDxfId="469" totalsRowDxfId="168">
      <totalsRowFormula>SUM(EA9:EA12)</totalsRowFormula>
    </tableColumn>
    <tableColumn id="132" xr3:uid="{15ABB754-D62D-490B-8152-E135039CA1F0}" name="Columna130" totalsRowFunction="custom" dataDxfId="468" totalsRowDxfId="167">
      <totalsRowFormula>SUM(EB9:EB12)</totalsRowFormula>
    </tableColumn>
    <tableColumn id="133" xr3:uid="{58214900-C13B-496A-93E9-7BEA20678520}" name="Columna131" totalsRowFunction="custom" dataDxfId="467" totalsRowDxfId="166">
      <totalsRowFormula>SUM(EC9:EC12)</totalsRowFormula>
    </tableColumn>
    <tableColumn id="134" xr3:uid="{EDCB32CC-FF94-46BF-9C6E-49F3BFAD45D5}" name="Columna132" totalsRowFunction="custom" dataDxfId="466" totalsRowDxfId="165">
      <totalsRowFormula>SUM(ED9:ED12)</totalsRowFormula>
    </tableColumn>
    <tableColumn id="135" xr3:uid="{07D3DFB5-D73E-4DC7-B5C4-1636CDC56F74}" name="Columna133" totalsRowFunction="custom" dataDxfId="465" totalsRowDxfId="164">
      <totalsRowFormula>SUM(EE9:EE12)</totalsRowFormula>
    </tableColumn>
    <tableColumn id="136" xr3:uid="{D53E114E-BB83-4828-9941-61A9EE19B288}" name="Columna134" totalsRowFunction="custom" dataDxfId="464" totalsRowDxfId="163">
      <totalsRowFormula>SUM(EF9:EF12)</totalsRowFormula>
    </tableColumn>
    <tableColumn id="137" xr3:uid="{DD1F47BC-566A-4818-A543-D009916E17BB}" name="Columna135" totalsRowFunction="custom" dataDxfId="463" totalsRowDxfId="162">
      <totalsRowFormula>SUM(EG9:EG12)</totalsRowFormula>
    </tableColumn>
    <tableColumn id="138" xr3:uid="{6FB6D7DD-F4C4-4A8B-94CD-74AD9916437E}" name="Columna136" totalsRowFunction="custom" dataDxfId="462" totalsRowDxfId="161">
      <totalsRowFormula>SUM(EH9:EH12)</totalsRowFormula>
    </tableColumn>
    <tableColumn id="139" xr3:uid="{1800D689-22C6-4B17-B67E-FD053BE19B3C}" name="Columna137" totalsRowFunction="custom" dataDxfId="461" totalsRowDxfId="160">
      <totalsRowFormula>SUM(EI9:EI12)</totalsRowFormula>
    </tableColumn>
    <tableColumn id="140" xr3:uid="{979C91E7-EAC0-4591-8909-0970B82F8C72}" name="Columna138" totalsRowFunction="custom" dataDxfId="460" totalsRowDxfId="159">
      <totalsRowFormula>SUM(EJ9:EJ12)</totalsRowFormula>
    </tableColumn>
    <tableColumn id="141" xr3:uid="{8204CE7C-1FAD-4ADE-A85D-B00DFA4755B1}" name="Columna139" totalsRowFunction="custom" dataDxfId="459" totalsRowDxfId="158">
      <totalsRowFormula>SUM(EK9:EK12)</totalsRowFormula>
    </tableColumn>
    <tableColumn id="142" xr3:uid="{15F1E664-562A-4153-8FF7-8533DCF970CB}" name="Columna140" totalsRowFunction="custom" dataDxfId="458" totalsRowDxfId="157">
      <totalsRowFormula>SUM(EL9:EL12)</totalsRowFormula>
    </tableColumn>
    <tableColumn id="143" xr3:uid="{45D9822C-8E13-4B97-A588-E7ECFAA87A96}" name="Columna141" totalsRowFunction="custom" dataDxfId="457" totalsRowDxfId="156">
      <totalsRowFormula>SUM(EM9:EM12)</totalsRowFormula>
    </tableColumn>
    <tableColumn id="144" xr3:uid="{6B8088D4-C294-49E3-B7E2-DAD463BDDD11}" name="Columna142" totalsRowFunction="custom" dataDxfId="456" totalsRowDxfId="155">
      <totalsRowFormula>SUM(EN9:EN12)</totalsRowFormula>
    </tableColumn>
    <tableColumn id="145" xr3:uid="{F151F056-9464-4191-8C93-DD6BC5A6399E}" name="Columna143" totalsRowFunction="custom" dataDxfId="455" totalsRowDxfId="154">
      <totalsRowFormula>SUM(EO9:EO12)</totalsRowFormula>
    </tableColumn>
    <tableColumn id="146" xr3:uid="{B5680040-67C6-4BF4-B78A-0875F144300A}" name="Columna144" totalsRowFunction="custom" dataDxfId="454" totalsRowDxfId="153">
      <totalsRowFormula>SUM(EP9:EP12)</totalsRowFormula>
    </tableColumn>
    <tableColumn id="147" xr3:uid="{C27F6AAF-A582-4981-AFE0-C8FF6DC5E33D}" name="Columna145" totalsRowFunction="custom" dataDxfId="453" totalsRowDxfId="152">
      <totalsRowFormula>SUM(EQ9:EQ12)</totalsRowFormula>
    </tableColumn>
    <tableColumn id="148" xr3:uid="{0C8938C3-76E6-4FA3-A369-BAA3A7FF622A}" name="Columna146" totalsRowFunction="custom" dataDxfId="452" totalsRowDxfId="151">
      <totalsRowFormula>SUM(ER9:ER12)</totalsRowFormula>
    </tableColumn>
    <tableColumn id="149" xr3:uid="{96F7A8BB-5FF7-43A8-8601-4F3270DB1933}" name="Columna147" totalsRowFunction="custom" dataDxfId="451" totalsRowDxfId="150">
      <totalsRowFormula>SUM(ES9:ES12)</totalsRowFormula>
    </tableColumn>
    <tableColumn id="150" xr3:uid="{FEBCAE72-D3BA-4F88-AFE7-19417D085EB7}" name="Columna148" totalsRowFunction="custom" dataDxfId="450" totalsRowDxfId="149">
      <totalsRowFormula>SUM(ET9:ET12)</totalsRowFormula>
    </tableColumn>
    <tableColumn id="151" xr3:uid="{7F7AF8D2-047E-4510-A5FA-DBBFDE228121}" name="Columna149" totalsRowFunction="custom" dataDxfId="449" totalsRowDxfId="148">
      <totalsRowFormula>SUM(EU9:EU12)</totalsRowFormula>
    </tableColumn>
    <tableColumn id="152" xr3:uid="{4136ECBC-A2A3-4FAB-96C6-38868C3F3CA1}" name="Columna150" totalsRowFunction="custom" dataDxfId="448" totalsRowDxfId="147">
      <totalsRowFormula>SUM(EV9:EV12)</totalsRowFormula>
    </tableColumn>
    <tableColumn id="153" xr3:uid="{5DE6236D-5F29-428E-B543-6D695B497862}" name="Columna151" totalsRowFunction="custom" dataDxfId="447" totalsRowDxfId="146">
      <totalsRowFormula>SUM(EW9:EW12)</totalsRowFormula>
    </tableColumn>
    <tableColumn id="154" xr3:uid="{9EEAFA25-8AE3-461B-869C-656E31755C2E}" name="Columna152" totalsRowFunction="custom" dataDxfId="446" totalsRowDxfId="145">
      <totalsRowFormula>SUM(EX9:EX12)</totalsRowFormula>
    </tableColumn>
    <tableColumn id="155" xr3:uid="{8BD1B71D-C439-4DED-8044-E568676F0384}" name="Columna153" totalsRowFunction="custom" dataDxfId="445" totalsRowDxfId="144">
      <totalsRowFormula>SUM(EY9:EY12)</totalsRowFormula>
    </tableColumn>
    <tableColumn id="156" xr3:uid="{90663FB8-1EFF-4E92-950F-1BDDCCCA0B0E}" name="Columna154" totalsRowFunction="custom" dataDxfId="444" totalsRowDxfId="143">
      <totalsRowFormula>SUM(EZ9:EZ12)</totalsRowFormula>
    </tableColumn>
    <tableColumn id="157" xr3:uid="{B2006171-F55D-47A6-82E8-85E8EE1052B8}" name="Columna155" totalsRowFunction="custom" dataDxfId="443" totalsRowDxfId="142">
      <totalsRowFormula>SUM(FA9:FA12)</totalsRowFormula>
    </tableColumn>
    <tableColumn id="158" xr3:uid="{C53918B7-B962-4FDE-8D0E-AE0C870E47A9}" name="Columna156" totalsRowFunction="custom" dataDxfId="442" totalsRowDxfId="141">
      <totalsRowFormula>SUM(FB9:FB12)</totalsRowFormula>
    </tableColumn>
    <tableColumn id="159" xr3:uid="{37A4F30E-5075-456E-90EC-282859633EC6}" name="Columna157" totalsRowFunction="custom" dataDxfId="441" totalsRowDxfId="140">
      <totalsRowFormula>SUM(FC9:FC12)</totalsRowFormula>
    </tableColumn>
    <tableColumn id="160" xr3:uid="{FC87F566-17F3-4BCC-A4F2-4F85FFD553A3}" name="Columna158" totalsRowFunction="custom" dataDxfId="440" totalsRowDxfId="139">
      <totalsRowFormula>SUM(FD9:FD12)</totalsRowFormula>
    </tableColumn>
    <tableColumn id="161" xr3:uid="{CCCD1063-B345-46B4-AC39-7AE6262B7609}" name="Columna159" totalsRowFunction="custom" dataDxfId="439" totalsRowDxfId="138">
      <totalsRowFormula>SUM(FE9:FE12)</totalsRowFormula>
    </tableColumn>
    <tableColumn id="162" xr3:uid="{A5F57EFB-D1DD-4C2D-8C7B-920B60E2FD3C}" name="Columna160" totalsRowFunction="custom" dataDxfId="438" totalsRowDxfId="137">
      <totalsRowFormula>SUM(FF9:FF12)</totalsRowFormula>
    </tableColumn>
    <tableColumn id="163" xr3:uid="{AA0A034F-577F-4378-88C4-48AC1515C066}" name="Columna161" totalsRowFunction="custom" dataDxfId="437" totalsRowDxfId="136">
      <totalsRowFormula>SUM(FG9:FG12)</totalsRowFormula>
    </tableColumn>
    <tableColumn id="164" xr3:uid="{E7E58A66-BB56-4A8A-B205-E1FA255B004E}" name="Columna162" totalsRowFunction="custom" dataDxfId="436" totalsRowDxfId="135">
      <totalsRowFormula>SUM(FH9:FH12)</totalsRowFormula>
    </tableColumn>
    <tableColumn id="165" xr3:uid="{E190FC71-646D-459F-8CB4-C901F276E11F}" name="Columna163" totalsRowFunction="custom" dataDxfId="435" totalsRowDxfId="134">
      <totalsRowFormula>SUM(FI9:FI12)</totalsRowFormula>
    </tableColumn>
    <tableColumn id="166" xr3:uid="{CACB69D7-99BE-43F3-8F20-9318D2E730B6}" name="Columna164" totalsRowFunction="custom" dataDxfId="434" totalsRowDxfId="133">
      <totalsRowFormula>SUM(FJ9:FJ12)</totalsRowFormula>
    </tableColumn>
    <tableColumn id="167" xr3:uid="{80F045D2-D1D8-4F24-BBE3-AEC215C37D5B}" name="Columna165" totalsRowFunction="custom" dataDxfId="433" totalsRowDxfId="132">
      <totalsRowFormula>SUM(FK9:FK12)</totalsRowFormula>
    </tableColumn>
    <tableColumn id="168" xr3:uid="{CA7FA621-72CC-48A2-8ACC-229BDD597C29}" name="Columna166" totalsRowFunction="custom" dataDxfId="432" totalsRowDxfId="131">
      <totalsRowFormula>SUM(FL9:FL12)</totalsRowFormula>
    </tableColumn>
    <tableColumn id="169" xr3:uid="{7DC7B44A-AAE8-4216-BE40-5A2BDE95F206}" name="Columna167" totalsRowFunction="custom" dataDxfId="431" totalsRowDxfId="130">
      <totalsRowFormula>SUM(FM9:FM12)</totalsRowFormula>
    </tableColumn>
    <tableColumn id="170" xr3:uid="{79A2CD3A-56BC-47A7-96DB-5DDE8C3B4BE3}" name="Columna168" totalsRowFunction="custom" dataDxfId="430" totalsRowDxfId="129">
      <totalsRowFormula>SUM(FN9:FN12)</totalsRowFormula>
    </tableColumn>
    <tableColumn id="171" xr3:uid="{96FA6A18-6297-40AD-AA23-D4A9BF9A00EC}" name="Columna169" totalsRowFunction="custom" dataDxfId="429" totalsRowDxfId="128">
      <totalsRowFormula>SUM(FO9:FO12)</totalsRowFormula>
    </tableColumn>
    <tableColumn id="172" xr3:uid="{28DD8437-F2AE-439C-9021-0CD8643C3685}" name="Columna170" totalsRowFunction="custom" dataDxfId="428" totalsRowDxfId="127">
      <totalsRowFormula>SUM(FP9:FP12)</totalsRowFormula>
    </tableColumn>
    <tableColumn id="173" xr3:uid="{BBB122A3-E408-4B2B-BA07-62B57948296A}" name="Columna171" totalsRowFunction="custom" dataDxfId="427" totalsRowDxfId="126">
      <totalsRowFormula>SUM(FQ9:FQ12)</totalsRowFormula>
    </tableColumn>
    <tableColumn id="174" xr3:uid="{117B323B-1B59-4593-88F7-6CDB21F29FCA}" name="Columna172" totalsRowFunction="custom" dataDxfId="426" totalsRowDxfId="125">
      <totalsRowFormula>SUM(FR9:FR12)</totalsRowFormula>
    </tableColumn>
    <tableColumn id="175" xr3:uid="{B3D40A1E-99C0-422F-B3CA-5EB0229F01EA}" name="Columna173" totalsRowFunction="custom" dataDxfId="425" totalsRowDxfId="124">
      <totalsRowFormula>SUM(FS9:FS12)</totalsRowFormula>
    </tableColumn>
    <tableColumn id="176" xr3:uid="{8863FD3E-C8C0-4A8D-A7A4-FF7BC92DF0A4}" name="Columna174" totalsRowFunction="custom" dataDxfId="424" totalsRowDxfId="123">
      <totalsRowFormula>SUM(FT9:FT12)</totalsRowFormula>
    </tableColumn>
    <tableColumn id="177" xr3:uid="{186899B2-1922-4891-A51B-5CAC62474318}" name="Columna175" totalsRowFunction="custom" dataDxfId="423" totalsRowDxfId="122">
      <totalsRowFormula>SUM(FU9:FU12)</totalsRowFormula>
    </tableColumn>
    <tableColumn id="178" xr3:uid="{27FC019B-8814-4BD3-9E7E-B8DB0B5CD9AA}" name="Columna176" totalsRowFunction="custom" dataDxfId="422" totalsRowDxfId="121">
      <totalsRowFormula>SUM(FV9:FV12)</totalsRowFormula>
    </tableColumn>
    <tableColumn id="179" xr3:uid="{9FEB0073-1AF5-4140-B6C1-EABD7D60C508}" name="Columna177" totalsRowFunction="custom" dataDxfId="421" totalsRowDxfId="120">
      <totalsRowFormula>SUM(FW9:FW12)</totalsRowFormula>
    </tableColumn>
    <tableColumn id="180" xr3:uid="{07D696EF-A247-4F87-962F-B383C4A56E4A}" name="Columna178" totalsRowFunction="custom" dataDxfId="420" totalsRowDxfId="119">
      <totalsRowFormula>SUM(FX9:FX12)</totalsRowFormula>
    </tableColumn>
    <tableColumn id="181" xr3:uid="{F830E4B9-323A-452B-9886-C8FA4A8086AE}" name="Columna179" totalsRowFunction="custom" dataDxfId="419" totalsRowDxfId="118">
      <totalsRowFormula>SUM(FY9:FY12)</totalsRowFormula>
    </tableColumn>
    <tableColumn id="182" xr3:uid="{F301C4BF-963A-4B78-82EF-7E9EA5CE695B}" name="Columna180" totalsRowFunction="custom" dataDxfId="418" totalsRowDxfId="117">
      <totalsRowFormula>SUM(FZ9:FZ12)</totalsRowFormula>
    </tableColumn>
    <tableColumn id="183" xr3:uid="{6AE8AE3E-BD57-4B3B-ABCB-EC37657F1559}" name="Columna181" totalsRowFunction="custom" dataDxfId="417" totalsRowDxfId="116">
      <totalsRowFormula>SUM(GA9:GA12)</totalsRowFormula>
    </tableColumn>
    <tableColumn id="184" xr3:uid="{0298CDD3-9924-4B27-86C5-EE3EC77AD237}" name="Columna182" totalsRowFunction="custom" dataDxfId="416" totalsRowDxfId="115">
      <totalsRowFormula>SUM(GB9:GB12)</totalsRowFormula>
    </tableColumn>
    <tableColumn id="185" xr3:uid="{F9ECDAFB-B5CD-433E-B018-D0ADE587CB4F}" name="Columna183" totalsRowFunction="custom" dataDxfId="415" totalsRowDxfId="114">
      <totalsRowFormula>SUM(GC9:GC12)</totalsRowFormula>
    </tableColumn>
    <tableColumn id="186" xr3:uid="{69E012FC-CD22-4B97-B4EC-EADDFF8186FF}" name="Columna184" totalsRowFunction="custom" dataDxfId="414" totalsRowDxfId="113">
      <totalsRowFormula>SUM(GD9:GD12)</totalsRowFormula>
    </tableColumn>
    <tableColumn id="187" xr3:uid="{35622A24-F398-421F-9914-2969AD0A6F20}" name="Columna185" totalsRowFunction="custom" dataDxfId="413" totalsRowDxfId="112">
      <totalsRowFormula>SUM(GE9:GE12)</totalsRowFormula>
    </tableColumn>
    <tableColumn id="188" xr3:uid="{FD015B97-F092-4BEC-AE0D-1CBB2624D0B1}" name="Columna186" totalsRowFunction="custom" dataDxfId="412" totalsRowDxfId="111">
      <totalsRowFormula>SUM(GF9:GF12)</totalsRowFormula>
    </tableColumn>
    <tableColumn id="189" xr3:uid="{BC2D05BF-AC38-4FAE-BC64-ECECE7599350}" name="Columna187" totalsRowFunction="custom" dataDxfId="411" totalsRowDxfId="110">
      <totalsRowFormula>SUM(GG9:GG12)</totalsRowFormula>
    </tableColumn>
    <tableColumn id="190" xr3:uid="{68476E2D-F5FC-4E65-A6E0-ECDAE1F0BC8D}" name="Columna188" totalsRowFunction="custom" dataDxfId="410" totalsRowDxfId="109">
      <totalsRowFormula>SUM(GH9:GH12)</totalsRowFormula>
    </tableColumn>
    <tableColumn id="191" xr3:uid="{515F1FB9-A55A-4A44-9909-6F0708371EBD}" name="Columna189" totalsRowFunction="custom" dataDxfId="409" totalsRowDxfId="108">
      <totalsRowFormula>SUM(GI9:GI12)</totalsRowFormula>
    </tableColumn>
    <tableColumn id="192" xr3:uid="{C1775470-1AAD-4746-88B4-61AB978F0099}" name="Columna190" totalsRowFunction="custom" dataDxfId="408" totalsRowDxfId="107">
      <totalsRowFormula>SUM(GJ9:GJ12)</totalsRowFormula>
    </tableColumn>
    <tableColumn id="193" xr3:uid="{A53437FB-3E7C-48A5-B496-A2FC9E9A4BAA}" name="Columna191" totalsRowFunction="custom" dataDxfId="407" totalsRowDxfId="106">
      <totalsRowFormula>SUM(GK9:GK12)</totalsRowFormula>
    </tableColumn>
    <tableColumn id="194" xr3:uid="{F993E5D4-FD30-4A82-9AB1-5B589260F365}" name="Columna192" totalsRowFunction="custom" dataDxfId="406" totalsRowDxfId="105">
      <totalsRowFormula>SUM(GL9:GL12)</totalsRowFormula>
    </tableColumn>
    <tableColumn id="195" xr3:uid="{6B70B841-1212-41EF-A214-AF23DEC6890E}" name="Columna193" totalsRowFunction="custom" dataDxfId="405" totalsRowDxfId="104">
      <totalsRowFormula>SUM(GM9:GM12)</totalsRowFormula>
    </tableColumn>
    <tableColumn id="196" xr3:uid="{BCA99C95-35AC-4BAE-9040-B90919D781C5}" name="Columna194" totalsRowFunction="custom" dataDxfId="404" totalsRowDxfId="103">
      <totalsRowFormula>SUM(GN9:GN12)</totalsRowFormula>
    </tableColumn>
    <tableColumn id="197" xr3:uid="{1C8B34F4-6897-4A4D-9930-FB1F1574DF99}" name="Columna195" totalsRowFunction="custom" dataDxfId="403" totalsRowDxfId="102">
      <totalsRowFormula>SUM(GO9:GO12)</totalsRowFormula>
    </tableColumn>
    <tableColumn id="198" xr3:uid="{57546EA5-51E2-4341-802A-86C7113AB367}" name="Columna196" totalsRowFunction="custom" dataDxfId="402" totalsRowDxfId="101">
      <totalsRowFormula>SUM(GP9:GP12)</totalsRowFormula>
    </tableColumn>
    <tableColumn id="199" xr3:uid="{E18CF4EB-894F-4C2A-B012-4ED31108F5C3}" name="Columna197" totalsRowFunction="custom" dataDxfId="401" totalsRowDxfId="100">
      <totalsRowFormula>SUM(GQ9:GQ12)</totalsRowFormula>
    </tableColumn>
    <tableColumn id="200" xr3:uid="{F54E3C33-FDD5-4280-8DF4-8B6D055BEDDA}" name="Columna198" totalsRowFunction="custom" dataDxfId="400" totalsRowDxfId="99">
      <totalsRowFormula>SUM(GR9:GR12)</totalsRowFormula>
    </tableColumn>
    <tableColumn id="201" xr3:uid="{1A3EAB81-21C6-47B4-AF5F-23028650BEC2}" name="Columna199" totalsRowFunction="custom" dataDxfId="399" totalsRowDxfId="98">
      <totalsRowFormula>SUM(GS9:GS12)</totalsRowFormula>
    </tableColumn>
    <tableColumn id="202" xr3:uid="{39472B17-E0B9-4C55-B8D4-A238FEDF16C8}" name="Columna200" totalsRowFunction="custom" dataDxfId="398" totalsRowDxfId="97">
      <totalsRowFormula>SUM(GT9:GT12)</totalsRowFormula>
    </tableColumn>
    <tableColumn id="203" xr3:uid="{98204D9A-D0BD-4EA4-8950-4073993C9877}" name="Columna201" totalsRowFunction="custom" dataDxfId="397" totalsRowDxfId="96">
      <totalsRowFormula>SUM(GU9:GU12)</totalsRowFormula>
    </tableColumn>
    <tableColumn id="204" xr3:uid="{974724B3-5C02-4C00-97B1-96C163A0CFDB}" name="Columna202" totalsRowFunction="custom" dataDxfId="396" totalsRowDxfId="95">
      <totalsRowFormula>SUM(GV9:GV12)</totalsRowFormula>
    </tableColumn>
    <tableColumn id="205" xr3:uid="{2FF082B5-BF6A-44A4-A907-ACD73DA9601E}" name="Columna203" totalsRowFunction="custom" dataDxfId="395" totalsRowDxfId="94">
      <totalsRowFormula>SUM(GW9:GW12)</totalsRowFormula>
    </tableColumn>
    <tableColumn id="206" xr3:uid="{5A73D729-549E-45ED-AA1F-F9958DE14645}" name="Columna204" totalsRowFunction="custom" dataDxfId="394" totalsRowDxfId="93">
      <totalsRowFormula>SUM(GX9:GX12)</totalsRowFormula>
    </tableColumn>
    <tableColumn id="207" xr3:uid="{243524BE-2853-4F29-9622-7ADC1BD7B3EB}" name="Columna205" totalsRowFunction="custom" dataDxfId="393" totalsRowDxfId="92">
      <totalsRowFormula>SUM(GY9:GY12)</totalsRowFormula>
    </tableColumn>
    <tableColumn id="208" xr3:uid="{1262B354-CD6B-4E80-BABF-4CC3409D160E}" name="Columna206" totalsRowFunction="custom" dataDxfId="392" totalsRowDxfId="91">
      <totalsRowFormula>SUM(GZ9:GZ12)</totalsRowFormula>
    </tableColumn>
    <tableColumn id="209" xr3:uid="{A2FE2C4A-0F32-445D-A050-16495595EC37}" name="Columna207" totalsRowFunction="custom" dataDxfId="391" totalsRowDxfId="90">
      <totalsRowFormula>SUM(HA9:HA12)</totalsRowFormula>
    </tableColumn>
    <tableColumn id="210" xr3:uid="{D553D31F-7272-49C3-B6D6-530DE15DDEB5}" name="Columna208" totalsRowFunction="custom" dataDxfId="390" totalsRowDxfId="89">
      <totalsRowFormula>SUM(HB9:HB12)</totalsRowFormula>
    </tableColumn>
    <tableColumn id="211" xr3:uid="{E85937D8-2E1C-4A22-8F6A-2DC61EC90433}" name="Columna209" totalsRowFunction="custom" dataDxfId="389" totalsRowDxfId="88">
      <totalsRowFormula>SUM(HC9:HC12)</totalsRowFormula>
    </tableColumn>
    <tableColumn id="212" xr3:uid="{BFD8896E-4EBF-4A28-86D4-79AEB21E4929}" name="Columna210" totalsRowFunction="custom" dataDxfId="388" totalsRowDxfId="87">
      <totalsRowFormula>SUM(HD9:HD12)</totalsRowFormula>
    </tableColumn>
    <tableColumn id="213" xr3:uid="{7AC2D767-2A50-4C79-8C51-555EEA82F857}" name="Columna211" totalsRowFunction="custom" dataDxfId="387" totalsRowDxfId="86">
      <totalsRowFormula>SUM(HE9:HE12)</totalsRowFormula>
    </tableColumn>
    <tableColumn id="214" xr3:uid="{E5B75BDB-C71C-41B0-BFD6-0B34A73E542D}" name="Columna212" totalsRowFunction="custom" dataDxfId="386" totalsRowDxfId="85">
      <totalsRowFormula>SUM(HF9:HF12)</totalsRowFormula>
    </tableColumn>
    <tableColumn id="215" xr3:uid="{011C51B4-F2A2-454F-BDEC-6D3201982A08}" name="Columna213" totalsRowFunction="custom" dataDxfId="385" totalsRowDxfId="84">
      <totalsRowFormula>SUM(HG9:HG12)</totalsRowFormula>
    </tableColumn>
    <tableColumn id="216" xr3:uid="{3424DDDB-7AB7-48C5-BA2C-D1B03543743A}" name="Columna214" totalsRowFunction="custom" dataDxfId="384" totalsRowDxfId="83">
      <totalsRowFormula>SUM(HH9:HH12)</totalsRowFormula>
    </tableColumn>
    <tableColumn id="217" xr3:uid="{20F52A74-6309-4D50-951B-23D672D3DC99}" name="Columna215" totalsRowFunction="custom" dataDxfId="383" totalsRowDxfId="82">
      <totalsRowFormula>SUM(HI9:HI12)</totalsRowFormula>
    </tableColumn>
    <tableColumn id="218" xr3:uid="{FB5EA35B-6447-421B-94B6-2D656109B32B}" name="Columna216" totalsRowFunction="custom" dataDxfId="382" totalsRowDxfId="81">
      <totalsRowFormula>SUM(HJ9:HJ12)</totalsRowFormula>
    </tableColumn>
    <tableColumn id="219" xr3:uid="{BE5D88C1-18C6-486E-874F-4AEA2C0100D6}" name="Columna217" totalsRowFunction="custom" dataDxfId="381" totalsRowDxfId="80">
      <totalsRowFormula>SUM(HK9:HK12)</totalsRowFormula>
    </tableColumn>
    <tableColumn id="220" xr3:uid="{DC21EE52-0912-4A9D-8C6D-F57787DFA640}" name="Columna218" totalsRowFunction="custom" dataDxfId="380" totalsRowDxfId="79">
      <totalsRowFormula>SUM(HL9:HL12)</totalsRowFormula>
    </tableColumn>
    <tableColumn id="221" xr3:uid="{E966BD63-12BC-4EA0-A8D6-AF93A380144D}" name="Columna219" totalsRowFunction="custom" dataDxfId="379" totalsRowDxfId="78">
      <totalsRowFormula>SUM(HM9:HM12)</totalsRowFormula>
    </tableColumn>
    <tableColumn id="222" xr3:uid="{85B6224D-A23C-40B6-B9EF-88AE4457A312}" name="Columna220" totalsRowFunction="custom" dataDxfId="378" totalsRowDxfId="77">
      <totalsRowFormula>SUM(HN9:HN12)</totalsRowFormula>
    </tableColumn>
    <tableColumn id="223" xr3:uid="{71618015-2001-4F15-9B7B-5F68BF32EA3D}" name="Columna221" totalsRowFunction="custom" dataDxfId="377" totalsRowDxfId="76">
      <totalsRowFormula>SUM(HO9:HO12)</totalsRowFormula>
    </tableColumn>
    <tableColumn id="224" xr3:uid="{1810DD22-AB0D-449A-B071-101189B4E1A8}" name="Columna222" totalsRowFunction="custom" dataDxfId="376" totalsRowDxfId="75">
      <totalsRowFormula>SUM(HP9:HP12)</totalsRowFormula>
    </tableColumn>
    <tableColumn id="225" xr3:uid="{38F20C07-6369-4B65-B96C-E8A7232D596A}" name="Columna223" totalsRowFunction="custom" dataDxfId="375" totalsRowDxfId="74">
      <totalsRowFormula>SUM(HQ9:HQ12)</totalsRowFormula>
    </tableColumn>
    <tableColumn id="226" xr3:uid="{2D8EB7E5-DD4E-4AF7-8B93-9A33261C8250}" name="Columna224" totalsRowFunction="custom" dataDxfId="374" totalsRowDxfId="73">
      <totalsRowFormula>SUM(HR9:HR12)</totalsRowFormula>
    </tableColumn>
    <tableColumn id="227" xr3:uid="{B4F6DB1B-D80A-46B4-9360-D30E000445EB}" name="Columna225" totalsRowFunction="custom" dataDxfId="373" totalsRowDxfId="72">
      <totalsRowFormula>SUM(HS9:HS12)</totalsRowFormula>
    </tableColumn>
    <tableColumn id="228" xr3:uid="{98CF1AE3-9775-4DA7-AE3F-EB76C2D3EDCE}" name="Columna226" totalsRowFunction="custom" dataDxfId="372" totalsRowDxfId="71">
      <totalsRowFormula>SUM(HT9:HT12)</totalsRowFormula>
    </tableColumn>
    <tableColumn id="229" xr3:uid="{0E74FA0D-3A5D-4D89-BCC3-98EB1769F6EE}" name="Columna227" totalsRowFunction="custom" dataDxfId="371" totalsRowDxfId="70">
      <totalsRowFormula>SUM(HU9:HU12)</totalsRowFormula>
    </tableColumn>
    <tableColumn id="230" xr3:uid="{869BED32-7083-4CCF-A4D3-00E09279DC33}" name="Columna228" totalsRowFunction="custom" dataDxfId="370" totalsRowDxfId="69">
      <totalsRowFormula>SUM(HV9:HV12)</totalsRowFormula>
    </tableColumn>
    <tableColumn id="231" xr3:uid="{E3B6D544-6EEA-48DC-90DA-0D8FFEA69FC4}" name="Columna229" totalsRowFunction="custom" dataDxfId="369" totalsRowDxfId="68">
      <totalsRowFormula>SUM(HW9:HW12)</totalsRowFormula>
    </tableColumn>
    <tableColumn id="232" xr3:uid="{E26252AF-7CEB-4A25-84F1-0492A483268A}" name="Columna230" totalsRowFunction="custom" dataDxfId="368" totalsRowDxfId="67">
      <totalsRowFormula>SUM(HX9:HX12)</totalsRowFormula>
    </tableColumn>
    <tableColumn id="233" xr3:uid="{253A544C-FB30-4F06-AFDD-49575A6131F9}" name="Columna231" totalsRowFunction="custom" dataDxfId="367" totalsRowDxfId="66">
      <totalsRowFormula>SUM(HY9:HY12)</totalsRowFormula>
    </tableColumn>
    <tableColumn id="234" xr3:uid="{CDE3C654-84C0-4456-BD21-B6D4F9F874A3}" name="Columna232" totalsRowFunction="custom" dataDxfId="366" totalsRowDxfId="65">
      <totalsRowFormula>SUM(HZ9:HZ12)</totalsRowFormula>
    </tableColumn>
    <tableColumn id="235" xr3:uid="{21C6FD25-9470-4061-8C8C-5E4665245D9C}" name="Columna233" totalsRowFunction="custom" dataDxfId="365" totalsRowDxfId="64">
      <totalsRowFormula>SUM(IA9:IA12)</totalsRowFormula>
    </tableColumn>
    <tableColumn id="236" xr3:uid="{C7DA60A5-20FF-4CF4-80B4-D18F9BE65B1C}" name="Columna234" totalsRowFunction="custom" dataDxfId="364" totalsRowDxfId="63">
      <totalsRowFormula>SUM(IB9:IB12)</totalsRowFormula>
    </tableColumn>
    <tableColumn id="237" xr3:uid="{BB8F235C-6B1F-44FB-9A1E-AF9AFF7DB69D}" name="Columna235" totalsRowFunction="custom" dataDxfId="363" totalsRowDxfId="62">
      <totalsRowFormula>SUM(IC9:IC12)</totalsRowFormula>
    </tableColumn>
    <tableColumn id="238" xr3:uid="{EAAD9255-BDD0-4A31-849C-FC422CE15346}" name="Columna236" totalsRowFunction="custom" dataDxfId="362" totalsRowDxfId="61">
      <totalsRowFormula>SUM(ID9:ID12)</totalsRowFormula>
    </tableColumn>
    <tableColumn id="239" xr3:uid="{7F684663-DC02-4F80-8B8C-2C4675B1C5A0}" name="Columna237" totalsRowFunction="custom" dataDxfId="361" totalsRowDxfId="60">
      <totalsRowFormula>SUM(IE9:IE12)</totalsRowFormula>
    </tableColumn>
    <tableColumn id="240" xr3:uid="{F95ACEEF-57FE-4358-80EC-EB359118808C}" name="Columna238" totalsRowFunction="custom" dataDxfId="360" totalsRowDxfId="59">
      <totalsRowFormula>SUM(IF9:IF12)</totalsRowFormula>
    </tableColumn>
    <tableColumn id="241" xr3:uid="{26B25B5D-F18B-4D2E-B75E-7D9210A02440}" name="Columna239" totalsRowFunction="custom" dataDxfId="359" totalsRowDxfId="58">
      <totalsRowFormula>SUM(IG9:IG12)</totalsRowFormula>
    </tableColumn>
    <tableColumn id="242" xr3:uid="{2B5D756D-AF97-49F5-9E37-DC047444BC93}" name="Columna240" totalsRowFunction="custom" dataDxfId="358" totalsRowDxfId="57">
      <totalsRowFormula>SUM(IH9:IH12)</totalsRowFormula>
    </tableColumn>
    <tableColumn id="243" xr3:uid="{95C7EA36-7190-4E26-A3B2-F041D535FFB2}" name="Columna241" totalsRowFunction="custom" dataDxfId="357" totalsRowDxfId="56">
      <totalsRowFormula>SUM(II9:II12)</totalsRowFormula>
    </tableColumn>
    <tableColumn id="244" xr3:uid="{A85D33DB-86D5-4D47-8F14-7A8DB1969CBC}" name="Columna242" totalsRowFunction="custom" dataDxfId="356" totalsRowDxfId="55">
      <totalsRowFormula>SUM(IJ9:IJ12)</totalsRowFormula>
    </tableColumn>
    <tableColumn id="245" xr3:uid="{B6935FEC-F25D-4378-9B71-EB8FBA2958FF}" name="Columna243" totalsRowFunction="custom" dataDxfId="355" totalsRowDxfId="54">
      <totalsRowFormula>SUM(IK9:IK12)</totalsRowFormula>
    </tableColumn>
    <tableColumn id="246" xr3:uid="{0D0589B0-A09F-4AFE-95F5-4AA48817D0DF}" name="Columna244" totalsRowFunction="custom" dataDxfId="354" totalsRowDxfId="53">
      <totalsRowFormula>SUM(IL9:IL12)</totalsRowFormula>
    </tableColumn>
    <tableColumn id="247" xr3:uid="{372E4C34-3B52-4250-AA3E-9743B440AF3E}" name="Columna245" totalsRowFunction="custom" dataDxfId="353" totalsRowDxfId="52">
      <totalsRowFormula>SUM(IM9:IM12)</totalsRowFormula>
    </tableColumn>
    <tableColumn id="248" xr3:uid="{77159BDC-CB42-4408-8B93-0B7CB060D2FF}" name="Columna246" totalsRowFunction="custom" dataDxfId="352" totalsRowDxfId="51">
      <totalsRowFormula>SUM(IN9:IN12)</totalsRowFormula>
    </tableColumn>
    <tableColumn id="249" xr3:uid="{B72F503E-BA3D-4E3A-B5A9-73935078030F}" name="Columna247" totalsRowFunction="custom" dataDxfId="351" totalsRowDxfId="50">
      <totalsRowFormula>SUM(IO9:IO12)</totalsRowFormula>
    </tableColumn>
    <tableColumn id="250" xr3:uid="{820B0F01-A4F7-484D-9692-75EB42DF9FC3}" name="Columna248" totalsRowFunction="custom" dataDxfId="350" totalsRowDxfId="49">
      <totalsRowFormula>SUM(IP9:IP12)</totalsRowFormula>
    </tableColumn>
    <tableColumn id="251" xr3:uid="{861FD7BB-3D14-4FF4-B5B5-14E617975D9B}" name="Columna249" totalsRowFunction="custom" dataDxfId="349" totalsRowDxfId="48">
      <totalsRowFormula>SUM(IQ9:IQ12)</totalsRowFormula>
    </tableColumn>
    <tableColumn id="252" xr3:uid="{865269E2-47AF-4207-A6FC-660EEBC3C7B0}" name="Columna250" totalsRowFunction="custom" dataDxfId="348" totalsRowDxfId="47">
      <totalsRowFormula>SUM(IR9:IR12)</totalsRowFormula>
    </tableColumn>
    <tableColumn id="253" xr3:uid="{E6CECB54-CF38-4D1A-B525-CE59F7C75C4B}" name="Columna251" totalsRowFunction="custom" dataDxfId="347" totalsRowDxfId="46">
      <totalsRowFormula>SUM(IS9:IS12)</totalsRowFormula>
    </tableColumn>
    <tableColumn id="254" xr3:uid="{908C2A95-FCB9-4331-84C2-8C2FF7F67F84}" name="Columna252" totalsRowFunction="custom" dataDxfId="346" totalsRowDxfId="45">
      <totalsRowFormula>SUM(IT9:IT12)</totalsRowFormula>
    </tableColumn>
    <tableColumn id="255" xr3:uid="{ABCBB570-EF19-4A80-8881-EF70F582C9D0}" name="Columna253" totalsRowFunction="custom" dataDxfId="345" totalsRowDxfId="44">
      <totalsRowFormula>SUM(IU9:IU12)</totalsRowFormula>
    </tableColumn>
    <tableColumn id="256" xr3:uid="{93F4B83B-46C4-4D5F-A17D-3758680F364C}" name="Columna254" totalsRowFunction="custom" dataDxfId="344" totalsRowDxfId="43">
      <totalsRowFormula>SUM(IV9:IV12)</totalsRowFormula>
    </tableColumn>
    <tableColumn id="257" xr3:uid="{2CF8A559-E150-4D48-A160-EBFA9F58D722}" name="Columna255" totalsRowFunction="custom" dataDxfId="343" totalsRowDxfId="42">
      <totalsRowFormula>SUM(IW9:IW12)</totalsRowFormula>
    </tableColumn>
    <tableColumn id="258" xr3:uid="{E791825F-0306-4ACD-8C9F-9F2B6FFD2335}" name="Columna256" totalsRowFunction="custom" dataDxfId="342" totalsRowDxfId="41">
      <totalsRowFormula>SUM(IX9:IX12)</totalsRowFormula>
    </tableColumn>
    <tableColumn id="259" xr3:uid="{A352F138-4DD4-467A-BF88-0F4AD144195A}" name="Columna257" totalsRowFunction="custom" dataDxfId="341" totalsRowDxfId="40">
      <totalsRowFormula>SUM(IY9:IY12)</totalsRowFormula>
    </tableColumn>
    <tableColumn id="260" xr3:uid="{90C1A4B1-2EE3-4679-BF30-A6860714B98D}" name="Columna258" totalsRowFunction="custom" dataDxfId="340" totalsRowDxfId="39">
      <totalsRowFormula>SUM(IZ9:IZ12)</totalsRowFormula>
    </tableColumn>
    <tableColumn id="261" xr3:uid="{F6A3201C-E23F-4E0F-A389-D9BC5C1878AB}" name="Columna259" totalsRowFunction="custom" dataDxfId="339" totalsRowDxfId="38">
      <totalsRowFormula>SUM(JA9:JA12)</totalsRowFormula>
    </tableColumn>
    <tableColumn id="262" xr3:uid="{B4B0F5C7-5BE9-4B18-927B-FCE32B19AD93}" name="Columna260" totalsRowFunction="custom" dataDxfId="338" totalsRowDxfId="37">
      <totalsRowFormula>SUM(JB9:JB12)</totalsRowFormula>
    </tableColumn>
    <tableColumn id="263" xr3:uid="{53D75921-8813-4D79-8D49-24BF95B77C5C}" name="Columna261" totalsRowFunction="custom" dataDxfId="337" totalsRowDxfId="36">
      <totalsRowFormula>SUM(JC9:JC12)</totalsRowFormula>
    </tableColumn>
    <tableColumn id="264" xr3:uid="{64AE8FE7-E9D3-49F2-9ED1-1900A34471DD}" name="Columna262" totalsRowFunction="custom" dataDxfId="336" totalsRowDxfId="35">
      <totalsRowFormula>SUM(JD9:JD12)</totalsRowFormula>
    </tableColumn>
    <tableColumn id="265" xr3:uid="{3B15CB36-65C8-485B-BAAC-69A91010DEF3}" name="Columna263" totalsRowFunction="custom" dataDxfId="335" totalsRowDxfId="34">
      <totalsRowFormula>SUM(JE9:JE12)</totalsRowFormula>
    </tableColumn>
    <tableColumn id="266" xr3:uid="{78895F2B-0AEE-401A-8380-D6E0DE1186A1}" name="Columna264" totalsRowFunction="custom" dataDxfId="334" totalsRowDxfId="33">
      <totalsRowFormula>SUM(JF9:JF12)</totalsRowFormula>
    </tableColumn>
    <tableColumn id="267" xr3:uid="{073A0519-7862-4951-BD4C-9E5A1CC08C31}" name="Columna265" totalsRowFunction="custom" dataDxfId="333" totalsRowDxfId="32">
      <totalsRowFormula>SUM(JG9:JG12)</totalsRowFormula>
    </tableColumn>
    <tableColumn id="268" xr3:uid="{B937BAA8-A22A-4B56-8631-C15D3F881295}" name="Columna266" totalsRowFunction="custom" dataDxfId="332" totalsRowDxfId="31">
      <totalsRowFormula>SUM(JH9:JH12)</totalsRowFormula>
    </tableColumn>
    <tableColumn id="269" xr3:uid="{DA79C151-C482-4EF3-8BAD-AAABA544DB3E}" name="Columna267" totalsRowFunction="custom" dataDxfId="331" totalsRowDxfId="30">
      <totalsRowFormula>SUM(JI9:JI12)</totalsRowFormula>
    </tableColumn>
    <tableColumn id="270" xr3:uid="{3557C2E9-C070-4FCF-B262-AC07B905D10B}" name="Columna268" totalsRowFunction="custom" dataDxfId="330" totalsRowDxfId="29">
      <totalsRowFormula>SUM(JJ9:JJ12)</totalsRowFormula>
    </tableColumn>
    <tableColumn id="271" xr3:uid="{E37507C6-B755-4A08-9307-9AB5C698F1FD}" name="Columna269" totalsRowFunction="custom" dataDxfId="329" totalsRowDxfId="28">
      <totalsRowFormula>SUM(JK9:JK12)</totalsRowFormula>
    </tableColumn>
    <tableColumn id="272" xr3:uid="{050E7B74-36E7-473D-A5EC-BD891D90567E}" name="Columna270" totalsRowFunction="custom" dataDxfId="328" totalsRowDxfId="27">
      <totalsRowFormula>SUM(JL9:JL12)</totalsRowFormula>
    </tableColumn>
    <tableColumn id="273" xr3:uid="{0FE6976B-FEB2-4B5A-8B50-755CB6A7395A}" name="Columna271" totalsRowFunction="custom" dataDxfId="327" totalsRowDxfId="26">
      <totalsRowFormula>SUM(JM9:JM12)</totalsRowFormula>
    </tableColumn>
    <tableColumn id="274" xr3:uid="{60F5FB84-361A-4324-8E5B-ED456933E083}" name="Columna272" totalsRowFunction="custom" dataDxfId="326" totalsRowDxfId="25">
      <totalsRowFormula>SUM(JN9:JN12)</totalsRowFormula>
    </tableColumn>
    <tableColumn id="275" xr3:uid="{E265316F-1250-43BE-AC99-F3C93EA085E3}" name="Columna273" totalsRowFunction="custom" dataDxfId="325" totalsRowDxfId="24">
      <totalsRowFormula>SUM(JO9:JO12)</totalsRowFormula>
    </tableColumn>
    <tableColumn id="276" xr3:uid="{81859703-AF21-4333-A78C-23A0C3E2696E}" name="Columna274" totalsRowFunction="custom" dataDxfId="324" totalsRowDxfId="23">
      <totalsRowFormula>SUM(JP9:JP12)</totalsRowFormula>
    </tableColumn>
    <tableColumn id="277" xr3:uid="{9E3CD054-DD83-4CE3-93D3-12CD56A45263}" name="Columna275" totalsRowFunction="custom" dataDxfId="323" totalsRowDxfId="22">
      <totalsRowFormula>SUM(JQ9:JQ12)</totalsRowFormula>
    </tableColumn>
    <tableColumn id="278" xr3:uid="{FAD59A42-7B4F-49CC-BF49-E226DBCB306E}" name="Columna276" totalsRowFunction="custom" dataDxfId="322" totalsRowDxfId="21">
      <totalsRowFormula>SUM(JR9:JR12)</totalsRowFormula>
    </tableColumn>
    <tableColumn id="279" xr3:uid="{270352E1-53A3-435D-93CD-8AECA6FCFF64}" name="Columna277" totalsRowFunction="custom" dataDxfId="321" totalsRowDxfId="20">
      <totalsRowFormula>SUM(JS9:JS12)</totalsRowFormula>
    </tableColumn>
    <tableColumn id="280" xr3:uid="{055B18D8-ECF5-42EF-A68F-FB484BF421F6}" name="Columna278" totalsRowFunction="custom" dataDxfId="320" totalsRowDxfId="19">
      <totalsRowFormula>SUM(JT9:JT12)</totalsRowFormula>
    </tableColumn>
    <tableColumn id="281" xr3:uid="{BBFE08B3-689F-4353-8282-B57C1529228E}" name="Columna279" totalsRowFunction="custom" dataDxfId="319" totalsRowDxfId="18">
      <totalsRowFormula>SUM(JU9:JU12)</totalsRowFormula>
    </tableColumn>
    <tableColumn id="282" xr3:uid="{0B8521C2-8D90-4A85-A8AB-B125DE109844}" name="Columna280" totalsRowFunction="custom" dataDxfId="318" totalsRowDxfId="17">
      <totalsRowFormula>SUM(JV9:JV12)</totalsRowFormula>
    </tableColumn>
    <tableColumn id="283" xr3:uid="{193051CF-F48F-4BA8-A690-A0765B6DB853}" name="Columna281" totalsRowFunction="custom" dataDxfId="317" totalsRowDxfId="16">
      <totalsRowFormula>SUM(JW9:JW12)</totalsRowFormula>
    </tableColumn>
    <tableColumn id="284" xr3:uid="{04E82E29-8067-4974-84ED-6DE64ACDFD4A}" name="Columna282" totalsRowFunction="custom" dataDxfId="316" totalsRowDxfId="15">
      <totalsRowFormula>SUM(JX9:JX12)</totalsRowFormula>
    </tableColumn>
    <tableColumn id="285" xr3:uid="{9470DA27-6677-4DA1-BB6A-9A9B87A66942}" name="Columna283" totalsRowFunction="custom" dataDxfId="315" totalsRowDxfId="14">
      <totalsRowFormula>SUM(JY9:JY12)</totalsRowFormula>
    </tableColumn>
    <tableColumn id="286" xr3:uid="{35529A2D-54F3-475E-910B-9635586B8416}" name="Columna284" totalsRowFunction="custom" dataDxfId="314" totalsRowDxfId="13">
      <totalsRowFormula>SUM(JZ9:JZ12)</totalsRowFormula>
    </tableColumn>
    <tableColumn id="287" xr3:uid="{01C7D9F7-6425-4CC6-9FEB-D6944D850510}" name="Columna285" totalsRowFunction="custom" dataDxfId="313" totalsRowDxfId="12">
      <totalsRowFormula>SUM(KA9:KA12)</totalsRowFormula>
    </tableColumn>
    <tableColumn id="288" xr3:uid="{F1E7D74C-C1C7-4C4A-96DB-1CCE10B67893}" name="Columna286" totalsRowFunction="custom" dataDxfId="312" totalsRowDxfId="11">
      <totalsRowFormula>SUM(KB9:KB12)</totalsRowFormula>
    </tableColumn>
    <tableColumn id="289" xr3:uid="{57545313-59C3-4A2E-AE91-59AB63132BCF}" name="Columna287" totalsRowFunction="custom" dataDxfId="311" totalsRowDxfId="10">
      <totalsRowFormula>SUM(KC9:KC12)</totalsRowFormula>
    </tableColumn>
    <tableColumn id="290" xr3:uid="{EB742C40-401C-4D08-9B5D-36F3925EB9B6}" name="Columna288" totalsRowFunction="custom" dataDxfId="310" totalsRowDxfId="9">
      <totalsRowFormula>SUM(KD9:KD12)</totalsRowFormula>
    </tableColumn>
    <tableColumn id="291" xr3:uid="{1A1D2EA8-897E-4331-A67C-C72800192CBE}" name="Columna289" totalsRowFunction="custom" dataDxfId="309" totalsRowDxfId="8">
      <totalsRowFormula>SUM(KE9:KE12)</totalsRowFormula>
    </tableColumn>
    <tableColumn id="292" xr3:uid="{7119C527-5586-4FDA-A410-C1884CC53346}" name="Columna290" totalsRowFunction="custom" dataDxfId="308" totalsRowDxfId="7">
      <totalsRowFormula>SUM(KF9:KF12)</totalsRowFormula>
    </tableColumn>
    <tableColumn id="293" xr3:uid="{9CC3AB06-F46B-4C04-AE67-0AB474D35BB0}" name="Columna291" totalsRowFunction="custom" dataDxfId="307" totalsRowDxfId="6">
      <totalsRowFormula>SUM(KG9:KG12)</totalsRowFormula>
    </tableColumn>
    <tableColumn id="294" xr3:uid="{AF3E3494-1536-417A-885B-E70E88D67039}" name="Columna292" totalsRowFunction="custom" dataDxfId="306" totalsRowDxfId="5">
      <totalsRowFormula>SUM(KH9:KH12)</totalsRowFormula>
    </tableColumn>
    <tableColumn id="295" xr3:uid="{6D5E511C-BA86-4D34-9EC3-AFCFF4DCF1F1}" name="Columna293" totalsRowFunction="custom" dataDxfId="305" totalsRowDxfId="4">
      <totalsRowFormula>SUM(KI9:KI12)</totalsRowFormula>
    </tableColumn>
    <tableColumn id="296" xr3:uid="{1C3E32A8-A7AB-4D0B-BE50-A8C4A83A698E}" name="Columna294" totalsRowFunction="custom" dataDxfId="304" totalsRowDxfId="3">
      <totalsRowFormula>SUM(KJ9:KJ12)</totalsRowFormula>
    </tableColumn>
    <tableColumn id="297" xr3:uid="{35959057-D970-4CC8-A97C-42BBBE9582CF}" name="Columna295" totalsRowFunction="custom" dataDxfId="303" totalsRowDxfId="2">
      <totalsRowFormula>SUM(KK9:KK12)</totalsRowFormula>
    </tableColumn>
    <tableColumn id="298" xr3:uid="{94D47EAF-1765-482C-B722-30AC4BF87A45}" name="Columna296" totalsRowFunction="custom" dataDxfId="302" totalsRowDxfId="1">
      <totalsRowFormula>SUM(KL9:KL12)</totalsRowFormula>
    </tableColumn>
    <tableColumn id="299" xr3:uid="{D20E1A85-D230-4967-8CEA-2557BBC7AB83}" name="Columna297" totalsRowFunction="custom" dataDxfId="301" totalsRowDxfId="0">
      <totalsRowFormula>SUM(KM9:KM12)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D8D5-077F-4A92-80D9-D73FDA867EF1}">
  <dimension ref="A1"/>
  <sheetViews>
    <sheetView workbookViewId="0">
      <selection activeCell="C7" sqref="C7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7"/>
  <sheetViews>
    <sheetView tabSelected="1" workbookViewId="0">
      <selection activeCell="A24" sqref="A24"/>
    </sheetView>
  </sheetViews>
  <sheetFormatPr baseColWidth="10" defaultColWidth="9.140625" defaultRowHeight="15" x14ac:dyDescent="0.25"/>
  <cols>
    <col min="1" max="1" width="39" customWidth="1"/>
    <col min="2" max="299" width="19.5703125" customWidth="1"/>
  </cols>
  <sheetData>
    <row r="1" spans="1:29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299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99" x14ac:dyDescent="0.25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299" x14ac:dyDescent="0.25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299" x14ac:dyDescent="0.25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299" x14ac:dyDescent="0.25">
      <c r="A6" s="7" t="s">
        <v>2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299" x14ac:dyDescent="0.25">
      <c r="A7" s="15" t="s">
        <v>5</v>
      </c>
      <c r="B7" s="16" t="s">
        <v>6</v>
      </c>
      <c r="C7" s="16" t="s">
        <v>313</v>
      </c>
      <c r="D7" s="16" t="s">
        <v>314</v>
      </c>
      <c r="E7" s="16" t="s">
        <v>315</v>
      </c>
      <c r="F7" s="16" t="s">
        <v>316</v>
      </c>
      <c r="G7" s="16" t="s">
        <v>317</v>
      </c>
      <c r="H7" s="16" t="s">
        <v>318</v>
      </c>
      <c r="I7" s="16" t="s">
        <v>319</v>
      </c>
      <c r="J7" s="16" t="s">
        <v>320</v>
      </c>
      <c r="K7" s="16" t="s">
        <v>321</v>
      </c>
      <c r="L7" s="16" t="s">
        <v>322</v>
      </c>
      <c r="M7" s="16" t="s">
        <v>323</v>
      </c>
      <c r="N7" s="16" t="s">
        <v>324</v>
      </c>
      <c r="O7" s="16" t="s">
        <v>325</v>
      </c>
      <c r="P7" s="16" t="s">
        <v>326</v>
      </c>
      <c r="Q7" s="16" t="s">
        <v>327</v>
      </c>
      <c r="R7" s="16" t="s">
        <v>328</v>
      </c>
      <c r="S7" s="16" t="s">
        <v>329</v>
      </c>
      <c r="T7" s="16" t="s">
        <v>330</v>
      </c>
      <c r="U7" s="16" t="s">
        <v>331</v>
      </c>
      <c r="V7" s="16" t="s">
        <v>332</v>
      </c>
      <c r="W7" s="16" t="s">
        <v>333</v>
      </c>
      <c r="X7" s="16" t="s">
        <v>334</v>
      </c>
      <c r="Y7" s="16" t="s">
        <v>335</v>
      </c>
      <c r="Z7" s="16" t="s">
        <v>336</v>
      </c>
      <c r="AA7" s="16" t="s">
        <v>337</v>
      </c>
      <c r="AB7" s="16" t="s">
        <v>338</v>
      </c>
      <c r="AC7" s="16" t="s">
        <v>339</v>
      </c>
      <c r="AD7" s="16" t="s">
        <v>340</v>
      </c>
      <c r="AE7" s="16" t="s">
        <v>341</v>
      </c>
      <c r="AF7" s="16" t="s">
        <v>342</v>
      </c>
      <c r="AG7" s="16" t="s">
        <v>343</v>
      </c>
      <c r="AH7" s="16" t="s">
        <v>344</v>
      </c>
      <c r="AI7" s="16" t="s">
        <v>345</v>
      </c>
      <c r="AJ7" s="16" t="s">
        <v>346</v>
      </c>
      <c r="AK7" s="16" t="s">
        <v>347</v>
      </c>
      <c r="AL7" s="16" t="s">
        <v>348</v>
      </c>
      <c r="AM7" s="16" t="s">
        <v>349</v>
      </c>
      <c r="AN7" s="16" t="s">
        <v>350</v>
      </c>
      <c r="AO7" s="16" t="s">
        <v>351</v>
      </c>
      <c r="AP7" s="16" t="s">
        <v>352</v>
      </c>
      <c r="AQ7" s="16" t="s">
        <v>353</v>
      </c>
      <c r="AR7" s="16" t="s">
        <v>354</v>
      </c>
      <c r="AS7" s="16" t="s">
        <v>355</v>
      </c>
      <c r="AT7" s="16" t="s">
        <v>356</v>
      </c>
      <c r="AU7" s="16" t="s">
        <v>357</v>
      </c>
      <c r="AV7" s="16" t="s">
        <v>358</v>
      </c>
      <c r="AW7" s="16" t="s">
        <v>359</v>
      </c>
      <c r="AX7" s="16" t="s">
        <v>360</v>
      </c>
      <c r="AY7" s="16" t="s">
        <v>361</v>
      </c>
      <c r="AZ7" s="16" t="s">
        <v>362</v>
      </c>
      <c r="BA7" s="16" t="s">
        <v>363</v>
      </c>
      <c r="BB7" s="16" t="s">
        <v>364</v>
      </c>
      <c r="BC7" s="16" t="s">
        <v>365</v>
      </c>
      <c r="BD7" s="16" t="s">
        <v>366</v>
      </c>
      <c r="BE7" s="16" t="s">
        <v>367</v>
      </c>
      <c r="BF7" s="16" t="s">
        <v>368</v>
      </c>
      <c r="BG7" s="16" t="s">
        <v>369</v>
      </c>
      <c r="BH7" s="16" t="s">
        <v>370</v>
      </c>
      <c r="BI7" s="16" t="s">
        <v>371</v>
      </c>
      <c r="BJ7" s="16" t="s">
        <v>372</v>
      </c>
      <c r="BK7" s="16" t="s">
        <v>373</v>
      </c>
      <c r="BL7" s="16" t="s">
        <v>374</v>
      </c>
      <c r="BM7" s="16" t="s">
        <v>375</v>
      </c>
      <c r="BN7" s="16" t="s">
        <v>376</v>
      </c>
      <c r="BO7" s="16" t="s">
        <v>377</v>
      </c>
      <c r="BP7" s="16" t="s">
        <v>378</v>
      </c>
      <c r="BQ7" s="16" t="s">
        <v>379</v>
      </c>
      <c r="BR7" s="16" t="s">
        <v>380</v>
      </c>
      <c r="BS7" s="16" t="s">
        <v>381</v>
      </c>
      <c r="BT7" s="16" t="s">
        <v>382</v>
      </c>
      <c r="BU7" s="16" t="s">
        <v>383</v>
      </c>
      <c r="BV7" s="16" t="s">
        <v>384</v>
      </c>
      <c r="BW7" s="16" t="s">
        <v>385</v>
      </c>
      <c r="BX7" s="16" t="s">
        <v>386</v>
      </c>
      <c r="BY7" s="16" t="s">
        <v>387</v>
      </c>
      <c r="BZ7" s="16" t="s">
        <v>388</v>
      </c>
      <c r="CA7" s="16" t="s">
        <v>389</v>
      </c>
      <c r="CB7" s="16" t="s">
        <v>390</v>
      </c>
      <c r="CC7" s="16" t="s">
        <v>391</v>
      </c>
      <c r="CD7" s="16" t="s">
        <v>392</v>
      </c>
      <c r="CE7" s="16" t="s">
        <v>393</v>
      </c>
      <c r="CF7" s="16" t="s">
        <v>394</v>
      </c>
      <c r="CG7" s="16" t="s">
        <v>395</v>
      </c>
      <c r="CH7" s="16" t="s">
        <v>396</v>
      </c>
      <c r="CI7" s="16" t="s">
        <v>397</v>
      </c>
      <c r="CJ7" s="16" t="s">
        <v>398</v>
      </c>
      <c r="CK7" s="16" t="s">
        <v>399</v>
      </c>
      <c r="CL7" s="16" t="s">
        <v>400</v>
      </c>
      <c r="CM7" s="16" t="s">
        <v>401</v>
      </c>
      <c r="CN7" s="16" t="s">
        <v>402</v>
      </c>
      <c r="CO7" s="16" t="s">
        <v>403</v>
      </c>
      <c r="CP7" s="16" t="s">
        <v>404</v>
      </c>
      <c r="CQ7" s="16" t="s">
        <v>405</v>
      </c>
      <c r="CR7" s="16" t="s">
        <v>406</v>
      </c>
      <c r="CS7" s="16" t="s">
        <v>407</v>
      </c>
      <c r="CT7" s="16" t="s">
        <v>408</v>
      </c>
      <c r="CU7" s="16" t="s">
        <v>409</v>
      </c>
      <c r="CV7" s="16" t="s">
        <v>410</v>
      </c>
      <c r="CW7" s="16" t="s">
        <v>411</v>
      </c>
      <c r="CX7" s="16" t="s">
        <v>412</v>
      </c>
      <c r="CY7" s="16" t="s">
        <v>413</v>
      </c>
      <c r="CZ7" s="16" t="s">
        <v>414</v>
      </c>
      <c r="DA7" s="16" t="s">
        <v>415</v>
      </c>
      <c r="DB7" s="16" t="s">
        <v>416</v>
      </c>
      <c r="DC7" s="16" t="s">
        <v>417</v>
      </c>
      <c r="DD7" s="16" t="s">
        <v>418</v>
      </c>
      <c r="DE7" s="16" t="s">
        <v>419</v>
      </c>
      <c r="DF7" s="16" t="s">
        <v>420</v>
      </c>
      <c r="DG7" s="16" t="s">
        <v>421</v>
      </c>
      <c r="DH7" s="16" t="s">
        <v>422</v>
      </c>
      <c r="DI7" s="16" t="s">
        <v>423</v>
      </c>
      <c r="DJ7" s="16" t="s">
        <v>424</v>
      </c>
      <c r="DK7" s="16" t="s">
        <v>425</v>
      </c>
      <c r="DL7" s="16" t="s">
        <v>426</v>
      </c>
      <c r="DM7" s="16" t="s">
        <v>427</v>
      </c>
      <c r="DN7" s="16" t="s">
        <v>428</v>
      </c>
      <c r="DO7" s="16" t="s">
        <v>429</v>
      </c>
      <c r="DP7" s="16" t="s">
        <v>430</v>
      </c>
      <c r="DQ7" s="16" t="s">
        <v>431</v>
      </c>
      <c r="DR7" s="16" t="s">
        <v>432</v>
      </c>
      <c r="DS7" s="16" t="s">
        <v>433</v>
      </c>
      <c r="DT7" s="16" t="s">
        <v>434</v>
      </c>
      <c r="DU7" s="16" t="s">
        <v>435</v>
      </c>
      <c r="DV7" s="16" t="s">
        <v>436</v>
      </c>
      <c r="DW7" s="16" t="s">
        <v>437</v>
      </c>
      <c r="DX7" s="16" t="s">
        <v>438</v>
      </c>
      <c r="DY7" s="16" t="s">
        <v>439</v>
      </c>
      <c r="DZ7" s="16" t="s">
        <v>440</v>
      </c>
      <c r="EA7" s="16" t="s">
        <v>441</v>
      </c>
      <c r="EB7" s="16" t="s">
        <v>442</v>
      </c>
      <c r="EC7" s="16" t="s">
        <v>443</v>
      </c>
      <c r="ED7" s="16" t="s">
        <v>444</v>
      </c>
      <c r="EE7" s="16" t="s">
        <v>445</v>
      </c>
      <c r="EF7" s="16" t="s">
        <v>446</v>
      </c>
      <c r="EG7" s="16" t="s">
        <v>447</v>
      </c>
      <c r="EH7" s="16" t="s">
        <v>448</v>
      </c>
      <c r="EI7" s="16" t="s">
        <v>449</v>
      </c>
      <c r="EJ7" s="16" t="s">
        <v>450</v>
      </c>
      <c r="EK7" s="16" t="s">
        <v>451</v>
      </c>
      <c r="EL7" s="16" t="s">
        <v>452</v>
      </c>
      <c r="EM7" s="16" t="s">
        <v>453</v>
      </c>
      <c r="EN7" s="16" t="s">
        <v>454</v>
      </c>
      <c r="EO7" s="16" t="s">
        <v>455</v>
      </c>
      <c r="EP7" s="16" t="s">
        <v>456</v>
      </c>
      <c r="EQ7" s="16" t="s">
        <v>457</v>
      </c>
      <c r="ER7" s="16" t="s">
        <v>458</v>
      </c>
      <c r="ES7" s="16" t="s">
        <v>459</v>
      </c>
      <c r="ET7" s="16" t="s">
        <v>460</v>
      </c>
      <c r="EU7" s="16" t="s">
        <v>461</v>
      </c>
      <c r="EV7" s="16" t="s">
        <v>462</v>
      </c>
      <c r="EW7" s="16" t="s">
        <v>463</v>
      </c>
      <c r="EX7" s="16" t="s">
        <v>464</v>
      </c>
      <c r="EY7" s="16" t="s">
        <v>465</v>
      </c>
      <c r="EZ7" s="16" t="s">
        <v>466</v>
      </c>
      <c r="FA7" s="16" t="s">
        <v>467</v>
      </c>
      <c r="FB7" s="16" t="s">
        <v>468</v>
      </c>
      <c r="FC7" s="16" t="s">
        <v>469</v>
      </c>
      <c r="FD7" s="16" t="s">
        <v>470</v>
      </c>
      <c r="FE7" s="16" t="s">
        <v>471</v>
      </c>
      <c r="FF7" s="16" t="s">
        <v>472</v>
      </c>
      <c r="FG7" s="16" t="s">
        <v>473</v>
      </c>
      <c r="FH7" s="16" t="s">
        <v>474</v>
      </c>
      <c r="FI7" s="16" t="s">
        <v>475</v>
      </c>
      <c r="FJ7" s="16" t="s">
        <v>476</v>
      </c>
      <c r="FK7" s="16" t="s">
        <v>477</v>
      </c>
      <c r="FL7" s="16" t="s">
        <v>478</v>
      </c>
      <c r="FM7" s="16" t="s">
        <v>479</v>
      </c>
      <c r="FN7" s="16" t="s">
        <v>480</v>
      </c>
      <c r="FO7" s="16" t="s">
        <v>481</v>
      </c>
      <c r="FP7" s="16" t="s">
        <v>482</v>
      </c>
      <c r="FQ7" s="16" t="s">
        <v>483</v>
      </c>
      <c r="FR7" s="16" t="s">
        <v>484</v>
      </c>
      <c r="FS7" s="16" t="s">
        <v>485</v>
      </c>
      <c r="FT7" s="16" t="s">
        <v>486</v>
      </c>
      <c r="FU7" s="16" t="s">
        <v>487</v>
      </c>
      <c r="FV7" s="16" t="s">
        <v>488</v>
      </c>
      <c r="FW7" s="16" t="s">
        <v>489</v>
      </c>
      <c r="FX7" s="16" t="s">
        <v>490</v>
      </c>
      <c r="FY7" s="16" t="s">
        <v>491</v>
      </c>
      <c r="FZ7" s="16" t="s">
        <v>492</v>
      </c>
      <c r="GA7" s="16" t="s">
        <v>493</v>
      </c>
      <c r="GB7" s="16" t="s">
        <v>494</v>
      </c>
      <c r="GC7" s="16" t="s">
        <v>495</v>
      </c>
      <c r="GD7" s="16" t="s">
        <v>496</v>
      </c>
      <c r="GE7" s="16" t="s">
        <v>497</v>
      </c>
      <c r="GF7" s="16" t="s">
        <v>498</v>
      </c>
      <c r="GG7" s="16" t="s">
        <v>499</v>
      </c>
      <c r="GH7" s="16" t="s">
        <v>500</v>
      </c>
      <c r="GI7" s="16" t="s">
        <v>501</v>
      </c>
      <c r="GJ7" s="16" t="s">
        <v>502</v>
      </c>
      <c r="GK7" s="16" t="s">
        <v>503</v>
      </c>
      <c r="GL7" s="16" t="s">
        <v>504</v>
      </c>
      <c r="GM7" s="16" t="s">
        <v>505</v>
      </c>
      <c r="GN7" s="16" t="s">
        <v>506</v>
      </c>
      <c r="GO7" s="16" t="s">
        <v>507</v>
      </c>
      <c r="GP7" s="16" t="s">
        <v>508</v>
      </c>
      <c r="GQ7" s="16" t="s">
        <v>509</v>
      </c>
      <c r="GR7" s="16" t="s">
        <v>510</v>
      </c>
      <c r="GS7" s="16" t="s">
        <v>511</v>
      </c>
      <c r="GT7" s="16" t="s">
        <v>512</v>
      </c>
      <c r="GU7" s="16" t="s">
        <v>513</v>
      </c>
      <c r="GV7" s="16" t="s">
        <v>514</v>
      </c>
      <c r="GW7" s="16" t="s">
        <v>515</v>
      </c>
      <c r="GX7" s="16" t="s">
        <v>516</v>
      </c>
      <c r="GY7" s="16" t="s">
        <v>517</v>
      </c>
      <c r="GZ7" s="16" t="s">
        <v>518</v>
      </c>
      <c r="HA7" s="16" t="s">
        <v>519</v>
      </c>
      <c r="HB7" s="16" t="s">
        <v>520</v>
      </c>
      <c r="HC7" s="16" t="s">
        <v>521</v>
      </c>
      <c r="HD7" s="16" t="s">
        <v>522</v>
      </c>
      <c r="HE7" s="16" t="s">
        <v>523</v>
      </c>
      <c r="HF7" s="16" t="s">
        <v>524</v>
      </c>
      <c r="HG7" s="16" t="s">
        <v>525</v>
      </c>
      <c r="HH7" s="16" t="s">
        <v>526</v>
      </c>
      <c r="HI7" s="16" t="s">
        <v>527</v>
      </c>
      <c r="HJ7" s="16" t="s">
        <v>528</v>
      </c>
      <c r="HK7" s="16" t="s">
        <v>529</v>
      </c>
      <c r="HL7" s="16" t="s">
        <v>530</v>
      </c>
      <c r="HM7" s="16" t="s">
        <v>531</v>
      </c>
      <c r="HN7" s="16" t="s">
        <v>532</v>
      </c>
      <c r="HO7" s="16" t="s">
        <v>533</v>
      </c>
      <c r="HP7" s="16" t="s">
        <v>534</v>
      </c>
      <c r="HQ7" s="16" t="s">
        <v>535</v>
      </c>
      <c r="HR7" s="16" t="s">
        <v>536</v>
      </c>
      <c r="HS7" s="16" t="s">
        <v>537</v>
      </c>
      <c r="HT7" s="16" t="s">
        <v>538</v>
      </c>
      <c r="HU7" s="16" t="s">
        <v>539</v>
      </c>
      <c r="HV7" s="16" t="s">
        <v>540</v>
      </c>
      <c r="HW7" s="16" t="s">
        <v>541</v>
      </c>
      <c r="HX7" s="16" t="s">
        <v>542</v>
      </c>
      <c r="HY7" s="16" t="s">
        <v>543</v>
      </c>
      <c r="HZ7" s="16" t="s">
        <v>544</v>
      </c>
      <c r="IA7" s="16" t="s">
        <v>545</v>
      </c>
      <c r="IB7" s="16" t="s">
        <v>546</v>
      </c>
      <c r="IC7" s="16" t="s">
        <v>547</v>
      </c>
      <c r="ID7" s="16" t="s">
        <v>548</v>
      </c>
      <c r="IE7" s="16" t="s">
        <v>549</v>
      </c>
      <c r="IF7" s="16" t="s">
        <v>550</v>
      </c>
      <c r="IG7" s="16" t="s">
        <v>551</v>
      </c>
      <c r="IH7" s="16" t="s">
        <v>552</v>
      </c>
      <c r="II7" s="16" t="s">
        <v>553</v>
      </c>
      <c r="IJ7" s="16" t="s">
        <v>554</v>
      </c>
      <c r="IK7" s="16" t="s">
        <v>555</v>
      </c>
      <c r="IL7" s="16" t="s">
        <v>556</v>
      </c>
      <c r="IM7" s="16" t="s">
        <v>557</v>
      </c>
      <c r="IN7" s="16" t="s">
        <v>558</v>
      </c>
      <c r="IO7" s="16" t="s">
        <v>559</v>
      </c>
      <c r="IP7" s="16" t="s">
        <v>560</v>
      </c>
      <c r="IQ7" s="16" t="s">
        <v>561</v>
      </c>
      <c r="IR7" s="16" t="s">
        <v>562</v>
      </c>
      <c r="IS7" s="16" t="s">
        <v>563</v>
      </c>
      <c r="IT7" s="16" t="s">
        <v>564</v>
      </c>
      <c r="IU7" s="16" t="s">
        <v>565</v>
      </c>
      <c r="IV7" s="16" t="s">
        <v>566</v>
      </c>
      <c r="IW7" s="16" t="s">
        <v>567</v>
      </c>
      <c r="IX7" s="16" t="s">
        <v>568</v>
      </c>
      <c r="IY7" s="16" t="s">
        <v>569</v>
      </c>
      <c r="IZ7" s="16" t="s">
        <v>570</v>
      </c>
      <c r="JA7" s="16" t="s">
        <v>571</v>
      </c>
      <c r="JB7" s="16" t="s">
        <v>572</v>
      </c>
      <c r="JC7" s="16" t="s">
        <v>573</v>
      </c>
      <c r="JD7" s="16" t="s">
        <v>574</v>
      </c>
      <c r="JE7" s="16" t="s">
        <v>575</v>
      </c>
      <c r="JF7" s="16" t="s">
        <v>576</v>
      </c>
      <c r="JG7" s="16" t="s">
        <v>577</v>
      </c>
      <c r="JH7" s="16" t="s">
        <v>578</v>
      </c>
      <c r="JI7" s="16" t="s">
        <v>579</v>
      </c>
      <c r="JJ7" s="16" t="s">
        <v>580</v>
      </c>
      <c r="JK7" s="16" t="s">
        <v>581</v>
      </c>
      <c r="JL7" s="16" t="s">
        <v>582</v>
      </c>
      <c r="JM7" s="16" t="s">
        <v>583</v>
      </c>
      <c r="JN7" s="16" t="s">
        <v>584</v>
      </c>
      <c r="JO7" s="16" t="s">
        <v>585</v>
      </c>
      <c r="JP7" s="16" t="s">
        <v>586</v>
      </c>
      <c r="JQ7" s="16" t="s">
        <v>587</v>
      </c>
      <c r="JR7" s="16" t="s">
        <v>588</v>
      </c>
      <c r="JS7" s="16" t="s">
        <v>589</v>
      </c>
      <c r="JT7" s="16" t="s">
        <v>590</v>
      </c>
      <c r="JU7" s="16" t="s">
        <v>591</v>
      </c>
      <c r="JV7" s="16" t="s">
        <v>592</v>
      </c>
      <c r="JW7" s="16" t="s">
        <v>593</v>
      </c>
      <c r="JX7" s="16" t="s">
        <v>594</v>
      </c>
      <c r="JY7" s="16" t="s">
        <v>595</v>
      </c>
      <c r="JZ7" s="16" t="s">
        <v>596</v>
      </c>
      <c r="KA7" s="16" t="s">
        <v>597</v>
      </c>
      <c r="KB7" s="16" t="s">
        <v>598</v>
      </c>
      <c r="KC7" s="16" t="s">
        <v>599</v>
      </c>
      <c r="KD7" s="16" t="s">
        <v>600</v>
      </c>
      <c r="KE7" s="16" t="s">
        <v>601</v>
      </c>
      <c r="KF7" s="16" t="s">
        <v>602</v>
      </c>
      <c r="KG7" s="16" t="s">
        <v>603</v>
      </c>
      <c r="KH7" s="16" t="s">
        <v>604</v>
      </c>
      <c r="KI7" s="16" t="s">
        <v>605</v>
      </c>
      <c r="KJ7" s="16" t="s">
        <v>606</v>
      </c>
      <c r="KK7" s="16" t="s">
        <v>607</v>
      </c>
      <c r="KL7" s="16" t="s">
        <v>608</v>
      </c>
      <c r="KM7" s="17" t="s">
        <v>609</v>
      </c>
    </row>
    <row r="8" spans="1:299" x14ac:dyDescent="0.25">
      <c r="A8" s="10" t="s">
        <v>5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2" t="s">
        <v>18</v>
      </c>
      <c r="N8" s="2" t="s">
        <v>19</v>
      </c>
      <c r="O8" s="2" t="s">
        <v>20</v>
      </c>
      <c r="P8" s="2" t="s">
        <v>21</v>
      </c>
      <c r="Q8" s="2" t="s">
        <v>22</v>
      </c>
      <c r="R8" s="2" t="s">
        <v>23</v>
      </c>
      <c r="S8" s="2" t="s">
        <v>24</v>
      </c>
      <c r="T8" s="2" t="s">
        <v>25</v>
      </c>
      <c r="U8" s="2" t="s">
        <v>26</v>
      </c>
      <c r="V8" s="2" t="s">
        <v>27</v>
      </c>
      <c r="W8" s="2" t="s">
        <v>28</v>
      </c>
      <c r="X8" s="2" t="s">
        <v>29</v>
      </c>
      <c r="Y8" s="2" t="s">
        <v>30</v>
      </c>
      <c r="Z8" s="2" t="s">
        <v>31</v>
      </c>
      <c r="AA8" s="2" t="s">
        <v>32</v>
      </c>
      <c r="AB8" s="2" t="s">
        <v>33</v>
      </c>
      <c r="AC8" s="2" t="s">
        <v>34</v>
      </c>
      <c r="AD8" s="2" t="s">
        <v>35</v>
      </c>
      <c r="AE8" s="2" t="s">
        <v>36</v>
      </c>
      <c r="AF8" s="2" t="s">
        <v>37</v>
      </c>
      <c r="AG8" s="2" t="s">
        <v>38</v>
      </c>
      <c r="AH8" s="2" t="s">
        <v>39</v>
      </c>
      <c r="AI8" s="2" t="s">
        <v>40</v>
      </c>
      <c r="AJ8" s="2" t="s">
        <v>41</v>
      </c>
      <c r="AK8" s="2" t="s">
        <v>42</v>
      </c>
      <c r="AL8" s="2" t="s">
        <v>43</v>
      </c>
      <c r="AM8" s="2" t="s">
        <v>44</v>
      </c>
      <c r="AN8" s="2" t="s">
        <v>45</v>
      </c>
      <c r="AO8" s="2" t="s">
        <v>46</v>
      </c>
      <c r="AP8" s="2" t="s">
        <v>47</v>
      </c>
      <c r="AQ8" s="2" t="s">
        <v>48</v>
      </c>
      <c r="AR8" s="2" t="s">
        <v>49</v>
      </c>
      <c r="AS8" s="2" t="s">
        <v>50</v>
      </c>
      <c r="AT8" s="2" t="s">
        <v>51</v>
      </c>
      <c r="AU8" s="2" t="s">
        <v>52</v>
      </c>
      <c r="AV8" s="2" t="s">
        <v>53</v>
      </c>
      <c r="AW8" s="2" t="s">
        <v>54</v>
      </c>
      <c r="AX8" s="2" t="s">
        <v>55</v>
      </c>
      <c r="AY8" s="2" t="s">
        <v>56</v>
      </c>
      <c r="AZ8" s="2" t="s">
        <v>57</v>
      </c>
      <c r="BA8" s="2" t="s">
        <v>58</v>
      </c>
      <c r="BB8" s="2" t="s">
        <v>59</v>
      </c>
      <c r="BC8" s="2" t="s">
        <v>60</v>
      </c>
      <c r="BD8" s="2" t="s">
        <v>61</v>
      </c>
      <c r="BE8" s="2" t="s">
        <v>62</v>
      </c>
      <c r="BF8" s="2" t="s">
        <v>63</v>
      </c>
      <c r="BG8" s="2" t="s">
        <v>64</v>
      </c>
      <c r="BH8" s="2" t="s">
        <v>65</v>
      </c>
      <c r="BI8" s="2" t="s">
        <v>66</v>
      </c>
      <c r="BJ8" s="2" t="s">
        <v>67</v>
      </c>
      <c r="BK8" s="2" t="s">
        <v>68</v>
      </c>
      <c r="BL8" s="2" t="s">
        <v>69</v>
      </c>
      <c r="BM8" s="2" t="s">
        <v>70</v>
      </c>
      <c r="BN8" s="2" t="s">
        <v>71</v>
      </c>
      <c r="BO8" s="2" t="s">
        <v>72</v>
      </c>
      <c r="BP8" s="2" t="s">
        <v>73</v>
      </c>
      <c r="BQ8" s="2" t="s">
        <v>74</v>
      </c>
      <c r="BR8" s="2" t="s">
        <v>75</v>
      </c>
      <c r="BS8" s="2" t="s">
        <v>76</v>
      </c>
      <c r="BT8" s="2" t="s">
        <v>77</v>
      </c>
      <c r="BU8" s="2" t="s">
        <v>78</v>
      </c>
      <c r="BV8" s="2" t="s">
        <v>79</v>
      </c>
      <c r="BW8" s="2" t="s">
        <v>80</v>
      </c>
      <c r="BX8" s="2" t="s">
        <v>81</v>
      </c>
      <c r="BY8" s="2" t="s">
        <v>82</v>
      </c>
      <c r="BZ8" s="2" t="s">
        <v>83</v>
      </c>
      <c r="CA8" s="2" t="s">
        <v>84</v>
      </c>
      <c r="CB8" s="2" t="s">
        <v>85</v>
      </c>
      <c r="CC8" s="2" t="s">
        <v>86</v>
      </c>
      <c r="CD8" s="2" t="s">
        <v>87</v>
      </c>
      <c r="CE8" s="2" t="s">
        <v>88</v>
      </c>
      <c r="CF8" s="2" t="s">
        <v>89</v>
      </c>
      <c r="CG8" s="2" t="s">
        <v>90</v>
      </c>
      <c r="CH8" s="2" t="s">
        <v>91</v>
      </c>
      <c r="CI8" s="2" t="s">
        <v>92</v>
      </c>
      <c r="CJ8" s="2" t="s">
        <v>93</v>
      </c>
      <c r="CK8" s="2" t="s">
        <v>94</v>
      </c>
      <c r="CL8" s="2" t="s">
        <v>95</v>
      </c>
      <c r="CM8" s="2" t="s">
        <v>96</v>
      </c>
      <c r="CN8" s="2" t="s">
        <v>97</v>
      </c>
      <c r="CO8" s="2" t="s">
        <v>98</v>
      </c>
      <c r="CP8" s="2" t="s">
        <v>99</v>
      </c>
      <c r="CQ8" s="2" t="s">
        <v>100</v>
      </c>
      <c r="CR8" s="2" t="s">
        <v>101</v>
      </c>
      <c r="CS8" s="2" t="s">
        <v>102</v>
      </c>
      <c r="CT8" s="2" t="s">
        <v>103</v>
      </c>
      <c r="CU8" s="2" t="s">
        <v>104</v>
      </c>
      <c r="CV8" s="2" t="s">
        <v>105</v>
      </c>
      <c r="CW8" s="2" t="s">
        <v>106</v>
      </c>
      <c r="CX8" s="2" t="s">
        <v>107</v>
      </c>
      <c r="CY8" s="2" t="s">
        <v>108</v>
      </c>
      <c r="CZ8" s="2" t="s">
        <v>109</v>
      </c>
      <c r="DA8" s="2" t="s">
        <v>110</v>
      </c>
      <c r="DB8" s="2" t="s">
        <v>111</v>
      </c>
      <c r="DC8" s="2" t="s">
        <v>112</v>
      </c>
      <c r="DD8" s="2" t="s">
        <v>113</v>
      </c>
      <c r="DE8" s="2" t="s">
        <v>114</v>
      </c>
      <c r="DF8" s="2" t="s">
        <v>115</v>
      </c>
      <c r="DG8" s="2" t="s">
        <v>116</v>
      </c>
      <c r="DH8" s="2" t="s">
        <v>117</v>
      </c>
      <c r="DI8" s="2" t="s">
        <v>118</v>
      </c>
      <c r="DJ8" s="2" t="s">
        <v>119</v>
      </c>
      <c r="DK8" s="2" t="s">
        <v>120</v>
      </c>
      <c r="DL8" s="2" t="s">
        <v>121</v>
      </c>
      <c r="DM8" s="2" t="s">
        <v>122</v>
      </c>
      <c r="DN8" s="2" t="s">
        <v>123</v>
      </c>
      <c r="DO8" s="2" t="s">
        <v>124</v>
      </c>
      <c r="DP8" s="2" t="s">
        <v>125</v>
      </c>
      <c r="DQ8" s="2" t="s">
        <v>126</v>
      </c>
      <c r="DR8" s="2" t="s">
        <v>127</v>
      </c>
      <c r="DS8" s="2" t="s">
        <v>128</v>
      </c>
      <c r="DT8" s="2" t="s">
        <v>129</v>
      </c>
      <c r="DU8" s="2" t="s">
        <v>130</v>
      </c>
      <c r="DV8" s="2" t="s">
        <v>131</v>
      </c>
      <c r="DW8" s="2" t="s">
        <v>132</v>
      </c>
      <c r="DX8" s="2" t="s">
        <v>133</v>
      </c>
      <c r="DY8" s="2" t="s">
        <v>134</v>
      </c>
      <c r="DZ8" s="2" t="s">
        <v>135</v>
      </c>
      <c r="EA8" s="2" t="s">
        <v>136</v>
      </c>
      <c r="EB8" s="2" t="s">
        <v>137</v>
      </c>
      <c r="EC8" s="2" t="s">
        <v>138</v>
      </c>
      <c r="ED8" s="2" t="s">
        <v>139</v>
      </c>
      <c r="EE8" s="2" t="s">
        <v>140</v>
      </c>
      <c r="EF8" s="2" t="s">
        <v>141</v>
      </c>
      <c r="EG8" s="2" t="s">
        <v>142</v>
      </c>
      <c r="EH8" s="2" t="s">
        <v>143</v>
      </c>
      <c r="EI8" s="2" t="s">
        <v>144</v>
      </c>
      <c r="EJ8" s="2" t="s">
        <v>145</v>
      </c>
      <c r="EK8" s="2" t="s">
        <v>146</v>
      </c>
      <c r="EL8" s="2" t="s">
        <v>147</v>
      </c>
      <c r="EM8" s="2" t="s">
        <v>148</v>
      </c>
      <c r="EN8" s="2" t="s">
        <v>149</v>
      </c>
      <c r="EO8" s="2" t="s">
        <v>150</v>
      </c>
      <c r="EP8" s="2" t="s">
        <v>151</v>
      </c>
      <c r="EQ8" s="2" t="s">
        <v>152</v>
      </c>
      <c r="ER8" s="2" t="s">
        <v>153</v>
      </c>
      <c r="ES8" s="2" t="s">
        <v>154</v>
      </c>
      <c r="ET8" s="2" t="s">
        <v>155</v>
      </c>
      <c r="EU8" s="2" t="s">
        <v>156</v>
      </c>
      <c r="EV8" s="2" t="s">
        <v>157</v>
      </c>
      <c r="EW8" s="2" t="s">
        <v>158</v>
      </c>
      <c r="EX8" s="2" t="s">
        <v>159</v>
      </c>
      <c r="EY8" s="2" t="s">
        <v>160</v>
      </c>
      <c r="EZ8" s="2" t="s">
        <v>161</v>
      </c>
      <c r="FA8" s="2" t="s">
        <v>162</v>
      </c>
      <c r="FB8" s="2" t="s">
        <v>163</v>
      </c>
      <c r="FC8" s="2" t="s">
        <v>164</v>
      </c>
      <c r="FD8" s="2" t="s">
        <v>165</v>
      </c>
      <c r="FE8" s="2" t="s">
        <v>166</v>
      </c>
      <c r="FF8" s="2" t="s">
        <v>167</v>
      </c>
      <c r="FG8" s="2" t="s">
        <v>168</v>
      </c>
      <c r="FH8" s="2" t="s">
        <v>169</v>
      </c>
      <c r="FI8" s="2" t="s">
        <v>170</v>
      </c>
      <c r="FJ8" s="2" t="s">
        <v>171</v>
      </c>
      <c r="FK8" s="2" t="s">
        <v>172</v>
      </c>
      <c r="FL8" s="2" t="s">
        <v>173</v>
      </c>
      <c r="FM8" s="2" t="s">
        <v>174</v>
      </c>
      <c r="FN8" s="2" t="s">
        <v>175</v>
      </c>
      <c r="FO8" s="2" t="s">
        <v>176</v>
      </c>
      <c r="FP8" s="2" t="s">
        <v>177</v>
      </c>
      <c r="FQ8" s="2" t="s">
        <v>178</v>
      </c>
      <c r="FR8" s="2" t="s">
        <v>179</v>
      </c>
      <c r="FS8" s="2" t="s">
        <v>180</v>
      </c>
      <c r="FT8" s="2" t="s">
        <v>181</v>
      </c>
      <c r="FU8" s="2" t="s">
        <v>182</v>
      </c>
      <c r="FV8" s="2" t="s">
        <v>183</v>
      </c>
      <c r="FW8" s="2" t="s">
        <v>184</v>
      </c>
      <c r="FX8" s="2" t="s">
        <v>185</v>
      </c>
      <c r="FY8" s="2" t="s">
        <v>186</v>
      </c>
      <c r="FZ8" s="2" t="s">
        <v>187</v>
      </c>
      <c r="GA8" s="2" t="s">
        <v>188</v>
      </c>
      <c r="GB8" s="2" t="s">
        <v>189</v>
      </c>
      <c r="GC8" s="2" t="s">
        <v>190</v>
      </c>
      <c r="GD8" s="2" t="s">
        <v>191</v>
      </c>
      <c r="GE8" s="2" t="s">
        <v>192</v>
      </c>
      <c r="GF8" s="2" t="s">
        <v>193</v>
      </c>
      <c r="GG8" s="2" t="s">
        <v>194</v>
      </c>
      <c r="GH8" s="2" t="s">
        <v>195</v>
      </c>
      <c r="GI8" s="2" t="s">
        <v>196</v>
      </c>
      <c r="GJ8" s="2" t="s">
        <v>197</v>
      </c>
      <c r="GK8" s="2" t="s">
        <v>198</v>
      </c>
      <c r="GL8" s="2" t="s">
        <v>199</v>
      </c>
      <c r="GM8" s="2" t="s">
        <v>200</v>
      </c>
      <c r="GN8" s="2" t="s">
        <v>201</v>
      </c>
      <c r="GO8" s="2" t="s">
        <v>202</v>
      </c>
      <c r="GP8" s="2" t="s">
        <v>203</v>
      </c>
      <c r="GQ8" s="2" t="s">
        <v>204</v>
      </c>
      <c r="GR8" s="2" t="s">
        <v>205</v>
      </c>
      <c r="GS8" s="2" t="s">
        <v>206</v>
      </c>
      <c r="GT8" s="2" t="s">
        <v>207</v>
      </c>
      <c r="GU8" s="2" t="s">
        <v>208</v>
      </c>
      <c r="GV8" s="2" t="s">
        <v>209</v>
      </c>
      <c r="GW8" s="2" t="s">
        <v>210</v>
      </c>
      <c r="GX8" s="2" t="s">
        <v>211</v>
      </c>
      <c r="GY8" s="2" t="s">
        <v>212</v>
      </c>
      <c r="GZ8" s="2" t="s">
        <v>213</v>
      </c>
      <c r="HA8" s="2" t="s">
        <v>214</v>
      </c>
      <c r="HB8" s="2" t="s">
        <v>215</v>
      </c>
      <c r="HC8" s="2" t="s">
        <v>216</v>
      </c>
      <c r="HD8" s="2" t="s">
        <v>217</v>
      </c>
      <c r="HE8" s="2" t="s">
        <v>218</v>
      </c>
      <c r="HF8" s="2" t="s">
        <v>219</v>
      </c>
      <c r="HG8" s="2" t="s">
        <v>220</v>
      </c>
      <c r="HH8" s="2" t="s">
        <v>221</v>
      </c>
      <c r="HI8" s="2" t="s">
        <v>222</v>
      </c>
      <c r="HJ8" s="2" t="s">
        <v>223</v>
      </c>
      <c r="HK8" s="2" t="s">
        <v>224</v>
      </c>
      <c r="HL8" s="2" t="s">
        <v>225</v>
      </c>
      <c r="HM8" s="2" t="s">
        <v>226</v>
      </c>
      <c r="HN8" s="2" t="s">
        <v>227</v>
      </c>
      <c r="HO8" s="2" t="s">
        <v>228</v>
      </c>
      <c r="HP8" s="2" t="s">
        <v>229</v>
      </c>
      <c r="HQ8" s="2" t="s">
        <v>230</v>
      </c>
      <c r="HR8" s="2" t="s">
        <v>231</v>
      </c>
      <c r="HS8" s="2" t="s">
        <v>232</v>
      </c>
      <c r="HT8" s="2" t="s">
        <v>233</v>
      </c>
      <c r="HU8" s="2" t="s">
        <v>234</v>
      </c>
      <c r="HV8" s="2" t="s">
        <v>235</v>
      </c>
      <c r="HW8" s="2" t="s">
        <v>236</v>
      </c>
      <c r="HX8" s="2" t="s">
        <v>237</v>
      </c>
      <c r="HY8" s="2" t="s">
        <v>238</v>
      </c>
      <c r="HZ8" s="2" t="s">
        <v>239</v>
      </c>
      <c r="IA8" s="2" t="s">
        <v>240</v>
      </c>
      <c r="IB8" s="2" t="s">
        <v>241</v>
      </c>
      <c r="IC8" s="2" t="s">
        <v>242</v>
      </c>
      <c r="ID8" s="2" t="s">
        <v>243</v>
      </c>
      <c r="IE8" s="2" t="s">
        <v>244</v>
      </c>
      <c r="IF8" s="2" t="s">
        <v>245</v>
      </c>
      <c r="IG8" s="2" t="s">
        <v>246</v>
      </c>
      <c r="IH8" s="2" t="s">
        <v>247</v>
      </c>
      <c r="II8" s="2" t="s">
        <v>248</v>
      </c>
      <c r="IJ8" s="2" t="s">
        <v>249</v>
      </c>
      <c r="IK8" s="2" t="s">
        <v>250</v>
      </c>
      <c r="IL8" s="2" t="s">
        <v>251</v>
      </c>
      <c r="IM8" s="2" t="s">
        <v>252</v>
      </c>
      <c r="IN8" s="2" t="s">
        <v>253</v>
      </c>
      <c r="IO8" s="2" t="s">
        <v>254</v>
      </c>
      <c r="IP8" s="2" t="s">
        <v>255</v>
      </c>
      <c r="IQ8" s="2" t="s">
        <v>256</v>
      </c>
      <c r="IR8" s="2" t="s">
        <v>257</v>
      </c>
      <c r="IS8" s="2" t="s">
        <v>258</v>
      </c>
      <c r="IT8" s="2" t="s">
        <v>259</v>
      </c>
      <c r="IU8" s="2" t="s">
        <v>260</v>
      </c>
      <c r="IV8" s="2" t="s">
        <v>261</v>
      </c>
      <c r="IW8" s="2" t="s">
        <v>262</v>
      </c>
      <c r="IX8" s="2" t="s">
        <v>263</v>
      </c>
      <c r="IY8" s="2" t="s">
        <v>264</v>
      </c>
      <c r="IZ8" s="2" t="s">
        <v>265</v>
      </c>
      <c r="JA8" s="2" t="s">
        <v>266</v>
      </c>
      <c r="JB8" s="2" t="s">
        <v>267</v>
      </c>
      <c r="JC8" s="2" t="s">
        <v>268</v>
      </c>
      <c r="JD8" s="2" t="s">
        <v>269</v>
      </c>
      <c r="JE8" s="2" t="s">
        <v>270</v>
      </c>
      <c r="JF8" s="2" t="s">
        <v>271</v>
      </c>
      <c r="JG8" s="2" t="s">
        <v>272</v>
      </c>
      <c r="JH8" s="2" t="s">
        <v>273</v>
      </c>
      <c r="JI8" s="2" t="s">
        <v>274</v>
      </c>
      <c r="JJ8" s="2" t="s">
        <v>275</v>
      </c>
      <c r="JK8" s="2" t="s">
        <v>276</v>
      </c>
      <c r="JL8" s="2" t="s">
        <v>277</v>
      </c>
      <c r="JM8" s="2" t="s">
        <v>278</v>
      </c>
      <c r="JN8" s="2" t="s">
        <v>279</v>
      </c>
      <c r="JO8" s="2" t="s">
        <v>280</v>
      </c>
      <c r="JP8" s="2" t="s">
        <v>281</v>
      </c>
      <c r="JQ8" s="2" t="s">
        <v>282</v>
      </c>
      <c r="JR8" s="2" t="s">
        <v>283</v>
      </c>
      <c r="JS8" s="2" t="s">
        <v>284</v>
      </c>
      <c r="JT8" s="2" t="s">
        <v>285</v>
      </c>
      <c r="JU8" s="2" t="s">
        <v>286</v>
      </c>
      <c r="JV8" s="2" t="s">
        <v>287</v>
      </c>
      <c r="JW8" s="2" t="s">
        <v>288</v>
      </c>
      <c r="JX8" s="2" t="s">
        <v>289</v>
      </c>
      <c r="JY8" s="2" t="s">
        <v>290</v>
      </c>
      <c r="JZ8" s="2" t="s">
        <v>291</v>
      </c>
      <c r="KA8" s="2" t="s">
        <v>292</v>
      </c>
      <c r="KB8" s="2" t="s">
        <v>293</v>
      </c>
      <c r="KC8" s="2" t="s">
        <v>294</v>
      </c>
      <c r="KD8" s="2" t="s">
        <v>295</v>
      </c>
      <c r="KE8" s="2" t="s">
        <v>296</v>
      </c>
      <c r="KF8" s="2" t="s">
        <v>297</v>
      </c>
      <c r="KG8" s="2" t="s">
        <v>298</v>
      </c>
      <c r="KH8" s="2" t="s">
        <v>299</v>
      </c>
      <c r="KI8" s="2" t="s">
        <v>300</v>
      </c>
      <c r="KJ8" s="2" t="s">
        <v>301</v>
      </c>
      <c r="KK8" s="2" t="s">
        <v>302</v>
      </c>
      <c r="KL8" s="2" t="s">
        <v>303</v>
      </c>
      <c r="KM8" s="12" t="s">
        <v>304</v>
      </c>
    </row>
    <row r="9" spans="1:299" x14ac:dyDescent="0.25">
      <c r="A9" s="11" t="s">
        <v>305</v>
      </c>
      <c r="B9" s="4">
        <v>109.892</v>
      </c>
      <c r="C9" s="4">
        <v>101.178</v>
      </c>
      <c r="D9" s="4">
        <v>83.840999999999994</v>
      </c>
      <c r="E9" s="4">
        <v>96.415000000000006</v>
      </c>
      <c r="F9" s="4">
        <v>88.435000000000002</v>
      </c>
      <c r="G9" s="4">
        <v>98.516999999999996</v>
      </c>
      <c r="H9" s="4">
        <v>97.302999999999997</v>
      </c>
      <c r="I9" s="4">
        <v>90.960999999999999</v>
      </c>
      <c r="J9" s="4">
        <v>94.366</v>
      </c>
      <c r="K9" s="4">
        <v>99.935000000000002</v>
      </c>
      <c r="L9" s="4">
        <v>87.924000000000007</v>
      </c>
      <c r="M9" s="4">
        <v>101.587</v>
      </c>
      <c r="N9" s="4">
        <v>100.462</v>
      </c>
      <c r="O9" s="4">
        <v>101.47199999999999</v>
      </c>
      <c r="P9" s="4">
        <v>90.945999999999998</v>
      </c>
      <c r="Q9" s="4">
        <v>101.613</v>
      </c>
      <c r="R9" s="4">
        <v>103.718</v>
      </c>
      <c r="S9" s="4">
        <v>106.658</v>
      </c>
      <c r="T9" s="4">
        <v>101.36499999999999</v>
      </c>
      <c r="U9" s="4">
        <v>109.892</v>
      </c>
      <c r="V9" s="4">
        <v>96.843000000000004</v>
      </c>
      <c r="W9" s="4">
        <v>87.570999999999998</v>
      </c>
      <c r="X9" s="4">
        <v>83.150999999999996</v>
      </c>
      <c r="Y9" s="4">
        <v>112.76900000000001</v>
      </c>
      <c r="Z9" s="4">
        <v>104.88</v>
      </c>
      <c r="AA9" s="4">
        <v>104.056</v>
      </c>
      <c r="AB9" s="4">
        <v>89.259</v>
      </c>
      <c r="AC9" s="4">
        <v>95.558000000000007</v>
      </c>
      <c r="AD9" s="4">
        <v>111.297</v>
      </c>
      <c r="AE9" s="4">
        <v>104.623</v>
      </c>
      <c r="AF9" s="4">
        <v>101.126</v>
      </c>
      <c r="AG9" s="4">
        <v>95.628</v>
      </c>
      <c r="AH9" s="4">
        <v>92.849000000000004</v>
      </c>
      <c r="AI9" s="4">
        <v>85.352999999999994</v>
      </c>
      <c r="AJ9" s="4">
        <v>86.918999999999997</v>
      </c>
      <c r="AK9" s="4">
        <v>101.855</v>
      </c>
      <c r="AL9" s="4">
        <v>99.914000000000001</v>
      </c>
      <c r="AM9" s="4">
        <v>108.76</v>
      </c>
      <c r="AN9" s="4">
        <v>89.911000000000001</v>
      </c>
      <c r="AO9" s="4">
        <v>108.881</v>
      </c>
      <c r="AP9" s="4">
        <v>104.982</v>
      </c>
      <c r="AQ9" s="4">
        <v>104.10599999999999</v>
      </c>
      <c r="AR9" s="4">
        <v>108.553</v>
      </c>
      <c r="AS9" s="4">
        <v>112.172</v>
      </c>
      <c r="AT9" s="4">
        <v>88.525000000000006</v>
      </c>
      <c r="AU9" s="4">
        <v>85.423000000000002</v>
      </c>
      <c r="AV9" s="4">
        <v>87.748999999999995</v>
      </c>
      <c r="AW9" s="4">
        <v>107.03400000000001</v>
      </c>
      <c r="AX9" s="4">
        <v>93.905000000000001</v>
      </c>
      <c r="AY9" s="4">
        <v>102.063</v>
      </c>
      <c r="AZ9" s="4">
        <v>90.608000000000004</v>
      </c>
      <c r="BA9" s="4">
        <v>118.57299999999999</v>
      </c>
      <c r="BB9" s="4">
        <v>103.813</v>
      </c>
      <c r="BC9" s="4">
        <v>87.832999999999998</v>
      </c>
      <c r="BD9" s="4">
        <v>55.884</v>
      </c>
      <c r="BE9" s="4">
        <v>83.983999999999995</v>
      </c>
      <c r="BF9" s="4">
        <v>94.573999999999998</v>
      </c>
      <c r="BG9" s="4">
        <v>83.388999999999996</v>
      </c>
      <c r="BH9" s="4">
        <v>94.9</v>
      </c>
      <c r="BI9" s="4">
        <v>119.145</v>
      </c>
      <c r="BJ9" s="4">
        <v>115.29600000000001</v>
      </c>
      <c r="BK9" s="4">
        <v>105.621</v>
      </c>
      <c r="BL9" s="4">
        <v>96.331999999999994</v>
      </c>
      <c r="BM9" s="4">
        <v>107.70099999999999</v>
      </c>
      <c r="BN9" s="4">
        <v>96.257999999999996</v>
      </c>
      <c r="BO9" s="4">
        <v>99.384</v>
      </c>
      <c r="BP9" s="4">
        <v>97.927000000000007</v>
      </c>
      <c r="BQ9" s="4">
        <v>88.906999999999996</v>
      </c>
      <c r="BR9" s="4">
        <v>87.055000000000007</v>
      </c>
      <c r="BS9" s="4">
        <v>91.876000000000005</v>
      </c>
      <c r="BT9" s="4">
        <v>76.802000000000007</v>
      </c>
      <c r="BU9" s="4">
        <v>96.334999999999994</v>
      </c>
      <c r="BV9" s="4">
        <v>106.176</v>
      </c>
      <c r="BW9" s="4">
        <v>96.135999999999996</v>
      </c>
      <c r="BX9" s="4">
        <v>94.484999999999999</v>
      </c>
      <c r="BY9" s="4">
        <v>104.39400000000001</v>
      </c>
      <c r="BZ9" s="4">
        <v>107.937</v>
      </c>
      <c r="CA9" s="4">
        <v>104.72</v>
      </c>
      <c r="CB9" s="4">
        <v>94.444000000000003</v>
      </c>
      <c r="CC9" s="4">
        <v>104.496</v>
      </c>
      <c r="CD9" s="4">
        <v>99.905000000000001</v>
      </c>
      <c r="CE9" s="4">
        <v>101.072</v>
      </c>
      <c r="CF9" s="4">
        <v>86.391999999999996</v>
      </c>
      <c r="CG9" s="4">
        <v>127.395</v>
      </c>
      <c r="CH9" s="4">
        <v>119.71899999999999</v>
      </c>
      <c r="CI9" s="4">
        <v>118.61799999999999</v>
      </c>
      <c r="CJ9" s="4">
        <v>104.236</v>
      </c>
      <c r="CK9" s="4">
        <v>111.71299999999999</v>
      </c>
      <c r="CL9" s="4">
        <v>101.765</v>
      </c>
      <c r="CM9" s="4">
        <v>114.93899999999999</v>
      </c>
      <c r="CN9" s="4">
        <v>92.727000000000004</v>
      </c>
      <c r="CO9" s="4">
        <v>103.95699999999999</v>
      </c>
      <c r="CP9" s="4">
        <v>87.266000000000005</v>
      </c>
      <c r="CQ9" s="4">
        <v>85.909000000000006</v>
      </c>
      <c r="CR9" s="4">
        <v>75.89</v>
      </c>
      <c r="CS9" s="4">
        <v>104.733</v>
      </c>
      <c r="CT9" s="4">
        <v>99.843999999999994</v>
      </c>
      <c r="CU9" s="4">
        <v>106.678</v>
      </c>
      <c r="CV9" s="4">
        <v>98.5</v>
      </c>
      <c r="CW9" s="4">
        <v>104.04</v>
      </c>
      <c r="CX9" s="4">
        <v>105.441</v>
      </c>
      <c r="CY9" s="4">
        <v>105.164</v>
      </c>
      <c r="CZ9" s="4">
        <v>106.682</v>
      </c>
      <c r="DA9" s="4">
        <v>100.18899999999999</v>
      </c>
      <c r="DB9" s="4">
        <v>99.094999999999999</v>
      </c>
      <c r="DC9" s="4">
        <v>88.429000000000002</v>
      </c>
      <c r="DD9" s="4">
        <v>83.444000000000003</v>
      </c>
      <c r="DE9" s="4">
        <v>106.919</v>
      </c>
      <c r="DF9" s="4">
        <v>114.73399999999999</v>
      </c>
      <c r="DG9" s="4">
        <v>110.562</v>
      </c>
      <c r="DH9" s="4">
        <v>81.411000000000001</v>
      </c>
      <c r="DI9" s="4">
        <v>112.967</v>
      </c>
      <c r="DJ9" s="4">
        <v>122.59399999999999</v>
      </c>
      <c r="DK9" s="4">
        <v>116.592</v>
      </c>
      <c r="DL9" s="4">
        <v>122.202</v>
      </c>
      <c r="DM9" s="4">
        <v>115.937</v>
      </c>
      <c r="DN9" s="4">
        <v>112.214</v>
      </c>
      <c r="DO9" s="4">
        <v>104.937</v>
      </c>
      <c r="DP9" s="4">
        <v>103.53</v>
      </c>
      <c r="DQ9" s="4">
        <v>126.041</v>
      </c>
      <c r="DR9" s="4">
        <v>133.38200000000001</v>
      </c>
      <c r="DS9" s="4">
        <v>136.518</v>
      </c>
      <c r="DT9" s="4">
        <v>91.153000000000006</v>
      </c>
      <c r="DU9" s="4">
        <v>125.48099999999999</v>
      </c>
      <c r="DV9" s="4">
        <v>124.32</v>
      </c>
      <c r="DW9" s="4">
        <v>125.211</v>
      </c>
      <c r="DX9" s="4">
        <v>113.229</v>
      </c>
      <c r="DY9" s="4">
        <v>118.474</v>
      </c>
      <c r="DZ9" s="4">
        <v>110.108</v>
      </c>
      <c r="EA9" s="4">
        <v>117.182</v>
      </c>
      <c r="EB9" s="4">
        <v>95.179000000000002</v>
      </c>
      <c r="EC9" s="4">
        <v>127.40300000000001</v>
      </c>
      <c r="ED9" s="4">
        <v>137.9</v>
      </c>
      <c r="EE9" s="4">
        <v>133.71199999999999</v>
      </c>
      <c r="EF9" s="4">
        <v>92.582999999999998</v>
      </c>
      <c r="EG9" s="4">
        <v>134.70500000000001</v>
      </c>
      <c r="EH9" s="4">
        <v>132.435</v>
      </c>
      <c r="EI9" s="4">
        <v>121.76600000000001</v>
      </c>
      <c r="EJ9" s="4">
        <v>117.44799999999999</v>
      </c>
      <c r="EK9" s="4">
        <v>95.866</v>
      </c>
      <c r="EL9" s="4">
        <v>115.03</v>
      </c>
      <c r="EM9" s="4">
        <v>120.122</v>
      </c>
      <c r="EN9" s="4">
        <v>91.790999999999997</v>
      </c>
      <c r="EO9" s="4">
        <v>129.887</v>
      </c>
      <c r="EP9" s="4">
        <v>148.85499999999999</v>
      </c>
      <c r="EQ9" s="4">
        <v>136.959</v>
      </c>
      <c r="ER9" s="4">
        <v>118.289</v>
      </c>
      <c r="ES9" s="4">
        <v>116.77200000000001</v>
      </c>
      <c r="ET9" s="4">
        <v>116.51900000000001</v>
      </c>
      <c r="EU9" s="4">
        <v>160.43100000000001</v>
      </c>
      <c r="EV9" s="4">
        <v>145.4</v>
      </c>
      <c r="EW9" s="4">
        <v>172.04300000000001</v>
      </c>
      <c r="EX9" s="4">
        <v>161.87799999999999</v>
      </c>
      <c r="EY9" s="4">
        <v>162.51</v>
      </c>
      <c r="EZ9" s="4">
        <v>132.262</v>
      </c>
      <c r="FA9" s="4">
        <v>172.096</v>
      </c>
      <c r="FB9" s="4">
        <v>176.642</v>
      </c>
      <c r="FC9" s="4">
        <v>190.745</v>
      </c>
      <c r="FD9" s="4">
        <v>154.91</v>
      </c>
      <c r="FE9" s="4">
        <v>195.81100000000001</v>
      </c>
      <c r="FF9" s="4">
        <v>216.25</v>
      </c>
      <c r="FG9" s="4">
        <v>205.55199999999999</v>
      </c>
      <c r="FH9" s="4">
        <v>180.36600000000001</v>
      </c>
      <c r="FI9" s="4">
        <v>208.78700000000001</v>
      </c>
      <c r="FJ9" s="4">
        <v>174.83</v>
      </c>
      <c r="FK9" s="4">
        <v>165.09700000000001</v>
      </c>
      <c r="FL9" s="4">
        <v>158.38499999999999</v>
      </c>
      <c r="FM9" s="4">
        <v>219.47200000000001</v>
      </c>
      <c r="FN9" s="4">
        <v>244.34800000000001</v>
      </c>
      <c r="FO9" s="4">
        <v>248.126</v>
      </c>
      <c r="FP9" s="4">
        <v>204.988</v>
      </c>
      <c r="FQ9" s="4">
        <v>240.25399999999999</v>
      </c>
      <c r="FR9" s="4">
        <v>256.94299999999998</v>
      </c>
      <c r="FS9" s="4">
        <v>247.18199999999999</v>
      </c>
      <c r="FT9" s="4">
        <v>230.178</v>
      </c>
      <c r="FU9" s="4">
        <v>235.53100000000001</v>
      </c>
      <c r="FV9" s="4">
        <v>207.50700000000001</v>
      </c>
      <c r="FW9" s="4">
        <v>180.74199999999999</v>
      </c>
      <c r="FX9" s="4">
        <v>161.84899999999999</v>
      </c>
      <c r="FY9" s="4">
        <v>237.42</v>
      </c>
      <c r="FZ9" s="4">
        <v>233.327</v>
      </c>
      <c r="GA9" s="4">
        <v>237.10599999999999</v>
      </c>
      <c r="GB9" s="4">
        <v>178.53800000000001</v>
      </c>
      <c r="GC9" s="4">
        <v>232.38200000000001</v>
      </c>
      <c r="GD9" s="4">
        <v>239.31</v>
      </c>
      <c r="GE9" s="4">
        <v>214.119</v>
      </c>
      <c r="GF9" s="4">
        <v>213.804</v>
      </c>
      <c r="GG9" s="4">
        <v>218.52799999999999</v>
      </c>
      <c r="GH9" s="4">
        <v>199.32</v>
      </c>
      <c r="GI9" s="4">
        <v>194.59700000000001</v>
      </c>
      <c r="GJ9" s="4">
        <v>204.673</v>
      </c>
      <c r="GK9" s="4">
        <v>248.126</v>
      </c>
      <c r="GL9" s="4">
        <v>292.83999999999997</v>
      </c>
      <c r="GM9" s="4">
        <v>283.39299999999997</v>
      </c>
      <c r="GN9" s="4">
        <v>214.749</v>
      </c>
      <c r="GO9" s="4">
        <v>325.58699999999999</v>
      </c>
      <c r="GP9" s="4">
        <v>282.76299999999998</v>
      </c>
      <c r="GQ9" s="4">
        <v>295.988</v>
      </c>
      <c r="GR9" s="4">
        <v>346.68400000000003</v>
      </c>
      <c r="GS9" s="4">
        <v>288.74599999999998</v>
      </c>
      <c r="GT9" s="4">
        <v>310.47300000000001</v>
      </c>
      <c r="GU9" s="4">
        <v>289.06099999999998</v>
      </c>
      <c r="GV9" s="4">
        <v>249.70099999999999</v>
      </c>
      <c r="GW9" s="4">
        <v>349.51799999999997</v>
      </c>
      <c r="GX9" s="4">
        <v>359.59399999999999</v>
      </c>
      <c r="GY9" s="4">
        <v>340.387</v>
      </c>
      <c r="GZ9" s="4">
        <v>284.33800000000002</v>
      </c>
      <c r="HA9" s="4">
        <v>362.74299999999999</v>
      </c>
      <c r="HB9" s="4">
        <v>363.05799999999999</v>
      </c>
      <c r="HC9" s="4">
        <v>370.3</v>
      </c>
      <c r="HD9" s="4">
        <v>310.15800000000002</v>
      </c>
      <c r="HE9" s="4">
        <v>340.702</v>
      </c>
      <c r="HF9" s="4">
        <v>292.20999999999998</v>
      </c>
      <c r="HG9" s="4">
        <v>297.24799999999999</v>
      </c>
      <c r="HH9" s="4">
        <v>276.15100000000001</v>
      </c>
      <c r="HI9" s="4">
        <v>352.66699999999997</v>
      </c>
      <c r="HJ9" s="4">
        <v>346.99900000000002</v>
      </c>
      <c r="HK9" s="4">
        <v>333.459</v>
      </c>
      <c r="HL9" s="4">
        <v>275.20600000000002</v>
      </c>
      <c r="HM9" s="4">
        <v>308.899</v>
      </c>
      <c r="HN9" s="4">
        <v>370.3</v>
      </c>
      <c r="HO9" s="4">
        <v>361.79899999999998</v>
      </c>
      <c r="HP9" s="4">
        <v>303.23099999999999</v>
      </c>
      <c r="HQ9" s="4">
        <v>359.59399999999999</v>
      </c>
      <c r="HR9" s="4">
        <v>314.56599999999997</v>
      </c>
      <c r="HS9" s="4">
        <v>283.70800000000003</v>
      </c>
      <c r="HT9" s="4">
        <v>264.815</v>
      </c>
      <c r="HU9" s="4">
        <v>349.83300000000003</v>
      </c>
      <c r="HV9" s="4">
        <v>307.32400000000001</v>
      </c>
      <c r="HW9" s="4">
        <v>342.59100000000001</v>
      </c>
      <c r="HX9" s="4">
        <v>267.964</v>
      </c>
      <c r="HY9" s="4">
        <v>334.71899999999999</v>
      </c>
      <c r="HZ9" s="4">
        <v>362.428</v>
      </c>
      <c r="IA9" s="4">
        <v>347.94400000000002</v>
      </c>
      <c r="IB9" s="4">
        <v>320.23399999999998</v>
      </c>
      <c r="IC9" s="4">
        <v>308.26900000000001</v>
      </c>
      <c r="ID9" s="4">
        <v>292.20999999999998</v>
      </c>
      <c r="IE9" s="4">
        <v>280.24400000000003</v>
      </c>
      <c r="IF9" s="4">
        <v>290.00599999999997</v>
      </c>
      <c r="IG9" s="4">
        <v>357.39</v>
      </c>
      <c r="IH9" s="4">
        <v>322.75299999999999</v>
      </c>
      <c r="II9" s="4">
        <v>348.88799999999998</v>
      </c>
      <c r="IJ9" s="4">
        <v>252.85</v>
      </c>
      <c r="IK9" s="4">
        <v>346.68400000000003</v>
      </c>
      <c r="IL9" s="4">
        <v>356.44600000000003</v>
      </c>
      <c r="IM9" s="4">
        <v>331.255</v>
      </c>
      <c r="IN9" s="4">
        <v>320.23399999999998</v>
      </c>
      <c r="IO9" s="4">
        <v>367.78100000000001</v>
      </c>
      <c r="IP9" s="4">
        <v>330.625</v>
      </c>
      <c r="IQ9" s="4">
        <v>312.04700000000003</v>
      </c>
      <c r="IR9" s="4">
        <v>283.70800000000003</v>
      </c>
      <c r="IS9" s="4">
        <v>344.79500000000002</v>
      </c>
      <c r="IT9" s="4">
        <v>386.04399999999998</v>
      </c>
      <c r="IU9" s="4">
        <v>376.59800000000001</v>
      </c>
      <c r="IV9" s="4">
        <v>267.334</v>
      </c>
      <c r="IW9" s="4">
        <v>379.43200000000002</v>
      </c>
      <c r="IX9" s="4">
        <v>358.96499999999997</v>
      </c>
      <c r="IY9" s="4">
        <v>358.33499999999998</v>
      </c>
      <c r="IZ9" s="4">
        <v>338.81200000000001</v>
      </c>
      <c r="JA9" s="4">
        <v>364.31799999999998</v>
      </c>
      <c r="JB9" s="4">
        <v>353.29700000000003</v>
      </c>
      <c r="JC9" s="4">
        <v>321.49400000000003</v>
      </c>
      <c r="JD9" s="4">
        <v>256.62799999999999</v>
      </c>
      <c r="JE9" s="4">
        <v>344.48</v>
      </c>
      <c r="JF9" s="4">
        <v>393.916</v>
      </c>
      <c r="JG9" s="4">
        <v>361.79899999999998</v>
      </c>
      <c r="JH9" s="4">
        <v>278.98500000000001</v>
      </c>
      <c r="JI9" s="4">
        <v>383.21</v>
      </c>
      <c r="JJ9" s="4">
        <v>347.31400000000002</v>
      </c>
      <c r="JK9" s="4">
        <v>362.74299999999999</v>
      </c>
      <c r="JL9" s="4">
        <v>365.577</v>
      </c>
      <c r="JM9" s="4">
        <v>335.97800000000001</v>
      </c>
      <c r="JN9" s="4">
        <v>357.07499999999999</v>
      </c>
      <c r="JO9" s="4">
        <v>343.85</v>
      </c>
      <c r="JP9" s="4">
        <v>288.74599999999998</v>
      </c>
      <c r="JQ9" s="4">
        <v>368.411</v>
      </c>
      <c r="JR9" s="4">
        <v>393.916</v>
      </c>
      <c r="JS9" s="4">
        <v>361.48399999999998</v>
      </c>
      <c r="JT9" s="4">
        <v>330.94</v>
      </c>
      <c r="JU9" s="4">
        <v>383.21</v>
      </c>
      <c r="JV9" s="4">
        <v>400.529</v>
      </c>
      <c r="JW9" s="4">
        <v>388.87799999999999</v>
      </c>
      <c r="JX9" s="4">
        <v>340.702</v>
      </c>
      <c r="JY9" s="4">
        <v>367.78100000000001</v>
      </c>
      <c r="JZ9" s="4">
        <v>344.48</v>
      </c>
      <c r="KA9" s="4">
        <v>344.79500000000002</v>
      </c>
      <c r="KB9" s="4">
        <v>289.06099999999998</v>
      </c>
      <c r="KC9" s="4">
        <v>379.43200000000002</v>
      </c>
      <c r="KD9" s="4">
        <v>359.28</v>
      </c>
      <c r="KE9" s="4">
        <v>370.93</v>
      </c>
      <c r="KF9" s="4">
        <v>329.36599999999999</v>
      </c>
      <c r="KG9" s="4">
        <v>375.96800000000002</v>
      </c>
      <c r="KH9" s="4">
        <v>398.32499999999999</v>
      </c>
      <c r="KI9" s="4">
        <v>388.56299999999999</v>
      </c>
      <c r="KJ9" s="4">
        <v>321.80900000000003</v>
      </c>
      <c r="KK9" s="4">
        <v>389.50799999999998</v>
      </c>
      <c r="KL9" s="4">
        <v>364.63299999999998</v>
      </c>
      <c r="KM9" s="13">
        <v>326.84699999999998</v>
      </c>
    </row>
    <row r="10" spans="1:299" x14ac:dyDescent="0.25">
      <c r="A10" s="11" t="s">
        <v>306</v>
      </c>
      <c r="B10" s="4">
        <v>96.372</v>
      </c>
      <c r="C10" s="4">
        <v>95.081000000000003</v>
      </c>
      <c r="D10" s="4">
        <v>101.599</v>
      </c>
      <c r="E10" s="4">
        <v>104.79600000000001</v>
      </c>
      <c r="F10" s="4">
        <v>92.864000000000004</v>
      </c>
      <c r="G10" s="4">
        <v>91.412999999999997</v>
      </c>
      <c r="H10" s="4">
        <v>90.963999999999999</v>
      </c>
      <c r="I10" s="4">
        <v>100.19</v>
      </c>
      <c r="J10" s="4">
        <v>100.432</v>
      </c>
      <c r="K10" s="4">
        <v>112.116</v>
      </c>
      <c r="L10" s="4">
        <v>105.247</v>
      </c>
      <c r="M10" s="4">
        <v>97.793000000000006</v>
      </c>
      <c r="N10" s="4">
        <v>93.528000000000006</v>
      </c>
      <c r="O10" s="4">
        <v>92.908000000000001</v>
      </c>
      <c r="P10" s="4">
        <v>104.29</v>
      </c>
      <c r="Q10" s="4">
        <v>104.479</v>
      </c>
      <c r="R10" s="4">
        <v>94.8</v>
      </c>
      <c r="S10" s="4">
        <v>93.582999999999998</v>
      </c>
      <c r="T10" s="4">
        <v>95.168000000000006</v>
      </c>
      <c r="U10" s="4">
        <v>108.366</v>
      </c>
      <c r="V10" s="4">
        <v>101.524</v>
      </c>
      <c r="W10" s="4">
        <v>112.447</v>
      </c>
      <c r="X10" s="4">
        <v>105.524</v>
      </c>
      <c r="Y10" s="4">
        <v>97.313999999999993</v>
      </c>
      <c r="Z10" s="4">
        <v>103.1</v>
      </c>
      <c r="AA10" s="4">
        <v>108.253</v>
      </c>
      <c r="AB10" s="4">
        <v>113.535</v>
      </c>
      <c r="AC10" s="4">
        <v>119.434</v>
      </c>
      <c r="AD10" s="4">
        <v>105.185</v>
      </c>
      <c r="AE10" s="4">
        <v>98.632000000000005</v>
      </c>
      <c r="AF10" s="4">
        <v>99.253</v>
      </c>
      <c r="AG10" s="4">
        <v>107.325</v>
      </c>
      <c r="AH10" s="4">
        <v>100.18899999999999</v>
      </c>
      <c r="AI10" s="4">
        <v>115.997</v>
      </c>
      <c r="AJ10" s="4">
        <v>112.66500000000001</v>
      </c>
      <c r="AK10" s="4">
        <v>107.151</v>
      </c>
      <c r="AL10" s="4">
        <v>95.497</v>
      </c>
      <c r="AM10" s="4">
        <v>95.77</v>
      </c>
      <c r="AN10" s="4">
        <v>97.980999999999995</v>
      </c>
      <c r="AO10" s="4">
        <v>100.61499999999999</v>
      </c>
      <c r="AP10" s="4">
        <v>89.578000000000003</v>
      </c>
      <c r="AQ10" s="4">
        <v>91.792000000000002</v>
      </c>
      <c r="AR10" s="4">
        <v>92.632999999999996</v>
      </c>
      <c r="AS10" s="4">
        <v>102.592</v>
      </c>
      <c r="AT10" s="4">
        <v>97.804000000000002</v>
      </c>
      <c r="AU10" s="4">
        <v>115.922</v>
      </c>
      <c r="AV10" s="4">
        <v>112.29</v>
      </c>
      <c r="AW10" s="4">
        <v>95.314999999999998</v>
      </c>
      <c r="AX10" s="4">
        <v>96.453000000000003</v>
      </c>
      <c r="AY10" s="4">
        <v>98.308000000000007</v>
      </c>
      <c r="AZ10" s="4">
        <v>102.172</v>
      </c>
      <c r="BA10" s="4">
        <v>108.286</v>
      </c>
      <c r="BB10" s="4">
        <v>86.456000000000003</v>
      </c>
      <c r="BC10" s="4">
        <v>79.884</v>
      </c>
      <c r="BD10" s="4">
        <v>82.126000000000005</v>
      </c>
      <c r="BE10" s="4">
        <v>98.572000000000003</v>
      </c>
      <c r="BF10" s="4">
        <v>97.173000000000002</v>
      </c>
      <c r="BG10" s="4">
        <v>109.736</v>
      </c>
      <c r="BH10" s="4">
        <v>106.75</v>
      </c>
      <c r="BI10" s="4">
        <v>105.449</v>
      </c>
      <c r="BJ10" s="4">
        <v>99.233999999999995</v>
      </c>
      <c r="BK10" s="4">
        <v>99.608000000000004</v>
      </c>
      <c r="BL10" s="4">
        <v>105.509</v>
      </c>
      <c r="BM10" s="4">
        <v>110.68600000000001</v>
      </c>
      <c r="BN10" s="4">
        <v>97.492000000000004</v>
      </c>
      <c r="BO10" s="4">
        <v>95.673000000000002</v>
      </c>
      <c r="BP10" s="4">
        <v>94.563000000000002</v>
      </c>
      <c r="BQ10" s="4">
        <v>98.896000000000001</v>
      </c>
      <c r="BR10" s="4">
        <v>100.706</v>
      </c>
      <c r="BS10" s="4">
        <v>120.068</v>
      </c>
      <c r="BT10" s="4">
        <v>105.596</v>
      </c>
      <c r="BU10" s="4">
        <v>105.166</v>
      </c>
      <c r="BV10" s="4">
        <v>103.193</v>
      </c>
      <c r="BW10" s="4">
        <v>97.442999999999998</v>
      </c>
      <c r="BX10" s="4">
        <v>105.193</v>
      </c>
      <c r="BY10" s="4">
        <v>102.749</v>
      </c>
      <c r="BZ10" s="4">
        <v>94.283000000000001</v>
      </c>
      <c r="CA10" s="4">
        <v>96.742000000000004</v>
      </c>
      <c r="CB10" s="4">
        <v>99.933000000000007</v>
      </c>
      <c r="CC10" s="4">
        <v>116.21599999999999</v>
      </c>
      <c r="CD10" s="4">
        <v>110.22199999999999</v>
      </c>
      <c r="CE10" s="4">
        <v>115.367</v>
      </c>
      <c r="CF10" s="4">
        <v>122.017</v>
      </c>
      <c r="CG10" s="4">
        <v>114.414</v>
      </c>
      <c r="CH10" s="4">
        <v>105.54600000000001</v>
      </c>
      <c r="CI10" s="4">
        <v>97.346000000000004</v>
      </c>
      <c r="CJ10" s="4">
        <v>103.119</v>
      </c>
      <c r="CK10" s="4">
        <v>107.014</v>
      </c>
      <c r="CL10" s="4">
        <v>104.139</v>
      </c>
      <c r="CM10" s="4">
        <v>96.441000000000003</v>
      </c>
      <c r="CN10" s="4">
        <v>92.442999999999998</v>
      </c>
      <c r="CO10" s="4">
        <v>102.371</v>
      </c>
      <c r="CP10" s="4">
        <v>104.517</v>
      </c>
      <c r="CQ10" s="4">
        <v>127.345</v>
      </c>
      <c r="CR10" s="4">
        <v>110.86</v>
      </c>
      <c r="CS10" s="4">
        <v>107.77800000000001</v>
      </c>
      <c r="CT10" s="4">
        <v>107.256</v>
      </c>
      <c r="CU10" s="4">
        <v>101.476</v>
      </c>
      <c r="CV10" s="4">
        <v>102.646</v>
      </c>
      <c r="CW10" s="4">
        <v>106.67700000000001</v>
      </c>
      <c r="CX10" s="4">
        <v>94.99</v>
      </c>
      <c r="CY10" s="4">
        <v>95.715000000000003</v>
      </c>
      <c r="CZ10" s="4">
        <v>100.971</v>
      </c>
      <c r="DA10" s="4">
        <v>110.67700000000001</v>
      </c>
      <c r="DB10" s="4">
        <v>104.503</v>
      </c>
      <c r="DC10" s="4">
        <v>110.52200000000001</v>
      </c>
      <c r="DD10" s="4">
        <v>109.739</v>
      </c>
      <c r="DE10" s="4">
        <v>102.41200000000001</v>
      </c>
      <c r="DF10" s="4">
        <v>101.081</v>
      </c>
      <c r="DG10" s="4">
        <v>102.145</v>
      </c>
      <c r="DH10" s="4">
        <v>102.679</v>
      </c>
      <c r="DI10" s="4">
        <v>120.69199999999999</v>
      </c>
      <c r="DJ10" s="4">
        <v>103.98</v>
      </c>
      <c r="DK10" s="4">
        <v>96.182000000000002</v>
      </c>
      <c r="DL10" s="4">
        <v>98.347999999999999</v>
      </c>
      <c r="DM10" s="4">
        <v>112.95</v>
      </c>
      <c r="DN10" s="4">
        <v>110.393</v>
      </c>
      <c r="DO10" s="4">
        <v>122.255</v>
      </c>
      <c r="DP10" s="4">
        <v>114.946</v>
      </c>
      <c r="DQ10" s="4">
        <v>102.538</v>
      </c>
      <c r="DR10" s="4">
        <v>105.27800000000001</v>
      </c>
      <c r="DS10" s="4">
        <v>107.986</v>
      </c>
      <c r="DT10" s="4">
        <v>104.658</v>
      </c>
      <c r="DU10" s="4">
        <v>109.85299999999999</v>
      </c>
      <c r="DV10" s="4">
        <v>99.387</v>
      </c>
      <c r="DW10" s="4">
        <v>100.498</v>
      </c>
      <c r="DX10" s="4">
        <v>100.625</v>
      </c>
      <c r="DY10" s="4">
        <v>108.66500000000001</v>
      </c>
      <c r="DZ10" s="4">
        <v>109.166</v>
      </c>
      <c r="EA10" s="4">
        <v>117.318</v>
      </c>
      <c r="EB10" s="4">
        <v>119.477</v>
      </c>
      <c r="EC10" s="4">
        <v>108.38200000000001</v>
      </c>
      <c r="ED10" s="4">
        <v>106.402</v>
      </c>
      <c r="EE10" s="4">
        <v>104.93899999999999</v>
      </c>
      <c r="EF10" s="4">
        <v>107.41800000000001</v>
      </c>
      <c r="EG10" s="4">
        <v>115.29</v>
      </c>
      <c r="EH10" s="4">
        <v>98.444000000000003</v>
      </c>
      <c r="EI10" s="4">
        <v>100.455</v>
      </c>
      <c r="EJ10" s="4">
        <v>104.154</v>
      </c>
      <c r="EK10" s="4">
        <v>114.14700000000001</v>
      </c>
      <c r="EL10" s="4">
        <v>111.70399999999999</v>
      </c>
      <c r="EM10" s="4">
        <v>121.116</v>
      </c>
      <c r="EN10" s="4">
        <v>117.791</v>
      </c>
      <c r="EO10" s="4">
        <v>110.416</v>
      </c>
      <c r="EP10" s="4">
        <v>109.559</v>
      </c>
      <c r="EQ10" s="4">
        <v>106.807</v>
      </c>
      <c r="ER10" s="4">
        <v>114.79900000000001</v>
      </c>
      <c r="ES10" s="4">
        <v>114.027</v>
      </c>
      <c r="ET10" s="4">
        <v>106.199</v>
      </c>
      <c r="EU10" s="4">
        <v>108.256</v>
      </c>
      <c r="EV10" s="4">
        <v>107.00700000000001</v>
      </c>
      <c r="EW10" s="4">
        <v>117.245</v>
      </c>
      <c r="EX10" s="4">
        <v>126.17400000000001</v>
      </c>
      <c r="EY10" s="4">
        <v>127.34099999999999</v>
      </c>
      <c r="EZ10" s="4">
        <v>118.97199999999999</v>
      </c>
      <c r="FA10" s="4">
        <v>111.795</v>
      </c>
      <c r="FB10" s="4">
        <v>107.16800000000001</v>
      </c>
      <c r="FC10" s="4">
        <v>111.465</v>
      </c>
      <c r="FD10" s="4">
        <v>111.655</v>
      </c>
      <c r="FE10" s="4">
        <v>112.977</v>
      </c>
      <c r="FF10" s="4">
        <v>107.678</v>
      </c>
      <c r="FG10" s="4">
        <v>105.648</v>
      </c>
      <c r="FH10" s="4">
        <v>103.57</v>
      </c>
      <c r="FI10" s="4">
        <v>124.018</v>
      </c>
      <c r="FJ10" s="4">
        <v>115.88500000000001</v>
      </c>
      <c r="FK10" s="4">
        <v>133.87100000000001</v>
      </c>
      <c r="FL10" s="4">
        <v>128.489</v>
      </c>
      <c r="FM10" s="4">
        <v>119.636</v>
      </c>
      <c r="FN10" s="4">
        <v>113.89400000000001</v>
      </c>
      <c r="FO10" s="4">
        <v>113.056</v>
      </c>
      <c r="FP10" s="4">
        <v>116.167</v>
      </c>
      <c r="FQ10" s="4">
        <v>124.541</v>
      </c>
      <c r="FR10" s="4">
        <v>110.185</v>
      </c>
      <c r="FS10" s="4">
        <v>107.553</v>
      </c>
      <c r="FT10" s="4">
        <v>109.467</v>
      </c>
      <c r="FU10" s="4">
        <v>125.139</v>
      </c>
      <c r="FV10" s="4">
        <v>118.79900000000001</v>
      </c>
      <c r="FW10" s="4">
        <v>129.80500000000001</v>
      </c>
      <c r="FX10" s="4">
        <v>125.259</v>
      </c>
      <c r="FY10" s="4">
        <v>111.501</v>
      </c>
      <c r="FZ10" s="4">
        <v>110.783</v>
      </c>
      <c r="GA10" s="4">
        <v>110.663</v>
      </c>
      <c r="GB10" s="4">
        <v>114.492</v>
      </c>
      <c r="GC10" s="4">
        <v>121.55</v>
      </c>
      <c r="GD10" s="4">
        <v>110.544</v>
      </c>
      <c r="GE10" s="4">
        <v>103.605</v>
      </c>
      <c r="GF10" s="4">
        <v>105.28</v>
      </c>
      <c r="GG10" s="4">
        <v>112.697</v>
      </c>
      <c r="GH10" s="4">
        <v>115.80800000000001</v>
      </c>
      <c r="GI10" s="4">
        <v>134.471</v>
      </c>
      <c r="GJ10" s="4">
        <v>134.351</v>
      </c>
      <c r="GK10" s="4">
        <v>123.584</v>
      </c>
      <c r="GL10" s="4">
        <v>118.20099999999999</v>
      </c>
      <c r="GM10" s="4">
        <v>115.32899999999999</v>
      </c>
      <c r="GN10" s="4">
        <v>118.679</v>
      </c>
      <c r="GO10" s="4">
        <v>128.13</v>
      </c>
      <c r="GP10" s="4">
        <v>116.88500000000001</v>
      </c>
      <c r="GQ10" s="4">
        <v>116.40600000000001</v>
      </c>
      <c r="GR10" s="4">
        <v>121.31100000000001</v>
      </c>
      <c r="GS10" s="4">
        <v>127.652</v>
      </c>
      <c r="GT10" s="4">
        <v>129.92500000000001</v>
      </c>
      <c r="GU10" s="4">
        <v>139.25700000000001</v>
      </c>
      <c r="GV10" s="4">
        <v>137.58199999999999</v>
      </c>
      <c r="GW10" s="4">
        <v>130.28399999999999</v>
      </c>
      <c r="GX10" s="4">
        <v>122.38800000000001</v>
      </c>
      <c r="GY10" s="4">
        <v>116.645</v>
      </c>
      <c r="GZ10" s="4">
        <v>113.774</v>
      </c>
      <c r="HA10" s="4">
        <v>124.30200000000001</v>
      </c>
      <c r="HB10" s="4">
        <v>115.32899999999999</v>
      </c>
      <c r="HC10" s="4">
        <v>116.167</v>
      </c>
      <c r="HD10" s="4">
        <v>114.492</v>
      </c>
      <c r="HE10" s="4">
        <v>125.259</v>
      </c>
      <c r="HF10" s="4">
        <v>119.756</v>
      </c>
      <c r="HG10" s="4">
        <v>137.70099999999999</v>
      </c>
      <c r="HH10" s="4">
        <v>129.566</v>
      </c>
      <c r="HI10" s="4">
        <v>115.09</v>
      </c>
      <c r="HJ10" s="4">
        <v>114.133</v>
      </c>
      <c r="HK10" s="4">
        <v>116.047</v>
      </c>
      <c r="HL10" s="4">
        <v>114.133</v>
      </c>
      <c r="HM10" s="4">
        <v>129.92500000000001</v>
      </c>
      <c r="HN10" s="4">
        <v>116.88500000000001</v>
      </c>
      <c r="HO10" s="4">
        <v>111.979</v>
      </c>
      <c r="HP10" s="4">
        <v>103.126</v>
      </c>
      <c r="HQ10" s="4">
        <v>127.532</v>
      </c>
      <c r="HR10" s="4">
        <v>126.934</v>
      </c>
      <c r="HS10" s="4">
        <v>139.25700000000001</v>
      </c>
      <c r="HT10" s="4">
        <v>133.155</v>
      </c>
      <c r="HU10" s="4">
        <v>123.70399999999999</v>
      </c>
      <c r="HV10" s="4">
        <v>112.81699999999999</v>
      </c>
      <c r="HW10" s="4">
        <v>114.372</v>
      </c>
      <c r="HX10" s="4">
        <v>111.142</v>
      </c>
      <c r="HY10" s="4">
        <v>122.986</v>
      </c>
      <c r="HZ10" s="4">
        <v>115.09</v>
      </c>
      <c r="IA10" s="4">
        <v>108.749</v>
      </c>
      <c r="IB10" s="4">
        <v>109.946</v>
      </c>
      <c r="IC10" s="4">
        <v>126.21599999999999</v>
      </c>
      <c r="ID10" s="4">
        <v>124.661</v>
      </c>
      <c r="IE10" s="4">
        <v>132.55699999999999</v>
      </c>
      <c r="IF10" s="4">
        <v>124.78100000000001</v>
      </c>
      <c r="IG10" s="4">
        <v>116.40600000000001</v>
      </c>
      <c r="IH10" s="4">
        <v>111.142</v>
      </c>
      <c r="II10" s="4">
        <v>112.099</v>
      </c>
      <c r="IJ10" s="4">
        <v>111.621</v>
      </c>
      <c r="IK10" s="4">
        <v>119.875</v>
      </c>
      <c r="IL10" s="4">
        <v>111.74</v>
      </c>
      <c r="IM10" s="4">
        <v>106.357</v>
      </c>
      <c r="IN10" s="4">
        <v>107.673</v>
      </c>
      <c r="IO10" s="4">
        <v>122.627</v>
      </c>
      <c r="IP10" s="4">
        <v>115.80800000000001</v>
      </c>
      <c r="IQ10" s="4">
        <v>119.517</v>
      </c>
      <c r="IR10" s="4">
        <v>117.24299999999999</v>
      </c>
      <c r="IS10" s="4">
        <v>108.271</v>
      </c>
      <c r="IT10" s="4">
        <v>106.715</v>
      </c>
      <c r="IU10" s="4">
        <v>102.289</v>
      </c>
      <c r="IV10" s="4">
        <v>108.271</v>
      </c>
      <c r="IW10" s="4">
        <v>112.21899999999999</v>
      </c>
      <c r="IX10" s="4">
        <v>103.605</v>
      </c>
      <c r="IY10" s="4">
        <v>96.665999999999997</v>
      </c>
      <c r="IZ10" s="4">
        <v>97.263999999999996</v>
      </c>
      <c r="JA10" s="4">
        <v>106.357</v>
      </c>
      <c r="JB10" s="4">
        <v>111.142</v>
      </c>
      <c r="JC10" s="4">
        <v>119.636</v>
      </c>
      <c r="JD10" s="4">
        <v>108.03100000000001</v>
      </c>
      <c r="JE10" s="4">
        <v>102.52800000000001</v>
      </c>
      <c r="JF10" s="4">
        <v>102.767</v>
      </c>
      <c r="JG10" s="4">
        <v>99.777000000000001</v>
      </c>
      <c r="JH10" s="4">
        <v>98.340999999999994</v>
      </c>
      <c r="JI10" s="4">
        <v>109.34699999999999</v>
      </c>
      <c r="JJ10" s="4">
        <v>103.84399999999999</v>
      </c>
      <c r="JK10" s="4">
        <v>98.460999999999999</v>
      </c>
      <c r="JL10" s="4">
        <v>100.73399999999999</v>
      </c>
      <c r="JM10" s="4">
        <v>104.682</v>
      </c>
      <c r="JN10" s="4">
        <v>102.05</v>
      </c>
      <c r="JO10" s="4">
        <v>123.10599999999999</v>
      </c>
      <c r="JP10" s="4">
        <v>117.24299999999999</v>
      </c>
      <c r="JQ10" s="4">
        <v>108.03100000000001</v>
      </c>
      <c r="JR10" s="4">
        <v>100.73399999999999</v>
      </c>
      <c r="JS10" s="4">
        <v>99.777000000000001</v>
      </c>
      <c r="JT10" s="4">
        <v>102.289</v>
      </c>
      <c r="JU10" s="4">
        <v>105.399</v>
      </c>
      <c r="JV10" s="4">
        <v>100.85299999999999</v>
      </c>
      <c r="JW10" s="4">
        <v>98.819000000000003</v>
      </c>
      <c r="JX10" s="4">
        <v>88.77</v>
      </c>
      <c r="JY10" s="4">
        <v>104.203</v>
      </c>
      <c r="JZ10" s="4">
        <v>100.85299999999999</v>
      </c>
      <c r="KA10" s="4">
        <v>115.92700000000001</v>
      </c>
      <c r="KB10" s="4">
        <v>103.72499999999999</v>
      </c>
      <c r="KC10" s="4">
        <v>103.605</v>
      </c>
      <c r="KD10" s="4">
        <v>96.786000000000001</v>
      </c>
      <c r="KE10" s="4">
        <v>97.503</v>
      </c>
      <c r="KF10" s="4">
        <v>95.947999999999993</v>
      </c>
      <c r="KG10" s="4">
        <v>102.05</v>
      </c>
      <c r="KH10" s="4">
        <v>95.947999999999993</v>
      </c>
      <c r="KI10" s="4">
        <v>94.632000000000005</v>
      </c>
      <c r="KJ10" s="4">
        <v>92.597999999999999</v>
      </c>
      <c r="KK10" s="4">
        <v>102.767</v>
      </c>
      <c r="KL10" s="4">
        <v>100.13500000000001</v>
      </c>
      <c r="KM10" s="13">
        <v>117.24299999999999</v>
      </c>
    </row>
    <row r="11" spans="1:299" x14ac:dyDescent="0.25">
      <c r="A11" s="11" t="s">
        <v>307</v>
      </c>
      <c r="B11" s="4">
        <v>102.319</v>
      </c>
      <c r="C11" s="4">
        <v>113.336</v>
      </c>
      <c r="D11" s="4">
        <v>115.294</v>
      </c>
      <c r="E11" s="4">
        <v>117.143</v>
      </c>
      <c r="F11" s="4">
        <v>107.289</v>
      </c>
      <c r="G11" s="4">
        <v>99.625</v>
      </c>
      <c r="H11" s="4">
        <v>92.662999999999997</v>
      </c>
      <c r="I11" s="4">
        <v>88.174999999999997</v>
      </c>
      <c r="J11" s="4">
        <v>85.427999999999997</v>
      </c>
      <c r="K11" s="4">
        <v>91.305000000000007</v>
      </c>
      <c r="L11" s="4">
        <v>93.551000000000002</v>
      </c>
      <c r="M11" s="4">
        <v>94.155000000000001</v>
      </c>
      <c r="N11" s="4">
        <v>101.069</v>
      </c>
      <c r="O11" s="4">
        <v>107.86799999999999</v>
      </c>
      <c r="P11" s="4">
        <v>115.22199999999999</v>
      </c>
      <c r="Q11" s="4">
        <v>116.16800000000001</v>
      </c>
      <c r="R11" s="4">
        <v>109.164</v>
      </c>
      <c r="S11" s="4">
        <v>103.336</v>
      </c>
      <c r="T11" s="4">
        <v>92.831999999999994</v>
      </c>
      <c r="U11" s="4">
        <v>98.289000000000001</v>
      </c>
      <c r="V11" s="4">
        <v>86.938000000000002</v>
      </c>
      <c r="W11" s="4">
        <v>87.48</v>
      </c>
      <c r="X11" s="4">
        <v>93.301000000000002</v>
      </c>
      <c r="Y11" s="4">
        <v>94.62</v>
      </c>
      <c r="Z11" s="4">
        <v>100.485</v>
      </c>
      <c r="AA11" s="4">
        <v>115.794</v>
      </c>
      <c r="AB11" s="4">
        <v>120.907</v>
      </c>
      <c r="AC11" s="4">
        <v>122.874</v>
      </c>
      <c r="AD11" s="4">
        <v>113.35</v>
      </c>
      <c r="AE11" s="4">
        <v>100.251</v>
      </c>
      <c r="AF11" s="4">
        <v>86.882000000000005</v>
      </c>
      <c r="AG11" s="4">
        <v>91.015000000000001</v>
      </c>
      <c r="AH11" s="4">
        <v>80.727999999999994</v>
      </c>
      <c r="AI11" s="4">
        <v>87.072999999999993</v>
      </c>
      <c r="AJ11" s="4">
        <v>92.034000000000006</v>
      </c>
      <c r="AK11" s="4">
        <v>94.85</v>
      </c>
      <c r="AL11" s="4">
        <v>99.98</v>
      </c>
      <c r="AM11" s="4">
        <v>110.39400000000001</v>
      </c>
      <c r="AN11" s="4">
        <v>116.881</v>
      </c>
      <c r="AO11" s="4">
        <v>118.639</v>
      </c>
      <c r="AP11" s="4">
        <v>107.794</v>
      </c>
      <c r="AQ11" s="4">
        <v>99.796000000000006</v>
      </c>
      <c r="AR11" s="4">
        <v>91.638999999999996</v>
      </c>
      <c r="AS11" s="4">
        <v>94.759</v>
      </c>
      <c r="AT11" s="4">
        <v>84.897000000000006</v>
      </c>
      <c r="AU11" s="4">
        <v>88.335999999999999</v>
      </c>
      <c r="AV11" s="4">
        <v>86.125</v>
      </c>
      <c r="AW11" s="4">
        <v>87.521000000000001</v>
      </c>
      <c r="AX11" s="4">
        <v>98.213999999999999</v>
      </c>
      <c r="AY11" s="4">
        <v>115.967</v>
      </c>
      <c r="AZ11" s="4">
        <v>132.64599999999999</v>
      </c>
      <c r="BA11" s="4">
        <v>134.76599999999999</v>
      </c>
      <c r="BB11" s="4">
        <v>113.461</v>
      </c>
      <c r="BC11" s="4">
        <v>95.62</v>
      </c>
      <c r="BD11" s="4">
        <v>83.028999999999996</v>
      </c>
      <c r="BE11" s="4">
        <v>88.429000000000002</v>
      </c>
      <c r="BF11" s="4">
        <v>82.180999999999997</v>
      </c>
      <c r="BG11" s="4">
        <v>86.578000000000003</v>
      </c>
      <c r="BH11" s="4">
        <v>85.03</v>
      </c>
      <c r="BI11" s="4">
        <v>87.570999999999998</v>
      </c>
      <c r="BJ11" s="4">
        <v>97.23</v>
      </c>
      <c r="BK11" s="4">
        <v>118.437</v>
      </c>
      <c r="BL11" s="4">
        <v>131.59</v>
      </c>
      <c r="BM11" s="4">
        <v>142.55600000000001</v>
      </c>
      <c r="BN11" s="4">
        <v>123.107</v>
      </c>
      <c r="BO11" s="4">
        <v>110.54300000000001</v>
      </c>
      <c r="BP11" s="4">
        <v>92.02</v>
      </c>
      <c r="BQ11" s="4">
        <v>93.843000000000004</v>
      </c>
      <c r="BR11" s="4">
        <v>80.153999999999996</v>
      </c>
      <c r="BS11" s="4">
        <v>85.956000000000003</v>
      </c>
      <c r="BT11" s="4">
        <v>83.025999999999996</v>
      </c>
      <c r="BU11" s="4">
        <v>86.748000000000005</v>
      </c>
      <c r="BV11" s="4">
        <v>94.427000000000007</v>
      </c>
      <c r="BW11" s="4">
        <v>110.488</v>
      </c>
      <c r="BX11" s="4">
        <v>124.428</v>
      </c>
      <c r="BY11" s="4">
        <v>123.82599999999999</v>
      </c>
      <c r="BZ11" s="4">
        <v>109.191</v>
      </c>
      <c r="CA11" s="4">
        <v>96.194000000000003</v>
      </c>
      <c r="CB11" s="4">
        <v>84.674000000000007</v>
      </c>
      <c r="CC11" s="4">
        <v>81.56</v>
      </c>
      <c r="CD11" s="4">
        <v>77.619</v>
      </c>
      <c r="CE11" s="4">
        <v>82.885999999999996</v>
      </c>
      <c r="CF11" s="4">
        <v>86.06</v>
      </c>
      <c r="CG11" s="4">
        <v>88.881</v>
      </c>
      <c r="CH11" s="4">
        <v>92.751000000000005</v>
      </c>
      <c r="CI11" s="4">
        <v>109.544</v>
      </c>
      <c r="CJ11" s="4">
        <v>123.598</v>
      </c>
      <c r="CK11" s="4">
        <v>127.745</v>
      </c>
      <c r="CL11" s="4">
        <v>119.994</v>
      </c>
      <c r="CM11" s="4">
        <v>104.502</v>
      </c>
      <c r="CN11" s="4">
        <v>90.881</v>
      </c>
      <c r="CO11" s="4">
        <v>97.444999999999993</v>
      </c>
      <c r="CP11" s="4">
        <v>76.61</v>
      </c>
      <c r="CQ11" s="4">
        <v>84.933000000000007</v>
      </c>
      <c r="CR11" s="4">
        <v>87.129000000000005</v>
      </c>
      <c r="CS11" s="4">
        <v>89.593999999999994</v>
      </c>
      <c r="CT11" s="4">
        <v>94.751999999999995</v>
      </c>
      <c r="CU11" s="4">
        <v>117.691</v>
      </c>
      <c r="CV11" s="4">
        <v>129.25399999999999</v>
      </c>
      <c r="CW11" s="4">
        <v>127.63</v>
      </c>
      <c r="CX11" s="4">
        <v>113.032</v>
      </c>
      <c r="CY11" s="4">
        <v>98.977999999999994</v>
      </c>
      <c r="CZ11" s="4">
        <v>88.915999999999997</v>
      </c>
      <c r="DA11" s="4">
        <v>87.314999999999998</v>
      </c>
      <c r="DB11" s="4">
        <v>81.891999999999996</v>
      </c>
      <c r="DC11" s="4">
        <v>83.253</v>
      </c>
      <c r="DD11" s="4">
        <v>56.021000000000001</v>
      </c>
      <c r="DE11" s="4">
        <v>55.338000000000001</v>
      </c>
      <c r="DF11" s="4">
        <v>61.154000000000003</v>
      </c>
      <c r="DG11" s="4">
        <v>96.504000000000005</v>
      </c>
      <c r="DH11" s="4">
        <v>139.26</v>
      </c>
      <c r="DI11" s="4">
        <v>161.31399999999999</v>
      </c>
      <c r="DJ11" s="4">
        <v>132.804</v>
      </c>
      <c r="DK11" s="4">
        <v>132.33600000000001</v>
      </c>
      <c r="DL11" s="4">
        <v>95.924000000000007</v>
      </c>
      <c r="DM11" s="4">
        <v>77.316000000000003</v>
      </c>
      <c r="DN11" s="4">
        <v>63.121000000000002</v>
      </c>
      <c r="DO11" s="4">
        <v>65.015000000000001</v>
      </c>
      <c r="DP11" s="4">
        <v>67.063999999999993</v>
      </c>
      <c r="DQ11" s="4">
        <v>69.635000000000005</v>
      </c>
      <c r="DR11" s="4">
        <v>78.292000000000002</v>
      </c>
      <c r="DS11" s="4">
        <v>103.526</v>
      </c>
      <c r="DT11" s="4">
        <v>131.53</v>
      </c>
      <c r="DU11" s="4">
        <v>144.71100000000001</v>
      </c>
      <c r="DV11" s="4">
        <v>123.477</v>
      </c>
      <c r="DW11" s="4">
        <v>106.896</v>
      </c>
      <c r="DX11" s="4">
        <v>81.957999999999998</v>
      </c>
      <c r="DY11" s="4">
        <v>78.631</v>
      </c>
      <c r="DZ11" s="4">
        <v>67.983000000000004</v>
      </c>
      <c r="EA11" s="4">
        <v>70.61</v>
      </c>
      <c r="EB11" s="4">
        <v>74.641000000000005</v>
      </c>
      <c r="EC11" s="4">
        <v>74.489000000000004</v>
      </c>
      <c r="ED11" s="4">
        <v>82.343000000000004</v>
      </c>
      <c r="EE11" s="4">
        <v>108.431</v>
      </c>
      <c r="EF11" s="4">
        <v>135.417</v>
      </c>
      <c r="EG11" s="4">
        <v>142.31299999999999</v>
      </c>
      <c r="EH11" s="4">
        <v>115.11799999999999</v>
      </c>
      <c r="EI11" s="4">
        <v>96.6</v>
      </c>
      <c r="EJ11" s="4">
        <v>79.924999999999997</v>
      </c>
      <c r="EK11" s="4">
        <v>68.391000000000005</v>
      </c>
      <c r="EL11" s="4">
        <v>67.304000000000002</v>
      </c>
      <c r="EM11" s="4">
        <v>76.168000000000006</v>
      </c>
      <c r="EN11" s="4">
        <v>71.194000000000003</v>
      </c>
      <c r="EO11" s="4">
        <v>72.070999999999998</v>
      </c>
      <c r="EP11" s="4">
        <v>77.968000000000004</v>
      </c>
      <c r="EQ11" s="4">
        <v>99.772999999999996</v>
      </c>
      <c r="ER11" s="4">
        <v>127.664</v>
      </c>
      <c r="ES11" s="4">
        <v>128.375</v>
      </c>
      <c r="ET11" s="4">
        <v>114.76900000000001</v>
      </c>
      <c r="EU11" s="4">
        <v>89.650999999999996</v>
      </c>
      <c r="EV11" s="4">
        <v>77.134</v>
      </c>
      <c r="EW11" s="4">
        <v>77.430999999999997</v>
      </c>
      <c r="EX11" s="4">
        <v>70.335999999999999</v>
      </c>
      <c r="EY11" s="4">
        <v>72.555000000000007</v>
      </c>
      <c r="EZ11" s="4">
        <v>69.066999999999993</v>
      </c>
      <c r="FA11" s="4">
        <v>70.275000000000006</v>
      </c>
      <c r="FB11" s="4">
        <v>76.019000000000005</v>
      </c>
      <c r="FC11" s="4">
        <v>97.18</v>
      </c>
      <c r="FD11" s="4">
        <v>125.124</v>
      </c>
      <c r="FE11" s="4">
        <v>125.04300000000001</v>
      </c>
      <c r="FF11" s="4">
        <v>111.792</v>
      </c>
      <c r="FG11" s="4">
        <v>87.32</v>
      </c>
      <c r="FH11" s="4">
        <v>75.393000000000001</v>
      </c>
      <c r="FI11" s="4">
        <v>75.16</v>
      </c>
      <c r="FJ11" s="4">
        <v>68.512</v>
      </c>
      <c r="FK11" s="4">
        <v>70.668000000000006</v>
      </c>
      <c r="FL11" s="3" t="s">
        <v>308</v>
      </c>
      <c r="FM11" s="3" t="s">
        <v>308</v>
      </c>
      <c r="FN11" s="3" t="s">
        <v>308</v>
      </c>
      <c r="FO11" s="3" t="s">
        <v>308</v>
      </c>
      <c r="FP11" s="3" t="s">
        <v>308</v>
      </c>
      <c r="FQ11" s="3" t="s">
        <v>308</v>
      </c>
      <c r="FR11" s="3" t="s">
        <v>308</v>
      </c>
      <c r="FS11" s="3" t="s">
        <v>308</v>
      </c>
      <c r="FT11" s="3" t="s">
        <v>308</v>
      </c>
      <c r="FU11" s="3" t="s">
        <v>308</v>
      </c>
      <c r="FV11" s="3" t="s">
        <v>308</v>
      </c>
      <c r="FW11" s="3" t="s">
        <v>308</v>
      </c>
      <c r="FX11" s="3" t="s">
        <v>308</v>
      </c>
      <c r="FY11" s="3" t="s">
        <v>308</v>
      </c>
      <c r="FZ11" s="3" t="s">
        <v>308</v>
      </c>
      <c r="GA11" s="3" t="s">
        <v>308</v>
      </c>
      <c r="GB11" s="3" t="s">
        <v>308</v>
      </c>
      <c r="GC11" s="3" t="s">
        <v>308</v>
      </c>
      <c r="GD11" s="3" t="s">
        <v>308</v>
      </c>
      <c r="GE11" s="3" t="s">
        <v>308</v>
      </c>
      <c r="GF11" s="3" t="s">
        <v>308</v>
      </c>
      <c r="GG11" s="3" t="s">
        <v>308</v>
      </c>
      <c r="GH11" s="3" t="s">
        <v>308</v>
      </c>
      <c r="GI11" s="3" t="s">
        <v>308</v>
      </c>
      <c r="GJ11" s="3" t="s">
        <v>308</v>
      </c>
      <c r="GK11" s="3" t="s">
        <v>308</v>
      </c>
      <c r="GL11" s="3" t="s">
        <v>308</v>
      </c>
      <c r="GM11" s="3" t="s">
        <v>308</v>
      </c>
      <c r="GN11" s="3" t="s">
        <v>308</v>
      </c>
      <c r="GO11" s="3" t="s">
        <v>308</v>
      </c>
      <c r="GP11" s="3" t="s">
        <v>308</v>
      </c>
      <c r="GQ11" s="3" t="s">
        <v>308</v>
      </c>
      <c r="GR11" s="3" t="s">
        <v>308</v>
      </c>
      <c r="GS11" s="3" t="s">
        <v>308</v>
      </c>
      <c r="GT11" s="3" t="s">
        <v>308</v>
      </c>
      <c r="GU11" s="3" t="s">
        <v>308</v>
      </c>
      <c r="GV11" s="3" t="s">
        <v>308</v>
      </c>
      <c r="GW11" s="3" t="s">
        <v>308</v>
      </c>
      <c r="GX11" s="3" t="s">
        <v>308</v>
      </c>
      <c r="GY11" s="3" t="s">
        <v>308</v>
      </c>
      <c r="GZ11" s="3" t="s">
        <v>308</v>
      </c>
      <c r="HA11" s="3" t="s">
        <v>308</v>
      </c>
      <c r="HB11" s="3" t="s">
        <v>308</v>
      </c>
      <c r="HC11" s="3" t="s">
        <v>308</v>
      </c>
      <c r="HD11" s="3" t="s">
        <v>308</v>
      </c>
      <c r="HE11" s="3" t="s">
        <v>308</v>
      </c>
      <c r="HF11" s="3" t="s">
        <v>308</v>
      </c>
      <c r="HG11" s="3" t="s">
        <v>308</v>
      </c>
      <c r="HH11" s="3" t="s">
        <v>308</v>
      </c>
      <c r="HI11" s="3" t="s">
        <v>308</v>
      </c>
      <c r="HJ11" s="3" t="s">
        <v>308</v>
      </c>
      <c r="HK11" s="3" t="s">
        <v>308</v>
      </c>
      <c r="HL11" s="3" t="s">
        <v>308</v>
      </c>
      <c r="HM11" s="3" t="s">
        <v>308</v>
      </c>
      <c r="HN11" s="3" t="s">
        <v>308</v>
      </c>
      <c r="HO11" s="3" t="s">
        <v>308</v>
      </c>
      <c r="HP11" s="3" t="s">
        <v>308</v>
      </c>
      <c r="HQ11" s="3" t="s">
        <v>308</v>
      </c>
      <c r="HR11" s="3" t="s">
        <v>308</v>
      </c>
      <c r="HS11" s="3" t="s">
        <v>308</v>
      </c>
      <c r="HT11" s="3" t="s">
        <v>308</v>
      </c>
      <c r="HU11" s="3" t="s">
        <v>308</v>
      </c>
      <c r="HV11" s="3" t="s">
        <v>308</v>
      </c>
      <c r="HW11" s="3" t="s">
        <v>308</v>
      </c>
      <c r="HX11" s="3" t="s">
        <v>308</v>
      </c>
      <c r="HY11" s="3" t="s">
        <v>308</v>
      </c>
      <c r="HZ11" s="3" t="s">
        <v>308</v>
      </c>
      <c r="IA11" s="3" t="s">
        <v>308</v>
      </c>
      <c r="IB11" s="3" t="s">
        <v>308</v>
      </c>
      <c r="IC11" s="3" t="s">
        <v>308</v>
      </c>
      <c r="ID11" s="3" t="s">
        <v>308</v>
      </c>
      <c r="IE11" s="3" t="s">
        <v>308</v>
      </c>
      <c r="IF11" s="3" t="s">
        <v>308</v>
      </c>
      <c r="IG11" s="3" t="s">
        <v>308</v>
      </c>
      <c r="IH11" s="3" t="s">
        <v>308</v>
      </c>
      <c r="II11" s="3" t="s">
        <v>308</v>
      </c>
      <c r="IJ11" s="3" t="s">
        <v>308</v>
      </c>
      <c r="IK11" s="3" t="s">
        <v>308</v>
      </c>
      <c r="IL11" s="3" t="s">
        <v>308</v>
      </c>
      <c r="IM11" s="3" t="s">
        <v>308</v>
      </c>
      <c r="IN11" s="3" t="s">
        <v>308</v>
      </c>
      <c r="IO11" s="3" t="s">
        <v>308</v>
      </c>
      <c r="IP11" s="3" t="s">
        <v>308</v>
      </c>
      <c r="IQ11" s="3" t="s">
        <v>308</v>
      </c>
      <c r="IR11" s="3" t="s">
        <v>308</v>
      </c>
      <c r="IS11" s="3" t="s">
        <v>308</v>
      </c>
      <c r="IT11" s="3" t="s">
        <v>308</v>
      </c>
      <c r="IU11" s="3" t="s">
        <v>308</v>
      </c>
      <c r="IV11" s="3" t="s">
        <v>308</v>
      </c>
      <c r="IW11" s="3" t="s">
        <v>308</v>
      </c>
      <c r="IX11" s="3" t="s">
        <v>308</v>
      </c>
      <c r="IY11" s="3" t="s">
        <v>308</v>
      </c>
      <c r="IZ11" s="3" t="s">
        <v>308</v>
      </c>
      <c r="JA11" s="3" t="s">
        <v>308</v>
      </c>
      <c r="JB11" s="3" t="s">
        <v>308</v>
      </c>
      <c r="JC11" s="3" t="s">
        <v>308</v>
      </c>
      <c r="JD11" s="3" t="s">
        <v>308</v>
      </c>
      <c r="JE11" s="3" t="s">
        <v>308</v>
      </c>
      <c r="JF11" s="3" t="s">
        <v>308</v>
      </c>
      <c r="JG11" s="3" t="s">
        <v>308</v>
      </c>
      <c r="JH11" s="3" t="s">
        <v>308</v>
      </c>
      <c r="JI11" s="3" t="s">
        <v>308</v>
      </c>
      <c r="JJ11" s="3" t="s">
        <v>308</v>
      </c>
      <c r="JK11" s="3" t="s">
        <v>308</v>
      </c>
      <c r="JL11" s="3" t="s">
        <v>308</v>
      </c>
      <c r="JM11" s="3" t="s">
        <v>308</v>
      </c>
      <c r="JN11" s="3" t="s">
        <v>308</v>
      </c>
      <c r="JO11" s="3" t="s">
        <v>308</v>
      </c>
      <c r="JP11" s="3" t="s">
        <v>308</v>
      </c>
      <c r="JQ11" s="3" t="s">
        <v>308</v>
      </c>
      <c r="JR11" s="3" t="s">
        <v>308</v>
      </c>
      <c r="JS11" s="3" t="s">
        <v>308</v>
      </c>
      <c r="JT11" s="3" t="s">
        <v>308</v>
      </c>
      <c r="JU11" s="3" t="s">
        <v>308</v>
      </c>
      <c r="JV11" s="3" t="s">
        <v>308</v>
      </c>
      <c r="JW11" s="3" t="s">
        <v>308</v>
      </c>
      <c r="JX11" s="3" t="s">
        <v>308</v>
      </c>
      <c r="JY11" s="3" t="s">
        <v>308</v>
      </c>
      <c r="JZ11" s="3" t="s">
        <v>308</v>
      </c>
      <c r="KA11" s="3" t="s">
        <v>308</v>
      </c>
      <c r="KB11" s="3" t="s">
        <v>308</v>
      </c>
      <c r="KC11" s="3" t="s">
        <v>308</v>
      </c>
      <c r="KD11" s="3" t="s">
        <v>308</v>
      </c>
      <c r="KE11" s="3" t="s">
        <v>308</v>
      </c>
      <c r="KF11" s="3" t="s">
        <v>308</v>
      </c>
      <c r="KG11" s="3" t="s">
        <v>308</v>
      </c>
      <c r="KH11" s="3" t="s">
        <v>308</v>
      </c>
      <c r="KI11" s="3" t="s">
        <v>308</v>
      </c>
      <c r="KJ11" s="3" t="s">
        <v>308</v>
      </c>
      <c r="KK11" s="3" t="s">
        <v>308</v>
      </c>
      <c r="KL11" s="3" t="s">
        <v>308</v>
      </c>
      <c r="KM11" s="14" t="s">
        <v>308</v>
      </c>
    </row>
    <row r="12" spans="1:299" x14ac:dyDescent="0.25">
      <c r="A12" s="18" t="s">
        <v>309</v>
      </c>
      <c r="B12" s="19">
        <v>113.226</v>
      </c>
      <c r="C12" s="19">
        <v>103.92100000000001</v>
      </c>
      <c r="D12" s="19">
        <v>73.090999999999994</v>
      </c>
      <c r="E12" s="19">
        <v>107.988</v>
      </c>
      <c r="F12" s="19">
        <v>103.83</v>
      </c>
      <c r="G12" s="19">
        <v>111.41</v>
      </c>
      <c r="H12" s="19">
        <v>107.279</v>
      </c>
      <c r="I12" s="19">
        <v>100.41200000000001</v>
      </c>
      <c r="J12" s="19">
        <v>105.55</v>
      </c>
      <c r="K12" s="19">
        <v>100.098</v>
      </c>
      <c r="L12" s="19">
        <v>85.972999999999999</v>
      </c>
      <c r="M12" s="19">
        <v>109.89400000000001</v>
      </c>
      <c r="N12" s="19">
        <v>105.755</v>
      </c>
      <c r="O12" s="19">
        <v>104.402</v>
      </c>
      <c r="P12" s="19">
        <v>76.343000000000004</v>
      </c>
      <c r="Q12" s="19">
        <v>102.438</v>
      </c>
      <c r="R12" s="19">
        <v>108.982</v>
      </c>
      <c r="S12" s="19">
        <v>111.114</v>
      </c>
      <c r="T12" s="19">
        <v>92.831999999999994</v>
      </c>
      <c r="U12" s="19">
        <v>115.218</v>
      </c>
      <c r="V12" s="19">
        <v>100.098</v>
      </c>
      <c r="W12" s="19">
        <v>95.701999999999998</v>
      </c>
      <c r="X12" s="19">
        <v>91.644000000000005</v>
      </c>
      <c r="Y12" s="19">
        <v>109.358</v>
      </c>
      <c r="Z12" s="19">
        <v>103.25700000000001</v>
      </c>
      <c r="AA12" s="19">
        <v>107.69799999999999</v>
      </c>
      <c r="AB12" s="19">
        <v>79.262</v>
      </c>
      <c r="AC12" s="19">
        <v>102.762</v>
      </c>
      <c r="AD12" s="19">
        <v>110.015</v>
      </c>
      <c r="AE12" s="19">
        <v>111.60599999999999</v>
      </c>
      <c r="AF12" s="19">
        <v>98.772000000000006</v>
      </c>
      <c r="AG12" s="19">
        <v>109.545</v>
      </c>
      <c r="AH12" s="19">
        <v>101.83199999999999</v>
      </c>
      <c r="AI12" s="19">
        <v>94.149000000000001</v>
      </c>
      <c r="AJ12" s="19">
        <v>95.084999999999994</v>
      </c>
      <c r="AK12" s="19">
        <v>108.991</v>
      </c>
      <c r="AL12" s="19">
        <v>102.22</v>
      </c>
      <c r="AM12" s="19">
        <v>105.111</v>
      </c>
      <c r="AN12" s="19">
        <v>76.897000000000006</v>
      </c>
      <c r="AO12" s="19">
        <v>104.514</v>
      </c>
      <c r="AP12" s="19">
        <v>105.036</v>
      </c>
      <c r="AQ12" s="19">
        <v>103.86</v>
      </c>
      <c r="AR12" s="19">
        <v>99.953999999999994</v>
      </c>
      <c r="AS12" s="19">
        <v>110.227</v>
      </c>
      <c r="AT12" s="19">
        <v>97.765000000000001</v>
      </c>
      <c r="AU12" s="19">
        <v>90.338999999999999</v>
      </c>
      <c r="AV12" s="19">
        <v>91.325000000000003</v>
      </c>
      <c r="AW12" s="19">
        <v>104.792</v>
      </c>
      <c r="AX12" s="19">
        <v>106.122</v>
      </c>
      <c r="AY12" s="19">
        <v>103.051</v>
      </c>
      <c r="AZ12" s="19">
        <v>72.126999999999995</v>
      </c>
      <c r="BA12" s="19">
        <v>102.408</v>
      </c>
      <c r="BB12" s="19">
        <v>93.366</v>
      </c>
      <c r="BC12" s="19">
        <v>79.433999999999997</v>
      </c>
      <c r="BD12" s="19">
        <v>62.491999999999997</v>
      </c>
      <c r="BE12" s="19">
        <v>93.591999999999999</v>
      </c>
      <c r="BF12" s="19">
        <v>102.075</v>
      </c>
      <c r="BG12" s="19">
        <v>98.787999999999997</v>
      </c>
      <c r="BH12" s="19">
        <v>89.852999999999994</v>
      </c>
      <c r="BI12" s="19">
        <v>105.63800000000001</v>
      </c>
      <c r="BJ12" s="19">
        <v>113.928</v>
      </c>
      <c r="BK12" s="19">
        <v>103.39700000000001</v>
      </c>
      <c r="BL12" s="19">
        <v>77.516000000000005</v>
      </c>
      <c r="BM12" s="19">
        <v>110.354</v>
      </c>
      <c r="BN12" s="19">
        <v>103.815</v>
      </c>
      <c r="BO12" s="19">
        <v>114.17400000000001</v>
      </c>
      <c r="BP12" s="19">
        <v>101.511</v>
      </c>
      <c r="BQ12" s="19">
        <v>109.146</v>
      </c>
      <c r="BR12" s="19">
        <v>102.01300000000001</v>
      </c>
      <c r="BS12" s="19">
        <v>102.318</v>
      </c>
      <c r="BT12" s="19">
        <v>87.787999999999997</v>
      </c>
      <c r="BU12" s="19">
        <v>106.622</v>
      </c>
      <c r="BV12" s="19">
        <v>112.11</v>
      </c>
      <c r="BW12" s="19">
        <v>100.501</v>
      </c>
      <c r="BX12" s="19">
        <v>78.837999999999994</v>
      </c>
      <c r="BY12" s="19">
        <v>107.90900000000001</v>
      </c>
      <c r="BZ12" s="19">
        <v>107.328</v>
      </c>
      <c r="CA12" s="19">
        <v>112.29</v>
      </c>
      <c r="CB12" s="19">
        <v>103.337</v>
      </c>
      <c r="CC12" s="19">
        <v>106.514</v>
      </c>
      <c r="CD12" s="19">
        <v>100.16200000000001</v>
      </c>
      <c r="CE12" s="19">
        <v>100.511</v>
      </c>
      <c r="CF12" s="19">
        <v>89.430999999999997</v>
      </c>
      <c r="CG12" s="19">
        <v>109.041</v>
      </c>
      <c r="CH12" s="19">
        <v>106.751</v>
      </c>
      <c r="CI12" s="19">
        <v>104.09699999999999</v>
      </c>
      <c r="CJ12" s="19">
        <v>78.129000000000005</v>
      </c>
      <c r="CK12" s="19">
        <v>102.357</v>
      </c>
      <c r="CL12" s="19">
        <v>108.027</v>
      </c>
      <c r="CM12" s="19">
        <v>110.38200000000001</v>
      </c>
      <c r="CN12" s="19">
        <v>91.927000000000007</v>
      </c>
      <c r="CO12" s="19">
        <v>113.51900000000001</v>
      </c>
      <c r="CP12" s="19">
        <v>98.018000000000001</v>
      </c>
      <c r="CQ12" s="19">
        <v>94.323999999999998</v>
      </c>
      <c r="CR12" s="19">
        <v>87.972999999999999</v>
      </c>
      <c r="CS12" s="19">
        <v>104.361</v>
      </c>
      <c r="CT12" s="19">
        <v>98.287999999999997</v>
      </c>
      <c r="CU12" s="19">
        <v>102.93300000000001</v>
      </c>
      <c r="CV12" s="19">
        <v>75.430000000000007</v>
      </c>
      <c r="CW12" s="19">
        <v>99.043000000000006</v>
      </c>
      <c r="CX12" s="19">
        <v>104.315</v>
      </c>
      <c r="CY12" s="19">
        <v>103.102</v>
      </c>
      <c r="CZ12" s="19">
        <v>104.092</v>
      </c>
      <c r="DA12" s="19">
        <v>100.73699999999999</v>
      </c>
      <c r="DB12" s="19">
        <v>99.42</v>
      </c>
      <c r="DC12" s="19">
        <v>89.637</v>
      </c>
      <c r="DD12" s="19">
        <v>89.665000000000006</v>
      </c>
      <c r="DE12" s="19">
        <v>100.41500000000001</v>
      </c>
      <c r="DF12" s="19">
        <v>101.72799999999999</v>
      </c>
      <c r="DG12" s="19">
        <v>102.122</v>
      </c>
      <c r="DH12" s="19">
        <v>70.34</v>
      </c>
      <c r="DI12" s="19">
        <v>105.684</v>
      </c>
      <c r="DJ12" s="19">
        <v>102.755</v>
      </c>
      <c r="DK12" s="19">
        <v>98.367999999999995</v>
      </c>
      <c r="DL12" s="19">
        <v>93.275000000000006</v>
      </c>
      <c r="DM12" s="19">
        <v>101.739</v>
      </c>
      <c r="DN12" s="19">
        <v>91.55</v>
      </c>
      <c r="DO12" s="19">
        <v>85.403999999999996</v>
      </c>
      <c r="DP12" s="19">
        <v>84.768000000000001</v>
      </c>
      <c r="DQ12" s="19">
        <v>93.001000000000005</v>
      </c>
      <c r="DR12" s="19">
        <v>100.56100000000001</v>
      </c>
      <c r="DS12" s="19">
        <v>96.3</v>
      </c>
      <c r="DT12" s="19">
        <v>65.957999999999998</v>
      </c>
      <c r="DU12" s="19">
        <v>100.429</v>
      </c>
      <c r="DV12" s="19">
        <v>95.227999999999994</v>
      </c>
      <c r="DW12" s="19">
        <v>97.085999999999999</v>
      </c>
      <c r="DX12" s="19">
        <v>90.813000000000002</v>
      </c>
      <c r="DY12" s="19">
        <v>96.501999999999995</v>
      </c>
      <c r="DZ12" s="19">
        <v>90.319000000000003</v>
      </c>
      <c r="EA12" s="19">
        <v>88.406000000000006</v>
      </c>
      <c r="EB12" s="19">
        <v>80.692999999999998</v>
      </c>
      <c r="EC12" s="19">
        <v>92.286000000000001</v>
      </c>
      <c r="ED12" s="19">
        <v>99.176000000000002</v>
      </c>
      <c r="EE12" s="19">
        <v>92.539000000000001</v>
      </c>
      <c r="EF12" s="19">
        <v>67.545000000000002</v>
      </c>
      <c r="EG12" s="19">
        <v>98.323999999999998</v>
      </c>
      <c r="EH12" s="19">
        <v>92.531000000000006</v>
      </c>
      <c r="EI12" s="19">
        <v>96.768000000000001</v>
      </c>
      <c r="EJ12" s="19">
        <v>92.730999999999995</v>
      </c>
      <c r="EK12" s="19">
        <v>87.518000000000001</v>
      </c>
      <c r="EL12" s="19">
        <v>86.921000000000006</v>
      </c>
      <c r="EM12" s="19">
        <v>87.924999999999997</v>
      </c>
      <c r="EN12" s="19">
        <v>77.078000000000003</v>
      </c>
      <c r="EO12" s="19">
        <v>92.210999999999999</v>
      </c>
      <c r="EP12" s="19">
        <v>97.459000000000003</v>
      </c>
      <c r="EQ12" s="19">
        <v>88.611999999999995</v>
      </c>
      <c r="ER12" s="19">
        <v>70.634</v>
      </c>
      <c r="ES12" s="19">
        <v>98.018000000000001</v>
      </c>
      <c r="ET12" s="19">
        <v>97.007999999999996</v>
      </c>
      <c r="EU12" s="19">
        <v>99.186999999999998</v>
      </c>
      <c r="EV12" s="19">
        <v>85.691000000000003</v>
      </c>
      <c r="EW12" s="19">
        <v>98.718999999999994</v>
      </c>
      <c r="EX12" s="19">
        <v>94.573999999999998</v>
      </c>
      <c r="EY12" s="19">
        <v>90.974999999999994</v>
      </c>
      <c r="EZ12" s="19">
        <v>87.813999999999993</v>
      </c>
      <c r="FA12" s="19">
        <v>101.294</v>
      </c>
      <c r="FB12" s="19">
        <v>98.388000000000005</v>
      </c>
      <c r="FC12" s="19">
        <v>103.19</v>
      </c>
      <c r="FD12" s="19">
        <v>74.378</v>
      </c>
      <c r="FE12" s="19">
        <v>103.393</v>
      </c>
      <c r="FF12" s="19">
        <v>105.63200000000001</v>
      </c>
      <c r="FG12" s="19">
        <v>105.456</v>
      </c>
      <c r="FH12" s="19">
        <v>94.983999999999995</v>
      </c>
      <c r="FI12" s="19">
        <v>111.321</v>
      </c>
      <c r="FJ12" s="19">
        <v>100.185</v>
      </c>
      <c r="FK12" s="19">
        <v>93.155000000000001</v>
      </c>
      <c r="FL12" s="19">
        <v>93.85</v>
      </c>
      <c r="FM12" s="19">
        <v>109.187</v>
      </c>
      <c r="FN12" s="19">
        <v>102.249</v>
      </c>
      <c r="FO12" s="19">
        <v>103.953</v>
      </c>
      <c r="FP12" s="19">
        <v>73.644000000000005</v>
      </c>
      <c r="FQ12" s="19">
        <v>107.727</v>
      </c>
      <c r="FR12" s="19">
        <v>108.092</v>
      </c>
      <c r="FS12" s="19">
        <v>104.44</v>
      </c>
      <c r="FT12" s="19">
        <v>99.206000000000003</v>
      </c>
      <c r="FU12" s="19">
        <v>109.79600000000001</v>
      </c>
      <c r="FV12" s="19">
        <v>96.406000000000006</v>
      </c>
      <c r="FW12" s="19">
        <v>89.832999999999998</v>
      </c>
      <c r="FX12" s="19">
        <v>93.727999999999994</v>
      </c>
      <c r="FY12" s="19">
        <v>105.779</v>
      </c>
      <c r="FZ12" s="19">
        <v>106.875</v>
      </c>
      <c r="GA12" s="19">
        <v>105.536</v>
      </c>
      <c r="GB12" s="19">
        <v>71.087000000000003</v>
      </c>
      <c r="GC12" s="19">
        <v>110.892</v>
      </c>
      <c r="GD12" s="19">
        <v>104.318</v>
      </c>
      <c r="GE12" s="19">
        <v>99.448999999999998</v>
      </c>
      <c r="GF12" s="19">
        <v>96.406000000000006</v>
      </c>
      <c r="GG12" s="19">
        <v>103.223</v>
      </c>
      <c r="GH12" s="19">
        <v>98.840999999999994</v>
      </c>
      <c r="GI12" s="19">
        <v>94.701999999999998</v>
      </c>
      <c r="GJ12" s="19">
        <v>94.093999999999994</v>
      </c>
      <c r="GK12" s="19">
        <v>109.431</v>
      </c>
      <c r="GL12" s="19">
        <v>123.18600000000001</v>
      </c>
      <c r="GM12" s="19">
        <v>122.09</v>
      </c>
      <c r="GN12" s="19">
        <v>80.338999999999999</v>
      </c>
      <c r="GO12" s="19">
        <v>135.11500000000001</v>
      </c>
      <c r="GP12" s="19">
        <v>123.06399999999999</v>
      </c>
      <c r="GQ12" s="19">
        <v>129.51599999999999</v>
      </c>
      <c r="GR12" s="19">
        <v>136.81899999999999</v>
      </c>
      <c r="GS12" s="19">
        <v>119.41200000000001</v>
      </c>
      <c r="GT12" s="19">
        <v>132.68</v>
      </c>
      <c r="GU12" s="19">
        <v>129.39400000000001</v>
      </c>
      <c r="GV12" s="19">
        <v>114.422</v>
      </c>
      <c r="GW12" s="19">
        <v>135.72399999999999</v>
      </c>
      <c r="GX12" s="19">
        <v>141.44499999999999</v>
      </c>
      <c r="GY12" s="19">
        <v>128.298</v>
      </c>
      <c r="GZ12" s="19">
        <v>92.632999999999996</v>
      </c>
      <c r="HA12" s="19">
        <v>138.036</v>
      </c>
      <c r="HB12" s="19">
        <v>139.49700000000001</v>
      </c>
      <c r="HC12" s="19">
        <v>142.297</v>
      </c>
      <c r="HD12" s="19">
        <v>121.72499999999999</v>
      </c>
      <c r="HE12" s="19">
        <v>143.392</v>
      </c>
      <c r="HF12" s="19">
        <v>128.41999999999999</v>
      </c>
      <c r="HG12" s="19">
        <v>130.733</v>
      </c>
      <c r="HH12" s="19">
        <v>114.66500000000001</v>
      </c>
      <c r="HI12" s="19">
        <v>138.523</v>
      </c>
      <c r="HJ12" s="19">
        <v>134.506</v>
      </c>
      <c r="HK12" s="19">
        <v>130.24600000000001</v>
      </c>
      <c r="HL12" s="19">
        <v>90.197999999999993</v>
      </c>
      <c r="HM12" s="19">
        <v>131.34100000000001</v>
      </c>
      <c r="HN12" s="19">
        <v>139.01</v>
      </c>
      <c r="HO12" s="19">
        <v>137.79300000000001</v>
      </c>
      <c r="HP12" s="19">
        <v>116.369</v>
      </c>
      <c r="HQ12" s="19">
        <v>141.566</v>
      </c>
      <c r="HR12" s="19">
        <v>123.30800000000001</v>
      </c>
      <c r="HS12" s="19">
        <v>121.36</v>
      </c>
      <c r="HT12" s="19">
        <v>112.596</v>
      </c>
      <c r="HU12" s="19">
        <v>132.559</v>
      </c>
      <c r="HV12" s="19">
        <v>125.986</v>
      </c>
      <c r="HW12" s="19">
        <v>130.00200000000001</v>
      </c>
      <c r="HX12" s="19">
        <v>86.912000000000006</v>
      </c>
      <c r="HY12" s="19">
        <v>126.83799999999999</v>
      </c>
      <c r="HZ12" s="19">
        <v>132.68</v>
      </c>
      <c r="IA12" s="19">
        <v>129.15</v>
      </c>
      <c r="IB12" s="19">
        <v>129.39400000000001</v>
      </c>
      <c r="IC12" s="19">
        <v>124.52500000000001</v>
      </c>
      <c r="ID12" s="19">
        <v>118.07299999999999</v>
      </c>
      <c r="IE12" s="19">
        <v>112.23099999999999</v>
      </c>
      <c r="IF12" s="19">
        <v>111.744</v>
      </c>
      <c r="IG12" s="19">
        <v>132.072</v>
      </c>
      <c r="IH12" s="19">
        <v>126.107</v>
      </c>
      <c r="II12" s="19">
        <v>129.881</v>
      </c>
      <c r="IJ12" s="19">
        <v>82.894999999999996</v>
      </c>
      <c r="IK12" s="19">
        <v>132.315</v>
      </c>
      <c r="IL12" s="19">
        <v>133.411</v>
      </c>
      <c r="IM12" s="19">
        <v>129.15</v>
      </c>
      <c r="IN12" s="19">
        <v>119.77800000000001</v>
      </c>
      <c r="IO12" s="19">
        <v>134.75</v>
      </c>
      <c r="IP12" s="19">
        <v>120.386</v>
      </c>
      <c r="IQ12" s="19">
        <v>112.596</v>
      </c>
      <c r="IR12" s="19">
        <v>110.892</v>
      </c>
      <c r="IS12" s="19">
        <v>126.47199999999999</v>
      </c>
      <c r="IT12" s="19">
        <v>136.81899999999999</v>
      </c>
      <c r="IU12" s="19">
        <v>125.133</v>
      </c>
      <c r="IV12" s="19">
        <v>77.903999999999996</v>
      </c>
      <c r="IW12" s="19">
        <v>132.80199999999999</v>
      </c>
      <c r="IX12" s="19">
        <v>125.986</v>
      </c>
      <c r="IY12" s="19">
        <v>126.351</v>
      </c>
      <c r="IZ12" s="19">
        <v>119.53400000000001</v>
      </c>
      <c r="JA12" s="19">
        <v>126.47199999999999</v>
      </c>
      <c r="JB12" s="19">
        <v>118.31699999999999</v>
      </c>
      <c r="JC12" s="19">
        <v>116.613</v>
      </c>
      <c r="JD12" s="19">
        <v>107.24</v>
      </c>
      <c r="JE12" s="19">
        <v>125.864</v>
      </c>
      <c r="JF12" s="19">
        <v>136.45400000000001</v>
      </c>
      <c r="JG12" s="19">
        <v>122.456</v>
      </c>
      <c r="JH12" s="19">
        <v>80.703999999999994</v>
      </c>
      <c r="JI12" s="19">
        <v>130.24600000000001</v>
      </c>
      <c r="JJ12" s="19">
        <v>120.143</v>
      </c>
      <c r="JK12" s="19">
        <v>128.05500000000001</v>
      </c>
      <c r="JL12" s="19">
        <v>125.499</v>
      </c>
      <c r="JM12" s="19">
        <v>114.056</v>
      </c>
      <c r="JN12" s="19">
        <v>116.73399999999999</v>
      </c>
      <c r="JO12" s="19">
        <v>116.248</v>
      </c>
      <c r="JP12" s="19">
        <v>101.884</v>
      </c>
      <c r="JQ12" s="19">
        <v>124.28100000000001</v>
      </c>
      <c r="JR12" s="19">
        <v>129.15</v>
      </c>
      <c r="JS12" s="19">
        <v>119.41200000000001</v>
      </c>
      <c r="JT12" s="19">
        <v>83.99</v>
      </c>
      <c r="JU12" s="19">
        <v>125.62</v>
      </c>
      <c r="JV12" s="19">
        <v>127.93300000000001</v>
      </c>
      <c r="JW12" s="19">
        <v>130.85499999999999</v>
      </c>
      <c r="JX12" s="19">
        <v>113.083</v>
      </c>
      <c r="JY12" s="19">
        <v>129.75899999999999</v>
      </c>
      <c r="JZ12" s="19">
        <v>118.804</v>
      </c>
      <c r="KA12" s="19">
        <v>120.386</v>
      </c>
      <c r="KB12" s="19">
        <v>109.187</v>
      </c>
      <c r="KC12" s="19">
        <v>132.072</v>
      </c>
      <c r="KD12" s="19">
        <v>125.742</v>
      </c>
      <c r="KE12" s="19">
        <v>123.673</v>
      </c>
      <c r="KF12" s="19">
        <v>81.677999999999997</v>
      </c>
      <c r="KG12" s="19">
        <v>126.83799999999999</v>
      </c>
      <c r="KH12" s="19">
        <v>132.315</v>
      </c>
      <c r="KI12" s="19">
        <v>132.80199999999999</v>
      </c>
      <c r="KJ12" s="19">
        <v>113.20399999999999</v>
      </c>
      <c r="KK12" s="19">
        <v>135.23699999999999</v>
      </c>
      <c r="KL12" s="19">
        <v>123.551</v>
      </c>
      <c r="KM12" s="20">
        <v>113.935</v>
      </c>
    </row>
    <row r="13" spans="1:299" x14ac:dyDescent="0.25">
      <c r="A13" s="21" t="s">
        <v>610</v>
      </c>
      <c r="B13" s="22">
        <f>SUM(B9:B12)</f>
        <v>421.80900000000003</v>
      </c>
      <c r="C13" s="22">
        <f t="shared" ref="C13:BN13" si="0">SUM(C9:C12)</f>
        <v>413.51600000000002</v>
      </c>
      <c r="D13" s="22">
        <f t="shared" si="0"/>
        <v>373.82499999999999</v>
      </c>
      <c r="E13" s="22">
        <f t="shared" si="0"/>
        <v>426.34200000000004</v>
      </c>
      <c r="F13" s="22">
        <f t="shared" si="0"/>
        <v>392.41800000000001</v>
      </c>
      <c r="G13" s="22">
        <f t="shared" si="0"/>
        <v>400.96500000000003</v>
      </c>
      <c r="H13" s="22">
        <f t="shared" si="0"/>
        <v>388.209</v>
      </c>
      <c r="I13" s="22">
        <f t="shared" si="0"/>
        <v>379.73800000000006</v>
      </c>
      <c r="J13" s="22">
        <f t="shared" si="0"/>
        <v>385.77600000000001</v>
      </c>
      <c r="K13" s="22">
        <f t="shared" si="0"/>
        <v>403.45400000000001</v>
      </c>
      <c r="L13" s="22">
        <f t="shared" si="0"/>
        <v>372.69499999999999</v>
      </c>
      <c r="M13" s="22">
        <f t="shared" si="0"/>
        <v>403.42899999999997</v>
      </c>
      <c r="N13" s="22">
        <f t="shared" si="0"/>
        <v>400.81400000000002</v>
      </c>
      <c r="O13" s="22">
        <f t="shared" si="0"/>
        <v>406.65</v>
      </c>
      <c r="P13" s="22">
        <f t="shared" si="0"/>
        <v>386.80099999999999</v>
      </c>
      <c r="Q13" s="22">
        <f t="shared" si="0"/>
        <v>424.69799999999998</v>
      </c>
      <c r="R13" s="22">
        <f t="shared" si="0"/>
        <v>416.66399999999999</v>
      </c>
      <c r="S13" s="22">
        <f t="shared" si="0"/>
        <v>414.69100000000003</v>
      </c>
      <c r="T13" s="22">
        <f t="shared" si="0"/>
        <v>382.197</v>
      </c>
      <c r="U13" s="22">
        <f t="shared" si="0"/>
        <v>431.76499999999999</v>
      </c>
      <c r="V13" s="22">
        <f t="shared" si="0"/>
        <v>385.40300000000002</v>
      </c>
      <c r="W13" s="22">
        <f t="shared" si="0"/>
        <v>383.2</v>
      </c>
      <c r="X13" s="22">
        <f t="shared" si="0"/>
        <v>373.62</v>
      </c>
      <c r="Y13" s="22">
        <f t="shared" si="0"/>
        <v>414.06099999999998</v>
      </c>
      <c r="Z13" s="22">
        <f t="shared" si="0"/>
        <v>411.72199999999998</v>
      </c>
      <c r="AA13" s="22">
        <f t="shared" si="0"/>
        <v>435.80099999999999</v>
      </c>
      <c r="AB13" s="22">
        <f t="shared" si="0"/>
        <v>402.96299999999997</v>
      </c>
      <c r="AC13" s="22">
        <f t="shared" si="0"/>
        <v>440.62799999999999</v>
      </c>
      <c r="AD13" s="22">
        <f t="shared" si="0"/>
        <v>439.84699999999998</v>
      </c>
      <c r="AE13" s="22">
        <f t="shared" si="0"/>
        <v>415.11199999999997</v>
      </c>
      <c r="AF13" s="22">
        <f t="shared" si="0"/>
        <v>386.03300000000002</v>
      </c>
      <c r="AG13" s="22">
        <f t="shared" si="0"/>
        <v>403.51300000000003</v>
      </c>
      <c r="AH13" s="22">
        <f t="shared" si="0"/>
        <v>375.59800000000001</v>
      </c>
      <c r="AI13" s="22">
        <f t="shared" si="0"/>
        <v>382.572</v>
      </c>
      <c r="AJ13" s="22">
        <f t="shared" si="0"/>
        <v>386.70299999999997</v>
      </c>
      <c r="AK13" s="22">
        <f t="shared" si="0"/>
        <v>412.84699999999998</v>
      </c>
      <c r="AL13" s="22">
        <f t="shared" si="0"/>
        <v>397.61099999999999</v>
      </c>
      <c r="AM13" s="22">
        <f t="shared" si="0"/>
        <v>420.03499999999997</v>
      </c>
      <c r="AN13" s="22">
        <f t="shared" si="0"/>
        <v>381.67</v>
      </c>
      <c r="AO13" s="22">
        <f t="shared" si="0"/>
        <v>432.649</v>
      </c>
      <c r="AP13" s="22">
        <f t="shared" si="0"/>
        <v>407.39</v>
      </c>
      <c r="AQ13" s="22">
        <f t="shared" si="0"/>
        <v>399.55400000000003</v>
      </c>
      <c r="AR13" s="22">
        <f t="shared" si="0"/>
        <v>392.779</v>
      </c>
      <c r="AS13" s="22">
        <f t="shared" si="0"/>
        <v>419.75</v>
      </c>
      <c r="AT13" s="22">
        <f t="shared" si="0"/>
        <v>368.99099999999999</v>
      </c>
      <c r="AU13" s="22">
        <f t="shared" si="0"/>
        <v>380.02</v>
      </c>
      <c r="AV13" s="22">
        <f t="shared" si="0"/>
        <v>377.48899999999998</v>
      </c>
      <c r="AW13" s="22">
        <f t="shared" si="0"/>
        <v>394.66200000000003</v>
      </c>
      <c r="AX13" s="22">
        <f t="shared" si="0"/>
        <v>394.69400000000002</v>
      </c>
      <c r="AY13" s="22">
        <f t="shared" si="0"/>
        <v>419.38900000000001</v>
      </c>
      <c r="AZ13" s="22">
        <f t="shared" si="0"/>
        <v>397.553</v>
      </c>
      <c r="BA13" s="22">
        <f t="shared" si="0"/>
        <v>464.03300000000002</v>
      </c>
      <c r="BB13" s="22">
        <f t="shared" si="0"/>
        <v>397.096</v>
      </c>
      <c r="BC13" s="22">
        <f t="shared" si="0"/>
        <v>342.77099999999996</v>
      </c>
      <c r="BD13" s="22">
        <f t="shared" si="0"/>
        <v>283.53100000000001</v>
      </c>
      <c r="BE13" s="22">
        <f t="shared" si="0"/>
        <v>364.577</v>
      </c>
      <c r="BF13" s="22">
        <f t="shared" si="0"/>
        <v>376.00299999999999</v>
      </c>
      <c r="BG13" s="22">
        <f t="shared" si="0"/>
        <v>378.49099999999999</v>
      </c>
      <c r="BH13" s="22">
        <f t="shared" si="0"/>
        <v>376.53300000000002</v>
      </c>
      <c r="BI13" s="22">
        <f t="shared" si="0"/>
        <v>417.803</v>
      </c>
      <c r="BJ13" s="22">
        <f t="shared" si="0"/>
        <v>425.68799999999999</v>
      </c>
      <c r="BK13" s="22">
        <f t="shared" si="0"/>
        <v>427.06299999999999</v>
      </c>
      <c r="BL13" s="22">
        <f t="shared" si="0"/>
        <v>410.94700000000006</v>
      </c>
      <c r="BM13" s="22">
        <f t="shared" si="0"/>
        <v>471.29699999999997</v>
      </c>
      <c r="BN13" s="22">
        <f t="shared" si="0"/>
        <v>420.67199999999997</v>
      </c>
      <c r="BO13" s="22">
        <f t="shared" ref="BO13:DZ13" si="1">SUM(BO9:BO12)</f>
        <v>419.774</v>
      </c>
      <c r="BP13" s="22">
        <f t="shared" si="1"/>
        <v>386.02099999999996</v>
      </c>
      <c r="BQ13" s="22">
        <f t="shared" si="1"/>
        <v>390.79200000000003</v>
      </c>
      <c r="BR13" s="22">
        <f t="shared" si="1"/>
        <v>369.928</v>
      </c>
      <c r="BS13" s="22">
        <f t="shared" si="1"/>
        <v>400.21800000000002</v>
      </c>
      <c r="BT13" s="22">
        <f t="shared" si="1"/>
        <v>353.21200000000005</v>
      </c>
      <c r="BU13" s="22">
        <f t="shared" si="1"/>
        <v>394.87099999999998</v>
      </c>
      <c r="BV13" s="22">
        <f t="shared" si="1"/>
        <v>415.90600000000001</v>
      </c>
      <c r="BW13" s="22">
        <f t="shared" si="1"/>
        <v>404.56799999999998</v>
      </c>
      <c r="BX13" s="22">
        <f t="shared" si="1"/>
        <v>402.94399999999996</v>
      </c>
      <c r="BY13" s="22">
        <f t="shared" si="1"/>
        <v>438.87799999999999</v>
      </c>
      <c r="BZ13" s="22">
        <f t="shared" si="1"/>
        <v>418.73900000000003</v>
      </c>
      <c r="CA13" s="22">
        <f t="shared" si="1"/>
        <v>409.94600000000003</v>
      </c>
      <c r="CB13" s="22">
        <f t="shared" si="1"/>
        <v>382.38800000000003</v>
      </c>
      <c r="CC13" s="22">
        <f t="shared" si="1"/>
        <v>408.786</v>
      </c>
      <c r="CD13" s="22">
        <f t="shared" si="1"/>
        <v>387.90800000000002</v>
      </c>
      <c r="CE13" s="22">
        <f t="shared" si="1"/>
        <v>399.83600000000001</v>
      </c>
      <c r="CF13" s="22">
        <f t="shared" si="1"/>
        <v>383.9</v>
      </c>
      <c r="CG13" s="22">
        <f t="shared" si="1"/>
        <v>439.73099999999999</v>
      </c>
      <c r="CH13" s="22">
        <f t="shared" si="1"/>
        <v>424.76699999999994</v>
      </c>
      <c r="CI13" s="22">
        <f t="shared" si="1"/>
        <v>429.60499999999996</v>
      </c>
      <c r="CJ13" s="22">
        <f t="shared" si="1"/>
        <v>409.08200000000005</v>
      </c>
      <c r="CK13" s="22">
        <f t="shared" si="1"/>
        <v>448.82899999999995</v>
      </c>
      <c r="CL13" s="22">
        <f t="shared" si="1"/>
        <v>433.92500000000001</v>
      </c>
      <c r="CM13" s="22">
        <f t="shared" si="1"/>
        <v>426.26400000000001</v>
      </c>
      <c r="CN13" s="22">
        <f t="shared" si="1"/>
        <v>367.97800000000007</v>
      </c>
      <c r="CO13" s="22">
        <f t="shared" si="1"/>
        <v>417.29199999999997</v>
      </c>
      <c r="CP13" s="22">
        <f t="shared" si="1"/>
        <v>366.41100000000006</v>
      </c>
      <c r="CQ13" s="22">
        <f t="shared" si="1"/>
        <v>392.51100000000002</v>
      </c>
      <c r="CR13" s="22">
        <f t="shared" si="1"/>
        <v>361.85200000000003</v>
      </c>
      <c r="CS13" s="22">
        <f t="shared" si="1"/>
        <v>406.46600000000001</v>
      </c>
      <c r="CT13" s="22">
        <f t="shared" si="1"/>
        <v>400.14</v>
      </c>
      <c r="CU13" s="22">
        <f t="shared" si="1"/>
        <v>428.77800000000002</v>
      </c>
      <c r="CV13" s="22">
        <f t="shared" si="1"/>
        <v>405.83</v>
      </c>
      <c r="CW13" s="22">
        <f t="shared" si="1"/>
        <v>437.39</v>
      </c>
      <c r="CX13" s="22">
        <f t="shared" si="1"/>
        <v>417.77799999999996</v>
      </c>
      <c r="CY13" s="22">
        <f t="shared" si="1"/>
        <v>402.95900000000006</v>
      </c>
      <c r="CZ13" s="22">
        <f t="shared" si="1"/>
        <v>400.661</v>
      </c>
      <c r="DA13" s="22">
        <f t="shared" si="1"/>
        <v>398.91800000000001</v>
      </c>
      <c r="DB13" s="22">
        <f t="shared" si="1"/>
        <v>384.91</v>
      </c>
      <c r="DC13" s="22">
        <f t="shared" si="1"/>
        <v>371.84100000000001</v>
      </c>
      <c r="DD13" s="22">
        <f t="shared" si="1"/>
        <v>338.86900000000003</v>
      </c>
      <c r="DE13" s="22">
        <f t="shared" si="1"/>
        <v>365.08400000000006</v>
      </c>
      <c r="DF13" s="22">
        <f t="shared" si="1"/>
        <v>378.697</v>
      </c>
      <c r="DG13" s="22">
        <f t="shared" si="1"/>
        <v>411.33300000000003</v>
      </c>
      <c r="DH13" s="22">
        <f t="shared" si="1"/>
        <v>393.69000000000005</v>
      </c>
      <c r="DI13" s="22">
        <f t="shared" si="1"/>
        <v>500.65699999999993</v>
      </c>
      <c r="DJ13" s="22">
        <f t="shared" si="1"/>
        <v>462.13300000000004</v>
      </c>
      <c r="DK13" s="22">
        <f t="shared" si="1"/>
        <v>443.47800000000001</v>
      </c>
      <c r="DL13" s="22">
        <f t="shared" si="1"/>
        <v>409.74900000000002</v>
      </c>
      <c r="DM13" s="22">
        <f t="shared" si="1"/>
        <v>407.94200000000001</v>
      </c>
      <c r="DN13" s="22">
        <f t="shared" si="1"/>
        <v>377.27800000000002</v>
      </c>
      <c r="DO13" s="22">
        <f t="shared" si="1"/>
        <v>377.61099999999999</v>
      </c>
      <c r="DP13" s="22">
        <f t="shared" si="1"/>
        <v>370.30799999999999</v>
      </c>
      <c r="DQ13" s="22">
        <f t="shared" si="1"/>
        <v>391.21500000000003</v>
      </c>
      <c r="DR13" s="22">
        <f t="shared" si="1"/>
        <v>417.51300000000003</v>
      </c>
      <c r="DS13" s="22">
        <f t="shared" si="1"/>
        <v>444.33000000000004</v>
      </c>
      <c r="DT13" s="22">
        <f t="shared" si="1"/>
        <v>393.29899999999998</v>
      </c>
      <c r="DU13" s="22">
        <f t="shared" si="1"/>
        <v>480.47400000000005</v>
      </c>
      <c r="DV13" s="22">
        <f t="shared" si="1"/>
        <v>442.41199999999998</v>
      </c>
      <c r="DW13" s="22">
        <f t="shared" si="1"/>
        <v>429.69100000000003</v>
      </c>
      <c r="DX13" s="22">
        <f t="shared" si="1"/>
        <v>386.625</v>
      </c>
      <c r="DY13" s="22">
        <f t="shared" si="1"/>
        <v>402.27199999999999</v>
      </c>
      <c r="DZ13" s="22">
        <f t="shared" si="1"/>
        <v>377.57600000000002</v>
      </c>
      <c r="EA13" s="22">
        <f t="shared" ref="EA13:GL13" si="2">SUM(EA9:EA12)</f>
        <v>393.51600000000002</v>
      </c>
      <c r="EB13" s="22">
        <f t="shared" si="2"/>
        <v>369.99</v>
      </c>
      <c r="EC13" s="22">
        <f t="shared" si="2"/>
        <v>402.56</v>
      </c>
      <c r="ED13" s="22">
        <f t="shared" si="2"/>
        <v>425.82100000000003</v>
      </c>
      <c r="EE13" s="22">
        <f t="shared" si="2"/>
        <v>439.62099999999998</v>
      </c>
      <c r="EF13" s="22">
        <f t="shared" si="2"/>
        <v>402.96300000000002</v>
      </c>
      <c r="EG13" s="22">
        <f t="shared" si="2"/>
        <v>490.63200000000001</v>
      </c>
      <c r="EH13" s="22">
        <f t="shared" si="2"/>
        <v>438.52800000000002</v>
      </c>
      <c r="EI13" s="22">
        <f t="shared" si="2"/>
        <v>415.58900000000006</v>
      </c>
      <c r="EJ13" s="22">
        <f t="shared" si="2"/>
        <v>394.25799999999998</v>
      </c>
      <c r="EK13" s="22">
        <f t="shared" si="2"/>
        <v>365.92200000000003</v>
      </c>
      <c r="EL13" s="22">
        <f t="shared" si="2"/>
        <v>380.959</v>
      </c>
      <c r="EM13" s="22">
        <f t="shared" si="2"/>
        <v>405.33100000000002</v>
      </c>
      <c r="EN13" s="22">
        <f t="shared" si="2"/>
        <v>357.85400000000004</v>
      </c>
      <c r="EO13" s="22">
        <f t="shared" si="2"/>
        <v>404.58500000000004</v>
      </c>
      <c r="EP13" s="22">
        <f t="shared" si="2"/>
        <v>433.84100000000001</v>
      </c>
      <c r="EQ13" s="22">
        <f t="shared" si="2"/>
        <v>432.15099999999995</v>
      </c>
      <c r="ER13" s="22">
        <f t="shared" si="2"/>
        <v>431.38600000000002</v>
      </c>
      <c r="ES13" s="22">
        <f t="shared" si="2"/>
        <v>457.19200000000001</v>
      </c>
      <c r="ET13" s="22">
        <f t="shared" si="2"/>
        <v>434.495</v>
      </c>
      <c r="EU13" s="22">
        <f t="shared" si="2"/>
        <v>457.52500000000003</v>
      </c>
      <c r="EV13" s="22">
        <f t="shared" si="2"/>
        <v>415.23199999999997</v>
      </c>
      <c r="EW13" s="22">
        <f t="shared" si="2"/>
        <v>465.43799999999999</v>
      </c>
      <c r="EX13" s="22">
        <f t="shared" si="2"/>
        <v>452.96200000000005</v>
      </c>
      <c r="EY13" s="22">
        <f t="shared" si="2"/>
        <v>453.38099999999997</v>
      </c>
      <c r="EZ13" s="22">
        <f t="shared" si="2"/>
        <v>408.11500000000001</v>
      </c>
      <c r="FA13" s="22">
        <f t="shared" si="2"/>
        <v>455.46000000000004</v>
      </c>
      <c r="FB13" s="22">
        <f t="shared" si="2"/>
        <v>458.21699999999998</v>
      </c>
      <c r="FC13" s="22">
        <f t="shared" si="2"/>
        <v>502.58000000000004</v>
      </c>
      <c r="FD13" s="22">
        <f t="shared" si="2"/>
        <v>466.06699999999995</v>
      </c>
      <c r="FE13" s="22">
        <f t="shared" si="2"/>
        <v>537.22400000000005</v>
      </c>
      <c r="FF13" s="22">
        <f t="shared" si="2"/>
        <v>541.35200000000009</v>
      </c>
      <c r="FG13" s="22">
        <f t="shared" si="2"/>
        <v>503.976</v>
      </c>
      <c r="FH13" s="22">
        <f t="shared" si="2"/>
        <v>454.31300000000005</v>
      </c>
      <c r="FI13" s="22">
        <f t="shared" si="2"/>
        <v>519.28600000000006</v>
      </c>
      <c r="FJ13" s="22">
        <f t="shared" si="2"/>
        <v>459.41200000000003</v>
      </c>
      <c r="FK13" s="22">
        <f t="shared" si="2"/>
        <v>462.79100000000005</v>
      </c>
      <c r="FL13" s="22">
        <f t="shared" si="2"/>
        <v>380.72400000000005</v>
      </c>
      <c r="FM13" s="22">
        <f t="shared" si="2"/>
        <v>448.29500000000002</v>
      </c>
      <c r="FN13" s="22">
        <f t="shared" si="2"/>
        <v>460.49099999999999</v>
      </c>
      <c r="FO13" s="22">
        <f t="shared" si="2"/>
        <v>465.13499999999999</v>
      </c>
      <c r="FP13" s="22">
        <f t="shared" si="2"/>
        <v>394.79899999999998</v>
      </c>
      <c r="FQ13" s="22">
        <f t="shared" si="2"/>
        <v>472.52199999999993</v>
      </c>
      <c r="FR13" s="22">
        <f t="shared" si="2"/>
        <v>475.21999999999997</v>
      </c>
      <c r="FS13" s="22">
        <f t="shared" si="2"/>
        <v>459.17500000000001</v>
      </c>
      <c r="FT13" s="22">
        <f t="shared" si="2"/>
        <v>438.851</v>
      </c>
      <c r="FU13" s="22">
        <f t="shared" si="2"/>
        <v>470.46600000000001</v>
      </c>
      <c r="FV13" s="22">
        <f t="shared" si="2"/>
        <v>422.71200000000005</v>
      </c>
      <c r="FW13" s="22">
        <f t="shared" si="2"/>
        <v>400.38</v>
      </c>
      <c r="FX13" s="22">
        <f t="shared" si="2"/>
        <v>380.83600000000001</v>
      </c>
      <c r="FY13" s="22">
        <f t="shared" si="2"/>
        <v>454.7</v>
      </c>
      <c r="FZ13" s="22">
        <f t="shared" si="2"/>
        <v>450.98500000000001</v>
      </c>
      <c r="GA13" s="22">
        <f t="shared" si="2"/>
        <v>453.30500000000001</v>
      </c>
      <c r="GB13" s="22">
        <f t="shared" si="2"/>
        <v>364.11700000000002</v>
      </c>
      <c r="GC13" s="22">
        <f t="shared" si="2"/>
        <v>464.82400000000001</v>
      </c>
      <c r="GD13" s="22">
        <f t="shared" si="2"/>
        <v>454.17199999999997</v>
      </c>
      <c r="GE13" s="22">
        <f t="shared" si="2"/>
        <v>417.173</v>
      </c>
      <c r="GF13" s="22">
        <f t="shared" si="2"/>
        <v>415.49</v>
      </c>
      <c r="GG13" s="22">
        <f t="shared" si="2"/>
        <v>434.44800000000004</v>
      </c>
      <c r="GH13" s="22">
        <f t="shared" si="2"/>
        <v>413.96899999999999</v>
      </c>
      <c r="GI13" s="22">
        <f t="shared" si="2"/>
        <v>423.77</v>
      </c>
      <c r="GJ13" s="22">
        <f t="shared" si="2"/>
        <v>433.11799999999999</v>
      </c>
      <c r="GK13" s="22">
        <f t="shared" si="2"/>
        <v>481.14100000000002</v>
      </c>
      <c r="GL13" s="22">
        <f t="shared" si="2"/>
        <v>534.22699999999998</v>
      </c>
      <c r="GM13" s="22">
        <f t="shared" ref="GM13:IX13" si="3">SUM(GM9:GM12)</f>
        <v>520.81200000000001</v>
      </c>
      <c r="GN13" s="22">
        <f t="shared" si="3"/>
        <v>413.767</v>
      </c>
      <c r="GO13" s="22">
        <f t="shared" si="3"/>
        <v>588.83199999999999</v>
      </c>
      <c r="GP13" s="22">
        <f t="shared" si="3"/>
        <v>522.71199999999999</v>
      </c>
      <c r="GQ13" s="22">
        <f t="shared" si="3"/>
        <v>541.91</v>
      </c>
      <c r="GR13" s="22">
        <f t="shared" si="3"/>
        <v>604.81399999999996</v>
      </c>
      <c r="GS13" s="22">
        <f t="shared" si="3"/>
        <v>535.80999999999995</v>
      </c>
      <c r="GT13" s="22">
        <f t="shared" si="3"/>
        <v>573.07799999999997</v>
      </c>
      <c r="GU13" s="22">
        <f t="shared" si="3"/>
        <v>557.71199999999999</v>
      </c>
      <c r="GV13" s="22">
        <f t="shared" si="3"/>
        <v>501.70500000000004</v>
      </c>
      <c r="GW13" s="22">
        <f t="shared" si="3"/>
        <v>615.52599999999995</v>
      </c>
      <c r="GX13" s="22">
        <f t="shared" si="3"/>
        <v>623.42699999999991</v>
      </c>
      <c r="GY13" s="22">
        <f t="shared" si="3"/>
        <v>585.32999999999993</v>
      </c>
      <c r="GZ13" s="22">
        <f t="shared" si="3"/>
        <v>490.745</v>
      </c>
      <c r="HA13" s="22">
        <f t="shared" si="3"/>
        <v>625.08100000000002</v>
      </c>
      <c r="HB13" s="22">
        <f t="shared" si="3"/>
        <v>617.88400000000001</v>
      </c>
      <c r="HC13" s="22">
        <f t="shared" si="3"/>
        <v>628.76400000000001</v>
      </c>
      <c r="HD13" s="22">
        <f t="shared" si="3"/>
        <v>546.375</v>
      </c>
      <c r="HE13" s="22">
        <f t="shared" si="3"/>
        <v>609.35300000000007</v>
      </c>
      <c r="HF13" s="22">
        <f t="shared" si="3"/>
        <v>540.38599999999997</v>
      </c>
      <c r="HG13" s="22">
        <f t="shared" si="3"/>
        <v>565.68200000000002</v>
      </c>
      <c r="HH13" s="22">
        <f t="shared" si="3"/>
        <v>520.38199999999995</v>
      </c>
      <c r="HI13" s="22">
        <f t="shared" si="3"/>
        <v>606.28</v>
      </c>
      <c r="HJ13" s="22">
        <f t="shared" si="3"/>
        <v>595.63800000000003</v>
      </c>
      <c r="HK13" s="22">
        <f t="shared" si="3"/>
        <v>579.75199999999995</v>
      </c>
      <c r="HL13" s="22">
        <f t="shared" si="3"/>
        <v>479.53699999999998</v>
      </c>
      <c r="HM13" s="22">
        <f t="shared" si="3"/>
        <v>570.16499999999996</v>
      </c>
      <c r="HN13" s="22">
        <f t="shared" si="3"/>
        <v>626.19499999999994</v>
      </c>
      <c r="HO13" s="22">
        <f t="shared" si="3"/>
        <v>611.57099999999991</v>
      </c>
      <c r="HP13" s="22">
        <f t="shared" si="3"/>
        <v>522.726</v>
      </c>
      <c r="HQ13" s="22">
        <f t="shared" si="3"/>
        <v>628.69200000000001</v>
      </c>
      <c r="HR13" s="22">
        <f t="shared" si="3"/>
        <v>564.80799999999999</v>
      </c>
      <c r="HS13" s="22">
        <f t="shared" si="3"/>
        <v>544.32500000000005</v>
      </c>
      <c r="HT13" s="22">
        <f t="shared" si="3"/>
        <v>510.56600000000003</v>
      </c>
      <c r="HU13" s="22">
        <f t="shared" si="3"/>
        <v>606.096</v>
      </c>
      <c r="HV13" s="22">
        <f t="shared" si="3"/>
        <v>546.12700000000007</v>
      </c>
      <c r="HW13" s="22">
        <f t="shared" si="3"/>
        <v>586.96500000000003</v>
      </c>
      <c r="HX13" s="22">
        <f t="shared" si="3"/>
        <v>466.01800000000003</v>
      </c>
      <c r="HY13" s="22">
        <f t="shared" si="3"/>
        <v>584.54300000000001</v>
      </c>
      <c r="HZ13" s="22">
        <f t="shared" si="3"/>
        <v>610.19800000000009</v>
      </c>
      <c r="IA13" s="22">
        <f t="shared" si="3"/>
        <v>585.84299999999996</v>
      </c>
      <c r="IB13" s="22">
        <f t="shared" si="3"/>
        <v>559.57399999999996</v>
      </c>
      <c r="IC13" s="22">
        <f t="shared" si="3"/>
        <v>559.01</v>
      </c>
      <c r="ID13" s="22">
        <f t="shared" si="3"/>
        <v>534.94399999999996</v>
      </c>
      <c r="IE13" s="22">
        <f t="shared" si="3"/>
        <v>525.03200000000004</v>
      </c>
      <c r="IF13" s="22">
        <f t="shared" si="3"/>
        <v>526.53099999999995</v>
      </c>
      <c r="IG13" s="22">
        <f t="shared" si="3"/>
        <v>605.86799999999994</v>
      </c>
      <c r="IH13" s="22">
        <f t="shared" si="3"/>
        <v>560.00199999999995</v>
      </c>
      <c r="II13" s="22">
        <f t="shared" si="3"/>
        <v>590.86799999999994</v>
      </c>
      <c r="IJ13" s="22">
        <f t="shared" si="3"/>
        <v>447.36599999999999</v>
      </c>
      <c r="IK13" s="22">
        <f t="shared" si="3"/>
        <v>598.87400000000002</v>
      </c>
      <c r="IL13" s="22">
        <f t="shared" si="3"/>
        <v>601.59699999999998</v>
      </c>
      <c r="IM13" s="22">
        <f t="shared" si="3"/>
        <v>566.76199999999994</v>
      </c>
      <c r="IN13" s="22">
        <f t="shared" si="3"/>
        <v>547.68499999999995</v>
      </c>
      <c r="IO13" s="22">
        <f t="shared" si="3"/>
        <v>625.15800000000002</v>
      </c>
      <c r="IP13" s="22">
        <f t="shared" si="3"/>
        <v>566.81899999999996</v>
      </c>
      <c r="IQ13" s="22">
        <f t="shared" si="3"/>
        <v>544.16000000000008</v>
      </c>
      <c r="IR13" s="22">
        <f t="shared" si="3"/>
        <v>511.84300000000002</v>
      </c>
      <c r="IS13" s="22">
        <f t="shared" si="3"/>
        <v>579.53800000000001</v>
      </c>
      <c r="IT13" s="22">
        <f t="shared" si="3"/>
        <v>629.57799999999997</v>
      </c>
      <c r="IU13" s="22">
        <f t="shared" si="3"/>
        <v>604.02</v>
      </c>
      <c r="IV13" s="22">
        <f t="shared" si="3"/>
        <v>453.50900000000001</v>
      </c>
      <c r="IW13" s="22">
        <f t="shared" si="3"/>
        <v>624.45299999999997</v>
      </c>
      <c r="IX13" s="22">
        <f t="shared" si="3"/>
        <v>588.55600000000004</v>
      </c>
      <c r="IY13" s="22">
        <f t="shared" ref="IY13:KM13" si="4">SUM(IY9:IY12)</f>
        <v>581.35199999999998</v>
      </c>
      <c r="IZ13" s="22">
        <f t="shared" si="4"/>
        <v>555.61</v>
      </c>
      <c r="JA13" s="22">
        <f t="shared" si="4"/>
        <v>597.14699999999993</v>
      </c>
      <c r="JB13" s="22">
        <f t="shared" si="4"/>
        <v>582.75599999999997</v>
      </c>
      <c r="JC13" s="22">
        <f t="shared" si="4"/>
        <v>557.74299999999994</v>
      </c>
      <c r="JD13" s="22">
        <f t="shared" si="4"/>
        <v>471.899</v>
      </c>
      <c r="JE13" s="22">
        <f t="shared" si="4"/>
        <v>572.87200000000007</v>
      </c>
      <c r="JF13" s="22">
        <f t="shared" si="4"/>
        <v>633.13699999999994</v>
      </c>
      <c r="JG13" s="22">
        <f t="shared" si="4"/>
        <v>584.03199999999993</v>
      </c>
      <c r="JH13" s="22">
        <f t="shared" si="4"/>
        <v>458.03000000000003</v>
      </c>
      <c r="JI13" s="22">
        <f t="shared" si="4"/>
        <v>622.803</v>
      </c>
      <c r="JJ13" s="22">
        <f t="shared" si="4"/>
        <v>571.30100000000004</v>
      </c>
      <c r="JK13" s="22">
        <f t="shared" si="4"/>
        <v>589.25900000000001</v>
      </c>
      <c r="JL13" s="22">
        <f t="shared" si="4"/>
        <v>591.80999999999995</v>
      </c>
      <c r="JM13" s="22">
        <f t="shared" si="4"/>
        <v>554.71600000000001</v>
      </c>
      <c r="JN13" s="22">
        <f t="shared" si="4"/>
        <v>575.85900000000004</v>
      </c>
      <c r="JO13" s="22">
        <f t="shared" si="4"/>
        <v>583.20400000000006</v>
      </c>
      <c r="JP13" s="22">
        <f t="shared" si="4"/>
        <v>507.87299999999999</v>
      </c>
      <c r="JQ13" s="22">
        <f t="shared" si="4"/>
        <v>600.72299999999996</v>
      </c>
      <c r="JR13" s="22">
        <f t="shared" si="4"/>
        <v>623.79999999999995</v>
      </c>
      <c r="JS13" s="22">
        <f t="shared" si="4"/>
        <v>580.673</v>
      </c>
      <c r="JT13" s="22">
        <f t="shared" si="4"/>
        <v>517.21899999999994</v>
      </c>
      <c r="JU13" s="22">
        <f t="shared" si="4"/>
        <v>614.22900000000004</v>
      </c>
      <c r="JV13" s="22">
        <f t="shared" si="4"/>
        <v>629.31500000000005</v>
      </c>
      <c r="JW13" s="22">
        <f t="shared" si="4"/>
        <v>618.55200000000002</v>
      </c>
      <c r="JX13" s="22">
        <f t="shared" si="4"/>
        <v>542.55499999999995</v>
      </c>
      <c r="JY13" s="22">
        <f t="shared" si="4"/>
        <v>601.74300000000005</v>
      </c>
      <c r="JZ13" s="22">
        <f t="shared" si="4"/>
        <v>564.13700000000006</v>
      </c>
      <c r="KA13" s="22">
        <f t="shared" si="4"/>
        <v>581.10800000000006</v>
      </c>
      <c r="KB13" s="22">
        <f t="shared" si="4"/>
        <v>501.97299999999996</v>
      </c>
      <c r="KC13" s="22">
        <f t="shared" si="4"/>
        <v>615.10900000000004</v>
      </c>
      <c r="KD13" s="22">
        <f t="shared" si="4"/>
        <v>581.80799999999999</v>
      </c>
      <c r="KE13" s="22">
        <f t="shared" si="4"/>
        <v>592.10599999999999</v>
      </c>
      <c r="KF13" s="22">
        <f t="shared" si="4"/>
        <v>506.99199999999996</v>
      </c>
      <c r="KG13" s="22">
        <f t="shared" si="4"/>
        <v>604.85599999999999</v>
      </c>
      <c r="KH13" s="22">
        <f t="shared" si="4"/>
        <v>626.58799999999997</v>
      </c>
      <c r="KI13" s="22">
        <f t="shared" si="4"/>
        <v>615.99699999999996</v>
      </c>
      <c r="KJ13" s="22">
        <f t="shared" si="4"/>
        <v>527.61099999999999</v>
      </c>
      <c r="KK13" s="22">
        <f t="shared" si="4"/>
        <v>627.51199999999994</v>
      </c>
      <c r="KL13" s="22">
        <f t="shared" si="4"/>
        <v>588.31899999999996</v>
      </c>
      <c r="KM13" s="22">
        <f t="shared" si="4"/>
        <v>558.02499999999998</v>
      </c>
    </row>
    <row r="16" spans="1:299" x14ac:dyDescent="0.25">
      <c r="A16" s="1" t="s">
        <v>310</v>
      </c>
    </row>
    <row r="18" spans="1:299" x14ac:dyDescent="0.25">
      <c r="A18" s="1" t="s">
        <v>311</v>
      </c>
    </row>
    <row r="19" spans="1:299" x14ac:dyDescent="0.25">
      <c r="A19" t="s">
        <v>312</v>
      </c>
    </row>
    <row r="22" spans="1:299" x14ac:dyDescent="0.25">
      <c r="A22" t="s">
        <v>611</v>
      </c>
    </row>
    <row r="23" spans="1:299" x14ac:dyDescent="0.25">
      <c r="A23" s="23"/>
      <c r="B23" s="23" t="str">
        <f t="shared" ref="B23:BM23" si="5">LEFT(C8,4) &amp; "T" &amp; TRUNC((VALUE(RIGHT(C8,2))+2)/3)</f>
        <v>2024T3</v>
      </c>
      <c r="C23" s="23" t="str">
        <f t="shared" si="5"/>
        <v>2024T3</v>
      </c>
      <c r="D23" s="23" t="str">
        <f t="shared" si="5"/>
        <v>2024T3</v>
      </c>
      <c r="E23" s="23" t="str">
        <f t="shared" si="5"/>
        <v>2024T2</v>
      </c>
      <c r="F23" s="23" t="str">
        <f t="shared" si="5"/>
        <v>2024T2</v>
      </c>
      <c r="G23" s="23" t="str">
        <f t="shared" si="5"/>
        <v>2024T2</v>
      </c>
      <c r="H23" s="23" t="str">
        <f t="shared" si="5"/>
        <v>2024T1</v>
      </c>
      <c r="I23" s="23" t="str">
        <f t="shared" si="5"/>
        <v>2024T1</v>
      </c>
      <c r="J23" s="23" t="str">
        <f t="shared" si="5"/>
        <v>2024T1</v>
      </c>
      <c r="K23" s="23" t="str">
        <f t="shared" si="5"/>
        <v>2023T4</v>
      </c>
      <c r="L23" s="23" t="str">
        <f t="shared" si="5"/>
        <v>2023T4</v>
      </c>
      <c r="M23" s="23" t="str">
        <f t="shared" si="5"/>
        <v>2023T4</v>
      </c>
      <c r="N23" s="23" t="str">
        <f t="shared" si="5"/>
        <v>2023T3</v>
      </c>
      <c r="O23" s="23" t="str">
        <f t="shared" si="5"/>
        <v>2023T3</v>
      </c>
      <c r="P23" s="23" t="str">
        <f t="shared" si="5"/>
        <v>2023T3</v>
      </c>
      <c r="Q23" s="23" t="str">
        <f t="shared" si="5"/>
        <v>2023T2</v>
      </c>
      <c r="R23" s="23" t="str">
        <f t="shared" si="5"/>
        <v>2023T2</v>
      </c>
      <c r="S23" s="23" t="str">
        <f t="shared" si="5"/>
        <v>2023T2</v>
      </c>
      <c r="T23" s="23" t="str">
        <f t="shared" si="5"/>
        <v>2023T1</v>
      </c>
      <c r="U23" s="23" t="str">
        <f t="shared" si="5"/>
        <v>2023T1</v>
      </c>
      <c r="V23" s="23" t="str">
        <f t="shared" si="5"/>
        <v>2023T1</v>
      </c>
      <c r="W23" s="23" t="str">
        <f t="shared" si="5"/>
        <v>2022T4</v>
      </c>
      <c r="X23" s="23" t="str">
        <f t="shared" si="5"/>
        <v>2022T4</v>
      </c>
      <c r="Y23" s="23" t="str">
        <f t="shared" si="5"/>
        <v>2022T4</v>
      </c>
      <c r="Z23" s="23" t="str">
        <f t="shared" si="5"/>
        <v>2022T3</v>
      </c>
      <c r="AA23" s="23" t="str">
        <f t="shared" si="5"/>
        <v>2022T3</v>
      </c>
      <c r="AB23" s="23" t="str">
        <f t="shared" si="5"/>
        <v>2022T3</v>
      </c>
      <c r="AC23" s="23" t="str">
        <f t="shared" si="5"/>
        <v>2022T2</v>
      </c>
      <c r="AD23" s="23" t="str">
        <f t="shared" si="5"/>
        <v>2022T2</v>
      </c>
      <c r="AE23" s="23" t="str">
        <f t="shared" si="5"/>
        <v>2022T2</v>
      </c>
      <c r="AF23" s="23" t="str">
        <f t="shared" si="5"/>
        <v>2022T1</v>
      </c>
      <c r="AG23" s="23" t="str">
        <f t="shared" si="5"/>
        <v>2022T1</v>
      </c>
      <c r="AH23" s="23" t="str">
        <f t="shared" si="5"/>
        <v>2022T1</v>
      </c>
      <c r="AI23" s="23" t="str">
        <f t="shared" si="5"/>
        <v>2021T4</v>
      </c>
      <c r="AJ23" s="23" t="str">
        <f t="shared" si="5"/>
        <v>2021T4</v>
      </c>
      <c r="AK23" s="23" t="str">
        <f t="shared" si="5"/>
        <v>2021T4</v>
      </c>
      <c r="AL23" s="23" t="str">
        <f t="shared" si="5"/>
        <v>2021T3</v>
      </c>
      <c r="AM23" s="23" t="str">
        <f t="shared" si="5"/>
        <v>2021T3</v>
      </c>
      <c r="AN23" s="23" t="str">
        <f t="shared" si="5"/>
        <v>2021T3</v>
      </c>
      <c r="AO23" s="23" t="str">
        <f t="shared" si="5"/>
        <v>2021T2</v>
      </c>
      <c r="AP23" s="23" t="str">
        <f t="shared" si="5"/>
        <v>2021T2</v>
      </c>
      <c r="AQ23" s="23" t="str">
        <f t="shared" si="5"/>
        <v>2021T2</v>
      </c>
      <c r="AR23" s="23" t="str">
        <f t="shared" si="5"/>
        <v>2021T1</v>
      </c>
      <c r="AS23" s="23" t="str">
        <f t="shared" si="5"/>
        <v>2021T1</v>
      </c>
      <c r="AT23" s="23" t="str">
        <f t="shared" si="5"/>
        <v>2021T1</v>
      </c>
      <c r="AU23" s="23" t="str">
        <f t="shared" si="5"/>
        <v>2020T4</v>
      </c>
      <c r="AV23" s="23" t="str">
        <f t="shared" si="5"/>
        <v>2020T4</v>
      </c>
      <c r="AW23" s="23" t="str">
        <f t="shared" si="5"/>
        <v>2020T4</v>
      </c>
      <c r="AX23" s="23" t="str">
        <f t="shared" si="5"/>
        <v>2020T3</v>
      </c>
      <c r="AY23" s="23" t="str">
        <f t="shared" si="5"/>
        <v>2020T3</v>
      </c>
      <c r="AZ23" s="23" t="str">
        <f t="shared" si="5"/>
        <v>2020T3</v>
      </c>
      <c r="BA23" s="23" t="str">
        <f t="shared" si="5"/>
        <v>2020T2</v>
      </c>
      <c r="BB23" s="23" t="str">
        <f t="shared" si="5"/>
        <v>2020T2</v>
      </c>
      <c r="BC23" s="23" t="str">
        <f t="shared" si="5"/>
        <v>2020T2</v>
      </c>
      <c r="BD23" s="23" t="str">
        <f t="shared" si="5"/>
        <v>2020T1</v>
      </c>
      <c r="BE23" s="23" t="str">
        <f t="shared" si="5"/>
        <v>2020T1</v>
      </c>
      <c r="BF23" s="23" t="str">
        <f t="shared" si="5"/>
        <v>2020T1</v>
      </c>
      <c r="BG23" s="23" t="str">
        <f t="shared" si="5"/>
        <v>2019T4</v>
      </c>
      <c r="BH23" s="23" t="str">
        <f t="shared" si="5"/>
        <v>2019T4</v>
      </c>
      <c r="BI23" s="23" t="str">
        <f t="shared" si="5"/>
        <v>2019T4</v>
      </c>
      <c r="BJ23" s="23" t="str">
        <f t="shared" si="5"/>
        <v>2019T3</v>
      </c>
      <c r="BK23" s="23" t="str">
        <f t="shared" si="5"/>
        <v>2019T3</v>
      </c>
      <c r="BL23" s="23" t="str">
        <f t="shared" si="5"/>
        <v>2019T3</v>
      </c>
      <c r="BM23" s="23" t="str">
        <f t="shared" si="5"/>
        <v>2019T2</v>
      </c>
      <c r="BN23" s="23" t="str">
        <f t="shared" ref="BN23:DY23" si="6">LEFT(BO8,4) &amp; "T" &amp; TRUNC((VALUE(RIGHT(BO8,2))+2)/3)</f>
        <v>2019T2</v>
      </c>
      <c r="BO23" s="23" t="str">
        <f t="shared" si="6"/>
        <v>2019T2</v>
      </c>
      <c r="BP23" s="23" t="str">
        <f t="shared" si="6"/>
        <v>2019T1</v>
      </c>
      <c r="BQ23" s="23" t="str">
        <f t="shared" si="6"/>
        <v>2019T1</v>
      </c>
      <c r="BR23" s="23" t="str">
        <f t="shared" si="6"/>
        <v>2019T1</v>
      </c>
      <c r="BS23" s="23" t="str">
        <f t="shared" si="6"/>
        <v>2018T4</v>
      </c>
      <c r="BT23" s="23" t="str">
        <f t="shared" si="6"/>
        <v>2018T4</v>
      </c>
      <c r="BU23" s="23" t="str">
        <f t="shared" si="6"/>
        <v>2018T4</v>
      </c>
      <c r="BV23" s="23" t="str">
        <f t="shared" si="6"/>
        <v>2018T3</v>
      </c>
      <c r="BW23" s="23" t="str">
        <f t="shared" si="6"/>
        <v>2018T3</v>
      </c>
      <c r="BX23" s="23" t="str">
        <f t="shared" si="6"/>
        <v>2018T3</v>
      </c>
      <c r="BY23" s="23" t="str">
        <f t="shared" si="6"/>
        <v>2018T2</v>
      </c>
      <c r="BZ23" s="23" t="str">
        <f t="shared" si="6"/>
        <v>2018T2</v>
      </c>
      <c r="CA23" s="23" t="str">
        <f t="shared" si="6"/>
        <v>2018T2</v>
      </c>
      <c r="CB23" s="23" t="str">
        <f t="shared" si="6"/>
        <v>2018T1</v>
      </c>
      <c r="CC23" s="23" t="str">
        <f t="shared" si="6"/>
        <v>2018T1</v>
      </c>
      <c r="CD23" s="23" t="str">
        <f t="shared" si="6"/>
        <v>2018T1</v>
      </c>
      <c r="CE23" s="23" t="str">
        <f t="shared" si="6"/>
        <v>2017T4</v>
      </c>
      <c r="CF23" s="23" t="str">
        <f t="shared" si="6"/>
        <v>2017T4</v>
      </c>
      <c r="CG23" s="23" t="str">
        <f t="shared" si="6"/>
        <v>2017T4</v>
      </c>
      <c r="CH23" s="23" t="str">
        <f t="shared" si="6"/>
        <v>2017T3</v>
      </c>
      <c r="CI23" s="23" t="str">
        <f t="shared" si="6"/>
        <v>2017T3</v>
      </c>
      <c r="CJ23" s="23" t="str">
        <f t="shared" si="6"/>
        <v>2017T3</v>
      </c>
      <c r="CK23" s="23" t="str">
        <f t="shared" si="6"/>
        <v>2017T2</v>
      </c>
      <c r="CL23" s="23" t="str">
        <f t="shared" si="6"/>
        <v>2017T2</v>
      </c>
      <c r="CM23" s="23" t="str">
        <f t="shared" si="6"/>
        <v>2017T2</v>
      </c>
      <c r="CN23" s="23" t="str">
        <f t="shared" si="6"/>
        <v>2017T1</v>
      </c>
      <c r="CO23" s="23" t="str">
        <f t="shared" si="6"/>
        <v>2017T1</v>
      </c>
      <c r="CP23" s="23" t="str">
        <f t="shared" si="6"/>
        <v>2017T1</v>
      </c>
      <c r="CQ23" s="23" t="str">
        <f t="shared" si="6"/>
        <v>2016T4</v>
      </c>
      <c r="CR23" s="23" t="str">
        <f t="shared" si="6"/>
        <v>2016T4</v>
      </c>
      <c r="CS23" s="23" t="str">
        <f t="shared" si="6"/>
        <v>2016T4</v>
      </c>
      <c r="CT23" s="23" t="str">
        <f t="shared" si="6"/>
        <v>2016T3</v>
      </c>
      <c r="CU23" s="23" t="str">
        <f t="shared" si="6"/>
        <v>2016T3</v>
      </c>
      <c r="CV23" s="23" t="str">
        <f t="shared" si="6"/>
        <v>2016T3</v>
      </c>
      <c r="CW23" s="23" t="str">
        <f t="shared" si="6"/>
        <v>2016T2</v>
      </c>
      <c r="CX23" s="23" t="str">
        <f t="shared" si="6"/>
        <v>2016T2</v>
      </c>
      <c r="CY23" s="23" t="str">
        <f t="shared" si="6"/>
        <v>2016T2</v>
      </c>
      <c r="CZ23" s="23" t="str">
        <f t="shared" si="6"/>
        <v>2016T1</v>
      </c>
      <c r="DA23" s="23" t="str">
        <f t="shared" si="6"/>
        <v>2016T1</v>
      </c>
      <c r="DB23" s="23" t="str">
        <f t="shared" si="6"/>
        <v>2016T1</v>
      </c>
      <c r="DC23" s="23" t="str">
        <f t="shared" si="6"/>
        <v>2015T4</v>
      </c>
      <c r="DD23" s="23" t="str">
        <f t="shared" si="6"/>
        <v>2015T4</v>
      </c>
      <c r="DE23" s="23" t="str">
        <f t="shared" si="6"/>
        <v>2015T4</v>
      </c>
      <c r="DF23" s="23" t="str">
        <f t="shared" si="6"/>
        <v>2015T3</v>
      </c>
      <c r="DG23" s="23" t="str">
        <f t="shared" si="6"/>
        <v>2015T3</v>
      </c>
      <c r="DH23" s="23" t="str">
        <f t="shared" si="6"/>
        <v>2015T3</v>
      </c>
      <c r="DI23" s="23" t="str">
        <f t="shared" si="6"/>
        <v>2015T2</v>
      </c>
      <c r="DJ23" s="23" t="str">
        <f t="shared" si="6"/>
        <v>2015T2</v>
      </c>
      <c r="DK23" s="23" t="str">
        <f t="shared" si="6"/>
        <v>2015T2</v>
      </c>
      <c r="DL23" s="23" t="str">
        <f t="shared" si="6"/>
        <v>2015T1</v>
      </c>
      <c r="DM23" s="23" t="str">
        <f t="shared" si="6"/>
        <v>2015T1</v>
      </c>
      <c r="DN23" s="23" t="str">
        <f t="shared" si="6"/>
        <v>2015T1</v>
      </c>
      <c r="DO23" s="23" t="str">
        <f t="shared" si="6"/>
        <v>2014T4</v>
      </c>
      <c r="DP23" s="23" t="str">
        <f t="shared" si="6"/>
        <v>2014T4</v>
      </c>
      <c r="DQ23" s="23" t="str">
        <f t="shared" si="6"/>
        <v>2014T4</v>
      </c>
      <c r="DR23" s="23" t="str">
        <f t="shared" si="6"/>
        <v>2014T3</v>
      </c>
      <c r="DS23" s="23" t="str">
        <f t="shared" si="6"/>
        <v>2014T3</v>
      </c>
      <c r="DT23" s="23" t="str">
        <f t="shared" si="6"/>
        <v>2014T3</v>
      </c>
      <c r="DU23" s="23" t="str">
        <f t="shared" si="6"/>
        <v>2014T2</v>
      </c>
      <c r="DV23" s="23" t="str">
        <f t="shared" si="6"/>
        <v>2014T2</v>
      </c>
      <c r="DW23" s="23" t="str">
        <f t="shared" si="6"/>
        <v>2014T2</v>
      </c>
      <c r="DX23" s="23" t="str">
        <f t="shared" si="6"/>
        <v>2014T1</v>
      </c>
      <c r="DY23" s="23" t="str">
        <f t="shared" si="6"/>
        <v>2014T1</v>
      </c>
      <c r="DZ23" s="23" t="str">
        <f t="shared" ref="DZ23:GK23" si="7">LEFT(EA8,4) &amp; "T" &amp; TRUNC((VALUE(RIGHT(EA8,2))+2)/3)</f>
        <v>2014T1</v>
      </c>
      <c r="EA23" s="23" t="str">
        <f t="shared" si="7"/>
        <v>2013T4</v>
      </c>
      <c r="EB23" s="23" t="str">
        <f t="shared" si="7"/>
        <v>2013T4</v>
      </c>
      <c r="EC23" s="23" t="str">
        <f t="shared" si="7"/>
        <v>2013T4</v>
      </c>
      <c r="ED23" s="23" t="str">
        <f t="shared" si="7"/>
        <v>2013T3</v>
      </c>
      <c r="EE23" s="23" t="str">
        <f t="shared" si="7"/>
        <v>2013T3</v>
      </c>
      <c r="EF23" s="23" t="str">
        <f t="shared" si="7"/>
        <v>2013T3</v>
      </c>
      <c r="EG23" s="23" t="str">
        <f t="shared" si="7"/>
        <v>2013T2</v>
      </c>
      <c r="EH23" s="23" t="str">
        <f t="shared" si="7"/>
        <v>2013T2</v>
      </c>
      <c r="EI23" s="23" t="str">
        <f t="shared" si="7"/>
        <v>2013T2</v>
      </c>
      <c r="EJ23" s="23" t="str">
        <f t="shared" si="7"/>
        <v>2013T1</v>
      </c>
      <c r="EK23" s="23" t="str">
        <f t="shared" si="7"/>
        <v>2013T1</v>
      </c>
      <c r="EL23" s="23" t="str">
        <f t="shared" si="7"/>
        <v>2013T1</v>
      </c>
      <c r="EM23" s="23" t="str">
        <f t="shared" si="7"/>
        <v>2012T4</v>
      </c>
      <c r="EN23" s="23" t="str">
        <f t="shared" si="7"/>
        <v>2012T4</v>
      </c>
      <c r="EO23" s="23" t="str">
        <f t="shared" si="7"/>
        <v>2012T4</v>
      </c>
      <c r="EP23" s="23" t="str">
        <f t="shared" si="7"/>
        <v>2012T3</v>
      </c>
      <c r="EQ23" s="23" t="str">
        <f t="shared" si="7"/>
        <v>2012T3</v>
      </c>
      <c r="ER23" s="23" t="str">
        <f t="shared" si="7"/>
        <v>2012T3</v>
      </c>
      <c r="ES23" s="23" t="str">
        <f t="shared" si="7"/>
        <v>2012T2</v>
      </c>
      <c r="ET23" s="23" t="str">
        <f t="shared" si="7"/>
        <v>2012T2</v>
      </c>
      <c r="EU23" s="23" t="str">
        <f t="shared" si="7"/>
        <v>2012T2</v>
      </c>
      <c r="EV23" s="23" t="str">
        <f t="shared" si="7"/>
        <v>2012T1</v>
      </c>
      <c r="EW23" s="23" t="str">
        <f t="shared" si="7"/>
        <v>2012T1</v>
      </c>
      <c r="EX23" s="23" t="str">
        <f t="shared" si="7"/>
        <v>2012T1</v>
      </c>
      <c r="EY23" s="23" t="str">
        <f t="shared" si="7"/>
        <v>2011T4</v>
      </c>
      <c r="EZ23" s="23" t="str">
        <f t="shared" si="7"/>
        <v>2011T4</v>
      </c>
      <c r="FA23" s="23" t="str">
        <f t="shared" si="7"/>
        <v>2011T4</v>
      </c>
      <c r="FB23" s="23" t="str">
        <f t="shared" si="7"/>
        <v>2011T3</v>
      </c>
      <c r="FC23" s="23" t="str">
        <f t="shared" si="7"/>
        <v>2011T3</v>
      </c>
      <c r="FD23" s="23" t="str">
        <f t="shared" si="7"/>
        <v>2011T3</v>
      </c>
      <c r="FE23" s="23" t="str">
        <f t="shared" si="7"/>
        <v>2011T2</v>
      </c>
      <c r="FF23" s="23" t="str">
        <f t="shared" si="7"/>
        <v>2011T2</v>
      </c>
      <c r="FG23" s="23" t="str">
        <f t="shared" si="7"/>
        <v>2011T2</v>
      </c>
      <c r="FH23" s="23" t="str">
        <f t="shared" si="7"/>
        <v>2011T1</v>
      </c>
      <c r="FI23" s="23" t="str">
        <f t="shared" si="7"/>
        <v>2011T1</v>
      </c>
      <c r="FJ23" s="23" t="str">
        <f t="shared" si="7"/>
        <v>2011T1</v>
      </c>
      <c r="FK23" s="23" t="str">
        <f t="shared" si="7"/>
        <v>2010T4</v>
      </c>
      <c r="FL23" s="23" t="str">
        <f t="shared" si="7"/>
        <v>2010T4</v>
      </c>
      <c r="FM23" s="23" t="str">
        <f t="shared" si="7"/>
        <v>2010T4</v>
      </c>
      <c r="FN23" s="23" t="str">
        <f t="shared" si="7"/>
        <v>2010T3</v>
      </c>
      <c r="FO23" s="23" t="str">
        <f t="shared" si="7"/>
        <v>2010T3</v>
      </c>
      <c r="FP23" s="23" t="str">
        <f t="shared" si="7"/>
        <v>2010T3</v>
      </c>
      <c r="FQ23" s="23" t="str">
        <f t="shared" si="7"/>
        <v>2010T2</v>
      </c>
      <c r="FR23" s="23" t="str">
        <f t="shared" si="7"/>
        <v>2010T2</v>
      </c>
      <c r="FS23" s="23" t="str">
        <f t="shared" si="7"/>
        <v>2010T2</v>
      </c>
      <c r="FT23" s="23" t="str">
        <f t="shared" si="7"/>
        <v>2010T1</v>
      </c>
      <c r="FU23" s="23" t="str">
        <f t="shared" si="7"/>
        <v>2010T1</v>
      </c>
      <c r="FV23" s="23" t="str">
        <f t="shared" si="7"/>
        <v>2010T1</v>
      </c>
      <c r="FW23" s="23" t="str">
        <f t="shared" si="7"/>
        <v>2009T4</v>
      </c>
      <c r="FX23" s="23" t="str">
        <f t="shared" si="7"/>
        <v>2009T4</v>
      </c>
      <c r="FY23" s="23" t="str">
        <f t="shared" si="7"/>
        <v>2009T4</v>
      </c>
      <c r="FZ23" s="23" t="str">
        <f t="shared" si="7"/>
        <v>2009T3</v>
      </c>
      <c r="GA23" s="23" t="str">
        <f t="shared" si="7"/>
        <v>2009T3</v>
      </c>
      <c r="GB23" s="23" t="str">
        <f t="shared" si="7"/>
        <v>2009T3</v>
      </c>
      <c r="GC23" s="23" t="str">
        <f t="shared" si="7"/>
        <v>2009T2</v>
      </c>
      <c r="GD23" s="23" t="str">
        <f t="shared" si="7"/>
        <v>2009T2</v>
      </c>
      <c r="GE23" s="23" t="str">
        <f t="shared" si="7"/>
        <v>2009T2</v>
      </c>
      <c r="GF23" s="23" t="str">
        <f t="shared" si="7"/>
        <v>2009T1</v>
      </c>
      <c r="GG23" s="23" t="str">
        <f t="shared" si="7"/>
        <v>2009T1</v>
      </c>
      <c r="GH23" s="23" t="str">
        <f t="shared" si="7"/>
        <v>2009T1</v>
      </c>
      <c r="GI23" s="23" t="str">
        <f t="shared" si="7"/>
        <v>2008T4</v>
      </c>
      <c r="GJ23" s="23" t="str">
        <f t="shared" si="7"/>
        <v>2008T4</v>
      </c>
      <c r="GK23" s="23" t="str">
        <f t="shared" si="7"/>
        <v>2008T4</v>
      </c>
      <c r="GL23" s="23" t="str">
        <f t="shared" ref="GL23:GP23" si="8">LEFT(GM8,4) &amp; "T" &amp; TRUNC((VALUE(RIGHT(GM8,2))+2)/3)</f>
        <v>2008T3</v>
      </c>
      <c r="GM23" s="23" t="str">
        <f t="shared" si="8"/>
        <v>2008T3</v>
      </c>
      <c r="GN23" s="23" t="str">
        <f t="shared" si="8"/>
        <v>2008T3</v>
      </c>
      <c r="GO23" s="23" t="str">
        <f t="shared" si="8"/>
        <v>2008T2</v>
      </c>
      <c r="GP23" s="23" t="str">
        <f t="shared" si="8"/>
        <v>2008T2</v>
      </c>
      <c r="GQ23" s="23" t="str">
        <f>LEFT(GR8,4) &amp; "T" &amp; TRUNC((VALUE(RIGHT(GR8,2))+2)/3)</f>
        <v>2008T2</v>
      </c>
      <c r="GR23" s="23" t="str">
        <f t="shared" ref="GR23:JC23" si="9">LEFT(GS8,4) &amp; "T" &amp; TRUNC((VALUE(RIGHT(GS8,2))+2)/3)</f>
        <v>2008T1</v>
      </c>
      <c r="GS23" s="23" t="str">
        <f t="shared" si="9"/>
        <v>2008T1</v>
      </c>
      <c r="GT23" s="23" t="str">
        <f t="shared" si="9"/>
        <v>2008T1</v>
      </c>
      <c r="GU23" s="23" t="str">
        <f t="shared" si="9"/>
        <v>2007T4</v>
      </c>
      <c r="GV23" s="23" t="str">
        <f t="shared" si="9"/>
        <v>2007T4</v>
      </c>
      <c r="GW23" s="23" t="str">
        <f t="shared" si="9"/>
        <v>2007T4</v>
      </c>
      <c r="GX23" s="23" t="str">
        <f t="shared" si="9"/>
        <v>2007T3</v>
      </c>
      <c r="GY23" s="23" t="str">
        <f t="shared" si="9"/>
        <v>2007T3</v>
      </c>
      <c r="GZ23" s="23" t="str">
        <f t="shared" si="9"/>
        <v>2007T3</v>
      </c>
      <c r="HA23" s="23" t="str">
        <f t="shared" si="9"/>
        <v>2007T2</v>
      </c>
      <c r="HB23" s="23" t="str">
        <f t="shared" si="9"/>
        <v>2007T2</v>
      </c>
      <c r="HC23" s="23" t="str">
        <f t="shared" si="9"/>
        <v>2007T2</v>
      </c>
      <c r="HD23" s="23" t="str">
        <f t="shared" si="9"/>
        <v>2007T1</v>
      </c>
      <c r="HE23" s="23" t="str">
        <f t="shared" si="9"/>
        <v>2007T1</v>
      </c>
      <c r="HF23" s="23" t="str">
        <f t="shared" si="9"/>
        <v>2007T1</v>
      </c>
      <c r="HG23" s="23" t="str">
        <f t="shared" si="9"/>
        <v>2006T4</v>
      </c>
      <c r="HH23" s="23" t="str">
        <f t="shared" si="9"/>
        <v>2006T4</v>
      </c>
      <c r="HI23" s="23" t="str">
        <f t="shared" si="9"/>
        <v>2006T4</v>
      </c>
      <c r="HJ23" s="23" t="str">
        <f t="shared" si="9"/>
        <v>2006T3</v>
      </c>
      <c r="HK23" s="23" t="str">
        <f t="shared" si="9"/>
        <v>2006T3</v>
      </c>
      <c r="HL23" s="23" t="str">
        <f t="shared" si="9"/>
        <v>2006T3</v>
      </c>
      <c r="HM23" s="23" t="str">
        <f t="shared" si="9"/>
        <v>2006T2</v>
      </c>
      <c r="HN23" s="23" t="str">
        <f t="shared" si="9"/>
        <v>2006T2</v>
      </c>
      <c r="HO23" s="23" t="str">
        <f t="shared" si="9"/>
        <v>2006T2</v>
      </c>
      <c r="HP23" s="23" t="str">
        <f t="shared" si="9"/>
        <v>2006T1</v>
      </c>
      <c r="HQ23" s="23" t="str">
        <f t="shared" si="9"/>
        <v>2006T1</v>
      </c>
      <c r="HR23" s="23" t="str">
        <f t="shared" si="9"/>
        <v>2006T1</v>
      </c>
      <c r="HS23" s="23" t="str">
        <f t="shared" si="9"/>
        <v>2005T4</v>
      </c>
      <c r="HT23" s="23" t="str">
        <f t="shared" si="9"/>
        <v>2005T4</v>
      </c>
      <c r="HU23" s="23" t="str">
        <f t="shared" si="9"/>
        <v>2005T4</v>
      </c>
      <c r="HV23" s="23" t="str">
        <f t="shared" si="9"/>
        <v>2005T3</v>
      </c>
      <c r="HW23" s="23" t="str">
        <f t="shared" si="9"/>
        <v>2005T3</v>
      </c>
      <c r="HX23" s="23" t="str">
        <f t="shared" si="9"/>
        <v>2005T3</v>
      </c>
      <c r="HY23" s="23" t="str">
        <f t="shared" si="9"/>
        <v>2005T2</v>
      </c>
      <c r="HZ23" s="23" t="str">
        <f t="shared" si="9"/>
        <v>2005T2</v>
      </c>
      <c r="IA23" s="23" t="str">
        <f t="shared" si="9"/>
        <v>2005T2</v>
      </c>
      <c r="IB23" s="23" t="str">
        <f t="shared" si="9"/>
        <v>2005T1</v>
      </c>
      <c r="IC23" s="23" t="str">
        <f t="shared" si="9"/>
        <v>2005T1</v>
      </c>
      <c r="ID23" s="23" t="str">
        <f t="shared" si="9"/>
        <v>2005T1</v>
      </c>
      <c r="IE23" s="23" t="str">
        <f t="shared" si="9"/>
        <v>2004T4</v>
      </c>
      <c r="IF23" s="23" t="str">
        <f t="shared" si="9"/>
        <v>2004T4</v>
      </c>
      <c r="IG23" s="23" t="str">
        <f t="shared" si="9"/>
        <v>2004T4</v>
      </c>
      <c r="IH23" s="23" t="str">
        <f t="shared" si="9"/>
        <v>2004T3</v>
      </c>
      <c r="II23" s="23" t="str">
        <f t="shared" si="9"/>
        <v>2004T3</v>
      </c>
      <c r="IJ23" s="23" t="str">
        <f t="shared" si="9"/>
        <v>2004T3</v>
      </c>
      <c r="IK23" s="23" t="str">
        <f t="shared" si="9"/>
        <v>2004T2</v>
      </c>
      <c r="IL23" s="23" t="str">
        <f t="shared" si="9"/>
        <v>2004T2</v>
      </c>
      <c r="IM23" s="23" t="str">
        <f t="shared" si="9"/>
        <v>2004T2</v>
      </c>
      <c r="IN23" s="23" t="str">
        <f t="shared" si="9"/>
        <v>2004T1</v>
      </c>
      <c r="IO23" s="23" t="str">
        <f t="shared" si="9"/>
        <v>2004T1</v>
      </c>
      <c r="IP23" s="23" t="str">
        <f t="shared" si="9"/>
        <v>2004T1</v>
      </c>
      <c r="IQ23" s="23" t="str">
        <f t="shared" si="9"/>
        <v>2003T4</v>
      </c>
      <c r="IR23" s="23" t="str">
        <f t="shared" si="9"/>
        <v>2003T4</v>
      </c>
      <c r="IS23" s="23" t="str">
        <f t="shared" si="9"/>
        <v>2003T4</v>
      </c>
      <c r="IT23" s="23" t="str">
        <f t="shared" si="9"/>
        <v>2003T3</v>
      </c>
      <c r="IU23" s="23" t="str">
        <f t="shared" si="9"/>
        <v>2003T3</v>
      </c>
      <c r="IV23" s="23" t="str">
        <f t="shared" si="9"/>
        <v>2003T3</v>
      </c>
      <c r="IW23" s="23" t="str">
        <f t="shared" si="9"/>
        <v>2003T2</v>
      </c>
      <c r="IX23" s="23" t="str">
        <f t="shared" si="9"/>
        <v>2003T2</v>
      </c>
      <c r="IY23" s="23" t="str">
        <f t="shared" si="9"/>
        <v>2003T2</v>
      </c>
      <c r="IZ23" s="23" t="str">
        <f t="shared" si="9"/>
        <v>2003T1</v>
      </c>
      <c r="JA23" s="23" t="str">
        <f t="shared" si="9"/>
        <v>2003T1</v>
      </c>
      <c r="JB23" s="23" t="str">
        <f t="shared" si="9"/>
        <v>2003T1</v>
      </c>
      <c r="JC23" s="23" t="str">
        <f t="shared" si="9"/>
        <v>2002T4</v>
      </c>
      <c r="JD23" s="23" t="str">
        <f t="shared" ref="JD23:KM23" si="10">LEFT(JE8,4) &amp; "T" &amp; TRUNC((VALUE(RIGHT(JE8,2))+2)/3)</f>
        <v>2002T4</v>
      </c>
      <c r="JE23" s="23" t="str">
        <f t="shared" si="10"/>
        <v>2002T4</v>
      </c>
      <c r="JF23" s="23" t="str">
        <f t="shared" si="10"/>
        <v>2002T3</v>
      </c>
      <c r="JG23" s="23" t="str">
        <f t="shared" si="10"/>
        <v>2002T3</v>
      </c>
      <c r="JH23" s="23" t="str">
        <f t="shared" si="10"/>
        <v>2002T3</v>
      </c>
      <c r="JI23" s="23" t="str">
        <f t="shared" si="10"/>
        <v>2002T2</v>
      </c>
      <c r="JJ23" s="23" t="str">
        <f t="shared" si="10"/>
        <v>2002T2</v>
      </c>
      <c r="JK23" s="23" t="str">
        <f t="shared" si="10"/>
        <v>2002T2</v>
      </c>
      <c r="JL23" s="23" t="str">
        <f t="shared" si="10"/>
        <v>2002T1</v>
      </c>
      <c r="JM23" s="23" t="str">
        <f t="shared" si="10"/>
        <v>2002T1</v>
      </c>
      <c r="JN23" s="23" t="str">
        <f t="shared" si="10"/>
        <v>2002T1</v>
      </c>
      <c r="JO23" s="23" t="str">
        <f t="shared" si="10"/>
        <v>2001T4</v>
      </c>
      <c r="JP23" s="23" t="str">
        <f>LEFT(JQ8,4) &amp; "T" &amp; TRUNC((VALUE(RIGHT(JQ8,2))+2)/3)</f>
        <v>2001T4</v>
      </c>
      <c r="JQ23" s="23" t="str">
        <f t="shared" si="10"/>
        <v>2001T4</v>
      </c>
      <c r="JR23" s="23" t="str">
        <f t="shared" si="10"/>
        <v>2001T3</v>
      </c>
      <c r="JS23" s="23" t="str">
        <f t="shared" si="10"/>
        <v>2001T3</v>
      </c>
      <c r="JT23" s="23" t="str">
        <f t="shared" si="10"/>
        <v>2001T3</v>
      </c>
      <c r="JU23" s="23" t="str">
        <f t="shared" si="10"/>
        <v>2001T2</v>
      </c>
      <c r="JV23" s="23" t="str">
        <f t="shared" si="10"/>
        <v>2001T2</v>
      </c>
      <c r="JW23" s="23" t="str">
        <f t="shared" si="10"/>
        <v>2001T2</v>
      </c>
      <c r="JX23" s="23" t="str">
        <f t="shared" si="10"/>
        <v>2001T1</v>
      </c>
      <c r="JY23" s="23" t="str">
        <f t="shared" si="10"/>
        <v>2001T1</v>
      </c>
      <c r="JZ23" s="23" t="str">
        <f t="shared" si="10"/>
        <v>2001T1</v>
      </c>
      <c r="KA23" s="23" t="str">
        <f t="shared" si="10"/>
        <v>2000T4</v>
      </c>
      <c r="KB23" s="23" t="str">
        <f t="shared" si="10"/>
        <v>2000T4</v>
      </c>
      <c r="KC23" s="23" t="str">
        <f t="shared" si="10"/>
        <v>2000T4</v>
      </c>
      <c r="KD23" s="23" t="str">
        <f t="shared" si="10"/>
        <v>2000T3</v>
      </c>
      <c r="KE23" s="23" t="str">
        <f t="shared" si="10"/>
        <v>2000T3</v>
      </c>
      <c r="KF23" s="23" t="str">
        <f t="shared" si="10"/>
        <v>2000T3</v>
      </c>
      <c r="KG23" s="23" t="str">
        <f t="shared" si="10"/>
        <v>2000T2</v>
      </c>
      <c r="KH23" s="23" t="str">
        <f t="shared" si="10"/>
        <v>2000T2</v>
      </c>
      <c r="KI23" s="23" t="str">
        <f t="shared" si="10"/>
        <v>2000T2</v>
      </c>
      <c r="KJ23" s="23" t="str">
        <f t="shared" si="10"/>
        <v>2000T1</v>
      </c>
      <c r="KK23" s="23" t="str">
        <f t="shared" si="10"/>
        <v>2000T1</v>
      </c>
      <c r="KL23" s="23" t="str">
        <f t="shared" si="10"/>
        <v>2000T1</v>
      </c>
      <c r="KM23" s="23"/>
    </row>
    <row r="24" spans="1:299" x14ac:dyDescent="0.25">
      <c r="A24" s="24">
        <f>Tabla1[[#Totals],[Índice]]</f>
        <v>421.80900000000003</v>
      </c>
      <c r="B24" s="24">
        <f>Tabla1[[#Totals],[Columna1]]</f>
        <v>413.51600000000002</v>
      </c>
      <c r="C24" s="24">
        <f>Tabla1[[#Totals],[Columna2]]</f>
        <v>373.82499999999999</v>
      </c>
      <c r="D24" s="24">
        <f>Tabla1[[#Totals],[Columna3]]</f>
        <v>426.34200000000004</v>
      </c>
      <c r="E24" s="24">
        <f>Tabla1[[#Totals],[Columna4]]</f>
        <v>392.41800000000001</v>
      </c>
      <c r="F24" s="24">
        <f>Tabla1[[#Totals],[Columna5]]</f>
        <v>400.96500000000003</v>
      </c>
      <c r="G24" s="24">
        <f>Tabla1[[#Totals],[Columna6]]</f>
        <v>388.209</v>
      </c>
      <c r="H24" s="24">
        <f>Tabla1[[#Totals],[Columna7]]</f>
        <v>379.73800000000006</v>
      </c>
      <c r="I24" s="24">
        <f>Tabla1[[#Totals],[Columna8]]</f>
        <v>385.77600000000001</v>
      </c>
      <c r="J24" s="24">
        <f>Tabla1[[#Totals],[Columna9]]</f>
        <v>403.45400000000001</v>
      </c>
      <c r="K24" s="24">
        <f>Tabla1[[#Totals],[Columna10]]</f>
        <v>372.69499999999999</v>
      </c>
      <c r="L24" s="24">
        <f>Tabla1[[#Totals],[Columna11]]</f>
        <v>403.42899999999997</v>
      </c>
      <c r="M24" s="24">
        <f>Tabla1[[#Totals],[Columna12]]</f>
        <v>400.81400000000002</v>
      </c>
      <c r="N24" s="24">
        <f>Tabla1[[#Totals],[Columna13]]</f>
        <v>406.65</v>
      </c>
      <c r="O24" s="24">
        <f>Tabla1[[#Totals],[Columna14]]</f>
        <v>386.80099999999999</v>
      </c>
      <c r="P24" s="24">
        <f>Tabla1[[#Totals],[Columna15]]</f>
        <v>424.69799999999998</v>
      </c>
      <c r="Q24" s="24">
        <f>Tabla1[[#Totals],[Columna16]]</f>
        <v>416.66399999999999</v>
      </c>
      <c r="R24" s="24">
        <f>Tabla1[[#Totals],[Columna17]]</f>
        <v>414.69100000000003</v>
      </c>
      <c r="S24" s="24">
        <f>Tabla1[[#Totals],[Columna18]]</f>
        <v>382.197</v>
      </c>
      <c r="T24" s="24">
        <f>Tabla1[[#Totals],[Columna19]]</f>
        <v>431.76499999999999</v>
      </c>
      <c r="U24" s="24">
        <f>Tabla1[[#Totals],[Columna20]]</f>
        <v>385.40300000000002</v>
      </c>
      <c r="V24" s="24">
        <f>Tabla1[[#Totals],[Columna21]]</f>
        <v>383.2</v>
      </c>
      <c r="W24" s="24">
        <f>Tabla1[[#Totals],[Columna22]]</f>
        <v>373.62</v>
      </c>
      <c r="X24" s="24">
        <f>Tabla1[[#Totals],[Columna23]]</f>
        <v>414.06099999999998</v>
      </c>
      <c r="Y24" s="24">
        <f>Tabla1[[#Totals],[Columna24]]</f>
        <v>411.72199999999998</v>
      </c>
      <c r="Z24" s="24">
        <f>Tabla1[[#Totals],[Columna25]]</f>
        <v>435.80099999999999</v>
      </c>
      <c r="AA24" s="24">
        <f>Tabla1[[#Totals],[Columna26]]</f>
        <v>402.96299999999997</v>
      </c>
      <c r="AB24" s="24">
        <f>Tabla1[[#Totals],[Columna27]]</f>
        <v>440.62799999999999</v>
      </c>
      <c r="AC24" s="24">
        <f>Tabla1[[#Totals],[Columna28]]</f>
        <v>439.84699999999998</v>
      </c>
      <c r="AD24" s="24">
        <f>Tabla1[[#Totals],[Columna29]]</f>
        <v>415.11199999999997</v>
      </c>
      <c r="AE24" s="24">
        <f>Tabla1[[#Totals],[Columna30]]</f>
        <v>386.03300000000002</v>
      </c>
      <c r="AF24" s="24">
        <f>Tabla1[[#Totals],[Columna31]]</f>
        <v>403.51300000000003</v>
      </c>
      <c r="AG24" s="24">
        <f>Tabla1[[#Totals],[Columna32]]</f>
        <v>375.59800000000001</v>
      </c>
      <c r="AH24" s="24">
        <f>Tabla1[[#Totals],[Columna33]]</f>
        <v>382.572</v>
      </c>
      <c r="AI24" s="24">
        <f>Tabla1[[#Totals],[Columna34]]</f>
        <v>386.70299999999997</v>
      </c>
      <c r="AJ24" s="24">
        <f>Tabla1[[#Totals],[Columna35]]</f>
        <v>412.84699999999998</v>
      </c>
      <c r="AK24" s="24">
        <f>Tabla1[[#Totals],[Columna36]]</f>
        <v>397.61099999999999</v>
      </c>
      <c r="AL24" s="24">
        <f>Tabla1[[#Totals],[Columna37]]</f>
        <v>420.03499999999997</v>
      </c>
      <c r="AM24" s="24">
        <f>Tabla1[[#Totals],[Columna38]]</f>
        <v>381.67</v>
      </c>
      <c r="AN24" s="24">
        <f>Tabla1[[#Totals],[Columna39]]</f>
        <v>432.649</v>
      </c>
      <c r="AO24" s="24">
        <f>Tabla1[[#Totals],[Columna40]]</f>
        <v>407.39</v>
      </c>
      <c r="AP24" s="24">
        <f>Tabla1[[#Totals],[Columna41]]</f>
        <v>399.55400000000003</v>
      </c>
      <c r="AQ24" s="24">
        <f>Tabla1[[#Totals],[Columna42]]</f>
        <v>392.779</v>
      </c>
      <c r="AR24" s="24">
        <f>Tabla1[[#Totals],[Columna43]]</f>
        <v>419.75</v>
      </c>
      <c r="AS24" s="24">
        <f>Tabla1[[#Totals],[Columna44]]</f>
        <v>368.99099999999999</v>
      </c>
      <c r="AT24" s="24">
        <f>Tabla1[[#Totals],[Columna45]]</f>
        <v>380.02</v>
      </c>
      <c r="AU24" s="24">
        <f>Tabla1[[#Totals],[Columna46]]</f>
        <v>377.48899999999998</v>
      </c>
      <c r="AV24" s="24">
        <f>Tabla1[[#Totals],[Columna47]]</f>
        <v>394.66200000000003</v>
      </c>
      <c r="AW24" s="24">
        <f>Tabla1[[#Totals],[Columna48]]</f>
        <v>394.69400000000002</v>
      </c>
      <c r="AX24" s="24">
        <f>Tabla1[[#Totals],[Columna49]]</f>
        <v>419.38900000000001</v>
      </c>
      <c r="AY24" s="24">
        <f>Tabla1[[#Totals],[Columna50]]</f>
        <v>397.553</v>
      </c>
      <c r="AZ24" s="24">
        <f>Tabla1[[#Totals],[Columna51]]</f>
        <v>464.03300000000002</v>
      </c>
      <c r="BA24" s="24">
        <f>Tabla1[[#Totals],[Columna52]]</f>
        <v>397.096</v>
      </c>
      <c r="BB24" s="24">
        <f>Tabla1[[#Totals],[Columna53]]</f>
        <v>342.77099999999996</v>
      </c>
      <c r="BC24" s="24">
        <f>Tabla1[[#Totals],[Columna54]]</f>
        <v>283.53100000000001</v>
      </c>
      <c r="BD24" s="24">
        <f>Tabla1[[#Totals],[Columna55]]</f>
        <v>364.577</v>
      </c>
      <c r="BE24" s="24">
        <f>Tabla1[[#Totals],[Columna56]]</f>
        <v>376.00299999999999</v>
      </c>
      <c r="BF24" s="24">
        <f>Tabla1[[#Totals],[Columna57]]</f>
        <v>378.49099999999999</v>
      </c>
      <c r="BG24" s="24">
        <f>Tabla1[[#Totals],[Columna58]]</f>
        <v>376.53300000000002</v>
      </c>
      <c r="BH24" s="24">
        <f>Tabla1[[#Totals],[Columna59]]</f>
        <v>417.803</v>
      </c>
      <c r="BI24" s="24">
        <f>Tabla1[[#Totals],[Columna60]]</f>
        <v>425.68799999999999</v>
      </c>
      <c r="BJ24" s="24">
        <f>Tabla1[[#Totals],[Columna61]]</f>
        <v>427.06299999999999</v>
      </c>
      <c r="BK24" s="24">
        <f>Tabla1[[#Totals],[Columna62]]</f>
        <v>410.94700000000006</v>
      </c>
      <c r="BL24" s="24">
        <f>Tabla1[[#Totals],[Columna63]]</f>
        <v>471.29699999999997</v>
      </c>
      <c r="BM24" s="24">
        <f>Tabla1[[#Totals],[Columna64]]</f>
        <v>420.67199999999997</v>
      </c>
      <c r="BN24" s="24">
        <f>Tabla1[[#Totals],[Columna65]]</f>
        <v>419.774</v>
      </c>
      <c r="BO24" s="24">
        <f>Tabla1[[#Totals],[Columna66]]</f>
        <v>386.02099999999996</v>
      </c>
      <c r="BP24" s="24">
        <f>Tabla1[[#Totals],[Columna67]]</f>
        <v>390.79200000000003</v>
      </c>
      <c r="BQ24" s="24">
        <f>Tabla1[[#Totals],[Columna68]]</f>
        <v>369.928</v>
      </c>
      <c r="BR24" s="24">
        <f>Tabla1[[#Totals],[Columna69]]</f>
        <v>400.21800000000002</v>
      </c>
      <c r="BS24" s="24">
        <f>Tabla1[[#Totals],[Columna70]]</f>
        <v>353.21200000000005</v>
      </c>
      <c r="BT24" s="24">
        <f>Tabla1[[#Totals],[Columna71]]</f>
        <v>394.87099999999998</v>
      </c>
      <c r="BU24" s="24">
        <f>Tabla1[[#Totals],[Columna72]]</f>
        <v>415.90600000000001</v>
      </c>
      <c r="BV24" s="24">
        <f>Tabla1[[#Totals],[Columna73]]</f>
        <v>404.56799999999998</v>
      </c>
      <c r="BW24" s="24">
        <f>Tabla1[[#Totals],[Columna74]]</f>
        <v>402.94399999999996</v>
      </c>
      <c r="BX24" s="24">
        <f>Tabla1[[#Totals],[Columna75]]</f>
        <v>438.87799999999999</v>
      </c>
      <c r="BY24" s="24">
        <f>Tabla1[[#Totals],[Columna76]]</f>
        <v>418.73900000000003</v>
      </c>
      <c r="BZ24" s="24">
        <f>Tabla1[[#Totals],[Columna77]]</f>
        <v>409.94600000000003</v>
      </c>
      <c r="CA24" s="24">
        <f>Tabla1[[#Totals],[Columna78]]</f>
        <v>382.38800000000003</v>
      </c>
      <c r="CB24" s="24">
        <f>Tabla1[[#Totals],[Columna79]]</f>
        <v>408.786</v>
      </c>
      <c r="CC24" s="24">
        <f>Tabla1[[#Totals],[Columna80]]</f>
        <v>387.90800000000002</v>
      </c>
      <c r="CD24" s="24">
        <f>Tabla1[[#Totals],[Columna81]]</f>
        <v>399.83600000000001</v>
      </c>
      <c r="CE24" s="24">
        <f>Tabla1[[#Totals],[Columna82]]</f>
        <v>383.9</v>
      </c>
      <c r="CF24" s="24">
        <f>Tabla1[[#Totals],[Columna83]]</f>
        <v>439.73099999999999</v>
      </c>
      <c r="CG24" s="24">
        <f>Tabla1[[#Totals],[Columna84]]</f>
        <v>424.76699999999994</v>
      </c>
      <c r="CH24" s="24">
        <f>Tabla1[[#Totals],[Columna85]]</f>
        <v>429.60499999999996</v>
      </c>
      <c r="CI24" s="24">
        <f>Tabla1[[#Totals],[Columna86]]</f>
        <v>409.08200000000005</v>
      </c>
      <c r="CJ24" s="24">
        <f>Tabla1[[#Totals],[Columna87]]</f>
        <v>448.82899999999995</v>
      </c>
      <c r="CK24" s="24">
        <f>Tabla1[[#Totals],[Columna88]]</f>
        <v>433.92500000000001</v>
      </c>
      <c r="CL24" s="24">
        <f>Tabla1[[#Totals],[Columna89]]</f>
        <v>426.26400000000001</v>
      </c>
      <c r="CM24" s="24">
        <f>Tabla1[[#Totals],[Columna90]]</f>
        <v>367.97800000000007</v>
      </c>
      <c r="CN24" s="24">
        <f>Tabla1[[#Totals],[Columna91]]</f>
        <v>417.29199999999997</v>
      </c>
      <c r="CO24" s="24">
        <f>Tabla1[[#Totals],[Columna92]]</f>
        <v>366.41100000000006</v>
      </c>
      <c r="CP24" s="24">
        <f>Tabla1[[#Totals],[Columna93]]</f>
        <v>392.51100000000002</v>
      </c>
      <c r="CQ24" s="24">
        <f>Tabla1[[#Totals],[Columna94]]</f>
        <v>361.85200000000003</v>
      </c>
      <c r="CR24" s="24">
        <f>Tabla1[[#Totals],[Columna95]]</f>
        <v>406.46600000000001</v>
      </c>
      <c r="CS24" s="24">
        <f>Tabla1[[#Totals],[Columna96]]</f>
        <v>400.14</v>
      </c>
      <c r="CT24" s="24">
        <f>Tabla1[[#Totals],[Columna97]]</f>
        <v>428.77800000000002</v>
      </c>
      <c r="CU24" s="24">
        <f>Tabla1[[#Totals],[Columna98]]</f>
        <v>405.83</v>
      </c>
      <c r="CV24" s="24">
        <f>Tabla1[[#Totals],[Columna99]]</f>
        <v>437.39</v>
      </c>
      <c r="CW24" s="24">
        <f>Tabla1[[#Totals],[Columna100]]</f>
        <v>417.77799999999996</v>
      </c>
      <c r="CX24" s="24">
        <f>Tabla1[[#Totals],[Columna101]]</f>
        <v>402.95900000000006</v>
      </c>
      <c r="CY24" s="24">
        <f>Tabla1[[#Totals],[Columna102]]</f>
        <v>400.661</v>
      </c>
      <c r="CZ24" s="24">
        <f>Tabla1[[#Totals],[Columna103]]</f>
        <v>398.91800000000001</v>
      </c>
      <c r="DA24" s="24">
        <f>Tabla1[[#Totals],[Columna104]]</f>
        <v>384.91</v>
      </c>
      <c r="DB24" s="24">
        <f>Tabla1[[#Totals],[Columna105]]</f>
        <v>371.84100000000001</v>
      </c>
      <c r="DC24" s="24">
        <f>Tabla1[[#Totals],[Columna106]]</f>
        <v>338.86900000000003</v>
      </c>
      <c r="DD24" s="24">
        <f>Tabla1[[#Totals],[Columna107]]</f>
        <v>365.08400000000006</v>
      </c>
      <c r="DE24" s="24">
        <f>Tabla1[[#Totals],[Columna108]]</f>
        <v>378.697</v>
      </c>
      <c r="DF24" s="24">
        <f>Tabla1[[#Totals],[Columna109]]</f>
        <v>411.33300000000003</v>
      </c>
      <c r="DG24" s="24">
        <f>Tabla1[[#Totals],[Columna110]]</f>
        <v>393.69000000000005</v>
      </c>
      <c r="DH24" s="24">
        <f>Tabla1[[#Totals],[Columna111]]</f>
        <v>500.65699999999993</v>
      </c>
      <c r="DI24" s="24">
        <f>Tabla1[[#Totals],[Columna112]]</f>
        <v>462.13300000000004</v>
      </c>
      <c r="DJ24" s="24">
        <f>Tabla1[[#Totals],[Columna113]]</f>
        <v>443.47800000000001</v>
      </c>
      <c r="DK24" s="24">
        <f>Tabla1[[#Totals],[Columna114]]</f>
        <v>409.74900000000002</v>
      </c>
      <c r="DL24" s="24">
        <f>Tabla1[[#Totals],[Columna115]]</f>
        <v>407.94200000000001</v>
      </c>
      <c r="DM24" s="24">
        <f>Tabla1[[#Totals],[Columna116]]</f>
        <v>377.27800000000002</v>
      </c>
      <c r="DN24" s="24">
        <f>Tabla1[[#Totals],[Columna117]]</f>
        <v>377.61099999999999</v>
      </c>
      <c r="DO24" s="24">
        <f>Tabla1[[#Totals],[Columna118]]</f>
        <v>370.30799999999999</v>
      </c>
      <c r="DP24" s="24">
        <f>Tabla1[[#Totals],[Columna119]]</f>
        <v>391.21500000000003</v>
      </c>
      <c r="DQ24" s="24">
        <f>Tabla1[[#Totals],[Columna120]]</f>
        <v>417.51300000000003</v>
      </c>
      <c r="DR24" s="24">
        <f>Tabla1[[#Totals],[Columna121]]</f>
        <v>444.33000000000004</v>
      </c>
      <c r="DS24" s="24">
        <f>Tabla1[[#Totals],[Columna122]]</f>
        <v>393.29899999999998</v>
      </c>
      <c r="DT24" s="24">
        <f>Tabla1[[#Totals],[Columna123]]</f>
        <v>480.47400000000005</v>
      </c>
      <c r="DU24" s="24">
        <f>Tabla1[[#Totals],[Columna124]]</f>
        <v>442.41199999999998</v>
      </c>
      <c r="DV24" s="24">
        <f>Tabla1[[#Totals],[Columna125]]</f>
        <v>429.69100000000003</v>
      </c>
      <c r="DW24" s="24">
        <f>Tabla1[[#Totals],[Columna126]]</f>
        <v>386.625</v>
      </c>
      <c r="DX24" s="24">
        <f>Tabla1[[#Totals],[Columna127]]</f>
        <v>402.27199999999999</v>
      </c>
      <c r="DY24" s="24">
        <f>Tabla1[[#Totals],[Columna128]]</f>
        <v>377.57600000000002</v>
      </c>
      <c r="DZ24" s="24">
        <f>Tabla1[[#Totals],[Columna129]]</f>
        <v>393.51600000000002</v>
      </c>
      <c r="EA24" s="24">
        <f>Tabla1[[#Totals],[Columna130]]</f>
        <v>369.99</v>
      </c>
      <c r="EB24" s="24">
        <f>Tabla1[[#Totals],[Columna131]]</f>
        <v>402.56</v>
      </c>
      <c r="EC24" s="24">
        <f>Tabla1[[#Totals],[Columna132]]</f>
        <v>425.82100000000003</v>
      </c>
      <c r="ED24" s="24">
        <f>Tabla1[[#Totals],[Columna133]]</f>
        <v>439.62099999999998</v>
      </c>
      <c r="EE24" s="24">
        <f>Tabla1[[#Totals],[Columna134]]</f>
        <v>402.96300000000002</v>
      </c>
      <c r="EF24" s="24">
        <f>Tabla1[[#Totals],[Columna135]]</f>
        <v>490.63200000000001</v>
      </c>
      <c r="EG24" s="24">
        <f>Tabla1[[#Totals],[Columna136]]</f>
        <v>438.52800000000002</v>
      </c>
      <c r="EH24" s="24">
        <f>Tabla1[[#Totals],[Columna137]]</f>
        <v>415.58900000000006</v>
      </c>
      <c r="EI24" s="24">
        <f>Tabla1[[#Totals],[Columna138]]</f>
        <v>394.25799999999998</v>
      </c>
      <c r="EJ24" s="24">
        <f>Tabla1[[#Totals],[Columna139]]</f>
        <v>365.92200000000003</v>
      </c>
      <c r="EK24" s="24">
        <f>Tabla1[[#Totals],[Columna140]]</f>
        <v>380.959</v>
      </c>
      <c r="EL24" s="24">
        <f>Tabla1[[#Totals],[Columna141]]</f>
        <v>405.33100000000002</v>
      </c>
      <c r="EM24" s="24">
        <f>Tabla1[[#Totals],[Columna142]]</f>
        <v>357.85400000000004</v>
      </c>
      <c r="EN24" s="24">
        <f>Tabla1[[#Totals],[Columna143]]</f>
        <v>404.58500000000004</v>
      </c>
      <c r="EO24" s="24">
        <f>Tabla1[[#Totals],[Columna144]]</f>
        <v>433.84100000000001</v>
      </c>
      <c r="EP24" s="24">
        <f>Tabla1[[#Totals],[Columna145]]</f>
        <v>432.15099999999995</v>
      </c>
      <c r="EQ24" s="24">
        <f>Tabla1[[#Totals],[Columna146]]</f>
        <v>431.38600000000002</v>
      </c>
      <c r="ER24" s="24">
        <f>Tabla1[[#Totals],[Columna147]]</f>
        <v>457.19200000000001</v>
      </c>
      <c r="ES24" s="24">
        <f>Tabla1[[#Totals],[Columna148]]</f>
        <v>434.495</v>
      </c>
      <c r="ET24" s="24">
        <f>Tabla1[[#Totals],[Columna149]]</f>
        <v>457.52500000000003</v>
      </c>
      <c r="EU24" s="24">
        <f>Tabla1[[#Totals],[Columna150]]</f>
        <v>415.23199999999997</v>
      </c>
      <c r="EV24" s="24">
        <f>Tabla1[[#Totals],[Columna151]]</f>
        <v>465.43799999999999</v>
      </c>
      <c r="EW24" s="24">
        <f>Tabla1[[#Totals],[Columna152]]</f>
        <v>452.96200000000005</v>
      </c>
      <c r="EX24" s="24">
        <f>Tabla1[[#Totals],[Columna153]]</f>
        <v>453.38099999999997</v>
      </c>
      <c r="EY24" s="24">
        <f>Tabla1[[#Totals],[Columna154]]</f>
        <v>408.11500000000001</v>
      </c>
      <c r="EZ24" s="24">
        <f>Tabla1[[#Totals],[Columna155]]</f>
        <v>455.46000000000004</v>
      </c>
      <c r="FA24" s="24">
        <f>Tabla1[[#Totals],[Columna156]]</f>
        <v>458.21699999999998</v>
      </c>
      <c r="FB24" s="24">
        <f>Tabla1[[#Totals],[Columna157]]</f>
        <v>502.58000000000004</v>
      </c>
      <c r="FC24" s="24">
        <f>Tabla1[[#Totals],[Columna158]]</f>
        <v>466.06699999999995</v>
      </c>
      <c r="FD24" s="24">
        <f>Tabla1[[#Totals],[Columna159]]</f>
        <v>537.22400000000005</v>
      </c>
      <c r="FE24" s="24">
        <f>Tabla1[[#Totals],[Columna160]]</f>
        <v>541.35200000000009</v>
      </c>
      <c r="FF24" s="24">
        <f>Tabla1[[#Totals],[Columna161]]</f>
        <v>503.976</v>
      </c>
      <c r="FG24" s="24">
        <f>Tabla1[[#Totals],[Columna162]]</f>
        <v>454.31300000000005</v>
      </c>
      <c r="FH24" s="24">
        <f>Tabla1[[#Totals],[Columna163]]</f>
        <v>519.28600000000006</v>
      </c>
      <c r="FI24" s="24">
        <f>Tabla1[[#Totals],[Columna164]]</f>
        <v>459.41200000000003</v>
      </c>
      <c r="FJ24" s="24">
        <f>Tabla1[[#Totals],[Columna165]]</f>
        <v>462.79100000000005</v>
      </c>
      <c r="FK24" s="24">
        <f>Tabla1[[#Totals],[Columna166]]</f>
        <v>380.72400000000005</v>
      </c>
      <c r="FL24" s="24">
        <f>Tabla1[[#Totals],[Columna167]]</f>
        <v>448.29500000000002</v>
      </c>
      <c r="FM24" s="24">
        <f>Tabla1[[#Totals],[Columna168]]</f>
        <v>460.49099999999999</v>
      </c>
      <c r="FN24" s="24">
        <f>Tabla1[[#Totals],[Columna169]]</f>
        <v>465.13499999999999</v>
      </c>
      <c r="FO24" s="24">
        <f>Tabla1[[#Totals],[Columna170]]</f>
        <v>394.79899999999998</v>
      </c>
      <c r="FP24" s="24">
        <f>Tabla1[[#Totals],[Columna171]]</f>
        <v>472.52199999999993</v>
      </c>
      <c r="FQ24" s="24">
        <f>Tabla1[[#Totals],[Columna172]]</f>
        <v>475.21999999999997</v>
      </c>
      <c r="FR24" s="24">
        <f>Tabla1[[#Totals],[Columna173]]</f>
        <v>459.17500000000001</v>
      </c>
      <c r="FS24" s="24">
        <f>Tabla1[[#Totals],[Columna174]]</f>
        <v>438.851</v>
      </c>
      <c r="FT24" s="24">
        <f>Tabla1[[#Totals],[Columna175]]</f>
        <v>470.46600000000001</v>
      </c>
      <c r="FU24" s="24">
        <f>Tabla1[[#Totals],[Columna176]]</f>
        <v>422.71200000000005</v>
      </c>
      <c r="FV24" s="24">
        <f>Tabla1[[#Totals],[Columna177]]</f>
        <v>400.38</v>
      </c>
      <c r="FW24" s="24">
        <f>Tabla1[[#Totals],[Columna178]]</f>
        <v>380.83600000000001</v>
      </c>
      <c r="FX24" s="24">
        <f>Tabla1[[#Totals],[Columna179]]</f>
        <v>454.7</v>
      </c>
      <c r="FY24" s="24">
        <f>Tabla1[[#Totals],[Columna180]]</f>
        <v>450.98500000000001</v>
      </c>
      <c r="FZ24" s="24">
        <f>Tabla1[[#Totals],[Columna181]]</f>
        <v>453.30500000000001</v>
      </c>
      <c r="GA24" s="24">
        <f>Tabla1[[#Totals],[Columna182]]</f>
        <v>364.11700000000002</v>
      </c>
      <c r="GB24" s="24">
        <f>Tabla1[[#Totals],[Columna183]]</f>
        <v>464.82400000000001</v>
      </c>
      <c r="GC24" s="24">
        <f>Tabla1[[#Totals],[Columna184]]</f>
        <v>454.17199999999997</v>
      </c>
      <c r="GD24" s="24">
        <f>Tabla1[[#Totals],[Columna185]]</f>
        <v>417.173</v>
      </c>
      <c r="GE24" s="24">
        <f>Tabla1[[#Totals],[Columna186]]</f>
        <v>415.49</v>
      </c>
      <c r="GF24" s="24">
        <f>Tabla1[[#Totals],[Columna187]]</f>
        <v>434.44800000000004</v>
      </c>
      <c r="GG24" s="24">
        <f>Tabla1[[#Totals],[Columna188]]</f>
        <v>413.96899999999999</v>
      </c>
      <c r="GH24" s="24">
        <f>Tabla1[[#Totals],[Columna189]]</f>
        <v>423.77</v>
      </c>
      <c r="GI24" s="24">
        <f>Tabla1[[#Totals],[Columna190]]</f>
        <v>433.11799999999999</v>
      </c>
      <c r="GJ24" s="24">
        <f>Tabla1[[#Totals],[Columna191]]</f>
        <v>481.14100000000002</v>
      </c>
      <c r="GK24" s="24">
        <f>Tabla1[[#Totals],[Columna192]]</f>
        <v>534.22699999999998</v>
      </c>
      <c r="GL24" s="24">
        <f>Tabla1[[#Totals],[Columna193]]</f>
        <v>520.81200000000001</v>
      </c>
      <c r="GM24" s="24">
        <f>Tabla1[[#Totals],[Columna194]]</f>
        <v>413.767</v>
      </c>
      <c r="GN24" s="24">
        <f>Tabla1[[#Totals],[Columna195]]</f>
        <v>588.83199999999999</v>
      </c>
      <c r="GO24" s="24">
        <f>Tabla1[[#Totals],[Columna196]]</f>
        <v>522.71199999999999</v>
      </c>
      <c r="GP24" s="24">
        <f>Tabla1[[#Totals],[Columna197]]</f>
        <v>541.91</v>
      </c>
      <c r="GQ24" s="24">
        <f>Tabla1[[#Totals],[Columna198]]</f>
        <v>604.81399999999996</v>
      </c>
      <c r="GR24" s="24">
        <f>Tabla1[[#Totals],[Columna199]]</f>
        <v>535.80999999999995</v>
      </c>
      <c r="GS24" s="24">
        <f>Tabla1[[#Totals],[Columna200]]</f>
        <v>573.07799999999997</v>
      </c>
      <c r="GT24" s="24">
        <f>Tabla1[[#Totals],[Columna201]]</f>
        <v>557.71199999999999</v>
      </c>
      <c r="GU24" s="24">
        <f>Tabla1[[#Totals],[Columna202]]</f>
        <v>501.70500000000004</v>
      </c>
      <c r="GV24" s="24">
        <f>Tabla1[[#Totals],[Columna203]]</f>
        <v>615.52599999999995</v>
      </c>
      <c r="GW24" s="24">
        <f>Tabla1[[#Totals],[Columna204]]</f>
        <v>623.42699999999991</v>
      </c>
      <c r="GX24" s="24">
        <f>Tabla1[[#Totals],[Columna205]]</f>
        <v>585.32999999999993</v>
      </c>
      <c r="GY24" s="24">
        <f>Tabla1[[#Totals],[Columna206]]</f>
        <v>490.745</v>
      </c>
      <c r="GZ24" s="24">
        <f>Tabla1[[#Totals],[Columna207]]</f>
        <v>625.08100000000002</v>
      </c>
      <c r="HA24" s="24">
        <f>Tabla1[[#Totals],[Columna208]]</f>
        <v>617.88400000000001</v>
      </c>
      <c r="HB24" s="24">
        <f>Tabla1[[#Totals],[Columna209]]</f>
        <v>628.76400000000001</v>
      </c>
      <c r="HC24" s="24">
        <f>Tabla1[[#Totals],[Columna210]]</f>
        <v>546.375</v>
      </c>
      <c r="HD24" s="24">
        <f>Tabla1[[#Totals],[Columna211]]</f>
        <v>609.35300000000007</v>
      </c>
      <c r="HE24" s="24">
        <f>Tabla1[[#Totals],[Columna212]]</f>
        <v>540.38599999999997</v>
      </c>
      <c r="HF24" s="24">
        <f>Tabla1[[#Totals],[Columna213]]</f>
        <v>565.68200000000002</v>
      </c>
      <c r="HG24" s="24">
        <f>Tabla1[[#Totals],[Columna214]]</f>
        <v>520.38199999999995</v>
      </c>
      <c r="HH24" s="24">
        <f>Tabla1[[#Totals],[Columna215]]</f>
        <v>606.28</v>
      </c>
      <c r="HI24" s="24">
        <f>Tabla1[[#Totals],[Columna216]]</f>
        <v>595.63800000000003</v>
      </c>
      <c r="HJ24" s="24">
        <f>Tabla1[[#Totals],[Columna217]]</f>
        <v>579.75199999999995</v>
      </c>
      <c r="HK24" s="24">
        <f>Tabla1[[#Totals],[Columna218]]</f>
        <v>479.53699999999998</v>
      </c>
      <c r="HL24" s="24">
        <f>Tabla1[[#Totals],[Columna219]]</f>
        <v>570.16499999999996</v>
      </c>
      <c r="HM24" s="24">
        <f>Tabla1[[#Totals],[Columna220]]</f>
        <v>626.19499999999994</v>
      </c>
      <c r="HN24" s="24">
        <f>Tabla1[[#Totals],[Columna221]]</f>
        <v>611.57099999999991</v>
      </c>
      <c r="HO24" s="24">
        <f>Tabla1[[#Totals],[Columna222]]</f>
        <v>522.726</v>
      </c>
      <c r="HP24" s="24">
        <f>Tabla1[[#Totals],[Columna223]]</f>
        <v>628.69200000000001</v>
      </c>
      <c r="HQ24" s="24">
        <f>Tabla1[[#Totals],[Columna224]]</f>
        <v>564.80799999999999</v>
      </c>
      <c r="HR24" s="24">
        <f>Tabla1[[#Totals],[Columna225]]</f>
        <v>544.32500000000005</v>
      </c>
      <c r="HS24" s="24">
        <f>Tabla1[[#Totals],[Columna226]]</f>
        <v>510.56600000000003</v>
      </c>
      <c r="HT24" s="24">
        <f>Tabla1[[#Totals],[Columna227]]</f>
        <v>606.096</v>
      </c>
      <c r="HU24" s="24">
        <f>Tabla1[[#Totals],[Columna228]]</f>
        <v>546.12700000000007</v>
      </c>
      <c r="HV24" s="24">
        <f>Tabla1[[#Totals],[Columna229]]</f>
        <v>586.96500000000003</v>
      </c>
      <c r="HW24" s="24">
        <f>Tabla1[[#Totals],[Columna230]]</f>
        <v>466.01800000000003</v>
      </c>
      <c r="HX24" s="24">
        <f>Tabla1[[#Totals],[Columna231]]</f>
        <v>584.54300000000001</v>
      </c>
      <c r="HY24" s="24">
        <f>Tabla1[[#Totals],[Columna232]]</f>
        <v>610.19800000000009</v>
      </c>
      <c r="HZ24" s="24">
        <f>Tabla1[[#Totals],[Columna233]]</f>
        <v>585.84299999999996</v>
      </c>
      <c r="IA24" s="24">
        <f>Tabla1[[#Totals],[Columna234]]</f>
        <v>559.57399999999996</v>
      </c>
      <c r="IB24" s="24">
        <f>Tabla1[[#Totals],[Columna235]]</f>
        <v>559.01</v>
      </c>
      <c r="IC24" s="24">
        <f>Tabla1[[#Totals],[Columna236]]</f>
        <v>534.94399999999996</v>
      </c>
      <c r="ID24" s="24">
        <f>Tabla1[[#Totals],[Columna237]]</f>
        <v>525.03200000000004</v>
      </c>
      <c r="IE24" s="24">
        <f>Tabla1[[#Totals],[Columna238]]</f>
        <v>526.53099999999995</v>
      </c>
      <c r="IF24" s="24">
        <f>Tabla1[[#Totals],[Columna239]]</f>
        <v>605.86799999999994</v>
      </c>
      <c r="IG24" s="24">
        <f>Tabla1[[#Totals],[Columna240]]</f>
        <v>560.00199999999995</v>
      </c>
      <c r="IH24" s="24">
        <f>Tabla1[[#Totals],[Columna241]]</f>
        <v>590.86799999999994</v>
      </c>
      <c r="II24" s="24">
        <f>Tabla1[[#Totals],[Columna242]]</f>
        <v>447.36599999999999</v>
      </c>
      <c r="IJ24" s="24">
        <f>Tabla1[[#Totals],[Columna243]]</f>
        <v>598.87400000000002</v>
      </c>
      <c r="IK24" s="24">
        <f>Tabla1[[#Totals],[Columna244]]</f>
        <v>601.59699999999998</v>
      </c>
      <c r="IL24" s="24">
        <f>Tabla1[[#Totals],[Columna245]]</f>
        <v>566.76199999999994</v>
      </c>
      <c r="IM24" s="24">
        <f>Tabla1[[#Totals],[Columna246]]</f>
        <v>547.68499999999995</v>
      </c>
      <c r="IN24" s="24">
        <f>Tabla1[[#Totals],[Columna247]]</f>
        <v>625.15800000000002</v>
      </c>
      <c r="IO24" s="24">
        <f>Tabla1[[#Totals],[Columna248]]</f>
        <v>566.81899999999996</v>
      </c>
      <c r="IP24" s="24">
        <f>Tabla1[[#Totals],[Columna249]]</f>
        <v>544.16000000000008</v>
      </c>
      <c r="IQ24" s="24">
        <f>Tabla1[[#Totals],[Columna250]]</f>
        <v>511.84300000000002</v>
      </c>
      <c r="IR24" s="24">
        <f>Tabla1[[#Totals],[Columna251]]</f>
        <v>579.53800000000001</v>
      </c>
      <c r="IS24" s="24">
        <f>Tabla1[[#Totals],[Columna252]]</f>
        <v>629.57799999999997</v>
      </c>
      <c r="IT24" s="24">
        <f>Tabla1[[#Totals],[Columna253]]</f>
        <v>604.02</v>
      </c>
      <c r="IU24" s="24">
        <f>Tabla1[[#Totals],[Columna254]]</f>
        <v>453.50900000000001</v>
      </c>
      <c r="IV24" s="24">
        <f>Tabla1[[#Totals],[Columna255]]</f>
        <v>624.45299999999997</v>
      </c>
      <c r="IW24" s="24">
        <f>Tabla1[[#Totals],[Columna256]]</f>
        <v>588.55600000000004</v>
      </c>
      <c r="IX24" s="24">
        <f>Tabla1[[#Totals],[Columna257]]</f>
        <v>581.35199999999998</v>
      </c>
      <c r="IY24" s="24">
        <f>Tabla1[[#Totals],[Columna258]]</f>
        <v>555.61</v>
      </c>
      <c r="IZ24" s="24">
        <f>Tabla1[[#Totals],[Columna259]]</f>
        <v>597.14699999999993</v>
      </c>
      <c r="JA24" s="24">
        <f>Tabla1[[#Totals],[Columna260]]</f>
        <v>582.75599999999997</v>
      </c>
      <c r="JB24" s="24">
        <f>Tabla1[[#Totals],[Columna261]]</f>
        <v>557.74299999999994</v>
      </c>
      <c r="JC24" s="24">
        <f>Tabla1[[#Totals],[Columna262]]</f>
        <v>471.899</v>
      </c>
      <c r="JD24" s="24">
        <f>Tabla1[[#Totals],[Columna263]]</f>
        <v>572.87200000000007</v>
      </c>
      <c r="JE24" s="24">
        <f>Tabla1[[#Totals],[Columna264]]</f>
        <v>633.13699999999994</v>
      </c>
      <c r="JF24" s="24">
        <f>Tabla1[[#Totals],[Columna265]]</f>
        <v>584.03199999999993</v>
      </c>
      <c r="JG24" s="24">
        <f>Tabla1[[#Totals],[Columna266]]</f>
        <v>458.03000000000003</v>
      </c>
      <c r="JH24" s="24">
        <f>Tabla1[[#Totals],[Columna267]]</f>
        <v>622.803</v>
      </c>
      <c r="JI24" s="24">
        <f>Tabla1[[#Totals],[Columna268]]</f>
        <v>571.30100000000004</v>
      </c>
      <c r="JJ24" s="24">
        <f>Tabla1[[#Totals],[Columna269]]</f>
        <v>589.25900000000001</v>
      </c>
      <c r="JK24" s="24">
        <f>Tabla1[[#Totals],[Columna270]]</f>
        <v>591.80999999999995</v>
      </c>
      <c r="JL24" s="24">
        <f>Tabla1[[#Totals],[Columna271]]</f>
        <v>554.71600000000001</v>
      </c>
      <c r="JM24" s="24">
        <f>Tabla1[[#Totals],[Columna272]]</f>
        <v>575.85900000000004</v>
      </c>
      <c r="JN24" s="24">
        <f>Tabla1[[#Totals],[Columna273]]</f>
        <v>583.20400000000006</v>
      </c>
      <c r="JO24" s="24">
        <f>Tabla1[[#Totals],[Columna274]]</f>
        <v>507.87299999999999</v>
      </c>
      <c r="JP24" s="24">
        <f>Tabla1[[#Totals],[Columna275]]</f>
        <v>600.72299999999996</v>
      </c>
      <c r="JQ24" s="24">
        <f>Tabla1[[#Totals],[Columna276]]</f>
        <v>623.79999999999995</v>
      </c>
      <c r="JR24" s="24">
        <f>Tabla1[[#Totals],[Columna277]]</f>
        <v>580.673</v>
      </c>
      <c r="JS24" s="24">
        <f>Tabla1[[#Totals],[Columna278]]</f>
        <v>517.21899999999994</v>
      </c>
      <c r="JT24" s="24">
        <f>Tabla1[[#Totals],[Columna279]]</f>
        <v>614.22900000000004</v>
      </c>
      <c r="JU24" s="24">
        <f>Tabla1[[#Totals],[Columna280]]</f>
        <v>629.31500000000005</v>
      </c>
      <c r="JV24" s="24">
        <f>Tabla1[[#Totals],[Columna281]]</f>
        <v>618.55200000000002</v>
      </c>
      <c r="JW24" s="24">
        <f>Tabla1[[#Totals],[Columna282]]</f>
        <v>542.55499999999995</v>
      </c>
      <c r="JX24" s="24">
        <f>Tabla1[[#Totals],[Columna283]]</f>
        <v>601.74300000000005</v>
      </c>
      <c r="JY24" s="24">
        <f>Tabla1[[#Totals],[Columna284]]</f>
        <v>564.13700000000006</v>
      </c>
      <c r="JZ24" s="24">
        <f>Tabla1[[#Totals],[Columna285]]</f>
        <v>581.10800000000006</v>
      </c>
      <c r="KA24" s="24">
        <f>Tabla1[[#Totals],[Columna286]]</f>
        <v>501.97299999999996</v>
      </c>
      <c r="KB24" s="24">
        <f>Tabla1[[#Totals],[Columna287]]</f>
        <v>615.10900000000004</v>
      </c>
      <c r="KC24" s="24">
        <f>Tabla1[[#Totals],[Columna288]]</f>
        <v>581.80799999999999</v>
      </c>
      <c r="KD24" s="24">
        <f>Tabla1[[#Totals],[Columna289]]</f>
        <v>592.10599999999999</v>
      </c>
      <c r="KE24" s="24">
        <f>Tabla1[[#Totals],[Columna290]]</f>
        <v>506.99199999999996</v>
      </c>
      <c r="KF24" s="24">
        <f>Tabla1[[#Totals],[Columna291]]</f>
        <v>604.85599999999999</v>
      </c>
      <c r="KG24" s="24">
        <f>Tabla1[[#Totals],[Columna292]]</f>
        <v>626.58799999999997</v>
      </c>
      <c r="KH24" s="24">
        <f>Tabla1[[#Totals],[Columna293]]</f>
        <v>615.99699999999996</v>
      </c>
      <c r="KI24" s="24">
        <f>Tabla1[[#Totals],[Columna294]]</f>
        <v>527.61099999999999</v>
      </c>
      <c r="KJ24" s="24">
        <f>Tabla1[[#Totals],[Columna295]]</f>
        <v>627.51199999999994</v>
      </c>
      <c r="KK24" s="24">
        <f>Tabla1[[#Totals],[Columna296]]</f>
        <v>588.31899999999996</v>
      </c>
      <c r="KL24" s="24">
        <f>Tabla1[[#Totals],[Columna297]]</f>
        <v>558.02499999999998</v>
      </c>
    </row>
    <row r="26" spans="1:299" x14ac:dyDescent="0.25">
      <c r="A26" t="s">
        <v>612</v>
      </c>
      <c r="B26" t="s">
        <v>613</v>
      </c>
      <c r="C26" t="s">
        <v>613</v>
      </c>
      <c r="D26" t="s">
        <v>613</v>
      </c>
      <c r="E26" t="s">
        <v>614</v>
      </c>
      <c r="F26" t="s">
        <v>614</v>
      </c>
      <c r="G26" t="s">
        <v>614</v>
      </c>
      <c r="H26" t="s">
        <v>615</v>
      </c>
      <c r="I26" t="s">
        <v>615</v>
      </c>
      <c r="J26" t="s">
        <v>615</v>
      </c>
      <c r="K26" t="s">
        <v>616</v>
      </c>
      <c r="L26" t="s">
        <v>616</v>
      </c>
      <c r="M26" t="s">
        <v>616</v>
      </c>
      <c r="N26" t="s">
        <v>617</v>
      </c>
      <c r="O26" t="s">
        <v>617</v>
      </c>
      <c r="P26" t="s">
        <v>617</v>
      </c>
      <c r="Q26" t="s">
        <v>618</v>
      </c>
      <c r="R26" t="s">
        <v>618</v>
      </c>
      <c r="S26" t="s">
        <v>618</v>
      </c>
      <c r="T26" t="s">
        <v>619</v>
      </c>
      <c r="U26" t="s">
        <v>619</v>
      </c>
      <c r="V26" t="s">
        <v>619</v>
      </c>
      <c r="W26" t="s">
        <v>620</v>
      </c>
      <c r="X26" t="s">
        <v>620</v>
      </c>
      <c r="Y26" t="s">
        <v>620</v>
      </c>
      <c r="Z26" t="s">
        <v>621</v>
      </c>
      <c r="AA26" t="s">
        <v>621</v>
      </c>
      <c r="AB26" t="s">
        <v>621</v>
      </c>
      <c r="AC26" t="s">
        <v>622</v>
      </c>
      <c r="AD26" t="s">
        <v>622</v>
      </c>
      <c r="AE26" t="s">
        <v>622</v>
      </c>
      <c r="AF26" t="s">
        <v>623</v>
      </c>
      <c r="AG26" t="s">
        <v>623</v>
      </c>
      <c r="AH26" t="s">
        <v>623</v>
      </c>
      <c r="AI26" t="s">
        <v>624</v>
      </c>
      <c r="AJ26" t="s">
        <v>624</v>
      </c>
      <c r="AK26" t="s">
        <v>624</v>
      </c>
      <c r="AL26" t="s">
        <v>625</v>
      </c>
      <c r="AM26" t="s">
        <v>625</v>
      </c>
      <c r="AN26" t="s">
        <v>625</v>
      </c>
      <c r="AO26" t="s">
        <v>626</v>
      </c>
      <c r="AP26" t="s">
        <v>626</v>
      </c>
      <c r="AQ26" t="s">
        <v>626</v>
      </c>
      <c r="AR26" t="s">
        <v>627</v>
      </c>
      <c r="AS26" t="s">
        <v>627</v>
      </c>
      <c r="AT26" t="s">
        <v>627</v>
      </c>
      <c r="AU26" t="s">
        <v>628</v>
      </c>
      <c r="AV26" t="s">
        <v>628</v>
      </c>
      <c r="AW26" t="s">
        <v>628</v>
      </c>
      <c r="AX26" t="s">
        <v>629</v>
      </c>
      <c r="AY26" t="s">
        <v>629</v>
      </c>
      <c r="AZ26" t="s">
        <v>629</v>
      </c>
      <c r="BA26" t="s">
        <v>630</v>
      </c>
      <c r="BB26" t="s">
        <v>630</v>
      </c>
      <c r="BC26" t="s">
        <v>630</v>
      </c>
      <c r="BD26" t="s">
        <v>631</v>
      </c>
      <c r="BE26" t="s">
        <v>631</v>
      </c>
      <c r="BF26" t="s">
        <v>631</v>
      </c>
      <c r="BG26" t="s">
        <v>632</v>
      </c>
      <c r="BH26" t="s">
        <v>632</v>
      </c>
      <c r="BI26" t="s">
        <v>632</v>
      </c>
      <c r="BJ26" t="s">
        <v>633</v>
      </c>
      <c r="BK26" t="s">
        <v>633</v>
      </c>
      <c r="BL26" t="s">
        <v>633</v>
      </c>
      <c r="BM26" t="s">
        <v>634</v>
      </c>
      <c r="BN26" t="s">
        <v>634</v>
      </c>
      <c r="BO26" t="s">
        <v>634</v>
      </c>
      <c r="BP26" t="s">
        <v>635</v>
      </c>
      <c r="BQ26" t="s">
        <v>635</v>
      </c>
      <c r="BR26" t="s">
        <v>635</v>
      </c>
      <c r="BS26" t="s">
        <v>636</v>
      </c>
      <c r="BT26" t="s">
        <v>636</v>
      </c>
      <c r="BU26" t="s">
        <v>636</v>
      </c>
      <c r="BV26" t="s">
        <v>637</v>
      </c>
      <c r="BW26" t="s">
        <v>637</v>
      </c>
      <c r="BX26" t="s">
        <v>637</v>
      </c>
      <c r="BY26" t="s">
        <v>638</v>
      </c>
      <c r="BZ26" t="s">
        <v>638</v>
      </c>
      <c r="CA26" t="s">
        <v>638</v>
      </c>
      <c r="CB26" t="s">
        <v>639</v>
      </c>
      <c r="CC26" t="s">
        <v>639</v>
      </c>
      <c r="CD26" t="s">
        <v>639</v>
      </c>
      <c r="CE26" t="s">
        <v>640</v>
      </c>
      <c r="CF26" t="s">
        <v>640</v>
      </c>
      <c r="CG26" t="s">
        <v>640</v>
      </c>
      <c r="CH26" t="s">
        <v>641</v>
      </c>
      <c r="CI26" t="s">
        <v>641</v>
      </c>
      <c r="CJ26" t="s">
        <v>641</v>
      </c>
      <c r="CK26" t="s">
        <v>642</v>
      </c>
      <c r="CL26" t="s">
        <v>642</v>
      </c>
      <c r="CM26" t="s">
        <v>642</v>
      </c>
      <c r="CN26" t="s">
        <v>643</v>
      </c>
      <c r="CO26" t="s">
        <v>643</v>
      </c>
      <c r="CP26" t="s">
        <v>643</v>
      </c>
      <c r="CQ26" t="s">
        <v>644</v>
      </c>
      <c r="CR26" t="s">
        <v>644</v>
      </c>
      <c r="CS26" t="s">
        <v>644</v>
      </c>
      <c r="CT26" t="s">
        <v>645</v>
      </c>
      <c r="CU26" t="s">
        <v>645</v>
      </c>
      <c r="CV26" t="s">
        <v>645</v>
      </c>
      <c r="CW26" t="s">
        <v>646</v>
      </c>
      <c r="CX26" t="s">
        <v>646</v>
      </c>
      <c r="CY26" t="s">
        <v>646</v>
      </c>
      <c r="CZ26" t="s">
        <v>647</v>
      </c>
      <c r="DA26" t="s">
        <v>647</v>
      </c>
      <c r="DB26" t="s">
        <v>647</v>
      </c>
      <c r="DC26" t="s">
        <v>648</v>
      </c>
      <c r="DD26" t="s">
        <v>648</v>
      </c>
      <c r="DE26" t="s">
        <v>648</v>
      </c>
      <c r="DF26" t="s">
        <v>649</v>
      </c>
      <c r="DG26" t="s">
        <v>649</v>
      </c>
      <c r="DH26" t="s">
        <v>649</v>
      </c>
      <c r="DI26" t="s">
        <v>650</v>
      </c>
      <c r="DJ26" t="s">
        <v>650</v>
      </c>
      <c r="DK26" t="s">
        <v>650</v>
      </c>
      <c r="DL26" t="s">
        <v>651</v>
      </c>
      <c r="DM26" t="s">
        <v>651</v>
      </c>
      <c r="DN26" t="s">
        <v>651</v>
      </c>
      <c r="DO26" t="s">
        <v>652</v>
      </c>
      <c r="DP26" t="s">
        <v>652</v>
      </c>
      <c r="DQ26" t="s">
        <v>652</v>
      </c>
      <c r="DR26" t="s">
        <v>653</v>
      </c>
      <c r="DS26" t="s">
        <v>653</v>
      </c>
      <c r="DT26" t="s">
        <v>653</v>
      </c>
      <c r="DU26" t="s">
        <v>654</v>
      </c>
      <c r="DV26" t="s">
        <v>654</v>
      </c>
      <c r="DW26" t="s">
        <v>654</v>
      </c>
      <c r="DX26" t="s">
        <v>655</v>
      </c>
      <c r="DY26" t="s">
        <v>655</v>
      </c>
      <c r="DZ26" t="s">
        <v>655</v>
      </c>
      <c r="EA26" t="s">
        <v>656</v>
      </c>
      <c r="EB26" t="s">
        <v>656</v>
      </c>
      <c r="EC26" t="s">
        <v>656</v>
      </c>
      <c r="ED26" t="s">
        <v>657</v>
      </c>
      <c r="EE26" t="s">
        <v>657</v>
      </c>
      <c r="EF26" t="s">
        <v>657</v>
      </c>
      <c r="EG26" t="s">
        <v>658</v>
      </c>
      <c r="EH26" t="s">
        <v>658</v>
      </c>
      <c r="EI26" t="s">
        <v>658</v>
      </c>
      <c r="EJ26" t="s">
        <v>659</v>
      </c>
      <c r="EK26" t="s">
        <v>659</v>
      </c>
      <c r="EL26" t="s">
        <v>659</v>
      </c>
      <c r="EM26" t="s">
        <v>660</v>
      </c>
      <c r="EN26" t="s">
        <v>660</v>
      </c>
      <c r="EO26" t="s">
        <v>660</v>
      </c>
      <c r="EP26" t="s">
        <v>661</v>
      </c>
      <c r="EQ26" t="s">
        <v>661</v>
      </c>
      <c r="ER26" t="s">
        <v>661</v>
      </c>
      <c r="ES26" t="s">
        <v>662</v>
      </c>
      <c r="ET26" t="s">
        <v>662</v>
      </c>
      <c r="EU26" t="s">
        <v>662</v>
      </c>
      <c r="EV26" t="s">
        <v>663</v>
      </c>
      <c r="EW26" t="s">
        <v>663</v>
      </c>
      <c r="EX26" t="s">
        <v>663</v>
      </c>
      <c r="EY26" t="s">
        <v>664</v>
      </c>
      <c r="EZ26" t="s">
        <v>664</v>
      </c>
      <c r="FA26" t="s">
        <v>664</v>
      </c>
      <c r="FB26" t="s">
        <v>665</v>
      </c>
      <c r="FC26" t="s">
        <v>665</v>
      </c>
      <c r="FD26" t="s">
        <v>665</v>
      </c>
      <c r="FE26" t="s">
        <v>666</v>
      </c>
      <c r="FF26" t="s">
        <v>666</v>
      </c>
      <c r="FG26" t="s">
        <v>666</v>
      </c>
      <c r="FH26" t="s">
        <v>667</v>
      </c>
      <c r="FI26" t="s">
        <v>667</v>
      </c>
      <c r="FJ26" t="s">
        <v>667</v>
      </c>
      <c r="FK26" t="s">
        <v>668</v>
      </c>
      <c r="FL26" t="s">
        <v>668</v>
      </c>
      <c r="FM26" t="s">
        <v>668</v>
      </c>
      <c r="FN26" t="s">
        <v>669</v>
      </c>
      <c r="FO26" t="s">
        <v>669</v>
      </c>
      <c r="FP26" t="s">
        <v>669</v>
      </c>
      <c r="FQ26" t="s">
        <v>670</v>
      </c>
      <c r="FR26" t="s">
        <v>670</v>
      </c>
      <c r="FS26" t="s">
        <v>670</v>
      </c>
      <c r="FT26" t="s">
        <v>671</v>
      </c>
      <c r="FU26" t="s">
        <v>671</v>
      </c>
      <c r="FV26" t="s">
        <v>671</v>
      </c>
      <c r="FW26" t="s">
        <v>672</v>
      </c>
      <c r="FX26" t="s">
        <v>672</v>
      </c>
      <c r="FY26" t="s">
        <v>672</v>
      </c>
      <c r="FZ26" t="s">
        <v>673</v>
      </c>
      <c r="GA26" t="s">
        <v>673</v>
      </c>
      <c r="GB26" t="s">
        <v>673</v>
      </c>
      <c r="GC26" t="s">
        <v>674</v>
      </c>
      <c r="GD26" t="s">
        <v>674</v>
      </c>
      <c r="GE26" t="s">
        <v>674</v>
      </c>
      <c r="GF26" t="s">
        <v>675</v>
      </c>
      <c r="GG26" t="s">
        <v>675</v>
      </c>
      <c r="GH26" t="s">
        <v>675</v>
      </c>
      <c r="GI26" t="s">
        <v>676</v>
      </c>
      <c r="GJ26" t="s">
        <v>676</v>
      </c>
      <c r="GK26" t="s">
        <v>676</v>
      </c>
      <c r="GL26" t="s">
        <v>677</v>
      </c>
      <c r="GM26" t="s">
        <v>677</v>
      </c>
      <c r="GN26" t="s">
        <v>677</v>
      </c>
      <c r="GO26" t="s">
        <v>678</v>
      </c>
      <c r="GP26" t="s">
        <v>678</v>
      </c>
      <c r="GQ26" t="s">
        <v>678</v>
      </c>
      <c r="GR26" t="s">
        <v>679</v>
      </c>
      <c r="GS26" t="s">
        <v>679</v>
      </c>
      <c r="GT26" t="s">
        <v>679</v>
      </c>
      <c r="GU26" t="s">
        <v>680</v>
      </c>
      <c r="GV26" t="s">
        <v>680</v>
      </c>
      <c r="GW26" t="s">
        <v>680</v>
      </c>
      <c r="GX26" t="s">
        <v>681</v>
      </c>
      <c r="GY26" t="s">
        <v>681</v>
      </c>
      <c r="GZ26" t="s">
        <v>681</v>
      </c>
      <c r="HA26" t="s">
        <v>682</v>
      </c>
      <c r="HB26" t="s">
        <v>682</v>
      </c>
      <c r="HC26" t="s">
        <v>682</v>
      </c>
      <c r="HD26" t="s">
        <v>683</v>
      </c>
      <c r="HE26" t="s">
        <v>683</v>
      </c>
      <c r="HF26" t="s">
        <v>683</v>
      </c>
      <c r="HG26" t="s">
        <v>684</v>
      </c>
      <c r="HH26" t="s">
        <v>684</v>
      </c>
      <c r="HI26" t="s">
        <v>684</v>
      </c>
      <c r="HJ26" t="s">
        <v>685</v>
      </c>
      <c r="HK26" t="s">
        <v>685</v>
      </c>
      <c r="HL26" t="s">
        <v>685</v>
      </c>
      <c r="HM26" t="s">
        <v>686</v>
      </c>
      <c r="HN26" t="s">
        <v>686</v>
      </c>
      <c r="HO26" t="s">
        <v>686</v>
      </c>
      <c r="HP26" t="s">
        <v>687</v>
      </c>
      <c r="HQ26" t="s">
        <v>687</v>
      </c>
      <c r="HR26" t="s">
        <v>687</v>
      </c>
      <c r="HS26" t="s">
        <v>688</v>
      </c>
      <c r="HT26" t="s">
        <v>688</v>
      </c>
      <c r="HU26" t="s">
        <v>688</v>
      </c>
      <c r="HV26" t="s">
        <v>689</v>
      </c>
      <c r="HW26" t="s">
        <v>689</v>
      </c>
      <c r="HX26" t="s">
        <v>689</v>
      </c>
      <c r="HY26" t="s">
        <v>690</v>
      </c>
      <c r="HZ26" t="s">
        <v>690</v>
      </c>
      <c r="IA26" t="s">
        <v>690</v>
      </c>
      <c r="IB26" t="s">
        <v>691</v>
      </c>
      <c r="IC26" t="s">
        <v>691</v>
      </c>
      <c r="ID26" t="s">
        <v>691</v>
      </c>
      <c r="IE26" t="s">
        <v>692</v>
      </c>
      <c r="IF26" t="s">
        <v>692</v>
      </c>
      <c r="IG26" t="s">
        <v>692</v>
      </c>
      <c r="IH26" t="s">
        <v>693</v>
      </c>
      <c r="II26" t="s">
        <v>693</v>
      </c>
      <c r="IJ26" t="s">
        <v>693</v>
      </c>
      <c r="IK26" t="s">
        <v>694</v>
      </c>
      <c r="IL26" t="s">
        <v>694</v>
      </c>
      <c r="IM26" t="s">
        <v>694</v>
      </c>
      <c r="IN26" t="s">
        <v>695</v>
      </c>
      <c r="IO26" t="s">
        <v>695</v>
      </c>
      <c r="IP26" t="s">
        <v>695</v>
      </c>
      <c r="IQ26" t="s">
        <v>696</v>
      </c>
      <c r="IR26" t="s">
        <v>696</v>
      </c>
      <c r="IS26" t="s">
        <v>696</v>
      </c>
      <c r="IT26" t="s">
        <v>697</v>
      </c>
      <c r="IU26" t="s">
        <v>697</v>
      </c>
      <c r="IV26" t="s">
        <v>697</v>
      </c>
      <c r="IW26" t="s">
        <v>698</v>
      </c>
      <c r="IX26" t="s">
        <v>698</v>
      </c>
      <c r="IY26" t="s">
        <v>698</v>
      </c>
      <c r="IZ26" t="s">
        <v>699</v>
      </c>
      <c r="JA26" t="s">
        <v>699</v>
      </c>
      <c r="JB26" t="s">
        <v>699</v>
      </c>
      <c r="JC26" t="s">
        <v>700</v>
      </c>
      <c r="JD26" t="s">
        <v>700</v>
      </c>
      <c r="JE26" t="s">
        <v>700</v>
      </c>
      <c r="JF26" t="s">
        <v>701</v>
      </c>
      <c r="JG26" t="s">
        <v>701</v>
      </c>
      <c r="JH26" t="s">
        <v>701</v>
      </c>
      <c r="JI26" t="s">
        <v>702</v>
      </c>
      <c r="JJ26" t="s">
        <v>702</v>
      </c>
      <c r="JK26" t="s">
        <v>702</v>
      </c>
      <c r="JL26" t="s">
        <v>703</v>
      </c>
      <c r="JM26" t="s">
        <v>703</v>
      </c>
      <c r="JN26" t="s">
        <v>703</v>
      </c>
      <c r="JO26" t="s">
        <v>704</v>
      </c>
      <c r="JP26" t="s">
        <v>704</v>
      </c>
      <c r="JQ26" t="s">
        <v>704</v>
      </c>
      <c r="JR26" t="s">
        <v>705</v>
      </c>
      <c r="JS26" t="s">
        <v>705</v>
      </c>
      <c r="JT26" t="s">
        <v>705</v>
      </c>
      <c r="JU26" t="s">
        <v>706</v>
      </c>
      <c r="JV26" t="s">
        <v>706</v>
      </c>
      <c r="JW26" t="s">
        <v>706</v>
      </c>
      <c r="JX26" t="s">
        <v>707</v>
      </c>
      <c r="JY26" t="s">
        <v>707</v>
      </c>
      <c r="JZ26" t="s">
        <v>707</v>
      </c>
      <c r="KA26" t="s">
        <v>708</v>
      </c>
      <c r="KB26" t="s">
        <v>708</v>
      </c>
      <c r="KC26" t="s">
        <v>708</v>
      </c>
      <c r="KD26" t="s">
        <v>709</v>
      </c>
      <c r="KE26" t="s">
        <v>709</v>
      </c>
      <c r="KF26" t="s">
        <v>709</v>
      </c>
      <c r="KG26" t="s">
        <v>710</v>
      </c>
      <c r="KH26" t="s">
        <v>710</v>
      </c>
      <c r="KI26" t="s">
        <v>710</v>
      </c>
      <c r="KJ26" t="s">
        <v>711</v>
      </c>
      <c r="KK26" t="s">
        <v>711</v>
      </c>
      <c r="KL26" t="s">
        <v>711</v>
      </c>
    </row>
    <row r="27" spans="1:299" x14ac:dyDescent="0.25">
      <c r="A27">
        <v>421.80900000000003</v>
      </c>
      <c r="B27">
        <v>413.51600000000002</v>
      </c>
      <c r="C27">
        <v>373.82499999999999</v>
      </c>
      <c r="D27">
        <v>426.34200000000004</v>
      </c>
      <c r="E27">
        <v>392.41800000000001</v>
      </c>
      <c r="F27">
        <v>400.96500000000003</v>
      </c>
      <c r="G27">
        <v>388.209</v>
      </c>
      <c r="H27">
        <v>379.73800000000006</v>
      </c>
      <c r="I27">
        <v>385.77600000000001</v>
      </c>
      <c r="J27">
        <v>403.45400000000001</v>
      </c>
      <c r="K27">
        <v>372.69499999999999</v>
      </c>
      <c r="L27">
        <v>403.42899999999997</v>
      </c>
      <c r="M27">
        <v>400.81400000000002</v>
      </c>
      <c r="N27">
        <v>406.65</v>
      </c>
      <c r="O27">
        <v>386.80099999999999</v>
      </c>
      <c r="P27">
        <v>424.69799999999998</v>
      </c>
      <c r="Q27">
        <v>416.66399999999999</v>
      </c>
      <c r="R27">
        <v>414.69100000000003</v>
      </c>
      <c r="S27">
        <v>382.197</v>
      </c>
      <c r="T27">
        <v>431.76499999999999</v>
      </c>
      <c r="U27">
        <v>385.40300000000002</v>
      </c>
      <c r="V27">
        <v>383.2</v>
      </c>
      <c r="W27">
        <v>373.62</v>
      </c>
      <c r="X27">
        <v>414.06099999999998</v>
      </c>
      <c r="Y27">
        <v>411.72199999999998</v>
      </c>
      <c r="Z27">
        <v>435.80099999999999</v>
      </c>
      <c r="AA27">
        <v>402.96299999999997</v>
      </c>
      <c r="AB27">
        <v>440.62799999999999</v>
      </c>
      <c r="AC27">
        <v>439.84699999999998</v>
      </c>
      <c r="AD27">
        <v>415.11199999999997</v>
      </c>
      <c r="AE27">
        <v>386.03300000000002</v>
      </c>
      <c r="AF27">
        <v>403.51300000000003</v>
      </c>
      <c r="AG27">
        <v>375.59800000000001</v>
      </c>
      <c r="AH27">
        <v>382.572</v>
      </c>
      <c r="AI27">
        <v>386.70299999999997</v>
      </c>
      <c r="AJ27">
        <v>412.84699999999998</v>
      </c>
      <c r="AK27">
        <v>397.61099999999999</v>
      </c>
      <c r="AL27">
        <v>420.03499999999997</v>
      </c>
      <c r="AM27">
        <v>381.67</v>
      </c>
      <c r="AN27">
        <v>432.649</v>
      </c>
      <c r="AO27">
        <v>407.39</v>
      </c>
      <c r="AP27">
        <v>399.55400000000003</v>
      </c>
      <c r="AQ27">
        <v>392.779</v>
      </c>
      <c r="AR27">
        <v>419.75</v>
      </c>
      <c r="AS27">
        <v>368.99099999999999</v>
      </c>
      <c r="AT27">
        <v>380.02</v>
      </c>
      <c r="AU27">
        <v>377.48899999999998</v>
      </c>
      <c r="AV27">
        <v>394.66200000000003</v>
      </c>
      <c r="AW27">
        <v>394.69400000000002</v>
      </c>
      <c r="AX27">
        <v>419.38900000000001</v>
      </c>
      <c r="AY27">
        <v>397.553</v>
      </c>
      <c r="AZ27">
        <v>464.03300000000002</v>
      </c>
      <c r="BA27">
        <v>397.096</v>
      </c>
      <c r="BB27">
        <v>342.77099999999996</v>
      </c>
      <c r="BC27">
        <v>283.53100000000001</v>
      </c>
      <c r="BD27">
        <v>364.577</v>
      </c>
      <c r="BE27">
        <v>376.00299999999999</v>
      </c>
      <c r="BF27">
        <v>378.49099999999999</v>
      </c>
      <c r="BG27">
        <v>376.53300000000002</v>
      </c>
      <c r="BH27">
        <v>417.803</v>
      </c>
      <c r="BI27">
        <v>425.68799999999999</v>
      </c>
      <c r="BJ27">
        <v>427.06299999999999</v>
      </c>
      <c r="BK27">
        <v>410.94700000000006</v>
      </c>
      <c r="BL27">
        <v>471.29699999999997</v>
      </c>
      <c r="BM27">
        <v>420.67199999999997</v>
      </c>
      <c r="BN27">
        <v>419.774</v>
      </c>
      <c r="BO27">
        <v>386.02099999999996</v>
      </c>
      <c r="BP27">
        <v>390.79200000000003</v>
      </c>
      <c r="BQ27">
        <v>369.928</v>
      </c>
      <c r="BR27">
        <v>400.21800000000002</v>
      </c>
      <c r="BS27">
        <v>353.21200000000005</v>
      </c>
      <c r="BT27">
        <v>394.87099999999998</v>
      </c>
      <c r="BU27">
        <v>415.90600000000001</v>
      </c>
      <c r="BV27">
        <v>404.56799999999998</v>
      </c>
      <c r="BW27">
        <v>402.94399999999996</v>
      </c>
      <c r="BX27">
        <v>438.87799999999999</v>
      </c>
      <c r="BY27">
        <v>418.73900000000003</v>
      </c>
      <c r="BZ27">
        <v>409.94600000000003</v>
      </c>
      <c r="CA27">
        <v>382.38800000000003</v>
      </c>
      <c r="CB27">
        <v>408.786</v>
      </c>
      <c r="CC27">
        <v>387.90800000000002</v>
      </c>
      <c r="CD27">
        <v>399.83600000000001</v>
      </c>
      <c r="CE27">
        <v>383.9</v>
      </c>
      <c r="CF27">
        <v>439.73099999999999</v>
      </c>
      <c r="CG27">
        <v>424.76699999999994</v>
      </c>
      <c r="CH27">
        <v>429.60499999999996</v>
      </c>
      <c r="CI27">
        <v>409.08200000000005</v>
      </c>
      <c r="CJ27">
        <v>448.82899999999995</v>
      </c>
      <c r="CK27">
        <v>433.92500000000001</v>
      </c>
      <c r="CL27">
        <v>426.26400000000001</v>
      </c>
      <c r="CM27">
        <v>367.97800000000007</v>
      </c>
      <c r="CN27">
        <v>417.29199999999997</v>
      </c>
      <c r="CO27">
        <v>366.41100000000006</v>
      </c>
      <c r="CP27">
        <v>392.51100000000002</v>
      </c>
      <c r="CQ27">
        <v>361.85200000000003</v>
      </c>
      <c r="CR27">
        <v>406.46600000000001</v>
      </c>
      <c r="CS27">
        <v>400.14</v>
      </c>
      <c r="CT27">
        <v>428.77800000000002</v>
      </c>
      <c r="CU27">
        <v>405.83</v>
      </c>
      <c r="CV27">
        <v>437.39</v>
      </c>
      <c r="CW27">
        <v>417.77799999999996</v>
      </c>
      <c r="CX27">
        <v>402.95900000000006</v>
      </c>
      <c r="CY27">
        <v>400.661</v>
      </c>
      <c r="CZ27">
        <v>398.91800000000001</v>
      </c>
      <c r="DA27">
        <v>384.91</v>
      </c>
      <c r="DB27">
        <v>371.84100000000001</v>
      </c>
      <c r="DC27">
        <v>338.86900000000003</v>
      </c>
      <c r="DD27">
        <v>365.08400000000006</v>
      </c>
      <c r="DE27">
        <v>378.697</v>
      </c>
      <c r="DF27">
        <v>411.33300000000003</v>
      </c>
      <c r="DG27">
        <v>393.69000000000005</v>
      </c>
      <c r="DH27">
        <v>500.65699999999993</v>
      </c>
      <c r="DI27">
        <v>462.13300000000004</v>
      </c>
      <c r="DJ27">
        <v>443.47800000000001</v>
      </c>
      <c r="DK27">
        <v>409.74900000000002</v>
      </c>
      <c r="DL27">
        <v>407.94200000000001</v>
      </c>
      <c r="DM27">
        <v>377.27800000000002</v>
      </c>
      <c r="DN27">
        <v>377.61099999999999</v>
      </c>
      <c r="DO27">
        <v>370.30799999999999</v>
      </c>
      <c r="DP27">
        <v>391.21500000000003</v>
      </c>
      <c r="DQ27">
        <v>417.51300000000003</v>
      </c>
      <c r="DR27">
        <v>444.33000000000004</v>
      </c>
      <c r="DS27">
        <v>393.29899999999998</v>
      </c>
      <c r="DT27">
        <v>480.47400000000005</v>
      </c>
      <c r="DU27">
        <v>442.41199999999998</v>
      </c>
      <c r="DV27">
        <v>429.69100000000003</v>
      </c>
      <c r="DW27">
        <v>386.625</v>
      </c>
      <c r="DX27">
        <v>402.27199999999999</v>
      </c>
      <c r="DY27">
        <v>377.57600000000002</v>
      </c>
      <c r="DZ27">
        <v>393.51600000000002</v>
      </c>
      <c r="EA27">
        <v>369.99</v>
      </c>
      <c r="EB27">
        <v>402.56</v>
      </c>
      <c r="EC27">
        <v>425.82100000000003</v>
      </c>
      <c r="ED27">
        <v>439.62099999999998</v>
      </c>
      <c r="EE27">
        <v>402.96300000000002</v>
      </c>
      <c r="EF27">
        <v>490.63200000000001</v>
      </c>
      <c r="EG27">
        <v>438.52800000000002</v>
      </c>
      <c r="EH27">
        <v>415.58900000000006</v>
      </c>
      <c r="EI27">
        <v>394.25799999999998</v>
      </c>
      <c r="EJ27">
        <v>365.92200000000003</v>
      </c>
      <c r="EK27">
        <v>380.959</v>
      </c>
      <c r="EL27">
        <v>405.33100000000002</v>
      </c>
      <c r="EM27">
        <v>357.85400000000004</v>
      </c>
      <c r="EN27">
        <v>404.58500000000004</v>
      </c>
      <c r="EO27">
        <v>433.84100000000001</v>
      </c>
      <c r="EP27">
        <v>432.15099999999995</v>
      </c>
      <c r="EQ27">
        <v>431.38600000000002</v>
      </c>
      <c r="ER27">
        <v>457.19200000000001</v>
      </c>
      <c r="ES27">
        <v>434.495</v>
      </c>
      <c r="ET27">
        <v>457.52500000000003</v>
      </c>
      <c r="EU27">
        <v>415.23199999999997</v>
      </c>
      <c r="EV27">
        <v>465.43799999999999</v>
      </c>
      <c r="EW27">
        <v>452.96200000000005</v>
      </c>
      <c r="EX27">
        <v>453.38099999999997</v>
      </c>
      <c r="EY27">
        <v>408.11500000000001</v>
      </c>
      <c r="EZ27">
        <v>455.46000000000004</v>
      </c>
      <c r="FA27">
        <v>458.21699999999998</v>
      </c>
      <c r="FB27">
        <v>502.58000000000004</v>
      </c>
      <c r="FC27">
        <v>466.06699999999995</v>
      </c>
      <c r="FD27">
        <v>537.22400000000005</v>
      </c>
      <c r="FE27">
        <v>541.35200000000009</v>
      </c>
      <c r="FF27">
        <v>503.976</v>
      </c>
      <c r="FG27">
        <v>454.31300000000005</v>
      </c>
      <c r="FH27">
        <v>519.28600000000006</v>
      </c>
      <c r="FI27">
        <v>459.41200000000003</v>
      </c>
      <c r="FJ27">
        <v>462.79100000000005</v>
      </c>
      <c r="FK27">
        <v>380.72400000000005</v>
      </c>
      <c r="FL27">
        <v>448.29500000000002</v>
      </c>
      <c r="FM27">
        <v>460.49099999999999</v>
      </c>
      <c r="FN27">
        <v>465.13499999999999</v>
      </c>
      <c r="FO27">
        <v>394.79899999999998</v>
      </c>
      <c r="FP27">
        <v>472.52199999999993</v>
      </c>
      <c r="FQ27">
        <v>475.21999999999997</v>
      </c>
      <c r="FR27">
        <v>459.17500000000001</v>
      </c>
      <c r="FS27">
        <v>438.851</v>
      </c>
      <c r="FT27">
        <v>470.46600000000001</v>
      </c>
      <c r="FU27">
        <v>422.71200000000005</v>
      </c>
      <c r="FV27">
        <v>400.38</v>
      </c>
      <c r="FW27">
        <v>380.83600000000001</v>
      </c>
      <c r="FX27">
        <v>454.7</v>
      </c>
      <c r="FY27">
        <v>450.98500000000001</v>
      </c>
      <c r="FZ27">
        <v>453.30500000000001</v>
      </c>
      <c r="GA27">
        <v>364.11700000000002</v>
      </c>
      <c r="GB27">
        <v>464.82400000000001</v>
      </c>
      <c r="GC27">
        <v>454.17199999999997</v>
      </c>
      <c r="GD27">
        <v>417.173</v>
      </c>
      <c r="GE27">
        <v>415.49</v>
      </c>
      <c r="GF27">
        <v>434.44800000000004</v>
      </c>
      <c r="GG27">
        <v>413.96899999999999</v>
      </c>
      <c r="GH27">
        <v>423.77</v>
      </c>
      <c r="GI27">
        <v>433.11799999999999</v>
      </c>
      <c r="GJ27">
        <v>481.14100000000002</v>
      </c>
      <c r="GK27">
        <v>534.22699999999998</v>
      </c>
      <c r="GL27">
        <v>520.81200000000001</v>
      </c>
      <c r="GM27">
        <v>413.767</v>
      </c>
      <c r="GN27">
        <v>588.83199999999999</v>
      </c>
      <c r="GO27">
        <v>522.71199999999999</v>
      </c>
      <c r="GP27">
        <v>541.91</v>
      </c>
      <c r="GQ27">
        <v>604.81399999999996</v>
      </c>
      <c r="GR27">
        <v>535.80999999999995</v>
      </c>
      <c r="GS27">
        <v>573.07799999999997</v>
      </c>
      <c r="GT27">
        <v>557.71199999999999</v>
      </c>
      <c r="GU27">
        <v>501.70500000000004</v>
      </c>
      <c r="GV27">
        <v>615.52599999999995</v>
      </c>
      <c r="GW27">
        <v>623.42699999999991</v>
      </c>
      <c r="GX27">
        <v>585.32999999999993</v>
      </c>
      <c r="GY27">
        <v>490.745</v>
      </c>
      <c r="GZ27">
        <v>625.08100000000002</v>
      </c>
      <c r="HA27">
        <v>617.88400000000001</v>
      </c>
      <c r="HB27">
        <v>628.76400000000001</v>
      </c>
      <c r="HC27">
        <v>546.375</v>
      </c>
      <c r="HD27">
        <v>609.35300000000007</v>
      </c>
      <c r="HE27">
        <v>540.38599999999997</v>
      </c>
      <c r="HF27">
        <v>565.68200000000002</v>
      </c>
      <c r="HG27">
        <v>520.38199999999995</v>
      </c>
      <c r="HH27">
        <v>606.28</v>
      </c>
      <c r="HI27">
        <v>595.63800000000003</v>
      </c>
      <c r="HJ27">
        <v>579.75199999999995</v>
      </c>
      <c r="HK27">
        <v>479.53699999999998</v>
      </c>
      <c r="HL27">
        <v>570.16499999999996</v>
      </c>
      <c r="HM27">
        <v>626.19499999999994</v>
      </c>
      <c r="HN27">
        <v>611.57099999999991</v>
      </c>
      <c r="HO27">
        <v>522.726</v>
      </c>
      <c r="HP27">
        <v>628.69200000000001</v>
      </c>
      <c r="HQ27">
        <v>564.80799999999999</v>
      </c>
      <c r="HR27">
        <v>544.32500000000005</v>
      </c>
      <c r="HS27">
        <v>510.56600000000003</v>
      </c>
      <c r="HT27">
        <v>606.096</v>
      </c>
      <c r="HU27">
        <v>546.12700000000007</v>
      </c>
      <c r="HV27">
        <v>586.96500000000003</v>
      </c>
      <c r="HW27">
        <v>466.01800000000003</v>
      </c>
      <c r="HX27">
        <v>584.54300000000001</v>
      </c>
      <c r="HY27">
        <v>610.19800000000009</v>
      </c>
      <c r="HZ27">
        <v>585.84299999999996</v>
      </c>
      <c r="IA27">
        <v>559.57399999999996</v>
      </c>
      <c r="IB27">
        <v>559.01</v>
      </c>
      <c r="IC27">
        <v>534.94399999999996</v>
      </c>
      <c r="ID27">
        <v>525.03200000000004</v>
      </c>
      <c r="IE27">
        <v>526.53099999999995</v>
      </c>
      <c r="IF27">
        <v>605.86799999999994</v>
      </c>
      <c r="IG27">
        <v>560.00199999999995</v>
      </c>
      <c r="IH27">
        <v>590.86799999999994</v>
      </c>
      <c r="II27">
        <v>447.36599999999999</v>
      </c>
      <c r="IJ27">
        <v>598.87400000000002</v>
      </c>
      <c r="IK27">
        <v>601.59699999999998</v>
      </c>
      <c r="IL27">
        <v>566.76199999999994</v>
      </c>
      <c r="IM27">
        <v>547.68499999999995</v>
      </c>
      <c r="IN27">
        <v>625.15800000000002</v>
      </c>
      <c r="IO27">
        <v>566.81899999999996</v>
      </c>
      <c r="IP27">
        <v>544.16000000000008</v>
      </c>
      <c r="IQ27">
        <v>511.84300000000002</v>
      </c>
      <c r="IR27">
        <v>579.53800000000001</v>
      </c>
      <c r="IS27">
        <v>629.57799999999997</v>
      </c>
      <c r="IT27">
        <v>604.02</v>
      </c>
      <c r="IU27">
        <v>453.50900000000001</v>
      </c>
      <c r="IV27">
        <v>624.45299999999997</v>
      </c>
      <c r="IW27">
        <v>588.55600000000004</v>
      </c>
      <c r="IX27">
        <v>581.35199999999998</v>
      </c>
      <c r="IY27">
        <v>555.61</v>
      </c>
      <c r="IZ27">
        <v>597.14699999999993</v>
      </c>
      <c r="JA27">
        <v>582.75599999999997</v>
      </c>
      <c r="JB27">
        <v>557.74299999999994</v>
      </c>
      <c r="JC27">
        <v>471.899</v>
      </c>
      <c r="JD27">
        <v>572.87200000000007</v>
      </c>
      <c r="JE27">
        <v>633.13699999999994</v>
      </c>
      <c r="JF27">
        <v>584.03199999999993</v>
      </c>
      <c r="JG27">
        <v>458.03000000000003</v>
      </c>
      <c r="JH27">
        <v>622.803</v>
      </c>
      <c r="JI27">
        <v>571.30100000000004</v>
      </c>
      <c r="JJ27">
        <v>589.25900000000001</v>
      </c>
      <c r="JK27">
        <v>591.80999999999995</v>
      </c>
      <c r="JL27">
        <v>554.71600000000001</v>
      </c>
      <c r="JM27">
        <v>575.85900000000004</v>
      </c>
      <c r="JN27">
        <v>583.20400000000006</v>
      </c>
      <c r="JO27">
        <v>507.87299999999999</v>
      </c>
      <c r="JP27">
        <v>600.72299999999996</v>
      </c>
      <c r="JQ27">
        <v>623.79999999999995</v>
      </c>
      <c r="JR27">
        <v>580.673</v>
      </c>
      <c r="JS27">
        <v>517.21899999999994</v>
      </c>
      <c r="JT27">
        <v>614.22900000000004</v>
      </c>
      <c r="JU27">
        <v>629.31500000000005</v>
      </c>
      <c r="JV27">
        <v>618.55200000000002</v>
      </c>
      <c r="JW27">
        <v>542.55499999999995</v>
      </c>
      <c r="JX27">
        <v>601.74300000000005</v>
      </c>
      <c r="JY27">
        <v>564.13700000000006</v>
      </c>
      <c r="JZ27">
        <v>581.10800000000006</v>
      </c>
      <c r="KA27">
        <v>501.97299999999996</v>
      </c>
      <c r="KB27">
        <v>615.10900000000004</v>
      </c>
      <c r="KC27">
        <v>581.80799999999999</v>
      </c>
      <c r="KD27">
        <v>592.10599999999999</v>
      </c>
      <c r="KE27">
        <v>506.99199999999996</v>
      </c>
      <c r="KF27">
        <v>604.85599999999999</v>
      </c>
      <c r="KG27">
        <v>626.58799999999997</v>
      </c>
      <c r="KH27">
        <v>615.99699999999996</v>
      </c>
      <c r="KI27">
        <v>527.61099999999999</v>
      </c>
      <c r="KJ27">
        <v>627.51199999999994</v>
      </c>
      <c r="KK27">
        <v>588.31899999999996</v>
      </c>
      <c r="KL27">
        <v>558.02499999999998</v>
      </c>
    </row>
  </sheetData>
  <mergeCells count="6">
    <mergeCell ref="A6:K6"/>
    <mergeCell ref="A1:K1"/>
    <mergeCell ref="A2:K2"/>
    <mergeCell ref="A3:K3"/>
    <mergeCell ref="A4:K4"/>
    <mergeCell ref="A5:K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3EBC-2886-41C3-A17E-A6A3E4635AAD}">
  <dimension ref="A3:B104"/>
  <sheetViews>
    <sheetView workbookViewId="0">
      <selection activeCell="C16" sqref="C16"/>
    </sheetView>
  </sheetViews>
  <sheetFormatPr baseColWidth="10" defaultRowHeight="15" x14ac:dyDescent="0.25"/>
  <cols>
    <col min="1" max="1" width="17.85546875" bestFit="1" customWidth="1"/>
    <col min="2" max="2" width="15.140625" bestFit="1" customWidth="1"/>
  </cols>
  <sheetData>
    <row r="3" spans="1:2" x14ac:dyDescent="0.25">
      <c r="A3" s="25" t="s">
        <v>714</v>
      </c>
      <c r="B3" t="s">
        <v>716</v>
      </c>
    </row>
    <row r="4" spans="1:2" x14ac:dyDescent="0.25">
      <c r="A4" s="26" t="s">
        <v>711</v>
      </c>
      <c r="B4" s="27">
        <v>591.28533333333326</v>
      </c>
    </row>
    <row r="5" spans="1:2" x14ac:dyDescent="0.25">
      <c r="A5" s="26" t="s">
        <v>710</v>
      </c>
      <c r="B5" s="27">
        <v>590.06533333333334</v>
      </c>
    </row>
    <row r="6" spans="1:2" x14ac:dyDescent="0.25">
      <c r="A6" s="26" t="s">
        <v>709</v>
      </c>
      <c r="B6" s="27">
        <v>567.98466666666661</v>
      </c>
    </row>
    <row r="7" spans="1:2" x14ac:dyDescent="0.25">
      <c r="A7" s="26" t="s">
        <v>708</v>
      </c>
      <c r="B7" s="27">
        <v>566.29666666666662</v>
      </c>
    </row>
    <row r="8" spans="1:2" x14ac:dyDescent="0.25">
      <c r="A8" s="26" t="s">
        <v>707</v>
      </c>
      <c r="B8" s="27">
        <v>582.32933333333347</v>
      </c>
    </row>
    <row r="9" spans="1:2" x14ac:dyDescent="0.25">
      <c r="A9" s="26" t="s">
        <v>706</v>
      </c>
      <c r="B9" s="27">
        <v>596.8073333333333</v>
      </c>
    </row>
    <row r="10" spans="1:2" x14ac:dyDescent="0.25">
      <c r="A10" s="26" t="s">
        <v>705</v>
      </c>
      <c r="B10" s="27">
        <v>570.70699999999999</v>
      </c>
    </row>
    <row r="11" spans="1:2" x14ac:dyDescent="0.25">
      <c r="A11" s="26" t="s">
        <v>704</v>
      </c>
      <c r="B11" s="27">
        <v>577.46533333333332</v>
      </c>
    </row>
    <row r="12" spans="1:2" x14ac:dyDescent="0.25">
      <c r="A12" s="26" t="s">
        <v>703</v>
      </c>
      <c r="B12" s="27">
        <v>571.2596666666667</v>
      </c>
    </row>
    <row r="13" spans="1:2" x14ac:dyDescent="0.25">
      <c r="A13" s="26" t="s">
        <v>702</v>
      </c>
      <c r="B13" s="27">
        <v>584.12333333333333</v>
      </c>
    </row>
    <row r="14" spans="1:2" x14ac:dyDescent="0.25">
      <c r="A14" s="26" t="s">
        <v>701</v>
      </c>
      <c r="B14" s="27">
        <v>554.95499999999993</v>
      </c>
    </row>
    <row r="15" spans="1:2" x14ac:dyDescent="0.25">
      <c r="A15" s="26" t="s">
        <v>700</v>
      </c>
      <c r="B15" s="27">
        <v>559.30266666666671</v>
      </c>
    </row>
    <row r="16" spans="1:2" x14ac:dyDescent="0.25">
      <c r="A16" s="26" t="s">
        <v>699</v>
      </c>
      <c r="B16" s="27">
        <v>579.21533333333321</v>
      </c>
    </row>
    <row r="17" spans="1:2" x14ac:dyDescent="0.25">
      <c r="A17" s="26" t="s">
        <v>698</v>
      </c>
      <c r="B17" s="27">
        <v>575.17266666666671</v>
      </c>
    </row>
    <row r="18" spans="1:2" x14ac:dyDescent="0.25">
      <c r="A18" s="26" t="s">
        <v>697</v>
      </c>
      <c r="B18" s="27">
        <v>560.66066666666666</v>
      </c>
    </row>
    <row r="19" spans="1:2" x14ac:dyDescent="0.25">
      <c r="A19" s="26" t="s">
        <v>696</v>
      </c>
      <c r="B19" s="27">
        <v>573.65300000000002</v>
      </c>
    </row>
    <row r="20" spans="1:2" x14ac:dyDescent="0.25">
      <c r="A20" s="26" t="s">
        <v>695</v>
      </c>
      <c r="B20" s="27">
        <v>578.71233333333328</v>
      </c>
    </row>
    <row r="21" spans="1:2" x14ac:dyDescent="0.25">
      <c r="A21" s="26" t="s">
        <v>694</v>
      </c>
      <c r="B21" s="27">
        <v>572.01466666666659</v>
      </c>
    </row>
    <row r="22" spans="1:2" x14ac:dyDescent="0.25">
      <c r="A22" s="26" t="s">
        <v>693</v>
      </c>
      <c r="B22" s="27">
        <v>545.70266666666669</v>
      </c>
    </row>
    <row r="23" spans="1:2" x14ac:dyDescent="0.25">
      <c r="A23" s="26" t="s">
        <v>692</v>
      </c>
      <c r="B23" s="27">
        <v>564.13366666666661</v>
      </c>
    </row>
    <row r="24" spans="1:2" x14ac:dyDescent="0.25">
      <c r="A24" s="26" t="s">
        <v>691</v>
      </c>
      <c r="B24" s="27">
        <v>539.66199999999992</v>
      </c>
    </row>
    <row r="25" spans="1:2" x14ac:dyDescent="0.25">
      <c r="A25" s="26" t="s">
        <v>690</v>
      </c>
      <c r="B25" s="27">
        <v>585.20500000000004</v>
      </c>
    </row>
    <row r="26" spans="1:2" x14ac:dyDescent="0.25">
      <c r="A26" s="26" t="s">
        <v>689</v>
      </c>
      <c r="B26" s="27">
        <v>545.8420000000001</v>
      </c>
    </row>
    <row r="27" spans="1:2" x14ac:dyDescent="0.25">
      <c r="A27" s="26" t="s">
        <v>688</v>
      </c>
      <c r="B27" s="27">
        <v>554.26300000000003</v>
      </c>
    </row>
    <row r="28" spans="1:2" x14ac:dyDescent="0.25">
      <c r="A28" s="26" t="s">
        <v>687</v>
      </c>
      <c r="B28" s="27">
        <v>579.27499999999998</v>
      </c>
    </row>
    <row r="29" spans="1:2" x14ac:dyDescent="0.25">
      <c r="A29" s="26" t="s">
        <v>686</v>
      </c>
      <c r="B29" s="27">
        <v>586.83066666666662</v>
      </c>
    </row>
    <row r="30" spans="1:2" x14ac:dyDescent="0.25">
      <c r="A30" s="26" t="s">
        <v>685</v>
      </c>
      <c r="B30" s="27">
        <v>543.15133333333335</v>
      </c>
    </row>
    <row r="31" spans="1:2" x14ac:dyDescent="0.25">
      <c r="A31" s="26" t="s">
        <v>684</v>
      </c>
      <c r="B31" s="27">
        <v>574.09999999999991</v>
      </c>
    </row>
    <row r="32" spans="1:2" x14ac:dyDescent="0.25">
      <c r="A32" s="26" t="s">
        <v>683</v>
      </c>
      <c r="B32" s="27">
        <v>571.80700000000002</v>
      </c>
    </row>
    <row r="33" spans="1:2" x14ac:dyDescent="0.25">
      <c r="A33" s="26" t="s">
        <v>682</v>
      </c>
      <c r="B33" s="27">
        <v>597.67433333333338</v>
      </c>
    </row>
    <row r="34" spans="1:2" x14ac:dyDescent="0.25">
      <c r="A34" s="26" t="s">
        <v>681</v>
      </c>
      <c r="B34" s="27">
        <v>567.05200000000002</v>
      </c>
    </row>
    <row r="35" spans="1:2" x14ac:dyDescent="0.25">
      <c r="A35" s="26" t="s">
        <v>680</v>
      </c>
      <c r="B35" s="27">
        <v>580.21933333333334</v>
      </c>
    </row>
    <row r="36" spans="1:2" x14ac:dyDescent="0.25">
      <c r="A36" s="26" t="s">
        <v>679</v>
      </c>
      <c r="B36" s="27">
        <v>555.5333333333333</v>
      </c>
    </row>
    <row r="37" spans="1:2" x14ac:dyDescent="0.25">
      <c r="A37" s="26" t="s">
        <v>678</v>
      </c>
      <c r="B37" s="27">
        <v>556.47866666666653</v>
      </c>
    </row>
    <row r="38" spans="1:2" x14ac:dyDescent="0.25">
      <c r="A38" s="26" t="s">
        <v>677</v>
      </c>
      <c r="B38" s="27">
        <v>507.80366666666669</v>
      </c>
    </row>
    <row r="39" spans="1:2" x14ac:dyDescent="0.25">
      <c r="A39" s="26" t="s">
        <v>676</v>
      </c>
      <c r="B39" s="27">
        <v>482.82866666666661</v>
      </c>
    </row>
    <row r="40" spans="1:2" x14ac:dyDescent="0.25">
      <c r="A40" s="26" t="s">
        <v>675</v>
      </c>
      <c r="B40" s="27">
        <v>424.0623333333333</v>
      </c>
    </row>
    <row r="41" spans="1:2" x14ac:dyDescent="0.25">
      <c r="A41" s="26" t="s">
        <v>674</v>
      </c>
      <c r="B41" s="27">
        <v>428.94499999999999</v>
      </c>
    </row>
    <row r="42" spans="1:2" x14ac:dyDescent="0.25">
      <c r="A42" s="26" t="s">
        <v>673</v>
      </c>
      <c r="B42" s="27">
        <v>427.41533333333336</v>
      </c>
    </row>
    <row r="43" spans="1:2" x14ac:dyDescent="0.25">
      <c r="A43" s="26" t="s">
        <v>672</v>
      </c>
      <c r="B43" s="27">
        <v>428.84033333333338</v>
      </c>
    </row>
    <row r="44" spans="1:2" x14ac:dyDescent="0.25">
      <c r="A44" s="26" t="s">
        <v>671</v>
      </c>
      <c r="B44" s="27">
        <v>431.18599999999998</v>
      </c>
    </row>
    <row r="45" spans="1:2" x14ac:dyDescent="0.25">
      <c r="A45" s="26" t="s">
        <v>670</v>
      </c>
      <c r="B45" s="27">
        <v>457.74866666666668</v>
      </c>
    </row>
    <row r="46" spans="1:2" x14ac:dyDescent="0.25">
      <c r="A46" s="26" t="s">
        <v>669</v>
      </c>
      <c r="B46" s="27">
        <v>444.15199999999999</v>
      </c>
    </row>
    <row r="47" spans="1:2" x14ac:dyDescent="0.25">
      <c r="A47" s="26" t="s">
        <v>668</v>
      </c>
      <c r="B47" s="27">
        <v>429.83666666666664</v>
      </c>
    </row>
    <row r="48" spans="1:2" x14ac:dyDescent="0.25">
      <c r="A48" s="26" t="s">
        <v>667</v>
      </c>
      <c r="B48" s="27">
        <v>480.49633333333333</v>
      </c>
    </row>
    <row r="49" spans="1:2" x14ac:dyDescent="0.25">
      <c r="A49" s="26" t="s">
        <v>666</v>
      </c>
      <c r="B49" s="27">
        <v>499.88033333333334</v>
      </c>
    </row>
    <row r="50" spans="1:2" x14ac:dyDescent="0.25">
      <c r="A50" s="26" t="s">
        <v>665</v>
      </c>
      <c r="B50" s="27">
        <v>501.95700000000005</v>
      </c>
    </row>
    <row r="51" spans="1:2" x14ac:dyDescent="0.25">
      <c r="A51" s="26" t="s">
        <v>664</v>
      </c>
      <c r="B51" s="27">
        <v>440.59733333333332</v>
      </c>
    </row>
    <row r="52" spans="1:2" x14ac:dyDescent="0.25">
      <c r="A52" s="26" t="s">
        <v>663</v>
      </c>
      <c r="B52" s="27">
        <v>457.26033333333334</v>
      </c>
    </row>
    <row r="53" spans="1:2" x14ac:dyDescent="0.25">
      <c r="A53" s="26" t="s">
        <v>662</v>
      </c>
      <c r="B53" s="27">
        <v>435.75066666666663</v>
      </c>
    </row>
    <row r="54" spans="1:2" x14ac:dyDescent="0.25">
      <c r="A54" s="26" t="s">
        <v>661</v>
      </c>
      <c r="B54" s="27">
        <v>440.24299999999999</v>
      </c>
    </row>
    <row r="55" spans="1:2" x14ac:dyDescent="0.25">
      <c r="A55" s="26" t="s">
        <v>660</v>
      </c>
      <c r="B55" s="27">
        <v>398.76000000000005</v>
      </c>
    </row>
    <row r="56" spans="1:2" x14ac:dyDescent="0.25">
      <c r="A56" s="26" t="s">
        <v>659</v>
      </c>
      <c r="B56" s="27">
        <v>384.07066666666668</v>
      </c>
    </row>
    <row r="57" spans="1:2" x14ac:dyDescent="0.25">
      <c r="A57" s="26" t="s">
        <v>658</v>
      </c>
      <c r="B57" s="27">
        <v>416.125</v>
      </c>
    </row>
    <row r="58" spans="1:2" x14ac:dyDescent="0.25">
      <c r="A58" s="26" t="s">
        <v>657</v>
      </c>
      <c r="B58" s="27">
        <v>444.40533333333337</v>
      </c>
    </row>
    <row r="59" spans="1:2" x14ac:dyDescent="0.25">
      <c r="A59" s="26" t="s">
        <v>656</v>
      </c>
      <c r="B59" s="27">
        <v>399.45700000000005</v>
      </c>
    </row>
    <row r="60" spans="1:2" x14ac:dyDescent="0.25">
      <c r="A60" s="26" t="s">
        <v>655</v>
      </c>
      <c r="B60" s="27">
        <v>391.12133333333333</v>
      </c>
    </row>
    <row r="61" spans="1:2" x14ac:dyDescent="0.25">
      <c r="A61" s="26" t="s">
        <v>654</v>
      </c>
      <c r="B61" s="27">
        <v>419.57600000000002</v>
      </c>
    </row>
    <row r="62" spans="1:2" x14ac:dyDescent="0.25">
      <c r="A62" s="26" t="s">
        <v>653</v>
      </c>
      <c r="B62" s="27">
        <v>439.36766666666671</v>
      </c>
    </row>
    <row r="63" spans="1:2" x14ac:dyDescent="0.25">
      <c r="A63" s="26" t="s">
        <v>652</v>
      </c>
      <c r="B63" s="27">
        <v>393.012</v>
      </c>
    </row>
    <row r="64" spans="1:2" x14ac:dyDescent="0.25">
      <c r="A64" s="26" t="s">
        <v>651</v>
      </c>
      <c r="B64" s="27">
        <v>387.61033333333336</v>
      </c>
    </row>
    <row r="65" spans="1:2" x14ac:dyDescent="0.25">
      <c r="A65" s="26" t="s">
        <v>650</v>
      </c>
      <c r="B65" s="27">
        <v>438.45333333333338</v>
      </c>
    </row>
    <row r="66" spans="1:2" x14ac:dyDescent="0.25">
      <c r="A66" s="26" t="s">
        <v>649</v>
      </c>
      <c r="B66" s="27">
        <v>435.22666666666669</v>
      </c>
    </row>
    <row r="67" spans="1:2" x14ac:dyDescent="0.25">
      <c r="A67" s="26" t="s">
        <v>648</v>
      </c>
      <c r="B67" s="27">
        <v>360.88333333333338</v>
      </c>
    </row>
    <row r="68" spans="1:2" x14ac:dyDescent="0.25">
      <c r="A68" s="26" t="s">
        <v>647</v>
      </c>
      <c r="B68" s="27">
        <v>385.22299999999996</v>
      </c>
    </row>
    <row r="69" spans="1:2" x14ac:dyDescent="0.25">
      <c r="A69" s="26" t="s">
        <v>646</v>
      </c>
      <c r="B69" s="27">
        <v>407.13266666666669</v>
      </c>
    </row>
    <row r="70" spans="1:2" x14ac:dyDescent="0.25">
      <c r="A70" s="26" t="s">
        <v>645</v>
      </c>
      <c r="B70" s="27">
        <v>423.99933333333337</v>
      </c>
    </row>
    <row r="71" spans="1:2" x14ac:dyDescent="0.25">
      <c r="A71" s="26" t="s">
        <v>644</v>
      </c>
      <c r="B71" s="27">
        <v>389.48600000000005</v>
      </c>
    </row>
    <row r="72" spans="1:2" x14ac:dyDescent="0.25">
      <c r="A72" s="26" t="s">
        <v>643</v>
      </c>
      <c r="B72" s="27">
        <v>392.07133333333331</v>
      </c>
    </row>
    <row r="73" spans="1:2" x14ac:dyDescent="0.25">
      <c r="A73" s="26" t="s">
        <v>642</v>
      </c>
      <c r="B73" s="27">
        <v>409.38900000000007</v>
      </c>
    </row>
    <row r="74" spans="1:2" x14ac:dyDescent="0.25">
      <c r="A74" s="26" t="s">
        <v>641</v>
      </c>
      <c r="B74" s="27">
        <v>429.17200000000003</v>
      </c>
    </row>
    <row r="75" spans="1:2" x14ac:dyDescent="0.25">
      <c r="A75" s="26" t="s">
        <v>640</v>
      </c>
      <c r="B75" s="27">
        <v>416.13266666666664</v>
      </c>
    </row>
    <row r="76" spans="1:2" x14ac:dyDescent="0.25">
      <c r="A76" s="26" t="s">
        <v>639</v>
      </c>
      <c r="B76" s="27">
        <v>398.84333333333331</v>
      </c>
    </row>
    <row r="77" spans="1:2" x14ac:dyDescent="0.25">
      <c r="A77" s="26" t="s">
        <v>638</v>
      </c>
      <c r="B77" s="27">
        <v>403.69100000000003</v>
      </c>
    </row>
    <row r="78" spans="1:2" x14ac:dyDescent="0.25">
      <c r="A78" s="26" t="s">
        <v>637</v>
      </c>
      <c r="B78" s="27">
        <v>415.46333333333331</v>
      </c>
    </row>
    <row r="79" spans="1:2" x14ac:dyDescent="0.25">
      <c r="A79" s="26" t="s">
        <v>636</v>
      </c>
      <c r="B79" s="27">
        <v>387.99633333333333</v>
      </c>
    </row>
    <row r="80" spans="1:2" x14ac:dyDescent="0.25">
      <c r="A80" s="26" t="s">
        <v>635</v>
      </c>
      <c r="B80" s="27">
        <v>386.97933333333339</v>
      </c>
    </row>
    <row r="81" spans="1:2" x14ac:dyDescent="0.25">
      <c r="A81" s="26" t="s">
        <v>634</v>
      </c>
      <c r="B81" s="27">
        <v>408.82233333333329</v>
      </c>
    </row>
    <row r="82" spans="1:2" x14ac:dyDescent="0.25">
      <c r="A82" s="26" t="s">
        <v>633</v>
      </c>
      <c r="B82" s="27">
        <v>436.43566666666669</v>
      </c>
    </row>
    <row r="83" spans="1:2" x14ac:dyDescent="0.25">
      <c r="A83" s="26" t="s">
        <v>632</v>
      </c>
      <c r="B83" s="27">
        <v>406.67466666666661</v>
      </c>
    </row>
    <row r="84" spans="1:2" x14ac:dyDescent="0.25">
      <c r="A84" s="26" t="s">
        <v>631</v>
      </c>
      <c r="B84" s="27">
        <v>373.02366666666666</v>
      </c>
    </row>
    <row r="85" spans="1:2" x14ac:dyDescent="0.25">
      <c r="A85" s="26" t="s">
        <v>630</v>
      </c>
      <c r="B85" s="27">
        <v>341.13266666666664</v>
      </c>
    </row>
    <row r="86" spans="1:2" x14ac:dyDescent="0.25">
      <c r="A86" s="26" t="s">
        <v>629</v>
      </c>
      <c r="B86" s="27">
        <v>426.99166666666662</v>
      </c>
    </row>
    <row r="87" spans="1:2" x14ac:dyDescent="0.25">
      <c r="A87" s="26" t="s">
        <v>628</v>
      </c>
      <c r="B87" s="27">
        <v>388.94833333333332</v>
      </c>
    </row>
    <row r="88" spans="1:2" x14ac:dyDescent="0.25">
      <c r="A88" s="26" t="s">
        <v>627</v>
      </c>
      <c r="B88" s="27">
        <v>389.58699999999999</v>
      </c>
    </row>
    <row r="89" spans="1:2" x14ac:dyDescent="0.25">
      <c r="A89" s="26" t="s">
        <v>626</v>
      </c>
      <c r="B89" s="27">
        <v>399.90766666666667</v>
      </c>
    </row>
    <row r="90" spans="1:2" x14ac:dyDescent="0.25">
      <c r="A90" s="26" t="s">
        <v>625</v>
      </c>
      <c r="B90" s="27">
        <v>411.45133333333325</v>
      </c>
    </row>
    <row r="91" spans="1:2" x14ac:dyDescent="0.25">
      <c r="A91" s="26" t="s">
        <v>624</v>
      </c>
      <c r="B91" s="27">
        <v>399.05366666666669</v>
      </c>
    </row>
    <row r="92" spans="1:2" x14ac:dyDescent="0.25">
      <c r="A92" s="26" t="s">
        <v>623</v>
      </c>
      <c r="B92" s="27">
        <v>387.22766666666666</v>
      </c>
    </row>
    <row r="93" spans="1:2" x14ac:dyDescent="0.25">
      <c r="A93" s="26" t="s">
        <v>622</v>
      </c>
      <c r="B93" s="27">
        <v>413.66399999999999</v>
      </c>
    </row>
    <row r="94" spans="1:2" x14ac:dyDescent="0.25">
      <c r="A94" s="26" t="s">
        <v>621</v>
      </c>
      <c r="B94" s="27">
        <v>426.46399999999994</v>
      </c>
    </row>
    <row r="95" spans="1:2" x14ac:dyDescent="0.25">
      <c r="A95" s="26" t="s">
        <v>620</v>
      </c>
      <c r="B95" s="27">
        <v>399.80099999999999</v>
      </c>
    </row>
    <row r="96" spans="1:2" x14ac:dyDescent="0.25">
      <c r="A96" s="26" t="s">
        <v>619</v>
      </c>
      <c r="B96" s="27">
        <v>400.12266666666665</v>
      </c>
    </row>
    <row r="97" spans="1:2" x14ac:dyDescent="0.25">
      <c r="A97" s="26" t="s">
        <v>618</v>
      </c>
      <c r="B97" s="27">
        <v>404.5173333333334</v>
      </c>
    </row>
    <row r="98" spans="1:2" x14ac:dyDescent="0.25">
      <c r="A98" s="26" t="s">
        <v>617</v>
      </c>
      <c r="B98" s="27">
        <v>406.04966666666661</v>
      </c>
    </row>
    <row r="99" spans="1:2" x14ac:dyDescent="0.25">
      <c r="A99" s="26" t="s">
        <v>616</v>
      </c>
      <c r="B99" s="27">
        <v>392.3126666666667</v>
      </c>
    </row>
    <row r="100" spans="1:2" x14ac:dyDescent="0.25">
      <c r="A100" s="26" t="s">
        <v>615</v>
      </c>
      <c r="B100" s="27">
        <v>389.65600000000001</v>
      </c>
    </row>
    <row r="101" spans="1:2" x14ac:dyDescent="0.25">
      <c r="A101" s="26" t="s">
        <v>614</v>
      </c>
      <c r="B101" s="27">
        <v>393.86400000000003</v>
      </c>
    </row>
    <row r="102" spans="1:2" x14ac:dyDescent="0.25">
      <c r="A102" s="26" t="s">
        <v>613</v>
      </c>
      <c r="B102" s="27">
        <v>404.56099999999998</v>
      </c>
    </row>
    <row r="103" spans="1:2" x14ac:dyDescent="0.25">
      <c r="A103" s="26" t="s">
        <v>612</v>
      </c>
      <c r="B103" s="27">
        <v>421.80900000000003</v>
      </c>
    </row>
    <row r="104" spans="1:2" x14ac:dyDescent="0.25">
      <c r="A104" s="26" t="s">
        <v>715</v>
      </c>
      <c r="B104" s="27">
        <v>469.25298993288612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AB13-8A3E-4068-9A8B-C84E7262B583}">
  <dimension ref="A1:B299"/>
  <sheetViews>
    <sheetView workbookViewId="0">
      <selection activeCell="C13" sqref="C13"/>
    </sheetView>
  </sheetViews>
  <sheetFormatPr baseColWidth="10" defaultRowHeight="15" x14ac:dyDescent="0.25"/>
  <sheetData>
    <row r="1" spans="1:2" x14ac:dyDescent="0.25">
      <c r="A1" t="s">
        <v>712</v>
      </c>
      <c r="B1" t="s">
        <v>713</v>
      </c>
    </row>
    <row r="2" spans="1:2" x14ac:dyDescent="0.25">
      <c r="A2" t="s">
        <v>612</v>
      </c>
      <c r="B2">
        <v>421.80900000000003</v>
      </c>
    </row>
    <row r="3" spans="1:2" x14ac:dyDescent="0.25">
      <c r="A3" t="s">
        <v>613</v>
      </c>
      <c r="B3">
        <v>413.51600000000002</v>
      </c>
    </row>
    <row r="4" spans="1:2" x14ac:dyDescent="0.25">
      <c r="A4" t="s">
        <v>613</v>
      </c>
      <c r="B4">
        <v>373.82499999999999</v>
      </c>
    </row>
    <row r="5" spans="1:2" x14ac:dyDescent="0.25">
      <c r="A5" t="s">
        <v>613</v>
      </c>
      <c r="B5">
        <v>426.34200000000004</v>
      </c>
    </row>
    <row r="6" spans="1:2" x14ac:dyDescent="0.25">
      <c r="A6" t="s">
        <v>614</v>
      </c>
      <c r="B6">
        <v>392.41800000000001</v>
      </c>
    </row>
    <row r="7" spans="1:2" x14ac:dyDescent="0.25">
      <c r="A7" t="s">
        <v>614</v>
      </c>
      <c r="B7">
        <v>400.96500000000003</v>
      </c>
    </row>
    <row r="8" spans="1:2" x14ac:dyDescent="0.25">
      <c r="A8" t="s">
        <v>614</v>
      </c>
      <c r="B8">
        <v>388.209</v>
      </c>
    </row>
    <row r="9" spans="1:2" x14ac:dyDescent="0.25">
      <c r="A9" t="s">
        <v>615</v>
      </c>
      <c r="B9">
        <v>379.73800000000006</v>
      </c>
    </row>
    <row r="10" spans="1:2" x14ac:dyDescent="0.25">
      <c r="A10" t="s">
        <v>615</v>
      </c>
      <c r="B10">
        <v>385.77600000000001</v>
      </c>
    </row>
    <row r="11" spans="1:2" x14ac:dyDescent="0.25">
      <c r="A11" t="s">
        <v>615</v>
      </c>
      <c r="B11">
        <v>403.45400000000001</v>
      </c>
    </row>
    <row r="12" spans="1:2" x14ac:dyDescent="0.25">
      <c r="A12" t="s">
        <v>616</v>
      </c>
      <c r="B12">
        <v>372.69499999999999</v>
      </c>
    </row>
    <row r="13" spans="1:2" x14ac:dyDescent="0.25">
      <c r="A13" t="s">
        <v>616</v>
      </c>
      <c r="B13">
        <v>403.42899999999997</v>
      </c>
    </row>
    <row r="14" spans="1:2" x14ac:dyDescent="0.25">
      <c r="A14" t="s">
        <v>616</v>
      </c>
      <c r="B14">
        <v>400.81400000000002</v>
      </c>
    </row>
    <row r="15" spans="1:2" x14ac:dyDescent="0.25">
      <c r="A15" t="s">
        <v>617</v>
      </c>
      <c r="B15">
        <v>406.65</v>
      </c>
    </row>
    <row r="16" spans="1:2" x14ac:dyDescent="0.25">
      <c r="A16" t="s">
        <v>617</v>
      </c>
      <c r="B16">
        <v>386.80099999999999</v>
      </c>
    </row>
    <row r="17" spans="1:2" x14ac:dyDescent="0.25">
      <c r="A17" t="s">
        <v>617</v>
      </c>
      <c r="B17">
        <v>424.69799999999998</v>
      </c>
    </row>
    <row r="18" spans="1:2" x14ac:dyDescent="0.25">
      <c r="A18" t="s">
        <v>618</v>
      </c>
      <c r="B18">
        <v>416.66399999999999</v>
      </c>
    </row>
    <row r="19" spans="1:2" x14ac:dyDescent="0.25">
      <c r="A19" t="s">
        <v>618</v>
      </c>
      <c r="B19">
        <v>414.69100000000003</v>
      </c>
    </row>
    <row r="20" spans="1:2" x14ac:dyDescent="0.25">
      <c r="A20" t="s">
        <v>618</v>
      </c>
      <c r="B20">
        <v>382.197</v>
      </c>
    </row>
    <row r="21" spans="1:2" x14ac:dyDescent="0.25">
      <c r="A21" t="s">
        <v>619</v>
      </c>
      <c r="B21">
        <v>431.76499999999999</v>
      </c>
    </row>
    <row r="22" spans="1:2" x14ac:dyDescent="0.25">
      <c r="A22" t="s">
        <v>619</v>
      </c>
      <c r="B22">
        <v>385.40300000000002</v>
      </c>
    </row>
    <row r="23" spans="1:2" x14ac:dyDescent="0.25">
      <c r="A23" t="s">
        <v>619</v>
      </c>
      <c r="B23">
        <v>383.2</v>
      </c>
    </row>
    <row r="24" spans="1:2" x14ac:dyDescent="0.25">
      <c r="A24" t="s">
        <v>620</v>
      </c>
      <c r="B24">
        <v>373.62</v>
      </c>
    </row>
    <row r="25" spans="1:2" x14ac:dyDescent="0.25">
      <c r="A25" t="s">
        <v>620</v>
      </c>
      <c r="B25">
        <v>414.06099999999998</v>
      </c>
    </row>
    <row r="26" spans="1:2" x14ac:dyDescent="0.25">
      <c r="A26" t="s">
        <v>620</v>
      </c>
      <c r="B26">
        <v>411.72199999999998</v>
      </c>
    </row>
    <row r="27" spans="1:2" x14ac:dyDescent="0.25">
      <c r="A27" t="s">
        <v>621</v>
      </c>
      <c r="B27">
        <v>435.80099999999999</v>
      </c>
    </row>
    <row r="28" spans="1:2" x14ac:dyDescent="0.25">
      <c r="A28" t="s">
        <v>621</v>
      </c>
      <c r="B28">
        <v>402.96299999999997</v>
      </c>
    </row>
    <row r="29" spans="1:2" x14ac:dyDescent="0.25">
      <c r="A29" t="s">
        <v>621</v>
      </c>
      <c r="B29">
        <v>440.62799999999999</v>
      </c>
    </row>
    <row r="30" spans="1:2" x14ac:dyDescent="0.25">
      <c r="A30" t="s">
        <v>622</v>
      </c>
      <c r="B30">
        <v>439.84699999999998</v>
      </c>
    </row>
    <row r="31" spans="1:2" x14ac:dyDescent="0.25">
      <c r="A31" t="s">
        <v>622</v>
      </c>
      <c r="B31">
        <v>415.11199999999997</v>
      </c>
    </row>
    <row r="32" spans="1:2" x14ac:dyDescent="0.25">
      <c r="A32" t="s">
        <v>622</v>
      </c>
      <c r="B32">
        <v>386.03300000000002</v>
      </c>
    </row>
    <row r="33" spans="1:2" x14ac:dyDescent="0.25">
      <c r="A33" t="s">
        <v>623</v>
      </c>
      <c r="B33">
        <v>403.51300000000003</v>
      </c>
    </row>
    <row r="34" spans="1:2" x14ac:dyDescent="0.25">
      <c r="A34" t="s">
        <v>623</v>
      </c>
      <c r="B34">
        <v>375.59800000000001</v>
      </c>
    </row>
    <row r="35" spans="1:2" x14ac:dyDescent="0.25">
      <c r="A35" t="s">
        <v>623</v>
      </c>
      <c r="B35">
        <v>382.572</v>
      </c>
    </row>
    <row r="36" spans="1:2" x14ac:dyDescent="0.25">
      <c r="A36" t="s">
        <v>624</v>
      </c>
      <c r="B36">
        <v>386.70299999999997</v>
      </c>
    </row>
    <row r="37" spans="1:2" x14ac:dyDescent="0.25">
      <c r="A37" t="s">
        <v>624</v>
      </c>
      <c r="B37">
        <v>412.84699999999998</v>
      </c>
    </row>
    <row r="38" spans="1:2" x14ac:dyDescent="0.25">
      <c r="A38" t="s">
        <v>624</v>
      </c>
      <c r="B38">
        <v>397.61099999999999</v>
      </c>
    </row>
    <row r="39" spans="1:2" x14ac:dyDescent="0.25">
      <c r="A39" t="s">
        <v>625</v>
      </c>
      <c r="B39">
        <v>420.03499999999997</v>
      </c>
    </row>
    <row r="40" spans="1:2" x14ac:dyDescent="0.25">
      <c r="A40" t="s">
        <v>625</v>
      </c>
      <c r="B40">
        <v>381.67</v>
      </c>
    </row>
    <row r="41" spans="1:2" x14ac:dyDescent="0.25">
      <c r="A41" t="s">
        <v>625</v>
      </c>
      <c r="B41">
        <v>432.649</v>
      </c>
    </row>
    <row r="42" spans="1:2" x14ac:dyDescent="0.25">
      <c r="A42" t="s">
        <v>626</v>
      </c>
      <c r="B42">
        <v>407.39</v>
      </c>
    </row>
    <row r="43" spans="1:2" x14ac:dyDescent="0.25">
      <c r="A43" t="s">
        <v>626</v>
      </c>
      <c r="B43">
        <v>399.55400000000003</v>
      </c>
    </row>
    <row r="44" spans="1:2" x14ac:dyDescent="0.25">
      <c r="A44" t="s">
        <v>626</v>
      </c>
      <c r="B44">
        <v>392.779</v>
      </c>
    </row>
    <row r="45" spans="1:2" x14ac:dyDescent="0.25">
      <c r="A45" t="s">
        <v>627</v>
      </c>
      <c r="B45">
        <v>419.75</v>
      </c>
    </row>
    <row r="46" spans="1:2" x14ac:dyDescent="0.25">
      <c r="A46" t="s">
        <v>627</v>
      </c>
      <c r="B46">
        <v>368.99099999999999</v>
      </c>
    </row>
    <row r="47" spans="1:2" x14ac:dyDescent="0.25">
      <c r="A47" t="s">
        <v>627</v>
      </c>
      <c r="B47">
        <v>380.02</v>
      </c>
    </row>
    <row r="48" spans="1:2" x14ac:dyDescent="0.25">
      <c r="A48" t="s">
        <v>628</v>
      </c>
      <c r="B48">
        <v>377.48899999999998</v>
      </c>
    </row>
    <row r="49" spans="1:2" x14ac:dyDescent="0.25">
      <c r="A49" t="s">
        <v>628</v>
      </c>
      <c r="B49">
        <v>394.66200000000003</v>
      </c>
    </row>
    <row r="50" spans="1:2" x14ac:dyDescent="0.25">
      <c r="A50" t="s">
        <v>628</v>
      </c>
      <c r="B50">
        <v>394.69400000000002</v>
      </c>
    </row>
    <row r="51" spans="1:2" x14ac:dyDescent="0.25">
      <c r="A51" t="s">
        <v>629</v>
      </c>
      <c r="B51">
        <v>419.38900000000001</v>
      </c>
    </row>
    <row r="52" spans="1:2" x14ac:dyDescent="0.25">
      <c r="A52" t="s">
        <v>629</v>
      </c>
      <c r="B52">
        <v>397.553</v>
      </c>
    </row>
    <row r="53" spans="1:2" x14ac:dyDescent="0.25">
      <c r="A53" t="s">
        <v>629</v>
      </c>
      <c r="B53">
        <v>464.03300000000002</v>
      </c>
    </row>
    <row r="54" spans="1:2" x14ac:dyDescent="0.25">
      <c r="A54" t="s">
        <v>630</v>
      </c>
      <c r="B54">
        <v>397.096</v>
      </c>
    </row>
    <row r="55" spans="1:2" x14ac:dyDescent="0.25">
      <c r="A55" t="s">
        <v>630</v>
      </c>
      <c r="B55">
        <v>342.77099999999996</v>
      </c>
    </row>
    <row r="56" spans="1:2" x14ac:dyDescent="0.25">
      <c r="A56" t="s">
        <v>630</v>
      </c>
      <c r="B56">
        <v>283.53100000000001</v>
      </c>
    </row>
    <row r="57" spans="1:2" x14ac:dyDescent="0.25">
      <c r="A57" t="s">
        <v>631</v>
      </c>
      <c r="B57">
        <v>364.577</v>
      </c>
    </row>
    <row r="58" spans="1:2" x14ac:dyDescent="0.25">
      <c r="A58" t="s">
        <v>631</v>
      </c>
      <c r="B58">
        <v>376.00299999999999</v>
      </c>
    </row>
    <row r="59" spans="1:2" x14ac:dyDescent="0.25">
      <c r="A59" t="s">
        <v>631</v>
      </c>
      <c r="B59">
        <v>378.49099999999999</v>
      </c>
    </row>
    <row r="60" spans="1:2" x14ac:dyDescent="0.25">
      <c r="A60" t="s">
        <v>632</v>
      </c>
      <c r="B60">
        <v>376.53300000000002</v>
      </c>
    </row>
    <row r="61" spans="1:2" x14ac:dyDescent="0.25">
      <c r="A61" t="s">
        <v>632</v>
      </c>
      <c r="B61">
        <v>417.803</v>
      </c>
    </row>
    <row r="62" spans="1:2" x14ac:dyDescent="0.25">
      <c r="A62" t="s">
        <v>632</v>
      </c>
      <c r="B62">
        <v>425.68799999999999</v>
      </c>
    </row>
    <row r="63" spans="1:2" x14ac:dyDescent="0.25">
      <c r="A63" t="s">
        <v>633</v>
      </c>
      <c r="B63">
        <v>427.06299999999999</v>
      </c>
    </row>
    <row r="64" spans="1:2" x14ac:dyDescent="0.25">
      <c r="A64" t="s">
        <v>633</v>
      </c>
      <c r="B64">
        <v>410.94700000000006</v>
      </c>
    </row>
    <row r="65" spans="1:2" x14ac:dyDescent="0.25">
      <c r="A65" t="s">
        <v>633</v>
      </c>
      <c r="B65">
        <v>471.29699999999997</v>
      </c>
    </row>
    <row r="66" spans="1:2" x14ac:dyDescent="0.25">
      <c r="A66" t="s">
        <v>634</v>
      </c>
      <c r="B66">
        <v>420.67199999999997</v>
      </c>
    </row>
    <row r="67" spans="1:2" x14ac:dyDescent="0.25">
      <c r="A67" t="s">
        <v>634</v>
      </c>
      <c r="B67">
        <v>419.774</v>
      </c>
    </row>
    <row r="68" spans="1:2" x14ac:dyDescent="0.25">
      <c r="A68" t="s">
        <v>634</v>
      </c>
      <c r="B68">
        <v>386.02099999999996</v>
      </c>
    </row>
    <row r="69" spans="1:2" x14ac:dyDescent="0.25">
      <c r="A69" t="s">
        <v>635</v>
      </c>
      <c r="B69">
        <v>390.79200000000003</v>
      </c>
    </row>
    <row r="70" spans="1:2" x14ac:dyDescent="0.25">
      <c r="A70" t="s">
        <v>635</v>
      </c>
      <c r="B70">
        <v>369.928</v>
      </c>
    </row>
    <row r="71" spans="1:2" x14ac:dyDescent="0.25">
      <c r="A71" t="s">
        <v>635</v>
      </c>
      <c r="B71">
        <v>400.21800000000002</v>
      </c>
    </row>
    <row r="72" spans="1:2" x14ac:dyDescent="0.25">
      <c r="A72" t="s">
        <v>636</v>
      </c>
      <c r="B72">
        <v>353.21200000000005</v>
      </c>
    </row>
    <row r="73" spans="1:2" x14ac:dyDescent="0.25">
      <c r="A73" t="s">
        <v>636</v>
      </c>
      <c r="B73">
        <v>394.87099999999998</v>
      </c>
    </row>
    <row r="74" spans="1:2" x14ac:dyDescent="0.25">
      <c r="A74" t="s">
        <v>636</v>
      </c>
      <c r="B74">
        <v>415.90600000000001</v>
      </c>
    </row>
    <row r="75" spans="1:2" x14ac:dyDescent="0.25">
      <c r="A75" t="s">
        <v>637</v>
      </c>
      <c r="B75">
        <v>404.56799999999998</v>
      </c>
    </row>
    <row r="76" spans="1:2" x14ac:dyDescent="0.25">
      <c r="A76" t="s">
        <v>637</v>
      </c>
      <c r="B76">
        <v>402.94399999999996</v>
      </c>
    </row>
    <row r="77" spans="1:2" x14ac:dyDescent="0.25">
      <c r="A77" t="s">
        <v>637</v>
      </c>
      <c r="B77">
        <v>438.87799999999999</v>
      </c>
    </row>
    <row r="78" spans="1:2" x14ac:dyDescent="0.25">
      <c r="A78" t="s">
        <v>638</v>
      </c>
      <c r="B78">
        <v>418.73900000000003</v>
      </c>
    </row>
    <row r="79" spans="1:2" x14ac:dyDescent="0.25">
      <c r="A79" t="s">
        <v>638</v>
      </c>
      <c r="B79">
        <v>409.94600000000003</v>
      </c>
    </row>
    <row r="80" spans="1:2" x14ac:dyDescent="0.25">
      <c r="A80" t="s">
        <v>638</v>
      </c>
      <c r="B80">
        <v>382.38800000000003</v>
      </c>
    </row>
    <row r="81" spans="1:2" x14ac:dyDescent="0.25">
      <c r="A81" t="s">
        <v>639</v>
      </c>
      <c r="B81">
        <v>408.786</v>
      </c>
    </row>
    <row r="82" spans="1:2" x14ac:dyDescent="0.25">
      <c r="A82" t="s">
        <v>639</v>
      </c>
      <c r="B82">
        <v>387.90800000000002</v>
      </c>
    </row>
    <row r="83" spans="1:2" x14ac:dyDescent="0.25">
      <c r="A83" t="s">
        <v>639</v>
      </c>
      <c r="B83">
        <v>399.83600000000001</v>
      </c>
    </row>
    <row r="84" spans="1:2" x14ac:dyDescent="0.25">
      <c r="A84" t="s">
        <v>640</v>
      </c>
      <c r="B84">
        <v>383.9</v>
      </c>
    </row>
    <row r="85" spans="1:2" x14ac:dyDescent="0.25">
      <c r="A85" t="s">
        <v>640</v>
      </c>
      <c r="B85">
        <v>439.73099999999999</v>
      </c>
    </row>
    <row r="86" spans="1:2" x14ac:dyDescent="0.25">
      <c r="A86" t="s">
        <v>640</v>
      </c>
      <c r="B86">
        <v>424.76699999999994</v>
      </c>
    </row>
    <row r="87" spans="1:2" x14ac:dyDescent="0.25">
      <c r="A87" t="s">
        <v>641</v>
      </c>
      <c r="B87">
        <v>429.60499999999996</v>
      </c>
    </row>
    <row r="88" spans="1:2" x14ac:dyDescent="0.25">
      <c r="A88" t="s">
        <v>641</v>
      </c>
      <c r="B88">
        <v>409.08200000000005</v>
      </c>
    </row>
    <row r="89" spans="1:2" x14ac:dyDescent="0.25">
      <c r="A89" t="s">
        <v>641</v>
      </c>
      <c r="B89">
        <v>448.82899999999995</v>
      </c>
    </row>
    <row r="90" spans="1:2" x14ac:dyDescent="0.25">
      <c r="A90" t="s">
        <v>642</v>
      </c>
      <c r="B90">
        <v>433.92500000000001</v>
      </c>
    </row>
    <row r="91" spans="1:2" x14ac:dyDescent="0.25">
      <c r="A91" t="s">
        <v>642</v>
      </c>
      <c r="B91">
        <v>426.26400000000001</v>
      </c>
    </row>
    <row r="92" spans="1:2" x14ac:dyDescent="0.25">
      <c r="A92" t="s">
        <v>642</v>
      </c>
      <c r="B92">
        <v>367.97800000000007</v>
      </c>
    </row>
    <row r="93" spans="1:2" x14ac:dyDescent="0.25">
      <c r="A93" t="s">
        <v>643</v>
      </c>
      <c r="B93">
        <v>417.29199999999997</v>
      </c>
    </row>
    <row r="94" spans="1:2" x14ac:dyDescent="0.25">
      <c r="A94" t="s">
        <v>643</v>
      </c>
      <c r="B94">
        <v>366.41100000000006</v>
      </c>
    </row>
    <row r="95" spans="1:2" x14ac:dyDescent="0.25">
      <c r="A95" t="s">
        <v>643</v>
      </c>
      <c r="B95">
        <v>392.51100000000002</v>
      </c>
    </row>
    <row r="96" spans="1:2" x14ac:dyDescent="0.25">
      <c r="A96" t="s">
        <v>644</v>
      </c>
      <c r="B96">
        <v>361.85200000000003</v>
      </c>
    </row>
    <row r="97" spans="1:2" x14ac:dyDescent="0.25">
      <c r="A97" t="s">
        <v>644</v>
      </c>
      <c r="B97">
        <v>406.46600000000001</v>
      </c>
    </row>
    <row r="98" spans="1:2" x14ac:dyDescent="0.25">
      <c r="A98" t="s">
        <v>644</v>
      </c>
      <c r="B98">
        <v>400.14</v>
      </c>
    </row>
    <row r="99" spans="1:2" x14ac:dyDescent="0.25">
      <c r="A99" t="s">
        <v>645</v>
      </c>
      <c r="B99">
        <v>428.77800000000002</v>
      </c>
    </row>
    <row r="100" spans="1:2" x14ac:dyDescent="0.25">
      <c r="A100" t="s">
        <v>645</v>
      </c>
      <c r="B100">
        <v>405.83</v>
      </c>
    </row>
    <row r="101" spans="1:2" x14ac:dyDescent="0.25">
      <c r="A101" t="s">
        <v>645</v>
      </c>
      <c r="B101">
        <v>437.39</v>
      </c>
    </row>
    <row r="102" spans="1:2" x14ac:dyDescent="0.25">
      <c r="A102" t="s">
        <v>646</v>
      </c>
      <c r="B102">
        <v>417.77799999999996</v>
      </c>
    </row>
    <row r="103" spans="1:2" x14ac:dyDescent="0.25">
      <c r="A103" t="s">
        <v>646</v>
      </c>
      <c r="B103">
        <v>402.95900000000006</v>
      </c>
    </row>
    <row r="104" spans="1:2" x14ac:dyDescent="0.25">
      <c r="A104" t="s">
        <v>646</v>
      </c>
      <c r="B104">
        <v>400.661</v>
      </c>
    </row>
    <row r="105" spans="1:2" x14ac:dyDescent="0.25">
      <c r="A105" t="s">
        <v>647</v>
      </c>
      <c r="B105">
        <v>398.91800000000001</v>
      </c>
    </row>
    <row r="106" spans="1:2" x14ac:dyDescent="0.25">
      <c r="A106" t="s">
        <v>647</v>
      </c>
      <c r="B106">
        <v>384.91</v>
      </c>
    </row>
    <row r="107" spans="1:2" x14ac:dyDescent="0.25">
      <c r="A107" t="s">
        <v>647</v>
      </c>
      <c r="B107">
        <v>371.84100000000001</v>
      </c>
    </row>
    <row r="108" spans="1:2" x14ac:dyDescent="0.25">
      <c r="A108" t="s">
        <v>648</v>
      </c>
      <c r="B108">
        <v>338.86900000000003</v>
      </c>
    </row>
    <row r="109" spans="1:2" x14ac:dyDescent="0.25">
      <c r="A109" t="s">
        <v>648</v>
      </c>
      <c r="B109">
        <v>365.08400000000006</v>
      </c>
    </row>
    <row r="110" spans="1:2" x14ac:dyDescent="0.25">
      <c r="A110" t="s">
        <v>648</v>
      </c>
      <c r="B110">
        <v>378.697</v>
      </c>
    </row>
    <row r="111" spans="1:2" x14ac:dyDescent="0.25">
      <c r="A111" t="s">
        <v>649</v>
      </c>
      <c r="B111">
        <v>411.33300000000003</v>
      </c>
    </row>
    <row r="112" spans="1:2" x14ac:dyDescent="0.25">
      <c r="A112" t="s">
        <v>649</v>
      </c>
      <c r="B112">
        <v>393.69000000000005</v>
      </c>
    </row>
    <row r="113" spans="1:2" x14ac:dyDescent="0.25">
      <c r="A113" t="s">
        <v>649</v>
      </c>
      <c r="B113">
        <v>500.65699999999993</v>
      </c>
    </row>
    <row r="114" spans="1:2" x14ac:dyDescent="0.25">
      <c r="A114" t="s">
        <v>650</v>
      </c>
      <c r="B114">
        <v>462.13300000000004</v>
      </c>
    </row>
    <row r="115" spans="1:2" x14ac:dyDescent="0.25">
      <c r="A115" t="s">
        <v>650</v>
      </c>
      <c r="B115">
        <v>443.47800000000001</v>
      </c>
    </row>
    <row r="116" spans="1:2" x14ac:dyDescent="0.25">
      <c r="A116" t="s">
        <v>650</v>
      </c>
      <c r="B116">
        <v>409.74900000000002</v>
      </c>
    </row>
    <row r="117" spans="1:2" x14ac:dyDescent="0.25">
      <c r="A117" t="s">
        <v>651</v>
      </c>
      <c r="B117">
        <v>407.94200000000001</v>
      </c>
    </row>
    <row r="118" spans="1:2" x14ac:dyDescent="0.25">
      <c r="A118" t="s">
        <v>651</v>
      </c>
      <c r="B118">
        <v>377.27800000000002</v>
      </c>
    </row>
    <row r="119" spans="1:2" x14ac:dyDescent="0.25">
      <c r="A119" t="s">
        <v>651</v>
      </c>
      <c r="B119">
        <v>377.61099999999999</v>
      </c>
    </row>
    <row r="120" spans="1:2" x14ac:dyDescent="0.25">
      <c r="A120" t="s">
        <v>652</v>
      </c>
      <c r="B120">
        <v>370.30799999999999</v>
      </c>
    </row>
    <row r="121" spans="1:2" x14ac:dyDescent="0.25">
      <c r="A121" t="s">
        <v>652</v>
      </c>
      <c r="B121">
        <v>391.21500000000003</v>
      </c>
    </row>
    <row r="122" spans="1:2" x14ac:dyDescent="0.25">
      <c r="A122" t="s">
        <v>652</v>
      </c>
      <c r="B122">
        <v>417.51300000000003</v>
      </c>
    </row>
    <row r="123" spans="1:2" x14ac:dyDescent="0.25">
      <c r="A123" t="s">
        <v>653</v>
      </c>
      <c r="B123">
        <v>444.33000000000004</v>
      </c>
    </row>
    <row r="124" spans="1:2" x14ac:dyDescent="0.25">
      <c r="A124" t="s">
        <v>653</v>
      </c>
      <c r="B124">
        <v>393.29899999999998</v>
      </c>
    </row>
    <row r="125" spans="1:2" x14ac:dyDescent="0.25">
      <c r="A125" t="s">
        <v>653</v>
      </c>
      <c r="B125">
        <v>480.47400000000005</v>
      </c>
    </row>
    <row r="126" spans="1:2" x14ac:dyDescent="0.25">
      <c r="A126" t="s">
        <v>654</v>
      </c>
      <c r="B126">
        <v>442.41199999999998</v>
      </c>
    </row>
    <row r="127" spans="1:2" x14ac:dyDescent="0.25">
      <c r="A127" t="s">
        <v>654</v>
      </c>
      <c r="B127">
        <v>429.69100000000003</v>
      </c>
    </row>
    <row r="128" spans="1:2" x14ac:dyDescent="0.25">
      <c r="A128" t="s">
        <v>654</v>
      </c>
      <c r="B128">
        <v>386.625</v>
      </c>
    </row>
    <row r="129" spans="1:2" x14ac:dyDescent="0.25">
      <c r="A129" t="s">
        <v>655</v>
      </c>
      <c r="B129">
        <v>402.27199999999999</v>
      </c>
    </row>
    <row r="130" spans="1:2" x14ac:dyDescent="0.25">
      <c r="A130" t="s">
        <v>655</v>
      </c>
      <c r="B130">
        <v>377.57600000000002</v>
      </c>
    </row>
    <row r="131" spans="1:2" x14ac:dyDescent="0.25">
      <c r="A131" t="s">
        <v>655</v>
      </c>
      <c r="B131">
        <v>393.51600000000002</v>
      </c>
    </row>
    <row r="132" spans="1:2" x14ac:dyDescent="0.25">
      <c r="A132" t="s">
        <v>656</v>
      </c>
      <c r="B132">
        <v>369.99</v>
      </c>
    </row>
    <row r="133" spans="1:2" x14ac:dyDescent="0.25">
      <c r="A133" t="s">
        <v>656</v>
      </c>
      <c r="B133">
        <v>402.56</v>
      </c>
    </row>
    <row r="134" spans="1:2" x14ac:dyDescent="0.25">
      <c r="A134" t="s">
        <v>656</v>
      </c>
      <c r="B134">
        <v>425.82100000000003</v>
      </c>
    </row>
    <row r="135" spans="1:2" x14ac:dyDescent="0.25">
      <c r="A135" t="s">
        <v>657</v>
      </c>
      <c r="B135">
        <v>439.62099999999998</v>
      </c>
    </row>
    <row r="136" spans="1:2" x14ac:dyDescent="0.25">
      <c r="A136" t="s">
        <v>657</v>
      </c>
      <c r="B136">
        <v>402.96300000000002</v>
      </c>
    </row>
    <row r="137" spans="1:2" x14ac:dyDescent="0.25">
      <c r="A137" t="s">
        <v>657</v>
      </c>
      <c r="B137">
        <v>490.63200000000001</v>
      </c>
    </row>
    <row r="138" spans="1:2" x14ac:dyDescent="0.25">
      <c r="A138" t="s">
        <v>658</v>
      </c>
      <c r="B138">
        <v>438.52800000000002</v>
      </c>
    </row>
    <row r="139" spans="1:2" x14ac:dyDescent="0.25">
      <c r="A139" t="s">
        <v>658</v>
      </c>
      <c r="B139">
        <v>415.58900000000006</v>
      </c>
    </row>
    <row r="140" spans="1:2" x14ac:dyDescent="0.25">
      <c r="A140" t="s">
        <v>658</v>
      </c>
      <c r="B140">
        <v>394.25799999999998</v>
      </c>
    </row>
    <row r="141" spans="1:2" x14ac:dyDescent="0.25">
      <c r="A141" t="s">
        <v>659</v>
      </c>
      <c r="B141">
        <v>365.92200000000003</v>
      </c>
    </row>
    <row r="142" spans="1:2" x14ac:dyDescent="0.25">
      <c r="A142" t="s">
        <v>659</v>
      </c>
      <c r="B142">
        <v>380.959</v>
      </c>
    </row>
    <row r="143" spans="1:2" x14ac:dyDescent="0.25">
      <c r="A143" t="s">
        <v>659</v>
      </c>
      <c r="B143">
        <v>405.33100000000002</v>
      </c>
    </row>
    <row r="144" spans="1:2" x14ac:dyDescent="0.25">
      <c r="A144" t="s">
        <v>660</v>
      </c>
      <c r="B144">
        <v>357.85400000000004</v>
      </c>
    </row>
    <row r="145" spans="1:2" x14ac:dyDescent="0.25">
      <c r="A145" t="s">
        <v>660</v>
      </c>
      <c r="B145">
        <v>404.58500000000004</v>
      </c>
    </row>
    <row r="146" spans="1:2" x14ac:dyDescent="0.25">
      <c r="A146" t="s">
        <v>660</v>
      </c>
      <c r="B146">
        <v>433.84100000000001</v>
      </c>
    </row>
    <row r="147" spans="1:2" x14ac:dyDescent="0.25">
      <c r="A147" t="s">
        <v>661</v>
      </c>
      <c r="B147">
        <v>432.15099999999995</v>
      </c>
    </row>
    <row r="148" spans="1:2" x14ac:dyDescent="0.25">
      <c r="A148" t="s">
        <v>661</v>
      </c>
      <c r="B148">
        <v>431.38600000000002</v>
      </c>
    </row>
    <row r="149" spans="1:2" x14ac:dyDescent="0.25">
      <c r="A149" t="s">
        <v>661</v>
      </c>
      <c r="B149">
        <v>457.19200000000001</v>
      </c>
    </row>
    <row r="150" spans="1:2" x14ac:dyDescent="0.25">
      <c r="A150" t="s">
        <v>662</v>
      </c>
      <c r="B150">
        <v>434.495</v>
      </c>
    </row>
    <row r="151" spans="1:2" x14ac:dyDescent="0.25">
      <c r="A151" t="s">
        <v>662</v>
      </c>
      <c r="B151">
        <v>457.52500000000003</v>
      </c>
    </row>
    <row r="152" spans="1:2" x14ac:dyDescent="0.25">
      <c r="A152" t="s">
        <v>662</v>
      </c>
      <c r="B152">
        <v>415.23199999999997</v>
      </c>
    </row>
    <row r="153" spans="1:2" x14ac:dyDescent="0.25">
      <c r="A153" t="s">
        <v>663</v>
      </c>
      <c r="B153">
        <v>465.43799999999999</v>
      </c>
    </row>
    <row r="154" spans="1:2" x14ac:dyDescent="0.25">
      <c r="A154" t="s">
        <v>663</v>
      </c>
      <c r="B154">
        <v>452.96200000000005</v>
      </c>
    </row>
    <row r="155" spans="1:2" x14ac:dyDescent="0.25">
      <c r="A155" t="s">
        <v>663</v>
      </c>
      <c r="B155">
        <v>453.38099999999997</v>
      </c>
    </row>
    <row r="156" spans="1:2" x14ac:dyDescent="0.25">
      <c r="A156" t="s">
        <v>664</v>
      </c>
      <c r="B156">
        <v>408.11500000000001</v>
      </c>
    </row>
    <row r="157" spans="1:2" x14ac:dyDescent="0.25">
      <c r="A157" t="s">
        <v>664</v>
      </c>
      <c r="B157">
        <v>455.46000000000004</v>
      </c>
    </row>
    <row r="158" spans="1:2" x14ac:dyDescent="0.25">
      <c r="A158" t="s">
        <v>664</v>
      </c>
      <c r="B158">
        <v>458.21699999999998</v>
      </c>
    </row>
    <row r="159" spans="1:2" x14ac:dyDescent="0.25">
      <c r="A159" t="s">
        <v>665</v>
      </c>
      <c r="B159">
        <v>502.58000000000004</v>
      </c>
    </row>
    <row r="160" spans="1:2" x14ac:dyDescent="0.25">
      <c r="A160" t="s">
        <v>665</v>
      </c>
      <c r="B160">
        <v>466.06699999999995</v>
      </c>
    </row>
    <row r="161" spans="1:2" x14ac:dyDescent="0.25">
      <c r="A161" t="s">
        <v>665</v>
      </c>
      <c r="B161">
        <v>537.22400000000005</v>
      </c>
    </row>
    <row r="162" spans="1:2" x14ac:dyDescent="0.25">
      <c r="A162" t="s">
        <v>666</v>
      </c>
      <c r="B162">
        <v>541.35200000000009</v>
      </c>
    </row>
    <row r="163" spans="1:2" x14ac:dyDescent="0.25">
      <c r="A163" t="s">
        <v>666</v>
      </c>
      <c r="B163">
        <v>503.976</v>
      </c>
    </row>
    <row r="164" spans="1:2" x14ac:dyDescent="0.25">
      <c r="A164" t="s">
        <v>666</v>
      </c>
      <c r="B164">
        <v>454.31300000000005</v>
      </c>
    </row>
    <row r="165" spans="1:2" x14ac:dyDescent="0.25">
      <c r="A165" t="s">
        <v>667</v>
      </c>
      <c r="B165">
        <v>519.28600000000006</v>
      </c>
    </row>
    <row r="166" spans="1:2" x14ac:dyDescent="0.25">
      <c r="A166" t="s">
        <v>667</v>
      </c>
      <c r="B166">
        <v>459.41200000000003</v>
      </c>
    </row>
    <row r="167" spans="1:2" x14ac:dyDescent="0.25">
      <c r="A167" t="s">
        <v>667</v>
      </c>
      <c r="B167">
        <v>462.79100000000005</v>
      </c>
    </row>
    <row r="168" spans="1:2" x14ac:dyDescent="0.25">
      <c r="A168" t="s">
        <v>668</v>
      </c>
      <c r="B168">
        <v>380.72400000000005</v>
      </c>
    </row>
    <row r="169" spans="1:2" x14ac:dyDescent="0.25">
      <c r="A169" t="s">
        <v>668</v>
      </c>
      <c r="B169">
        <v>448.29500000000002</v>
      </c>
    </row>
    <row r="170" spans="1:2" x14ac:dyDescent="0.25">
      <c r="A170" t="s">
        <v>668</v>
      </c>
      <c r="B170">
        <v>460.49099999999999</v>
      </c>
    </row>
    <row r="171" spans="1:2" x14ac:dyDescent="0.25">
      <c r="A171" t="s">
        <v>669</v>
      </c>
      <c r="B171">
        <v>465.13499999999999</v>
      </c>
    </row>
    <row r="172" spans="1:2" x14ac:dyDescent="0.25">
      <c r="A172" t="s">
        <v>669</v>
      </c>
      <c r="B172">
        <v>394.79899999999998</v>
      </c>
    </row>
    <row r="173" spans="1:2" x14ac:dyDescent="0.25">
      <c r="A173" t="s">
        <v>669</v>
      </c>
      <c r="B173">
        <v>472.52199999999993</v>
      </c>
    </row>
    <row r="174" spans="1:2" x14ac:dyDescent="0.25">
      <c r="A174" t="s">
        <v>670</v>
      </c>
      <c r="B174">
        <v>475.21999999999997</v>
      </c>
    </row>
    <row r="175" spans="1:2" x14ac:dyDescent="0.25">
      <c r="A175" t="s">
        <v>670</v>
      </c>
      <c r="B175">
        <v>459.17500000000001</v>
      </c>
    </row>
    <row r="176" spans="1:2" x14ac:dyDescent="0.25">
      <c r="A176" t="s">
        <v>670</v>
      </c>
      <c r="B176">
        <v>438.851</v>
      </c>
    </row>
    <row r="177" spans="1:2" x14ac:dyDescent="0.25">
      <c r="A177" t="s">
        <v>671</v>
      </c>
      <c r="B177">
        <v>470.46600000000001</v>
      </c>
    </row>
    <row r="178" spans="1:2" x14ac:dyDescent="0.25">
      <c r="A178" t="s">
        <v>671</v>
      </c>
      <c r="B178">
        <v>422.71200000000005</v>
      </c>
    </row>
    <row r="179" spans="1:2" x14ac:dyDescent="0.25">
      <c r="A179" t="s">
        <v>671</v>
      </c>
      <c r="B179">
        <v>400.38</v>
      </c>
    </row>
    <row r="180" spans="1:2" x14ac:dyDescent="0.25">
      <c r="A180" t="s">
        <v>672</v>
      </c>
      <c r="B180">
        <v>380.83600000000001</v>
      </c>
    </row>
    <row r="181" spans="1:2" x14ac:dyDescent="0.25">
      <c r="A181" t="s">
        <v>672</v>
      </c>
      <c r="B181">
        <v>454.7</v>
      </c>
    </row>
    <row r="182" spans="1:2" x14ac:dyDescent="0.25">
      <c r="A182" t="s">
        <v>672</v>
      </c>
      <c r="B182">
        <v>450.98500000000001</v>
      </c>
    </row>
    <row r="183" spans="1:2" x14ac:dyDescent="0.25">
      <c r="A183" t="s">
        <v>673</v>
      </c>
      <c r="B183">
        <v>453.30500000000001</v>
      </c>
    </row>
    <row r="184" spans="1:2" x14ac:dyDescent="0.25">
      <c r="A184" t="s">
        <v>673</v>
      </c>
      <c r="B184">
        <v>364.11700000000002</v>
      </c>
    </row>
    <row r="185" spans="1:2" x14ac:dyDescent="0.25">
      <c r="A185" t="s">
        <v>673</v>
      </c>
      <c r="B185">
        <v>464.82400000000001</v>
      </c>
    </row>
    <row r="186" spans="1:2" x14ac:dyDescent="0.25">
      <c r="A186" t="s">
        <v>674</v>
      </c>
      <c r="B186">
        <v>454.17199999999997</v>
      </c>
    </row>
    <row r="187" spans="1:2" x14ac:dyDescent="0.25">
      <c r="A187" t="s">
        <v>674</v>
      </c>
      <c r="B187">
        <v>417.173</v>
      </c>
    </row>
    <row r="188" spans="1:2" x14ac:dyDescent="0.25">
      <c r="A188" t="s">
        <v>674</v>
      </c>
      <c r="B188">
        <v>415.49</v>
      </c>
    </row>
    <row r="189" spans="1:2" x14ac:dyDescent="0.25">
      <c r="A189" t="s">
        <v>675</v>
      </c>
      <c r="B189">
        <v>434.44800000000004</v>
      </c>
    </row>
    <row r="190" spans="1:2" x14ac:dyDescent="0.25">
      <c r="A190" t="s">
        <v>675</v>
      </c>
      <c r="B190">
        <v>413.96899999999999</v>
      </c>
    </row>
    <row r="191" spans="1:2" x14ac:dyDescent="0.25">
      <c r="A191" t="s">
        <v>675</v>
      </c>
      <c r="B191">
        <v>423.77</v>
      </c>
    </row>
    <row r="192" spans="1:2" x14ac:dyDescent="0.25">
      <c r="A192" t="s">
        <v>676</v>
      </c>
      <c r="B192">
        <v>433.11799999999999</v>
      </c>
    </row>
    <row r="193" spans="1:2" x14ac:dyDescent="0.25">
      <c r="A193" t="s">
        <v>676</v>
      </c>
      <c r="B193">
        <v>481.14100000000002</v>
      </c>
    </row>
    <row r="194" spans="1:2" x14ac:dyDescent="0.25">
      <c r="A194" t="s">
        <v>676</v>
      </c>
      <c r="B194">
        <v>534.22699999999998</v>
      </c>
    </row>
    <row r="195" spans="1:2" x14ac:dyDescent="0.25">
      <c r="A195" t="s">
        <v>677</v>
      </c>
      <c r="B195">
        <v>520.81200000000001</v>
      </c>
    </row>
    <row r="196" spans="1:2" x14ac:dyDescent="0.25">
      <c r="A196" t="s">
        <v>677</v>
      </c>
      <c r="B196">
        <v>413.767</v>
      </c>
    </row>
    <row r="197" spans="1:2" x14ac:dyDescent="0.25">
      <c r="A197" t="s">
        <v>677</v>
      </c>
      <c r="B197">
        <v>588.83199999999999</v>
      </c>
    </row>
    <row r="198" spans="1:2" x14ac:dyDescent="0.25">
      <c r="A198" t="s">
        <v>678</v>
      </c>
      <c r="B198">
        <v>522.71199999999999</v>
      </c>
    </row>
    <row r="199" spans="1:2" x14ac:dyDescent="0.25">
      <c r="A199" t="s">
        <v>678</v>
      </c>
      <c r="B199">
        <v>541.91</v>
      </c>
    </row>
    <row r="200" spans="1:2" x14ac:dyDescent="0.25">
      <c r="A200" t="s">
        <v>678</v>
      </c>
      <c r="B200">
        <v>604.81399999999996</v>
      </c>
    </row>
    <row r="201" spans="1:2" x14ac:dyDescent="0.25">
      <c r="A201" t="s">
        <v>679</v>
      </c>
      <c r="B201">
        <v>535.80999999999995</v>
      </c>
    </row>
    <row r="202" spans="1:2" x14ac:dyDescent="0.25">
      <c r="A202" t="s">
        <v>679</v>
      </c>
      <c r="B202">
        <v>573.07799999999997</v>
      </c>
    </row>
    <row r="203" spans="1:2" x14ac:dyDescent="0.25">
      <c r="A203" t="s">
        <v>679</v>
      </c>
      <c r="B203">
        <v>557.71199999999999</v>
      </c>
    </row>
    <row r="204" spans="1:2" x14ac:dyDescent="0.25">
      <c r="A204" t="s">
        <v>680</v>
      </c>
      <c r="B204">
        <v>501.70500000000004</v>
      </c>
    </row>
    <row r="205" spans="1:2" x14ac:dyDescent="0.25">
      <c r="A205" t="s">
        <v>680</v>
      </c>
      <c r="B205">
        <v>615.52599999999995</v>
      </c>
    </row>
    <row r="206" spans="1:2" x14ac:dyDescent="0.25">
      <c r="A206" t="s">
        <v>680</v>
      </c>
      <c r="B206">
        <v>623.42699999999991</v>
      </c>
    </row>
    <row r="207" spans="1:2" x14ac:dyDescent="0.25">
      <c r="A207" t="s">
        <v>681</v>
      </c>
      <c r="B207">
        <v>585.32999999999993</v>
      </c>
    </row>
    <row r="208" spans="1:2" x14ac:dyDescent="0.25">
      <c r="A208" t="s">
        <v>681</v>
      </c>
      <c r="B208">
        <v>490.745</v>
      </c>
    </row>
    <row r="209" spans="1:2" x14ac:dyDescent="0.25">
      <c r="A209" t="s">
        <v>681</v>
      </c>
      <c r="B209">
        <v>625.08100000000002</v>
      </c>
    </row>
    <row r="210" spans="1:2" x14ac:dyDescent="0.25">
      <c r="A210" t="s">
        <v>682</v>
      </c>
      <c r="B210">
        <v>617.88400000000001</v>
      </c>
    </row>
    <row r="211" spans="1:2" x14ac:dyDescent="0.25">
      <c r="A211" t="s">
        <v>682</v>
      </c>
      <c r="B211">
        <v>628.76400000000001</v>
      </c>
    </row>
    <row r="212" spans="1:2" x14ac:dyDescent="0.25">
      <c r="A212" t="s">
        <v>682</v>
      </c>
      <c r="B212">
        <v>546.375</v>
      </c>
    </row>
    <row r="213" spans="1:2" x14ac:dyDescent="0.25">
      <c r="A213" t="s">
        <v>683</v>
      </c>
      <c r="B213">
        <v>609.35300000000007</v>
      </c>
    </row>
    <row r="214" spans="1:2" x14ac:dyDescent="0.25">
      <c r="A214" t="s">
        <v>683</v>
      </c>
      <c r="B214">
        <v>540.38599999999997</v>
      </c>
    </row>
    <row r="215" spans="1:2" x14ac:dyDescent="0.25">
      <c r="A215" t="s">
        <v>683</v>
      </c>
      <c r="B215">
        <v>565.68200000000002</v>
      </c>
    </row>
    <row r="216" spans="1:2" x14ac:dyDescent="0.25">
      <c r="A216" t="s">
        <v>684</v>
      </c>
      <c r="B216">
        <v>520.38199999999995</v>
      </c>
    </row>
    <row r="217" spans="1:2" x14ac:dyDescent="0.25">
      <c r="A217" t="s">
        <v>684</v>
      </c>
      <c r="B217">
        <v>606.28</v>
      </c>
    </row>
    <row r="218" spans="1:2" x14ac:dyDescent="0.25">
      <c r="A218" t="s">
        <v>684</v>
      </c>
      <c r="B218">
        <v>595.63800000000003</v>
      </c>
    </row>
    <row r="219" spans="1:2" x14ac:dyDescent="0.25">
      <c r="A219" t="s">
        <v>685</v>
      </c>
      <c r="B219">
        <v>579.75199999999995</v>
      </c>
    </row>
    <row r="220" spans="1:2" x14ac:dyDescent="0.25">
      <c r="A220" t="s">
        <v>685</v>
      </c>
      <c r="B220">
        <v>479.53699999999998</v>
      </c>
    </row>
    <row r="221" spans="1:2" x14ac:dyDescent="0.25">
      <c r="A221" t="s">
        <v>685</v>
      </c>
      <c r="B221">
        <v>570.16499999999996</v>
      </c>
    </row>
    <row r="222" spans="1:2" x14ac:dyDescent="0.25">
      <c r="A222" t="s">
        <v>686</v>
      </c>
      <c r="B222">
        <v>626.19499999999994</v>
      </c>
    </row>
    <row r="223" spans="1:2" x14ac:dyDescent="0.25">
      <c r="A223" t="s">
        <v>686</v>
      </c>
      <c r="B223">
        <v>611.57099999999991</v>
      </c>
    </row>
    <row r="224" spans="1:2" x14ac:dyDescent="0.25">
      <c r="A224" t="s">
        <v>686</v>
      </c>
      <c r="B224">
        <v>522.726</v>
      </c>
    </row>
    <row r="225" spans="1:2" x14ac:dyDescent="0.25">
      <c r="A225" t="s">
        <v>687</v>
      </c>
      <c r="B225">
        <v>628.69200000000001</v>
      </c>
    </row>
    <row r="226" spans="1:2" x14ac:dyDescent="0.25">
      <c r="A226" t="s">
        <v>687</v>
      </c>
      <c r="B226">
        <v>564.80799999999999</v>
      </c>
    </row>
    <row r="227" spans="1:2" x14ac:dyDescent="0.25">
      <c r="A227" t="s">
        <v>687</v>
      </c>
      <c r="B227">
        <v>544.32500000000005</v>
      </c>
    </row>
    <row r="228" spans="1:2" x14ac:dyDescent="0.25">
      <c r="A228" t="s">
        <v>688</v>
      </c>
      <c r="B228">
        <v>510.56600000000003</v>
      </c>
    </row>
    <row r="229" spans="1:2" x14ac:dyDescent="0.25">
      <c r="A229" t="s">
        <v>688</v>
      </c>
      <c r="B229">
        <v>606.096</v>
      </c>
    </row>
    <row r="230" spans="1:2" x14ac:dyDescent="0.25">
      <c r="A230" t="s">
        <v>688</v>
      </c>
      <c r="B230">
        <v>546.12700000000007</v>
      </c>
    </row>
    <row r="231" spans="1:2" x14ac:dyDescent="0.25">
      <c r="A231" t="s">
        <v>689</v>
      </c>
      <c r="B231">
        <v>586.96500000000003</v>
      </c>
    </row>
    <row r="232" spans="1:2" x14ac:dyDescent="0.25">
      <c r="A232" t="s">
        <v>689</v>
      </c>
      <c r="B232">
        <v>466.01800000000003</v>
      </c>
    </row>
    <row r="233" spans="1:2" x14ac:dyDescent="0.25">
      <c r="A233" t="s">
        <v>689</v>
      </c>
      <c r="B233">
        <v>584.54300000000001</v>
      </c>
    </row>
    <row r="234" spans="1:2" x14ac:dyDescent="0.25">
      <c r="A234" t="s">
        <v>690</v>
      </c>
      <c r="B234">
        <v>610.19800000000009</v>
      </c>
    </row>
    <row r="235" spans="1:2" x14ac:dyDescent="0.25">
      <c r="A235" t="s">
        <v>690</v>
      </c>
      <c r="B235">
        <v>585.84299999999996</v>
      </c>
    </row>
    <row r="236" spans="1:2" x14ac:dyDescent="0.25">
      <c r="A236" t="s">
        <v>690</v>
      </c>
      <c r="B236">
        <v>559.57399999999996</v>
      </c>
    </row>
    <row r="237" spans="1:2" x14ac:dyDescent="0.25">
      <c r="A237" t="s">
        <v>691</v>
      </c>
      <c r="B237">
        <v>559.01</v>
      </c>
    </row>
    <row r="238" spans="1:2" x14ac:dyDescent="0.25">
      <c r="A238" t="s">
        <v>691</v>
      </c>
      <c r="B238">
        <v>534.94399999999996</v>
      </c>
    </row>
    <row r="239" spans="1:2" x14ac:dyDescent="0.25">
      <c r="A239" t="s">
        <v>691</v>
      </c>
      <c r="B239">
        <v>525.03200000000004</v>
      </c>
    </row>
    <row r="240" spans="1:2" x14ac:dyDescent="0.25">
      <c r="A240" t="s">
        <v>692</v>
      </c>
      <c r="B240">
        <v>526.53099999999995</v>
      </c>
    </row>
    <row r="241" spans="1:2" x14ac:dyDescent="0.25">
      <c r="A241" t="s">
        <v>692</v>
      </c>
      <c r="B241">
        <v>605.86799999999994</v>
      </c>
    </row>
    <row r="242" spans="1:2" x14ac:dyDescent="0.25">
      <c r="A242" t="s">
        <v>692</v>
      </c>
      <c r="B242">
        <v>560.00199999999995</v>
      </c>
    </row>
    <row r="243" spans="1:2" x14ac:dyDescent="0.25">
      <c r="A243" t="s">
        <v>693</v>
      </c>
      <c r="B243">
        <v>590.86799999999994</v>
      </c>
    </row>
    <row r="244" spans="1:2" x14ac:dyDescent="0.25">
      <c r="A244" t="s">
        <v>693</v>
      </c>
      <c r="B244">
        <v>447.36599999999999</v>
      </c>
    </row>
    <row r="245" spans="1:2" x14ac:dyDescent="0.25">
      <c r="A245" t="s">
        <v>693</v>
      </c>
      <c r="B245">
        <v>598.87400000000002</v>
      </c>
    </row>
    <row r="246" spans="1:2" x14ac:dyDescent="0.25">
      <c r="A246" t="s">
        <v>694</v>
      </c>
      <c r="B246">
        <v>601.59699999999998</v>
      </c>
    </row>
    <row r="247" spans="1:2" x14ac:dyDescent="0.25">
      <c r="A247" t="s">
        <v>694</v>
      </c>
      <c r="B247">
        <v>566.76199999999994</v>
      </c>
    </row>
    <row r="248" spans="1:2" x14ac:dyDescent="0.25">
      <c r="A248" t="s">
        <v>694</v>
      </c>
      <c r="B248">
        <v>547.68499999999995</v>
      </c>
    </row>
    <row r="249" spans="1:2" x14ac:dyDescent="0.25">
      <c r="A249" t="s">
        <v>695</v>
      </c>
      <c r="B249">
        <v>625.15800000000002</v>
      </c>
    </row>
    <row r="250" spans="1:2" x14ac:dyDescent="0.25">
      <c r="A250" t="s">
        <v>695</v>
      </c>
      <c r="B250">
        <v>566.81899999999996</v>
      </c>
    </row>
    <row r="251" spans="1:2" x14ac:dyDescent="0.25">
      <c r="A251" t="s">
        <v>695</v>
      </c>
      <c r="B251">
        <v>544.16000000000008</v>
      </c>
    </row>
    <row r="252" spans="1:2" x14ac:dyDescent="0.25">
      <c r="A252" t="s">
        <v>696</v>
      </c>
      <c r="B252">
        <v>511.84300000000002</v>
      </c>
    </row>
    <row r="253" spans="1:2" x14ac:dyDescent="0.25">
      <c r="A253" t="s">
        <v>696</v>
      </c>
      <c r="B253">
        <v>579.53800000000001</v>
      </c>
    </row>
    <row r="254" spans="1:2" x14ac:dyDescent="0.25">
      <c r="A254" t="s">
        <v>696</v>
      </c>
      <c r="B254">
        <v>629.57799999999997</v>
      </c>
    </row>
    <row r="255" spans="1:2" x14ac:dyDescent="0.25">
      <c r="A255" t="s">
        <v>697</v>
      </c>
      <c r="B255">
        <v>604.02</v>
      </c>
    </row>
    <row r="256" spans="1:2" x14ac:dyDescent="0.25">
      <c r="A256" t="s">
        <v>697</v>
      </c>
      <c r="B256">
        <v>453.50900000000001</v>
      </c>
    </row>
    <row r="257" spans="1:2" x14ac:dyDescent="0.25">
      <c r="A257" t="s">
        <v>697</v>
      </c>
      <c r="B257">
        <v>624.45299999999997</v>
      </c>
    </row>
    <row r="258" spans="1:2" x14ac:dyDescent="0.25">
      <c r="A258" t="s">
        <v>698</v>
      </c>
      <c r="B258">
        <v>588.55600000000004</v>
      </c>
    </row>
    <row r="259" spans="1:2" x14ac:dyDescent="0.25">
      <c r="A259" t="s">
        <v>698</v>
      </c>
      <c r="B259">
        <v>581.35199999999998</v>
      </c>
    </row>
    <row r="260" spans="1:2" x14ac:dyDescent="0.25">
      <c r="A260" t="s">
        <v>698</v>
      </c>
      <c r="B260">
        <v>555.61</v>
      </c>
    </row>
    <row r="261" spans="1:2" x14ac:dyDescent="0.25">
      <c r="A261" t="s">
        <v>699</v>
      </c>
      <c r="B261">
        <v>597.14699999999993</v>
      </c>
    </row>
    <row r="262" spans="1:2" x14ac:dyDescent="0.25">
      <c r="A262" t="s">
        <v>699</v>
      </c>
      <c r="B262">
        <v>582.75599999999997</v>
      </c>
    </row>
    <row r="263" spans="1:2" x14ac:dyDescent="0.25">
      <c r="A263" t="s">
        <v>699</v>
      </c>
      <c r="B263">
        <v>557.74299999999994</v>
      </c>
    </row>
    <row r="264" spans="1:2" x14ac:dyDescent="0.25">
      <c r="A264" t="s">
        <v>700</v>
      </c>
      <c r="B264">
        <v>471.899</v>
      </c>
    </row>
    <row r="265" spans="1:2" x14ac:dyDescent="0.25">
      <c r="A265" t="s">
        <v>700</v>
      </c>
      <c r="B265">
        <v>572.87200000000007</v>
      </c>
    </row>
    <row r="266" spans="1:2" x14ac:dyDescent="0.25">
      <c r="A266" t="s">
        <v>700</v>
      </c>
      <c r="B266">
        <v>633.13699999999994</v>
      </c>
    </row>
    <row r="267" spans="1:2" x14ac:dyDescent="0.25">
      <c r="A267" t="s">
        <v>701</v>
      </c>
      <c r="B267">
        <v>584.03199999999993</v>
      </c>
    </row>
    <row r="268" spans="1:2" x14ac:dyDescent="0.25">
      <c r="A268" t="s">
        <v>701</v>
      </c>
      <c r="B268">
        <v>458.03000000000003</v>
      </c>
    </row>
    <row r="269" spans="1:2" x14ac:dyDescent="0.25">
      <c r="A269" t="s">
        <v>701</v>
      </c>
      <c r="B269">
        <v>622.803</v>
      </c>
    </row>
    <row r="270" spans="1:2" x14ac:dyDescent="0.25">
      <c r="A270" t="s">
        <v>702</v>
      </c>
      <c r="B270">
        <v>571.30100000000004</v>
      </c>
    </row>
    <row r="271" spans="1:2" x14ac:dyDescent="0.25">
      <c r="A271" t="s">
        <v>702</v>
      </c>
      <c r="B271">
        <v>589.25900000000001</v>
      </c>
    </row>
    <row r="272" spans="1:2" x14ac:dyDescent="0.25">
      <c r="A272" t="s">
        <v>702</v>
      </c>
      <c r="B272">
        <v>591.80999999999995</v>
      </c>
    </row>
    <row r="273" spans="1:2" x14ac:dyDescent="0.25">
      <c r="A273" t="s">
        <v>703</v>
      </c>
      <c r="B273">
        <v>554.71600000000001</v>
      </c>
    </row>
    <row r="274" spans="1:2" x14ac:dyDescent="0.25">
      <c r="A274" t="s">
        <v>703</v>
      </c>
      <c r="B274">
        <v>575.85900000000004</v>
      </c>
    </row>
    <row r="275" spans="1:2" x14ac:dyDescent="0.25">
      <c r="A275" t="s">
        <v>703</v>
      </c>
      <c r="B275">
        <v>583.20400000000006</v>
      </c>
    </row>
    <row r="276" spans="1:2" x14ac:dyDescent="0.25">
      <c r="A276" t="s">
        <v>704</v>
      </c>
      <c r="B276">
        <v>507.87299999999999</v>
      </c>
    </row>
    <row r="277" spans="1:2" x14ac:dyDescent="0.25">
      <c r="A277" t="s">
        <v>704</v>
      </c>
      <c r="B277">
        <v>600.72299999999996</v>
      </c>
    </row>
    <row r="278" spans="1:2" x14ac:dyDescent="0.25">
      <c r="A278" t="s">
        <v>704</v>
      </c>
      <c r="B278">
        <v>623.79999999999995</v>
      </c>
    </row>
    <row r="279" spans="1:2" x14ac:dyDescent="0.25">
      <c r="A279" t="s">
        <v>705</v>
      </c>
      <c r="B279">
        <v>580.673</v>
      </c>
    </row>
    <row r="280" spans="1:2" x14ac:dyDescent="0.25">
      <c r="A280" t="s">
        <v>705</v>
      </c>
      <c r="B280">
        <v>517.21899999999994</v>
      </c>
    </row>
    <row r="281" spans="1:2" x14ac:dyDescent="0.25">
      <c r="A281" t="s">
        <v>705</v>
      </c>
      <c r="B281">
        <v>614.22900000000004</v>
      </c>
    </row>
    <row r="282" spans="1:2" x14ac:dyDescent="0.25">
      <c r="A282" t="s">
        <v>706</v>
      </c>
      <c r="B282">
        <v>629.31500000000005</v>
      </c>
    </row>
    <row r="283" spans="1:2" x14ac:dyDescent="0.25">
      <c r="A283" t="s">
        <v>706</v>
      </c>
      <c r="B283">
        <v>618.55200000000002</v>
      </c>
    </row>
    <row r="284" spans="1:2" x14ac:dyDescent="0.25">
      <c r="A284" t="s">
        <v>706</v>
      </c>
      <c r="B284">
        <v>542.55499999999995</v>
      </c>
    </row>
    <row r="285" spans="1:2" x14ac:dyDescent="0.25">
      <c r="A285" t="s">
        <v>707</v>
      </c>
      <c r="B285">
        <v>601.74300000000005</v>
      </c>
    </row>
    <row r="286" spans="1:2" x14ac:dyDescent="0.25">
      <c r="A286" t="s">
        <v>707</v>
      </c>
      <c r="B286">
        <v>564.13700000000006</v>
      </c>
    </row>
    <row r="287" spans="1:2" x14ac:dyDescent="0.25">
      <c r="A287" t="s">
        <v>707</v>
      </c>
      <c r="B287">
        <v>581.10800000000006</v>
      </c>
    </row>
    <row r="288" spans="1:2" x14ac:dyDescent="0.25">
      <c r="A288" t="s">
        <v>708</v>
      </c>
      <c r="B288">
        <v>501.97299999999996</v>
      </c>
    </row>
    <row r="289" spans="1:2" x14ac:dyDescent="0.25">
      <c r="A289" t="s">
        <v>708</v>
      </c>
      <c r="B289">
        <v>615.10900000000004</v>
      </c>
    </row>
    <row r="290" spans="1:2" x14ac:dyDescent="0.25">
      <c r="A290" t="s">
        <v>708</v>
      </c>
      <c r="B290">
        <v>581.80799999999999</v>
      </c>
    </row>
    <row r="291" spans="1:2" x14ac:dyDescent="0.25">
      <c r="A291" t="s">
        <v>709</v>
      </c>
      <c r="B291">
        <v>592.10599999999999</v>
      </c>
    </row>
    <row r="292" spans="1:2" x14ac:dyDescent="0.25">
      <c r="A292" t="s">
        <v>709</v>
      </c>
      <c r="B292">
        <v>506.99199999999996</v>
      </c>
    </row>
    <row r="293" spans="1:2" x14ac:dyDescent="0.25">
      <c r="A293" t="s">
        <v>709</v>
      </c>
      <c r="B293">
        <v>604.85599999999999</v>
      </c>
    </row>
    <row r="294" spans="1:2" x14ac:dyDescent="0.25">
      <c r="A294" t="s">
        <v>710</v>
      </c>
      <c r="B294">
        <v>626.58799999999997</v>
      </c>
    </row>
    <row r="295" spans="1:2" x14ac:dyDescent="0.25">
      <c r="A295" t="s">
        <v>710</v>
      </c>
      <c r="B295">
        <v>615.99699999999996</v>
      </c>
    </row>
    <row r="296" spans="1:2" x14ac:dyDescent="0.25">
      <c r="A296" t="s">
        <v>710</v>
      </c>
      <c r="B296">
        <v>527.61099999999999</v>
      </c>
    </row>
    <row r="297" spans="1:2" x14ac:dyDescent="0.25">
      <c r="A297" t="s">
        <v>711</v>
      </c>
      <c r="B297">
        <v>627.51199999999994</v>
      </c>
    </row>
    <row r="298" spans="1:2" x14ac:dyDescent="0.25">
      <c r="A298" t="s">
        <v>711</v>
      </c>
      <c r="B298">
        <v>588.31899999999996</v>
      </c>
    </row>
    <row r="299" spans="1:2" x14ac:dyDescent="0.25">
      <c r="A299" t="s">
        <v>711</v>
      </c>
      <c r="B299">
        <v>558.02499999999998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5829-AC9C-4060-97F3-037BCC4DDCEC}">
  <dimension ref="A2:B299"/>
  <sheetViews>
    <sheetView workbookViewId="0">
      <selection activeCell="A2" sqref="A2:B299"/>
    </sheetView>
  </sheetViews>
  <sheetFormatPr baseColWidth="10" defaultRowHeight="15" x14ac:dyDescent="0.25"/>
  <sheetData>
    <row r="2" spans="1:2" x14ac:dyDescent="0.25">
      <c r="A2" s="23"/>
      <c r="B2" s="24"/>
    </row>
    <row r="3" spans="1:2" x14ac:dyDescent="0.25">
      <c r="A3" s="23"/>
      <c r="B3" s="24"/>
    </row>
    <row r="4" spans="1:2" x14ac:dyDescent="0.25">
      <c r="A4" s="23"/>
      <c r="B4" s="24"/>
    </row>
    <row r="5" spans="1:2" x14ac:dyDescent="0.25">
      <c r="A5" s="23"/>
      <c r="B5" s="24"/>
    </row>
    <row r="6" spans="1:2" x14ac:dyDescent="0.25">
      <c r="A6" s="23"/>
      <c r="B6" s="24"/>
    </row>
    <row r="7" spans="1:2" x14ac:dyDescent="0.25">
      <c r="A7" s="23"/>
      <c r="B7" s="24"/>
    </row>
    <row r="8" spans="1:2" x14ac:dyDescent="0.25">
      <c r="A8" s="23"/>
      <c r="B8" s="24"/>
    </row>
    <row r="9" spans="1:2" x14ac:dyDescent="0.25">
      <c r="A9" s="23"/>
      <c r="B9" s="24"/>
    </row>
    <row r="10" spans="1:2" x14ac:dyDescent="0.25">
      <c r="A10" s="23"/>
      <c r="B10" s="24"/>
    </row>
    <row r="11" spans="1:2" x14ac:dyDescent="0.25">
      <c r="A11" s="23"/>
      <c r="B11" s="24"/>
    </row>
    <row r="12" spans="1:2" x14ac:dyDescent="0.25">
      <c r="A12" s="23"/>
      <c r="B12" s="24"/>
    </row>
    <row r="13" spans="1:2" x14ac:dyDescent="0.25">
      <c r="A13" s="23"/>
      <c r="B13" s="24"/>
    </row>
    <row r="14" spans="1:2" x14ac:dyDescent="0.25">
      <c r="A14" s="23"/>
      <c r="B14" s="24"/>
    </row>
    <row r="15" spans="1:2" x14ac:dyDescent="0.25">
      <c r="A15" s="23"/>
      <c r="B15" s="24"/>
    </row>
    <row r="16" spans="1:2" x14ac:dyDescent="0.25">
      <c r="A16" s="23"/>
      <c r="B16" s="24"/>
    </row>
    <row r="17" spans="1:2" x14ac:dyDescent="0.25">
      <c r="A17" s="23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x14ac:dyDescent="0.25">
      <c r="A22" s="23"/>
      <c r="B22" s="24"/>
    </row>
    <row r="23" spans="1:2" x14ac:dyDescent="0.25">
      <c r="A23" s="23"/>
      <c r="B23" s="24"/>
    </row>
    <row r="24" spans="1:2" x14ac:dyDescent="0.25">
      <c r="A24" s="23"/>
      <c r="B24" s="24"/>
    </row>
    <row r="25" spans="1:2" x14ac:dyDescent="0.25">
      <c r="A25" s="23"/>
      <c r="B25" s="24"/>
    </row>
    <row r="26" spans="1:2" x14ac:dyDescent="0.25">
      <c r="A26" s="23"/>
      <c r="B26" s="24"/>
    </row>
    <row r="27" spans="1:2" x14ac:dyDescent="0.25">
      <c r="A27" s="23"/>
      <c r="B27" s="24"/>
    </row>
    <row r="28" spans="1:2" x14ac:dyDescent="0.25">
      <c r="A28" s="23"/>
      <c r="B28" s="24"/>
    </row>
    <row r="29" spans="1:2" x14ac:dyDescent="0.25">
      <c r="A29" s="23"/>
      <c r="B29" s="24"/>
    </row>
    <row r="30" spans="1:2" x14ac:dyDescent="0.25">
      <c r="A30" s="23"/>
      <c r="B30" s="24"/>
    </row>
    <row r="31" spans="1:2" x14ac:dyDescent="0.25">
      <c r="A31" s="23"/>
      <c r="B31" s="24"/>
    </row>
    <row r="32" spans="1:2" x14ac:dyDescent="0.25">
      <c r="A32" s="23"/>
      <c r="B32" s="24"/>
    </row>
    <row r="33" spans="1:2" x14ac:dyDescent="0.25">
      <c r="A33" s="23"/>
      <c r="B33" s="24"/>
    </row>
    <row r="34" spans="1:2" x14ac:dyDescent="0.25">
      <c r="A34" s="23"/>
      <c r="B34" s="24"/>
    </row>
    <row r="35" spans="1:2" x14ac:dyDescent="0.25">
      <c r="A35" s="23"/>
      <c r="B35" s="24"/>
    </row>
    <row r="36" spans="1:2" x14ac:dyDescent="0.25">
      <c r="A36" s="23"/>
      <c r="B36" s="24"/>
    </row>
    <row r="37" spans="1:2" x14ac:dyDescent="0.25">
      <c r="A37" s="23"/>
      <c r="B37" s="24"/>
    </row>
    <row r="38" spans="1:2" x14ac:dyDescent="0.25">
      <c r="A38" s="23"/>
      <c r="B38" s="24"/>
    </row>
    <row r="39" spans="1:2" x14ac:dyDescent="0.25">
      <c r="A39" s="23"/>
      <c r="B39" s="24"/>
    </row>
    <row r="40" spans="1:2" x14ac:dyDescent="0.25">
      <c r="A40" s="23"/>
      <c r="B40" s="24"/>
    </row>
    <row r="41" spans="1:2" x14ac:dyDescent="0.25">
      <c r="A41" s="23"/>
      <c r="B41" s="24"/>
    </row>
    <row r="42" spans="1:2" x14ac:dyDescent="0.25">
      <c r="A42" s="23"/>
      <c r="B42" s="24"/>
    </row>
    <row r="43" spans="1:2" x14ac:dyDescent="0.25">
      <c r="A43" s="23"/>
      <c r="B43" s="24"/>
    </row>
    <row r="44" spans="1:2" x14ac:dyDescent="0.25">
      <c r="A44" s="23"/>
      <c r="B44" s="24"/>
    </row>
    <row r="45" spans="1:2" x14ac:dyDescent="0.25">
      <c r="A45" s="23"/>
      <c r="B45" s="24"/>
    </row>
    <row r="46" spans="1:2" x14ac:dyDescent="0.25">
      <c r="A46" s="23"/>
      <c r="B46" s="24"/>
    </row>
    <row r="47" spans="1:2" x14ac:dyDescent="0.25">
      <c r="A47" s="23"/>
      <c r="B47" s="24"/>
    </row>
    <row r="48" spans="1:2" x14ac:dyDescent="0.25">
      <c r="A48" s="23"/>
      <c r="B48" s="24"/>
    </row>
    <row r="49" spans="1:2" x14ac:dyDescent="0.25">
      <c r="A49" s="23"/>
      <c r="B49" s="24"/>
    </row>
    <row r="50" spans="1:2" x14ac:dyDescent="0.25">
      <c r="A50" s="23"/>
      <c r="B50" s="24"/>
    </row>
    <row r="51" spans="1:2" x14ac:dyDescent="0.25">
      <c r="A51" s="23"/>
      <c r="B51" s="24"/>
    </row>
    <row r="52" spans="1:2" x14ac:dyDescent="0.25">
      <c r="A52" s="23"/>
      <c r="B52" s="24"/>
    </row>
    <row r="53" spans="1:2" x14ac:dyDescent="0.25">
      <c r="A53" s="23"/>
      <c r="B53" s="24"/>
    </row>
    <row r="54" spans="1:2" x14ac:dyDescent="0.25">
      <c r="A54" s="23"/>
      <c r="B54" s="24"/>
    </row>
    <row r="55" spans="1:2" x14ac:dyDescent="0.25">
      <c r="A55" s="23"/>
      <c r="B55" s="24"/>
    </row>
    <row r="56" spans="1:2" x14ac:dyDescent="0.25">
      <c r="A56" s="23"/>
      <c r="B56" s="24"/>
    </row>
    <row r="57" spans="1:2" x14ac:dyDescent="0.25">
      <c r="A57" s="23"/>
      <c r="B57" s="24"/>
    </row>
    <row r="58" spans="1:2" x14ac:dyDescent="0.25">
      <c r="A58" s="23"/>
      <c r="B58" s="24"/>
    </row>
    <row r="59" spans="1:2" x14ac:dyDescent="0.25">
      <c r="A59" s="23"/>
      <c r="B59" s="24"/>
    </row>
    <row r="60" spans="1:2" x14ac:dyDescent="0.25">
      <c r="A60" s="23"/>
      <c r="B60" s="24"/>
    </row>
    <row r="61" spans="1:2" x14ac:dyDescent="0.25">
      <c r="A61" s="23"/>
      <c r="B61" s="24"/>
    </row>
    <row r="62" spans="1:2" x14ac:dyDescent="0.25">
      <c r="A62" s="23"/>
      <c r="B62" s="24"/>
    </row>
    <row r="63" spans="1:2" x14ac:dyDescent="0.25">
      <c r="A63" s="23"/>
      <c r="B63" s="24"/>
    </row>
    <row r="64" spans="1:2" x14ac:dyDescent="0.25">
      <c r="A64" s="23"/>
      <c r="B64" s="24"/>
    </row>
    <row r="65" spans="1:2" x14ac:dyDescent="0.25">
      <c r="A65" s="23"/>
      <c r="B65" s="24"/>
    </row>
    <row r="66" spans="1:2" x14ac:dyDescent="0.25">
      <c r="A66" s="23"/>
      <c r="B66" s="24"/>
    </row>
    <row r="67" spans="1:2" x14ac:dyDescent="0.25">
      <c r="A67" s="23"/>
      <c r="B67" s="24"/>
    </row>
    <row r="68" spans="1:2" x14ac:dyDescent="0.25">
      <c r="A68" s="23"/>
      <c r="B68" s="24"/>
    </row>
    <row r="69" spans="1:2" x14ac:dyDescent="0.25">
      <c r="A69" s="23"/>
      <c r="B69" s="24"/>
    </row>
    <row r="70" spans="1:2" x14ac:dyDescent="0.25">
      <c r="A70" s="23"/>
      <c r="B70" s="24"/>
    </row>
    <row r="71" spans="1:2" x14ac:dyDescent="0.25">
      <c r="A71" s="23"/>
      <c r="B71" s="24"/>
    </row>
    <row r="72" spans="1:2" x14ac:dyDescent="0.25">
      <c r="A72" s="23"/>
      <c r="B72" s="24"/>
    </row>
    <row r="73" spans="1:2" x14ac:dyDescent="0.25">
      <c r="A73" s="23"/>
      <c r="B73" s="24"/>
    </row>
    <row r="74" spans="1:2" x14ac:dyDescent="0.25">
      <c r="A74" s="23"/>
      <c r="B74" s="24"/>
    </row>
    <row r="75" spans="1:2" x14ac:dyDescent="0.25">
      <c r="A75" s="23"/>
      <c r="B75" s="24"/>
    </row>
    <row r="76" spans="1:2" x14ac:dyDescent="0.25">
      <c r="A76" s="23"/>
      <c r="B76" s="24"/>
    </row>
    <row r="77" spans="1:2" x14ac:dyDescent="0.25">
      <c r="A77" s="23"/>
      <c r="B77" s="24"/>
    </row>
    <row r="78" spans="1:2" x14ac:dyDescent="0.25">
      <c r="A78" s="23"/>
      <c r="B78" s="24"/>
    </row>
    <row r="79" spans="1:2" x14ac:dyDescent="0.25">
      <c r="A79" s="23"/>
      <c r="B79" s="24"/>
    </row>
    <row r="80" spans="1:2" x14ac:dyDescent="0.25">
      <c r="A80" s="23"/>
      <c r="B80" s="24"/>
    </row>
    <row r="81" spans="1:2" x14ac:dyDescent="0.25">
      <c r="A81" s="23"/>
      <c r="B81" s="24"/>
    </row>
    <row r="82" spans="1:2" x14ac:dyDescent="0.25">
      <c r="A82" s="23"/>
      <c r="B82" s="24"/>
    </row>
    <row r="83" spans="1:2" x14ac:dyDescent="0.25">
      <c r="A83" s="23"/>
      <c r="B83" s="24"/>
    </row>
    <row r="84" spans="1:2" x14ac:dyDescent="0.25">
      <c r="A84" s="23"/>
      <c r="B84" s="24"/>
    </row>
    <row r="85" spans="1:2" x14ac:dyDescent="0.25">
      <c r="A85" s="23"/>
      <c r="B85" s="24"/>
    </row>
    <row r="86" spans="1:2" x14ac:dyDescent="0.25">
      <c r="A86" s="23"/>
      <c r="B86" s="24"/>
    </row>
    <row r="87" spans="1:2" x14ac:dyDescent="0.25">
      <c r="A87" s="23"/>
      <c r="B87" s="24"/>
    </row>
    <row r="88" spans="1:2" x14ac:dyDescent="0.25">
      <c r="A88" s="23"/>
      <c r="B88" s="24"/>
    </row>
    <row r="89" spans="1:2" x14ac:dyDescent="0.25">
      <c r="A89" s="23"/>
      <c r="B89" s="24"/>
    </row>
    <row r="90" spans="1:2" x14ac:dyDescent="0.25">
      <c r="A90" s="23"/>
      <c r="B90" s="24"/>
    </row>
    <row r="91" spans="1:2" x14ac:dyDescent="0.25">
      <c r="A91" s="23"/>
      <c r="B91" s="24"/>
    </row>
    <row r="92" spans="1:2" x14ac:dyDescent="0.25">
      <c r="A92" s="23"/>
      <c r="B92" s="24"/>
    </row>
    <row r="93" spans="1:2" x14ac:dyDescent="0.25">
      <c r="A93" s="23"/>
      <c r="B93" s="24"/>
    </row>
    <row r="94" spans="1:2" x14ac:dyDescent="0.25">
      <c r="A94" s="23"/>
      <c r="B94" s="24"/>
    </row>
    <row r="95" spans="1:2" x14ac:dyDescent="0.25">
      <c r="A95" s="23"/>
      <c r="B95" s="24"/>
    </row>
    <row r="96" spans="1:2" x14ac:dyDescent="0.25">
      <c r="A96" s="23"/>
      <c r="B96" s="24"/>
    </row>
    <row r="97" spans="1:2" x14ac:dyDescent="0.25">
      <c r="A97" s="23"/>
      <c r="B97" s="24"/>
    </row>
    <row r="98" spans="1:2" x14ac:dyDescent="0.25">
      <c r="A98" s="23"/>
      <c r="B98" s="24"/>
    </row>
    <row r="99" spans="1:2" x14ac:dyDescent="0.25">
      <c r="A99" s="23"/>
      <c r="B99" s="24"/>
    </row>
    <row r="100" spans="1:2" x14ac:dyDescent="0.25">
      <c r="A100" s="23"/>
      <c r="B100" s="24"/>
    </row>
    <row r="101" spans="1:2" x14ac:dyDescent="0.25">
      <c r="A101" s="23"/>
      <c r="B101" s="24"/>
    </row>
    <row r="102" spans="1:2" x14ac:dyDescent="0.25">
      <c r="A102" s="23"/>
      <c r="B102" s="24"/>
    </row>
    <row r="103" spans="1:2" x14ac:dyDescent="0.25">
      <c r="A103" s="23"/>
      <c r="B103" s="24"/>
    </row>
    <row r="104" spans="1:2" x14ac:dyDescent="0.25">
      <c r="A104" s="23"/>
      <c r="B104" s="24"/>
    </row>
    <row r="105" spans="1:2" x14ac:dyDescent="0.25">
      <c r="A105" s="23"/>
      <c r="B105" s="24"/>
    </row>
    <row r="106" spans="1:2" x14ac:dyDescent="0.25">
      <c r="A106" s="23"/>
      <c r="B106" s="24"/>
    </row>
    <row r="107" spans="1:2" x14ac:dyDescent="0.25">
      <c r="A107" s="23"/>
      <c r="B107" s="24"/>
    </row>
    <row r="108" spans="1:2" x14ac:dyDescent="0.25">
      <c r="A108" s="23"/>
      <c r="B108" s="24"/>
    </row>
    <row r="109" spans="1:2" x14ac:dyDescent="0.25">
      <c r="A109" s="23"/>
      <c r="B109" s="24"/>
    </row>
    <row r="110" spans="1:2" x14ac:dyDescent="0.25">
      <c r="A110" s="23"/>
      <c r="B110" s="24"/>
    </row>
    <row r="111" spans="1:2" x14ac:dyDescent="0.25">
      <c r="A111" s="23"/>
      <c r="B111" s="24"/>
    </row>
    <row r="112" spans="1:2" x14ac:dyDescent="0.25">
      <c r="A112" s="23"/>
      <c r="B112" s="24"/>
    </row>
    <row r="113" spans="1:2" x14ac:dyDescent="0.25">
      <c r="A113" s="23"/>
      <c r="B113" s="24"/>
    </row>
    <row r="114" spans="1:2" x14ac:dyDescent="0.25">
      <c r="A114" s="23"/>
      <c r="B114" s="24"/>
    </row>
    <row r="115" spans="1:2" x14ac:dyDescent="0.25">
      <c r="A115" s="23"/>
      <c r="B115" s="24"/>
    </row>
    <row r="116" spans="1:2" x14ac:dyDescent="0.25">
      <c r="A116" s="23"/>
      <c r="B116" s="24"/>
    </row>
    <row r="117" spans="1:2" x14ac:dyDescent="0.25">
      <c r="A117" s="23"/>
      <c r="B117" s="24"/>
    </row>
    <row r="118" spans="1:2" x14ac:dyDescent="0.25">
      <c r="A118" s="23"/>
      <c r="B118" s="24"/>
    </row>
    <row r="119" spans="1:2" x14ac:dyDescent="0.25">
      <c r="A119" s="23"/>
      <c r="B119" s="24"/>
    </row>
    <row r="120" spans="1:2" x14ac:dyDescent="0.25">
      <c r="A120" s="23"/>
      <c r="B120" s="24"/>
    </row>
    <row r="121" spans="1:2" x14ac:dyDescent="0.25">
      <c r="A121" s="23"/>
      <c r="B121" s="24"/>
    </row>
    <row r="122" spans="1:2" x14ac:dyDescent="0.25">
      <c r="A122" s="23"/>
      <c r="B122" s="24"/>
    </row>
    <row r="123" spans="1:2" x14ac:dyDescent="0.25">
      <c r="A123" s="23"/>
      <c r="B123" s="24"/>
    </row>
    <row r="124" spans="1:2" x14ac:dyDescent="0.25">
      <c r="A124" s="23"/>
      <c r="B124" s="24"/>
    </row>
    <row r="125" spans="1:2" x14ac:dyDescent="0.25">
      <c r="A125" s="23"/>
      <c r="B125" s="24"/>
    </row>
    <row r="126" spans="1:2" x14ac:dyDescent="0.25">
      <c r="A126" s="23"/>
      <c r="B126" s="24"/>
    </row>
    <row r="127" spans="1:2" x14ac:dyDescent="0.25">
      <c r="A127" s="23"/>
      <c r="B127" s="24"/>
    </row>
    <row r="128" spans="1:2" x14ac:dyDescent="0.25">
      <c r="A128" s="23"/>
      <c r="B128" s="24"/>
    </row>
    <row r="129" spans="1:2" x14ac:dyDescent="0.25">
      <c r="A129" s="23"/>
      <c r="B129" s="24"/>
    </row>
    <row r="130" spans="1:2" x14ac:dyDescent="0.25">
      <c r="A130" s="23"/>
      <c r="B130" s="24"/>
    </row>
    <row r="131" spans="1:2" x14ac:dyDescent="0.25">
      <c r="A131" s="23"/>
      <c r="B131" s="24"/>
    </row>
    <row r="132" spans="1:2" x14ac:dyDescent="0.25">
      <c r="A132" s="23"/>
      <c r="B132" s="24"/>
    </row>
    <row r="133" spans="1:2" x14ac:dyDescent="0.25">
      <c r="A133" s="23"/>
      <c r="B133" s="24"/>
    </row>
    <row r="134" spans="1:2" x14ac:dyDescent="0.25">
      <c r="A134" s="23"/>
      <c r="B134" s="24"/>
    </row>
    <row r="135" spans="1:2" x14ac:dyDescent="0.25">
      <c r="A135" s="23"/>
      <c r="B135" s="24"/>
    </row>
    <row r="136" spans="1:2" x14ac:dyDescent="0.25">
      <c r="A136" s="23"/>
      <c r="B136" s="24"/>
    </row>
    <row r="137" spans="1:2" x14ac:dyDescent="0.25">
      <c r="A137" s="23"/>
      <c r="B137" s="24"/>
    </row>
    <row r="138" spans="1:2" x14ac:dyDescent="0.25">
      <c r="A138" s="23"/>
      <c r="B138" s="24"/>
    </row>
    <row r="139" spans="1:2" x14ac:dyDescent="0.25">
      <c r="A139" s="23"/>
      <c r="B139" s="24"/>
    </row>
    <row r="140" spans="1:2" x14ac:dyDescent="0.25">
      <c r="A140" s="23"/>
      <c r="B140" s="24"/>
    </row>
    <row r="141" spans="1:2" x14ac:dyDescent="0.25">
      <c r="A141" s="23"/>
      <c r="B141" s="24"/>
    </row>
    <row r="142" spans="1:2" x14ac:dyDescent="0.25">
      <c r="A142" s="23"/>
      <c r="B142" s="24"/>
    </row>
    <row r="143" spans="1:2" x14ac:dyDescent="0.25">
      <c r="A143" s="23"/>
      <c r="B143" s="24"/>
    </row>
    <row r="144" spans="1:2" x14ac:dyDescent="0.25">
      <c r="A144" s="23"/>
      <c r="B144" s="24"/>
    </row>
    <row r="145" spans="1:2" x14ac:dyDescent="0.25">
      <c r="A145" s="23"/>
      <c r="B145" s="24"/>
    </row>
    <row r="146" spans="1:2" x14ac:dyDescent="0.25">
      <c r="A146" s="23"/>
      <c r="B146" s="24"/>
    </row>
    <row r="147" spans="1:2" x14ac:dyDescent="0.25">
      <c r="A147" s="23"/>
      <c r="B147" s="24"/>
    </row>
    <row r="148" spans="1:2" x14ac:dyDescent="0.25">
      <c r="A148" s="23"/>
      <c r="B148" s="24"/>
    </row>
    <row r="149" spans="1:2" x14ac:dyDescent="0.25">
      <c r="A149" s="23"/>
      <c r="B149" s="24"/>
    </row>
    <row r="150" spans="1:2" x14ac:dyDescent="0.25">
      <c r="A150" s="23"/>
      <c r="B150" s="24"/>
    </row>
    <row r="151" spans="1:2" x14ac:dyDescent="0.25">
      <c r="A151" s="23"/>
      <c r="B151" s="24"/>
    </row>
    <row r="152" spans="1:2" x14ac:dyDescent="0.25">
      <c r="A152" s="23"/>
      <c r="B152" s="24"/>
    </row>
    <row r="153" spans="1:2" x14ac:dyDescent="0.25">
      <c r="A153" s="23"/>
      <c r="B153" s="24"/>
    </row>
    <row r="154" spans="1:2" x14ac:dyDescent="0.25">
      <c r="A154" s="23"/>
      <c r="B154" s="24"/>
    </row>
    <row r="155" spans="1:2" x14ac:dyDescent="0.25">
      <c r="A155" s="23"/>
      <c r="B155" s="24"/>
    </row>
    <row r="156" spans="1:2" x14ac:dyDescent="0.25">
      <c r="A156" s="23"/>
      <c r="B156" s="24"/>
    </row>
    <row r="157" spans="1:2" x14ac:dyDescent="0.25">
      <c r="A157" s="23"/>
      <c r="B157" s="24"/>
    </row>
    <row r="158" spans="1:2" x14ac:dyDescent="0.25">
      <c r="A158" s="23"/>
      <c r="B158" s="24"/>
    </row>
    <row r="159" spans="1:2" x14ac:dyDescent="0.25">
      <c r="A159" s="23"/>
      <c r="B159" s="24"/>
    </row>
    <row r="160" spans="1:2" x14ac:dyDescent="0.25">
      <c r="A160" s="23"/>
      <c r="B160" s="24"/>
    </row>
    <row r="161" spans="1:2" x14ac:dyDescent="0.25">
      <c r="A161" s="23"/>
      <c r="B161" s="24"/>
    </row>
    <row r="162" spans="1:2" x14ac:dyDescent="0.25">
      <c r="A162" s="23"/>
      <c r="B162" s="24"/>
    </row>
    <row r="163" spans="1:2" x14ac:dyDescent="0.25">
      <c r="A163" s="23"/>
      <c r="B163" s="24"/>
    </row>
    <row r="164" spans="1:2" x14ac:dyDescent="0.25">
      <c r="A164" s="23"/>
      <c r="B164" s="24"/>
    </row>
    <row r="165" spans="1:2" x14ac:dyDescent="0.25">
      <c r="A165" s="23"/>
      <c r="B165" s="24"/>
    </row>
    <row r="166" spans="1:2" x14ac:dyDescent="0.25">
      <c r="A166" s="23"/>
      <c r="B166" s="24"/>
    </row>
    <row r="167" spans="1:2" x14ac:dyDescent="0.25">
      <c r="A167" s="23"/>
      <c r="B167" s="24"/>
    </row>
    <row r="168" spans="1:2" x14ac:dyDescent="0.25">
      <c r="A168" s="23"/>
      <c r="B168" s="24"/>
    </row>
    <row r="169" spans="1:2" x14ac:dyDescent="0.25">
      <c r="A169" s="23"/>
      <c r="B169" s="24"/>
    </row>
    <row r="170" spans="1:2" x14ac:dyDescent="0.25">
      <c r="A170" s="23"/>
      <c r="B170" s="24"/>
    </row>
    <row r="171" spans="1:2" x14ac:dyDescent="0.25">
      <c r="A171" s="23"/>
      <c r="B171" s="24"/>
    </row>
    <row r="172" spans="1:2" x14ac:dyDescent="0.25">
      <c r="A172" s="23"/>
      <c r="B172" s="24"/>
    </row>
    <row r="173" spans="1:2" x14ac:dyDescent="0.25">
      <c r="A173" s="23"/>
      <c r="B173" s="24"/>
    </row>
    <row r="174" spans="1:2" x14ac:dyDescent="0.25">
      <c r="A174" s="23"/>
      <c r="B174" s="24"/>
    </row>
    <row r="175" spans="1:2" x14ac:dyDescent="0.25">
      <c r="A175" s="23"/>
      <c r="B175" s="24"/>
    </row>
    <row r="176" spans="1:2" x14ac:dyDescent="0.25">
      <c r="A176" s="23"/>
      <c r="B176" s="24"/>
    </row>
    <row r="177" spans="1:2" x14ac:dyDescent="0.25">
      <c r="A177" s="23"/>
      <c r="B177" s="24"/>
    </row>
    <row r="178" spans="1:2" x14ac:dyDescent="0.25">
      <c r="A178" s="23"/>
      <c r="B178" s="24"/>
    </row>
    <row r="179" spans="1:2" x14ac:dyDescent="0.25">
      <c r="A179" s="23"/>
      <c r="B179" s="24"/>
    </row>
    <row r="180" spans="1:2" x14ac:dyDescent="0.25">
      <c r="A180" s="23"/>
      <c r="B180" s="24"/>
    </row>
    <row r="181" spans="1:2" x14ac:dyDescent="0.25">
      <c r="A181" s="23"/>
      <c r="B181" s="24"/>
    </row>
    <row r="182" spans="1:2" x14ac:dyDescent="0.25">
      <c r="A182" s="23"/>
      <c r="B182" s="24"/>
    </row>
    <row r="183" spans="1:2" x14ac:dyDescent="0.25">
      <c r="A183" s="23"/>
      <c r="B183" s="24"/>
    </row>
    <row r="184" spans="1:2" x14ac:dyDescent="0.25">
      <c r="A184" s="23"/>
      <c r="B184" s="24"/>
    </row>
    <row r="185" spans="1:2" x14ac:dyDescent="0.25">
      <c r="A185" s="23"/>
      <c r="B185" s="24"/>
    </row>
    <row r="186" spans="1:2" x14ac:dyDescent="0.25">
      <c r="A186" s="23"/>
      <c r="B186" s="24"/>
    </row>
    <row r="187" spans="1:2" x14ac:dyDescent="0.25">
      <c r="A187" s="23"/>
      <c r="B187" s="24"/>
    </row>
    <row r="188" spans="1:2" x14ac:dyDescent="0.25">
      <c r="A188" s="23"/>
      <c r="B188" s="24"/>
    </row>
    <row r="189" spans="1:2" x14ac:dyDescent="0.25">
      <c r="A189" s="23"/>
      <c r="B189" s="24"/>
    </row>
    <row r="190" spans="1:2" x14ac:dyDescent="0.25">
      <c r="A190" s="23"/>
      <c r="B190" s="24"/>
    </row>
    <row r="191" spans="1:2" x14ac:dyDescent="0.25">
      <c r="A191" s="23"/>
      <c r="B191" s="24"/>
    </row>
    <row r="192" spans="1:2" x14ac:dyDescent="0.25">
      <c r="A192" s="23"/>
      <c r="B192" s="24"/>
    </row>
    <row r="193" spans="1:2" x14ac:dyDescent="0.25">
      <c r="A193" s="23"/>
      <c r="B193" s="24"/>
    </row>
    <row r="194" spans="1:2" x14ac:dyDescent="0.25">
      <c r="A194" s="23"/>
      <c r="B194" s="24"/>
    </row>
    <row r="195" spans="1:2" x14ac:dyDescent="0.25">
      <c r="A195" s="23"/>
      <c r="B195" s="24"/>
    </row>
    <row r="196" spans="1:2" x14ac:dyDescent="0.25">
      <c r="A196" s="23"/>
      <c r="B196" s="24"/>
    </row>
    <row r="197" spans="1:2" x14ac:dyDescent="0.25">
      <c r="A197" s="23"/>
      <c r="B197" s="24"/>
    </row>
    <row r="198" spans="1:2" x14ac:dyDescent="0.25">
      <c r="A198" s="23"/>
      <c r="B198" s="24"/>
    </row>
    <row r="199" spans="1:2" x14ac:dyDescent="0.25">
      <c r="A199" s="23"/>
      <c r="B199" s="24"/>
    </row>
    <row r="200" spans="1:2" x14ac:dyDescent="0.25">
      <c r="A200" s="23"/>
      <c r="B200" s="24"/>
    </row>
    <row r="201" spans="1:2" x14ac:dyDescent="0.25">
      <c r="A201" s="23"/>
      <c r="B201" s="24"/>
    </row>
    <row r="202" spans="1:2" x14ac:dyDescent="0.25">
      <c r="A202" s="23"/>
      <c r="B202" s="24"/>
    </row>
    <row r="203" spans="1:2" x14ac:dyDescent="0.25">
      <c r="A203" s="23"/>
      <c r="B203" s="24"/>
    </row>
    <row r="204" spans="1:2" x14ac:dyDescent="0.25">
      <c r="A204" s="23"/>
      <c r="B204" s="24"/>
    </row>
    <row r="205" spans="1:2" x14ac:dyDescent="0.25">
      <c r="A205" s="23"/>
      <c r="B205" s="24"/>
    </row>
    <row r="206" spans="1:2" x14ac:dyDescent="0.25">
      <c r="A206" s="23"/>
      <c r="B206" s="24"/>
    </row>
    <row r="207" spans="1:2" x14ac:dyDescent="0.25">
      <c r="A207" s="23"/>
      <c r="B207" s="24"/>
    </row>
    <row r="208" spans="1:2" x14ac:dyDescent="0.25">
      <c r="A208" s="23"/>
      <c r="B208" s="24"/>
    </row>
    <row r="209" spans="1:2" x14ac:dyDescent="0.25">
      <c r="A209" s="23"/>
      <c r="B209" s="24"/>
    </row>
    <row r="210" spans="1:2" x14ac:dyDescent="0.25">
      <c r="A210" s="23"/>
      <c r="B210" s="24"/>
    </row>
    <row r="211" spans="1:2" x14ac:dyDescent="0.25">
      <c r="A211" s="23"/>
      <c r="B211" s="24"/>
    </row>
    <row r="212" spans="1:2" x14ac:dyDescent="0.25">
      <c r="A212" s="23"/>
      <c r="B212" s="24"/>
    </row>
    <row r="213" spans="1:2" x14ac:dyDescent="0.25">
      <c r="A213" s="23"/>
      <c r="B213" s="24"/>
    </row>
    <row r="214" spans="1:2" x14ac:dyDescent="0.25">
      <c r="A214" s="23"/>
      <c r="B214" s="24"/>
    </row>
    <row r="215" spans="1:2" x14ac:dyDescent="0.25">
      <c r="A215" s="23"/>
      <c r="B215" s="24"/>
    </row>
    <row r="216" spans="1:2" x14ac:dyDescent="0.25">
      <c r="A216" s="23"/>
      <c r="B216" s="24"/>
    </row>
    <row r="217" spans="1:2" x14ac:dyDescent="0.25">
      <c r="A217" s="23"/>
      <c r="B217" s="24"/>
    </row>
    <row r="218" spans="1:2" x14ac:dyDescent="0.25">
      <c r="A218" s="23"/>
      <c r="B218" s="24"/>
    </row>
    <row r="219" spans="1:2" x14ac:dyDescent="0.25">
      <c r="A219" s="23"/>
      <c r="B219" s="24"/>
    </row>
    <row r="220" spans="1:2" x14ac:dyDescent="0.25">
      <c r="A220" s="23"/>
      <c r="B220" s="24"/>
    </row>
    <row r="221" spans="1:2" x14ac:dyDescent="0.25">
      <c r="A221" s="23"/>
      <c r="B221" s="24"/>
    </row>
    <row r="222" spans="1:2" x14ac:dyDescent="0.25">
      <c r="A222" s="23"/>
      <c r="B222" s="24"/>
    </row>
    <row r="223" spans="1:2" x14ac:dyDescent="0.25">
      <c r="A223" s="23"/>
      <c r="B223" s="24"/>
    </row>
    <row r="224" spans="1:2" x14ac:dyDescent="0.25">
      <c r="A224" s="23"/>
      <c r="B224" s="24"/>
    </row>
    <row r="225" spans="1:2" x14ac:dyDescent="0.25">
      <c r="A225" s="23"/>
      <c r="B225" s="24"/>
    </row>
    <row r="226" spans="1:2" x14ac:dyDescent="0.25">
      <c r="A226" s="23"/>
      <c r="B226" s="24"/>
    </row>
    <row r="227" spans="1:2" x14ac:dyDescent="0.25">
      <c r="A227" s="23"/>
      <c r="B227" s="24"/>
    </row>
    <row r="228" spans="1:2" x14ac:dyDescent="0.25">
      <c r="A228" s="23"/>
      <c r="B228" s="24"/>
    </row>
    <row r="229" spans="1:2" x14ac:dyDescent="0.25">
      <c r="A229" s="23"/>
      <c r="B229" s="24"/>
    </row>
    <row r="230" spans="1:2" x14ac:dyDescent="0.25">
      <c r="A230" s="23"/>
      <c r="B230" s="24"/>
    </row>
    <row r="231" spans="1:2" x14ac:dyDescent="0.25">
      <c r="A231" s="23"/>
      <c r="B231" s="24"/>
    </row>
    <row r="232" spans="1:2" x14ac:dyDescent="0.25">
      <c r="A232" s="23"/>
      <c r="B232" s="24"/>
    </row>
    <row r="233" spans="1:2" x14ac:dyDescent="0.25">
      <c r="A233" s="23"/>
      <c r="B233" s="24"/>
    </row>
    <row r="234" spans="1:2" x14ac:dyDescent="0.25">
      <c r="A234" s="23"/>
      <c r="B234" s="24"/>
    </row>
    <row r="235" spans="1:2" x14ac:dyDescent="0.25">
      <c r="A235" s="23"/>
      <c r="B235" s="24"/>
    </row>
    <row r="236" spans="1:2" x14ac:dyDescent="0.25">
      <c r="A236" s="23"/>
      <c r="B236" s="24"/>
    </row>
    <row r="237" spans="1:2" x14ac:dyDescent="0.25">
      <c r="A237" s="23"/>
      <c r="B237" s="24"/>
    </row>
    <row r="238" spans="1:2" x14ac:dyDescent="0.25">
      <c r="A238" s="23"/>
      <c r="B238" s="24"/>
    </row>
    <row r="239" spans="1:2" x14ac:dyDescent="0.25">
      <c r="A239" s="23"/>
      <c r="B239" s="24"/>
    </row>
    <row r="240" spans="1:2" x14ac:dyDescent="0.25">
      <c r="A240" s="23"/>
      <c r="B240" s="24"/>
    </row>
    <row r="241" spans="1:2" x14ac:dyDescent="0.25">
      <c r="A241" s="23"/>
      <c r="B241" s="24"/>
    </row>
    <row r="242" spans="1:2" x14ac:dyDescent="0.25">
      <c r="A242" s="23"/>
      <c r="B242" s="24"/>
    </row>
    <row r="243" spans="1:2" x14ac:dyDescent="0.25">
      <c r="A243" s="23"/>
      <c r="B243" s="24"/>
    </row>
    <row r="244" spans="1:2" x14ac:dyDescent="0.25">
      <c r="A244" s="23"/>
      <c r="B244" s="24"/>
    </row>
    <row r="245" spans="1:2" x14ac:dyDescent="0.25">
      <c r="A245" s="23"/>
      <c r="B245" s="24"/>
    </row>
    <row r="246" spans="1:2" x14ac:dyDescent="0.25">
      <c r="A246" s="23"/>
      <c r="B246" s="24"/>
    </row>
    <row r="247" spans="1:2" x14ac:dyDescent="0.25">
      <c r="A247" s="23"/>
      <c r="B247" s="24"/>
    </row>
    <row r="248" spans="1:2" x14ac:dyDescent="0.25">
      <c r="A248" s="23"/>
      <c r="B248" s="24"/>
    </row>
    <row r="249" spans="1:2" x14ac:dyDescent="0.25">
      <c r="A249" s="23"/>
      <c r="B249" s="24"/>
    </row>
    <row r="250" spans="1:2" x14ac:dyDescent="0.25">
      <c r="A250" s="23"/>
      <c r="B250" s="24"/>
    </row>
    <row r="251" spans="1:2" x14ac:dyDescent="0.25">
      <c r="A251" s="23"/>
      <c r="B251" s="24"/>
    </row>
    <row r="252" spans="1:2" x14ac:dyDescent="0.25">
      <c r="A252" s="23"/>
      <c r="B252" s="24"/>
    </row>
    <row r="253" spans="1:2" x14ac:dyDescent="0.25">
      <c r="A253" s="23"/>
      <c r="B253" s="24"/>
    </row>
    <row r="254" spans="1:2" x14ac:dyDescent="0.25">
      <c r="A254" s="23"/>
      <c r="B254" s="24"/>
    </row>
    <row r="255" spans="1:2" x14ac:dyDescent="0.25">
      <c r="A255" s="23"/>
      <c r="B255" s="24"/>
    </row>
    <row r="256" spans="1:2" x14ac:dyDescent="0.25">
      <c r="A256" s="23"/>
      <c r="B256" s="24"/>
    </row>
    <row r="257" spans="1:2" x14ac:dyDescent="0.25">
      <c r="A257" s="23"/>
      <c r="B257" s="24"/>
    </row>
    <row r="258" spans="1:2" x14ac:dyDescent="0.25">
      <c r="A258" s="23"/>
      <c r="B258" s="24"/>
    </row>
    <row r="259" spans="1:2" x14ac:dyDescent="0.25">
      <c r="A259" s="23"/>
      <c r="B259" s="24"/>
    </row>
    <row r="260" spans="1:2" x14ac:dyDescent="0.25">
      <c r="A260" s="23"/>
      <c r="B260" s="24"/>
    </row>
    <row r="261" spans="1:2" x14ac:dyDescent="0.25">
      <c r="A261" s="23"/>
      <c r="B261" s="24"/>
    </row>
    <row r="262" spans="1:2" x14ac:dyDescent="0.25">
      <c r="A262" s="23"/>
      <c r="B262" s="24"/>
    </row>
    <row r="263" spans="1:2" x14ac:dyDescent="0.25">
      <c r="A263" s="23"/>
      <c r="B263" s="24"/>
    </row>
    <row r="264" spans="1:2" x14ac:dyDescent="0.25">
      <c r="A264" s="23"/>
      <c r="B264" s="24"/>
    </row>
    <row r="265" spans="1:2" x14ac:dyDescent="0.25">
      <c r="A265" s="23"/>
      <c r="B265" s="24"/>
    </row>
    <row r="266" spans="1:2" x14ac:dyDescent="0.25">
      <c r="A266" s="23"/>
      <c r="B266" s="24"/>
    </row>
    <row r="267" spans="1:2" x14ac:dyDescent="0.25">
      <c r="A267" s="23"/>
      <c r="B267" s="24"/>
    </row>
    <row r="268" spans="1:2" x14ac:dyDescent="0.25">
      <c r="A268" s="23"/>
      <c r="B268" s="24"/>
    </row>
    <row r="269" spans="1:2" x14ac:dyDescent="0.25">
      <c r="A269" s="23"/>
      <c r="B269" s="24"/>
    </row>
    <row r="270" spans="1:2" x14ac:dyDescent="0.25">
      <c r="A270" s="23"/>
      <c r="B270" s="24"/>
    </row>
    <row r="271" spans="1:2" x14ac:dyDescent="0.25">
      <c r="A271" s="23"/>
      <c r="B271" s="24"/>
    </row>
    <row r="272" spans="1:2" x14ac:dyDescent="0.25">
      <c r="A272" s="23"/>
      <c r="B272" s="24"/>
    </row>
    <row r="273" spans="1:2" x14ac:dyDescent="0.25">
      <c r="A273" s="23"/>
      <c r="B273" s="24"/>
    </row>
    <row r="274" spans="1:2" x14ac:dyDescent="0.25">
      <c r="A274" s="23"/>
      <c r="B274" s="24"/>
    </row>
    <row r="275" spans="1:2" x14ac:dyDescent="0.25">
      <c r="A275" s="23"/>
      <c r="B275" s="24"/>
    </row>
    <row r="276" spans="1:2" x14ac:dyDescent="0.25">
      <c r="A276" s="23"/>
      <c r="B276" s="24"/>
    </row>
    <row r="277" spans="1:2" x14ac:dyDescent="0.25">
      <c r="A277" s="23"/>
      <c r="B277" s="24"/>
    </row>
    <row r="278" spans="1:2" x14ac:dyDescent="0.25">
      <c r="A278" s="23"/>
      <c r="B278" s="24"/>
    </row>
    <row r="279" spans="1:2" x14ac:dyDescent="0.25">
      <c r="A279" s="23"/>
      <c r="B279" s="24"/>
    </row>
    <row r="280" spans="1:2" x14ac:dyDescent="0.25">
      <c r="A280" s="23"/>
      <c r="B280" s="24"/>
    </row>
    <row r="281" spans="1:2" x14ac:dyDescent="0.25">
      <c r="A281" s="23"/>
      <c r="B281" s="24"/>
    </row>
    <row r="282" spans="1:2" x14ac:dyDescent="0.25">
      <c r="A282" s="23"/>
      <c r="B282" s="24"/>
    </row>
    <row r="283" spans="1:2" x14ac:dyDescent="0.25">
      <c r="A283" s="23"/>
      <c r="B283" s="24"/>
    </row>
    <row r="284" spans="1:2" x14ac:dyDescent="0.25">
      <c r="A284" s="23"/>
      <c r="B284" s="24"/>
    </row>
    <row r="285" spans="1:2" x14ac:dyDescent="0.25">
      <c r="A285" s="23"/>
      <c r="B285" s="24"/>
    </row>
    <row r="286" spans="1:2" x14ac:dyDescent="0.25">
      <c r="A286" s="23"/>
      <c r="B286" s="24"/>
    </row>
    <row r="287" spans="1:2" x14ac:dyDescent="0.25">
      <c r="A287" s="23"/>
      <c r="B287" s="24"/>
    </row>
    <row r="288" spans="1:2" x14ac:dyDescent="0.25">
      <c r="A288" s="23"/>
      <c r="B288" s="24"/>
    </row>
    <row r="289" spans="1:2" x14ac:dyDescent="0.25">
      <c r="A289" s="23"/>
      <c r="B289" s="24"/>
    </row>
    <row r="290" spans="1:2" x14ac:dyDescent="0.25">
      <c r="A290" s="23"/>
      <c r="B290" s="24"/>
    </row>
    <row r="291" spans="1:2" x14ac:dyDescent="0.25">
      <c r="A291" s="23"/>
      <c r="B291" s="24"/>
    </row>
    <row r="292" spans="1:2" x14ac:dyDescent="0.25">
      <c r="A292" s="23"/>
      <c r="B292" s="24"/>
    </row>
    <row r="293" spans="1:2" x14ac:dyDescent="0.25">
      <c r="A293" s="23"/>
      <c r="B293" s="24"/>
    </row>
    <row r="294" spans="1:2" x14ac:dyDescent="0.25">
      <c r="A294" s="23"/>
      <c r="B294" s="24"/>
    </row>
    <row r="295" spans="1:2" x14ac:dyDescent="0.25">
      <c r="A295" s="23"/>
      <c r="B295" s="24"/>
    </row>
    <row r="296" spans="1:2" x14ac:dyDescent="0.25">
      <c r="A296" s="23"/>
      <c r="B296" s="24"/>
    </row>
    <row r="297" spans="1:2" x14ac:dyDescent="0.25">
      <c r="A297" s="23"/>
      <c r="B297" s="24"/>
    </row>
    <row r="298" spans="1:2" x14ac:dyDescent="0.25">
      <c r="A298" s="23"/>
      <c r="B298" s="24"/>
    </row>
    <row r="299" spans="1:2" x14ac:dyDescent="0.25">
      <c r="A299" s="23"/>
      <c r="B299" s="2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o V I W h a 4 2 S a l A A A A 9 g A A A B I A H A B D b 2 5 m a W c v U G F j a 2 F n Z S 5 4 b W w g o h g A K K A U A A A A A A A A A A A A A A A A A A A A A A A A A A A A h Y + 9 D o I w H M R f h X S n H 7 A Q 8 q c M x k 0 S E x L j 2 p Q K D V A M L Z Z 3 c / C R f A U x i r o 5 3 t 3 v k r v 7 9 Q b 5 3 H f B R Y 1 W D y Z D D F M U K C O H S p s 6 Q 5 M 7 h Q n K O e y F b E W t g g U 2 N p 2 t z l D j 3 D k l x H u P f Y y H s S Y R p Y w c i 1 0 p G 9 W L U B v r h J E K f V r V / x b i c H i N 4 R F m c Y J Z Q j E F s p p Q a P M F o m X v M / 0 x Y T N 1 b h o V V z b c l k B W C e T 9 g T 8 A U E s D B B Q A A g A I A B K F S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h U h a K I p H u A 4 A A A A R A A A A E w A c A E Z v c m 1 1 b G F z L 1 N l Y 3 R p b 2 4 x L m 0 g o h g A K K A U A A A A A A A A A A A A A A A A A A A A A A A A A A A A K 0 5 N L s n M z 1 M I h t C G 1 g B Q S w E C L Q A U A A I A C A A S h U h a F r j Z J q U A A A D 2 A A A A E g A A A A A A A A A A A A A A A A A A A A A A Q 2 9 u Z m l n L 1 B h Y 2 t h Z 2 U u e G 1 s U E s B A i 0 A F A A C A A g A E o V I W g / K 6 a u k A A A A 6 Q A A A B M A A A A A A A A A A A A A A A A A 8 Q A A A F t D b 2 5 0 Z W 5 0 X 1 R 5 c G V z X S 5 4 b W x Q S w E C L Q A U A A I A C A A S h U h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9 0 O z Z N h P M E 2 e v L J U V n D m h g A A A A A C A A A A A A A D Z g A A w A A A A B A A A A D Q O j y 7 O 3 R m J q S q 3 9 6 p C J 9 n A A A A A A S A A A C g A A A A E A A A A M t z j 0 A K z W v w V 3 6 R m 0 i / T 9 x Q A A A A 0 L c Q t q 1 y 8 j 3 J z a L / G / a d K o p k H 2 q x z U h r i 8 E D C B m I 2 l f 7 C W w y M s 4 K B 2 U s B z + 6 4 0 9 9 e q l F O v v 2 D R P U k k x O H g 9 B v R m I k K j z O c 6 Z C X H x L s Z 5 o 3 w U A A A A O c m y I S r r a l 2 h d / r b 7 C N 5 h B 7 2 A y k = < / D a t a M a s h u p > 
</file>

<file path=customXml/itemProps1.xml><?xml version="1.0" encoding="utf-8"?>
<ds:datastoreItem xmlns:ds="http://schemas.openxmlformats.org/officeDocument/2006/customXml" ds:itemID="{8B3AF5FD-8A8A-471B-B944-28F5D867B654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a25214f-ee52-483c-b96b-dc79f3227a6f}" enabled="0" method="" siteId="{0a25214f-ee52-483c-b96b-dc79f3227a6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tabla-73709</vt:lpstr>
      <vt:lpstr>Hoja4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González Pérez-Villacastín, Inés</cp:lastModifiedBy>
  <dcterms:created xsi:type="dcterms:W3CDTF">2025-02-08T12:11:44Z</dcterms:created>
  <dcterms:modified xsi:type="dcterms:W3CDTF">2025-02-08T17:52:51Z</dcterms:modified>
</cp:coreProperties>
</file>