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codeName="EstaPasta_de_trabalho" defaultThemeVersion="124226"/>
  <xr:revisionPtr revIDLastSave="23" documentId="13_ncr:1_{744366C3-6D54-487B-92C2-B3D685D80CF2}" xr6:coauthVersionLast="47" xr6:coauthVersionMax="47" xr10:uidLastSave="{0583E17C-75BA-4C3B-93E0-45D3B173A44A}"/>
  <bookViews>
    <workbookView xWindow="-120" yWindow="-120" windowWidth="20730" windowHeight="11760" tabRatio="863" activeTab="7" xr2:uid="{00000000-000D-0000-FFFF-FFFF00000000}"/>
  </bookViews>
  <sheets>
    <sheet name="Inputs" sheetId="3" r:id="rId1"/>
    <sheet name="Irradiação Solar" sheetId="43" r:id="rId2"/>
    <sheet name="Análise Técnica" sheetId="16" r:id="rId3"/>
    <sheet name="Análise Financeira" sheetId="10" r:id="rId4"/>
    <sheet name="Correção K" sheetId="4" state="hidden" r:id="rId5"/>
    <sheet name="Temp. Média" sheetId="6" r:id="rId6"/>
    <sheet name="Gráficos" sheetId="44" r:id="rId7"/>
    <sheet name="Custos" sheetId="45" r:id="rId8"/>
  </sheets>
  <externalReferences>
    <externalReference r:id="rId9"/>
    <externalReference r:id="rId10"/>
    <externalReference r:id="rId11"/>
  </externalReferences>
  <definedNames>
    <definedName name="_xlnm._FilterDatabase" localSheetId="4" hidden="1">'Correção K'!$B$1:$P$856</definedName>
    <definedName name="CARENCIA">[1]Planilha1!$E$2:$E$9</definedName>
    <definedName name="Carenciaa">[2]Planilha1!$E$2:$E$9</definedName>
    <definedName name="Cidade">[3]Dados!$B$4:$B$362</definedName>
    <definedName name="valuevx">42.314159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45" l="1"/>
  <c r="E17" i="45"/>
  <c r="D31" i="45"/>
  <c r="D30" i="45"/>
  <c r="D29" i="45"/>
  <c r="D28" i="45"/>
  <c r="D27" i="45"/>
  <c r="D26" i="45"/>
  <c r="D25" i="45"/>
  <c r="D18" i="45" l="1"/>
  <c r="D17" i="45" l="1"/>
  <c r="D16" i="45"/>
  <c r="D14" i="45"/>
  <c r="D13" i="45"/>
  <c r="D12" i="45"/>
  <c r="D11" i="45"/>
  <c r="D9" i="45"/>
  <c r="D8" i="45"/>
  <c r="D7" i="45"/>
  <c r="D6" i="45"/>
  <c r="D5" i="45"/>
  <c r="D4" i="45"/>
  <c r="F21" i="45"/>
  <c r="D15" i="45" l="1"/>
  <c r="C4" i="16" l="1"/>
  <c r="S3" i="4"/>
  <c r="C59" i="16"/>
  <c r="C58" i="16"/>
  <c r="C57" i="16"/>
  <c r="C60" i="16"/>
  <c r="C61" i="16"/>
  <c r="C62" i="16"/>
  <c r="C63" i="16"/>
  <c r="C64" i="16"/>
  <c r="C65" i="16"/>
  <c r="C7" i="3" l="1"/>
  <c r="C8" i="3"/>
  <c r="C9" i="3"/>
  <c r="C10" i="3"/>
  <c r="C11" i="3"/>
  <c r="C12" i="3"/>
  <c r="C13" i="3"/>
  <c r="C14" i="3"/>
  <c r="C15" i="3"/>
  <c r="C16" i="3"/>
  <c r="C17" i="3"/>
  <c r="C6" i="3"/>
  <c r="C8" i="16"/>
  <c r="J4" i="16"/>
  <c r="K4" i="16"/>
  <c r="L4" i="16"/>
  <c r="M4" i="16"/>
  <c r="N4" i="16"/>
  <c r="O4" i="16"/>
  <c r="P4" i="16"/>
  <c r="Q4" i="16"/>
  <c r="R4" i="16"/>
  <c r="S4" i="16"/>
  <c r="T4" i="16"/>
  <c r="I4" i="16"/>
  <c r="S2" i="4" l="1"/>
  <c r="S4" i="4" s="1"/>
  <c r="C11" i="16"/>
  <c r="P856" i="4"/>
  <c r="A856" i="4"/>
  <c r="P855" i="4"/>
  <c r="A855" i="4"/>
  <c r="P854" i="4"/>
  <c r="A854" i="4"/>
  <c r="P853" i="4"/>
  <c r="A853" i="4"/>
  <c r="P852" i="4"/>
  <c r="A852" i="4"/>
  <c r="P851" i="4"/>
  <c r="A851" i="4"/>
  <c r="P850" i="4"/>
  <c r="A850" i="4"/>
  <c r="P849" i="4"/>
  <c r="A849" i="4"/>
  <c r="P848" i="4"/>
  <c r="A848" i="4"/>
  <c r="P847" i="4"/>
  <c r="A847" i="4"/>
  <c r="P846" i="4"/>
  <c r="A846" i="4"/>
  <c r="P845" i="4"/>
  <c r="A845" i="4"/>
  <c r="P844" i="4"/>
  <c r="A844" i="4"/>
  <c r="P843" i="4"/>
  <c r="A843" i="4"/>
  <c r="P842" i="4"/>
  <c r="A842" i="4"/>
  <c r="P841" i="4"/>
  <c r="A841" i="4"/>
  <c r="P840" i="4"/>
  <c r="A840" i="4"/>
  <c r="P839" i="4"/>
  <c r="A839" i="4"/>
  <c r="P838" i="4"/>
  <c r="A838" i="4"/>
  <c r="P837" i="4"/>
  <c r="A837" i="4"/>
  <c r="P836" i="4"/>
  <c r="A836" i="4"/>
  <c r="P835" i="4"/>
  <c r="A835" i="4"/>
  <c r="P834" i="4"/>
  <c r="A834" i="4"/>
  <c r="P833" i="4"/>
  <c r="A833" i="4"/>
  <c r="P832" i="4"/>
  <c r="A832" i="4"/>
  <c r="P831" i="4"/>
  <c r="A831" i="4"/>
  <c r="P830" i="4"/>
  <c r="A830" i="4"/>
  <c r="P829" i="4"/>
  <c r="A829" i="4"/>
  <c r="P828" i="4"/>
  <c r="A828" i="4"/>
  <c r="P827" i="4"/>
  <c r="A827" i="4"/>
  <c r="P826" i="4"/>
  <c r="A826" i="4"/>
  <c r="P825" i="4"/>
  <c r="A825" i="4"/>
  <c r="P824" i="4"/>
  <c r="A824" i="4"/>
  <c r="P823" i="4"/>
  <c r="A823" i="4"/>
  <c r="P822" i="4"/>
  <c r="A822" i="4"/>
  <c r="P821" i="4"/>
  <c r="A821" i="4"/>
  <c r="P820" i="4"/>
  <c r="A820" i="4"/>
  <c r="P819" i="4"/>
  <c r="A819" i="4"/>
  <c r="P818" i="4"/>
  <c r="A818" i="4"/>
  <c r="P817" i="4"/>
  <c r="A817" i="4"/>
  <c r="P816" i="4"/>
  <c r="A816" i="4"/>
  <c r="P815" i="4"/>
  <c r="A815" i="4"/>
  <c r="P814" i="4"/>
  <c r="A814" i="4"/>
  <c r="P813" i="4"/>
  <c r="A813" i="4"/>
  <c r="P812" i="4"/>
  <c r="A812" i="4"/>
  <c r="P811" i="4"/>
  <c r="A811" i="4"/>
  <c r="P810" i="4"/>
  <c r="A810" i="4"/>
  <c r="P809" i="4"/>
  <c r="A809" i="4"/>
  <c r="P808" i="4"/>
  <c r="A808" i="4"/>
  <c r="P807" i="4"/>
  <c r="A807" i="4"/>
  <c r="P806" i="4"/>
  <c r="A806" i="4"/>
  <c r="P805" i="4"/>
  <c r="A805" i="4"/>
  <c r="P804" i="4"/>
  <c r="A804" i="4"/>
  <c r="P803" i="4"/>
  <c r="A803" i="4"/>
  <c r="P802" i="4"/>
  <c r="A802" i="4"/>
  <c r="P801" i="4"/>
  <c r="A801" i="4"/>
  <c r="P800" i="4"/>
  <c r="A800" i="4"/>
  <c r="P799" i="4"/>
  <c r="A799" i="4"/>
  <c r="P798" i="4"/>
  <c r="A798" i="4"/>
  <c r="P797" i="4"/>
  <c r="A797" i="4"/>
  <c r="P796" i="4"/>
  <c r="A796" i="4"/>
  <c r="P795" i="4"/>
  <c r="A795" i="4"/>
  <c r="P794" i="4"/>
  <c r="A794" i="4"/>
  <c r="P793" i="4"/>
  <c r="A793" i="4"/>
  <c r="P792" i="4"/>
  <c r="A792" i="4"/>
  <c r="P791" i="4"/>
  <c r="A791" i="4"/>
  <c r="P790" i="4"/>
  <c r="A790" i="4"/>
  <c r="P789" i="4"/>
  <c r="A789" i="4"/>
  <c r="P788" i="4"/>
  <c r="A788" i="4"/>
  <c r="P787" i="4"/>
  <c r="A787" i="4"/>
  <c r="P786" i="4"/>
  <c r="A786" i="4"/>
  <c r="P785" i="4"/>
  <c r="A785" i="4"/>
  <c r="P784" i="4"/>
  <c r="A784" i="4"/>
  <c r="P783" i="4"/>
  <c r="A783" i="4"/>
  <c r="P782" i="4"/>
  <c r="A782" i="4"/>
  <c r="P781" i="4"/>
  <c r="A781" i="4"/>
  <c r="P780" i="4"/>
  <c r="A780" i="4"/>
  <c r="P779" i="4"/>
  <c r="A779" i="4"/>
  <c r="P778" i="4"/>
  <c r="A778" i="4"/>
  <c r="P777" i="4"/>
  <c r="A777" i="4"/>
  <c r="P776" i="4"/>
  <c r="A776" i="4"/>
  <c r="P775" i="4"/>
  <c r="A775" i="4"/>
  <c r="P774" i="4"/>
  <c r="A774" i="4"/>
  <c r="P773" i="4"/>
  <c r="A773" i="4"/>
  <c r="P772" i="4"/>
  <c r="A772" i="4"/>
  <c r="P771" i="4"/>
  <c r="A771" i="4"/>
  <c r="P770" i="4"/>
  <c r="A770" i="4"/>
  <c r="P769" i="4"/>
  <c r="A769" i="4"/>
  <c r="P768" i="4"/>
  <c r="A768" i="4"/>
  <c r="P767" i="4"/>
  <c r="A767" i="4"/>
  <c r="P766" i="4"/>
  <c r="A766" i="4"/>
  <c r="P765" i="4"/>
  <c r="A765" i="4"/>
  <c r="P764" i="4"/>
  <c r="A764" i="4"/>
  <c r="P763" i="4"/>
  <c r="A763" i="4"/>
  <c r="P762" i="4"/>
  <c r="A762" i="4"/>
  <c r="P761" i="4"/>
  <c r="A761" i="4"/>
  <c r="P760" i="4"/>
  <c r="A760" i="4"/>
  <c r="P759" i="4"/>
  <c r="A759" i="4"/>
  <c r="P758" i="4"/>
  <c r="A758" i="4"/>
  <c r="P757" i="4"/>
  <c r="A757" i="4"/>
  <c r="P756" i="4"/>
  <c r="A756" i="4"/>
  <c r="P755" i="4"/>
  <c r="A755" i="4"/>
  <c r="P754" i="4"/>
  <c r="A754" i="4"/>
  <c r="P753" i="4"/>
  <c r="A753" i="4"/>
  <c r="P752" i="4"/>
  <c r="A752" i="4"/>
  <c r="P751" i="4"/>
  <c r="A751" i="4"/>
  <c r="P750" i="4"/>
  <c r="A750" i="4"/>
  <c r="P749" i="4"/>
  <c r="A749" i="4"/>
  <c r="P748" i="4"/>
  <c r="A748" i="4"/>
  <c r="P747" i="4"/>
  <c r="A747" i="4"/>
  <c r="P746" i="4"/>
  <c r="A746" i="4"/>
  <c r="P745" i="4"/>
  <c r="A745" i="4"/>
  <c r="P744" i="4"/>
  <c r="A744" i="4"/>
  <c r="P743" i="4"/>
  <c r="A743" i="4"/>
  <c r="P742" i="4"/>
  <c r="A742" i="4"/>
  <c r="P741" i="4"/>
  <c r="A741" i="4"/>
  <c r="P740" i="4"/>
  <c r="A740" i="4"/>
  <c r="P739" i="4"/>
  <c r="A739" i="4"/>
  <c r="P738" i="4"/>
  <c r="A738" i="4"/>
  <c r="P737" i="4"/>
  <c r="A737" i="4"/>
  <c r="P736" i="4"/>
  <c r="A736" i="4"/>
  <c r="P735" i="4"/>
  <c r="A735" i="4"/>
  <c r="P734" i="4"/>
  <c r="A734" i="4"/>
  <c r="P733" i="4"/>
  <c r="A733" i="4"/>
  <c r="P732" i="4"/>
  <c r="A732" i="4"/>
  <c r="P731" i="4"/>
  <c r="A731" i="4"/>
  <c r="P730" i="4"/>
  <c r="A730" i="4"/>
  <c r="P729" i="4"/>
  <c r="A729" i="4"/>
  <c r="P728" i="4"/>
  <c r="A728" i="4"/>
  <c r="P727" i="4"/>
  <c r="A727" i="4"/>
  <c r="P726" i="4"/>
  <c r="A726" i="4"/>
  <c r="P725" i="4"/>
  <c r="A725" i="4"/>
  <c r="P724" i="4"/>
  <c r="A724" i="4"/>
  <c r="P723" i="4"/>
  <c r="A723" i="4"/>
  <c r="P722" i="4"/>
  <c r="A722" i="4"/>
  <c r="P721" i="4"/>
  <c r="A721" i="4"/>
  <c r="P720" i="4"/>
  <c r="A720" i="4"/>
  <c r="P719" i="4"/>
  <c r="A719" i="4"/>
  <c r="P718" i="4"/>
  <c r="A718" i="4"/>
  <c r="P717" i="4"/>
  <c r="A717" i="4"/>
  <c r="P716" i="4"/>
  <c r="A716" i="4"/>
  <c r="P715" i="4"/>
  <c r="A715" i="4"/>
  <c r="P714" i="4"/>
  <c r="A714" i="4"/>
  <c r="P713" i="4"/>
  <c r="A713" i="4"/>
  <c r="P712" i="4"/>
  <c r="A712" i="4"/>
  <c r="P711" i="4"/>
  <c r="A711" i="4"/>
  <c r="P710" i="4"/>
  <c r="A710" i="4"/>
  <c r="P709" i="4"/>
  <c r="A709" i="4"/>
  <c r="P708" i="4"/>
  <c r="A708" i="4"/>
  <c r="P707" i="4"/>
  <c r="A707" i="4"/>
  <c r="P706" i="4"/>
  <c r="A706" i="4"/>
  <c r="P705" i="4"/>
  <c r="A705" i="4"/>
  <c r="P704" i="4"/>
  <c r="A704" i="4"/>
  <c r="P703" i="4"/>
  <c r="A703" i="4"/>
  <c r="P702" i="4"/>
  <c r="A702" i="4"/>
  <c r="P701" i="4"/>
  <c r="A701" i="4"/>
  <c r="P700" i="4"/>
  <c r="A700" i="4"/>
  <c r="P699" i="4"/>
  <c r="A699" i="4"/>
  <c r="P698" i="4"/>
  <c r="A698" i="4"/>
  <c r="P697" i="4"/>
  <c r="A697" i="4"/>
  <c r="P696" i="4"/>
  <c r="A696" i="4"/>
  <c r="P695" i="4"/>
  <c r="A695" i="4"/>
  <c r="P694" i="4"/>
  <c r="A694" i="4"/>
  <c r="P693" i="4"/>
  <c r="A693" i="4"/>
  <c r="P692" i="4"/>
  <c r="A692" i="4"/>
  <c r="P691" i="4"/>
  <c r="A691" i="4"/>
  <c r="P690" i="4"/>
  <c r="A690" i="4"/>
  <c r="P689" i="4"/>
  <c r="A689" i="4"/>
  <c r="P688" i="4"/>
  <c r="A688" i="4"/>
  <c r="P687" i="4"/>
  <c r="A687" i="4"/>
  <c r="P686" i="4"/>
  <c r="A686" i="4"/>
  <c r="P685" i="4"/>
  <c r="A685" i="4"/>
  <c r="P684" i="4"/>
  <c r="A684" i="4"/>
  <c r="P683" i="4"/>
  <c r="A683" i="4"/>
  <c r="P682" i="4"/>
  <c r="A682" i="4"/>
  <c r="P681" i="4"/>
  <c r="A681" i="4"/>
  <c r="P680" i="4"/>
  <c r="A680" i="4"/>
  <c r="P679" i="4"/>
  <c r="A679" i="4"/>
  <c r="P678" i="4"/>
  <c r="A678" i="4"/>
  <c r="P677" i="4"/>
  <c r="A677" i="4"/>
  <c r="P676" i="4"/>
  <c r="A676" i="4"/>
  <c r="P675" i="4"/>
  <c r="A675" i="4"/>
  <c r="P674" i="4"/>
  <c r="A674" i="4"/>
  <c r="P673" i="4"/>
  <c r="A673" i="4"/>
  <c r="P672" i="4"/>
  <c r="A672" i="4"/>
  <c r="P671" i="4"/>
  <c r="A671" i="4"/>
  <c r="P670" i="4"/>
  <c r="A670" i="4"/>
  <c r="P669" i="4"/>
  <c r="A669" i="4"/>
  <c r="P668" i="4"/>
  <c r="A668" i="4"/>
  <c r="P667" i="4"/>
  <c r="A667" i="4"/>
  <c r="P666" i="4"/>
  <c r="A666" i="4"/>
  <c r="P665" i="4"/>
  <c r="A665" i="4"/>
  <c r="P664" i="4"/>
  <c r="A664" i="4"/>
  <c r="P663" i="4"/>
  <c r="A663" i="4"/>
  <c r="P662" i="4"/>
  <c r="A662" i="4"/>
  <c r="P661" i="4"/>
  <c r="A661" i="4"/>
  <c r="P660" i="4"/>
  <c r="A660" i="4"/>
  <c r="P659" i="4"/>
  <c r="A659" i="4"/>
  <c r="P658" i="4"/>
  <c r="A658" i="4"/>
  <c r="P657" i="4"/>
  <c r="A657" i="4"/>
  <c r="P656" i="4"/>
  <c r="A656" i="4"/>
  <c r="P655" i="4"/>
  <c r="A655" i="4"/>
  <c r="P654" i="4"/>
  <c r="A654" i="4"/>
  <c r="P653" i="4"/>
  <c r="A653" i="4"/>
  <c r="P652" i="4"/>
  <c r="A652" i="4"/>
  <c r="P651" i="4"/>
  <c r="A651" i="4"/>
  <c r="P650" i="4"/>
  <c r="A650" i="4"/>
  <c r="P649" i="4"/>
  <c r="A649" i="4"/>
  <c r="P648" i="4"/>
  <c r="A648" i="4"/>
  <c r="P647" i="4"/>
  <c r="A647" i="4"/>
  <c r="P646" i="4"/>
  <c r="A646" i="4"/>
  <c r="P645" i="4"/>
  <c r="A645" i="4"/>
  <c r="P644" i="4"/>
  <c r="A644" i="4"/>
  <c r="P643" i="4"/>
  <c r="A643" i="4"/>
  <c r="P642" i="4"/>
  <c r="A642" i="4"/>
  <c r="P641" i="4"/>
  <c r="A641" i="4"/>
  <c r="P640" i="4"/>
  <c r="A640" i="4"/>
  <c r="P639" i="4"/>
  <c r="A639" i="4"/>
  <c r="P638" i="4"/>
  <c r="A638" i="4"/>
  <c r="P637" i="4"/>
  <c r="A637" i="4"/>
  <c r="P636" i="4"/>
  <c r="A636" i="4"/>
  <c r="P635" i="4"/>
  <c r="A635" i="4"/>
  <c r="P634" i="4"/>
  <c r="A634" i="4"/>
  <c r="P633" i="4"/>
  <c r="A633" i="4"/>
  <c r="P632" i="4"/>
  <c r="A632" i="4"/>
  <c r="P631" i="4"/>
  <c r="A631" i="4"/>
  <c r="P630" i="4"/>
  <c r="A630" i="4"/>
  <c r="P629" i="4"/>
  <c r="A629" i="4"/>
  <c r="P628" i="4"/>
  <c r="A628" i="4"/>
  <c r="P627" i="4"/>
  <c r="A627" i="4"/>
  <c r="P626" i="4"/>
  <c r="A626" i="4"/>
  <c r="P625" i="4"/>
  <c r="A625" i="4"/>
  <c r="P624" i="4"/>
  <c r="A624" i="4"/>
  <c r="P623" i="4"/>
  <c r="A623" i="4"/>
  <c r="P622" i="4"/>
  <c r="A622" i="4"/>
  <c r="P621" i="4"/>
  <c r="A621" i="4"/>
  <c r="P620" i="4"/>
  <c r="A620" i="4"/>
  <c r="P619" i="4"/>
  <c r="A619" i="4"/>
  <c r="P618" i="4"/>
  <c r="A618" i="4"/>
  <c r="P617" i="4"/>
  <c r="A617" i="4"/>
  <c r="P616" i="4"/>
  <c r="A616" i="4"/>
  <c r="P615" i="4"/>
  <c r="A615" i="4"/>
  <c r="P614" i="4"/>
  <c r="A614" i="4"/>
  <c r="P613" i="4"/>
  <c r="A613" i="4"/>
  <c r="P612" i="4"/>
  <c r="A612" i="4"/>
  <c r="P611" i="4"/>
  <c r="A611" i="4"/>
  <c r="P610" i="4"/>
  <c r="A610" i="4"/>
  <c r="P609" i="4"/>
  <c r="A609" i="4"/>
  <c r="P608" i="4"/>
  <c r="A608" i="4"/>
  <c r="P607" i="4"/>
  <c r="A607" i="4"/>
  <c r="P606" i="4"/>
  <c r="A606" i="4"/>
  <c r="P605" i="4"/>
  <c r="A605" i="4"/>
  <c r="P604" i="4"/>
  <c r="A604" i="4"/>
  <c r="P603" i="4"/>
  <c r="A603" i="4"/>
  <c r="P602" i="4"/>
  <c r="A602" i="4"/>
  <c r="P601" i="4"/>
  <c r="A601" i="4"/>
  <c r="P600" i="4"/>
  <c r="A600" i="4"/>
  <c r="P599" i="4"/>
  <c r="A599" i="4"/>
  <c r="P598" i="4"/>
  <c r="A598" i="4"/>
  <c r="P597" i="4"/>
  <c r="A597" i="4"/>
  <c r="P596" i="4"/>
  <c r="A596" i="4"/>
  <c r="P595" i="4"/>
  <c r="A595" i="4"/>
  <c r="P594" i="4"/>
  <c r="A594" i="4"/>
  <c r="P593" i="4"/>
  <c r="A593" i="4"/>
  <c r="P592" i="4"/>
  <c r="A592" i="4"/>
  <c r="P591" i="4"/>
  <c r="A591" i="4"/>
  <c r="P590" i="4"/>
  <c r="A590" i="4"/>
  <c r="P589" i="4"/>
  <c r="A589" i="4"/>
  <c r="P588" i="4"/>
  <c r="A588" i="4"/>
  <c r="P587" i="4"/>
  <c r="A587" i="4"/>
  <c r="P586" i="4"/>
  <c r="A586" i="4"/>
  <c r="P585" i="4"/>
  <c r="A585" i="4"/>
  <c r="P584" i="4"/>
  <c r="A584" i="4"/>
  <c r="P583" i="4"/>
  <c r="A583" i="4"/>
  <c r="P582" i="4"/>
  <c r="A582" i="4"/>
  <c r="P581" i="4"/>
  <c r="A581" i="4"/>
  <c r="P580" i="4"/>
  <c r="A580" i="4"/>
  <c r="P579" i="4"/>
  <c r="A579" i="4"/>
  <c r="P578" i="4"/>
  <c r="A578" i="4"/>
  <c r="P577" i="4"/>
  <c r="A577" i="4"/>
  <c r="P576" i="4"/>
  <c r="A576" i="4"/>
  <c r="P575" i="4"/>
  <c r="A575" i="4"/>
  <c r="P574" i="4"/>
  <c r="A574" i="4"/>
  <c r="P573" i="4"/>
  <c r="A573" i="4"/>
  <c r="P572" i="4"/>
  <c r="A572" i="4"/>
  <c r="P571" i="4"/>
  <c r="A571" i="4"/>
  <c r="P570" i="4"/>
  <c r="A570" i="4"/>
  <c r="P569" i="4"/>
  <c r="A569" i="4"/>
  <c r="P568" i="4"/>
  <c r="A568" i="4"/>
  <c r="P567" i="4"/>
  <c r="A567" i="4"/>
  <c r="P566" i="4"/>
  <c r="A566" i="4"/>
  <c r="P565" i="4"/>
  <c r="A565" i="4"/>
  <c r="P564" i="4"/>
  <c r="A564" i="4"/>
  <c r="P563" i="4"/>
  <c r="A563" i="4"/>
  <c r="P562" i="4"/>
  <c r="A562" i="4"/>
  <c r="P561" i="4"/>
  <c r="A561" i="4"/>
  <c r="P560" i="4"/>
  <c r="A560" i="4"/>
  <c r="P559" i="4"/>
  <c r="A559" i="4"/>
  <c r="P558" i="4"/>
  <c r="A558" i="4"/>
  <c r="P557" i="4"/>
  <c r="A557" i="4"/>
  <c r="P556" i="4"/>
  <c r="A556" i="4"/>
  <c r="P555" i="4"/>
  <c r="A555" i="4"/>
  <c r="P554" i="4"/>
  <c r="A554" i="4"/>
  <c r="P553" i="4"/>
  <c r="A553" i="4"/>
  <c r="P552" i="4"/>
  <c r="A552" i="4"/>
  <c r="P551" i="4"/>
  <c r="A551" i="4"/>
  <c r="P550" i="4"/>
  <c r="A550" i="4"/>
  <c r="P549" i="4"/>
  <c r="A549" i="4"/>
  <c r="P548" i="4"/>
  <c r="A548" i="4"/>
  <c r="P547" i="4"/>
  <c r="A547" i="4"/>
  <c r="P546" i="4"/>
  <c r="A546" i="4"/>
  <c r="P545" i="4"/>
  <c r="A545" i="4"/>
  <c r="P544" i="4"/>
  <c r="A544" i="4"/>
  <c r="P543" i="4"/>
  <c r="A543" i="4"/>
  <c r="P542" i="4"/>
  <c r="A542" i="4"/>
  <c r="P541" i="4"/>
  <c r="A541" i="4"/>
  <c r="P540" i="4"/>
  <c r="A540" i="4"/>
  <c r="P539" i="4"/>
  <c r="A539" i="4"/>
  <c r="P538" i="4"/>
  <c r="A538" i="4"/>
  <c r="P537" i="4"/>
  <c r="A537" i="4"/>
  <c r="P536" i="4"/>
  <c r="A536" i="4"/>
  <c r="P535" i="4"/>
  <c r="A535" i="4"/>
  <c r="P534" i="4"/>
  <c r="A534" i="4"/>
  <c r="P533" i="4"/>
  <c r="A533" i="4"/>
  <c r="P532" i="4"/>
  <c r="A532" i="4"/>
  <c r="P531" i="4"/>
  <c r="A531" i="4"/>
  <c r="P530" i="4"/>
  <c r="A530" i="4"/>
  <c r="P529" i="4"/>
  <c r="A529" i="4"/>
  <c r="P528" i="4"/>
  <c r="A528" i="4"/>
  <c r="P527" i="4"/>
  <c r="A527" i="4"/>
  <c r="P526" i="4"/>
  <c r="A526" i="4"/>
  <c r="P525" i="4"/>
  <c r="A525" i="4"/>
  <c r="P524" i="4"/>
  <c r="A524" i="4"/>
  <c r="P523" i="4"/>
  <c r="A523" i="4"/>
  <c r="P522" i="4"/>
  <c r="A522" i="4"/>
  <c r="P521" i="4"/>
  <c r="A521" i="4"/>
  <c r="P520" i="4"/>
  <c r="A520" i="4"/>
  <c r="P519" i="4"/>
  <c r="A519" i="4"/>
  <c r="P518" i="4"/>
  <c r="A518" i="4"/>
  <c r="P517" i="4"/>
  <c r="A517" i="4"/>
  <c r="P516" i="4"/>
  <c r="A516" i="4"/>
  <c r="P515" i="4"/>
  <c r="A515" i="4"/>
  <c r="P514" i="4"/>
  <c r="A514" i="4"/>
  <c r="P513" i="4"/>
  <c r="A513" i="4"/>
  <c r="P512" i="4"/>
  <c r="A512" i="4"/>
  <c r="P511" i="4"/>
  <c r="A511" i="4"/>
  <c r="P510" i="4"/>
  <c r="A510" i="4"/>
  <c r="P509" i="4"/>
  <c r="A509" i="4"/>
  <c r="P508" i="4"/>
  <c r="A508" i="4"/>
  <c r="P507" i="4"/>
  <c r="A507" i="4"/>
  <c r="P506" i="4"/>
  <c r="A506" i="4"/>
  <c r="P505" i="4"/>
  <c r="A505" i="4"/>
  <c r="P504" i="4"/>
  <c r="A504" i="4"/>
  <c r="P503" i="4"/>
  <c r="A503" i="4"/>
  <c r="P502" i="4"/>
  <c r="A502" i="4"/>
  <c r="P501" i="4"/>
  <c r="A501" i="4"/>
  <c r="P500" i="4"/>
  <c r="A500" i="4"/>
  <c r="P499" i="4"/>
  <c r="A499" i="4"/>
  <c r="P498" i="4"/>
  <c r="A498" i="4"/>
  <c r="P497" i="4"/>
  <c r="A497" i="4"/>
  <c r="P496" i="4"/>
  <c r="A496" i="4"/>
  <c r="P495" i="4"/>
  <c r="A495" i="4"/>
  <c r="P494" i="4"/>
  <c r="A494" i="4"/>
  <c r="P493" i="4"/>
  <c r="A493" i="4"/>
  <c r="P492" i="4"/>
  <c r="A492" i="4"/>
  <c r="P491" i="4"/>
  <c r="A491" i="4"/>
  <c r="P490" i="4"/>
  <c r="A490" i="4"/>
  <c r="P489" i="4"/>
  <c r="A489" i="4"/>
  <c r="P488" i="4"/>
  <c r="A488" i="4"/>
  <c r="P487" i="4"/>
  <c r="A487" i="4"/>
  <c r="P486" i="4"/>
  <c r="A486" i="4"/>
  <c r="P485" i="4"/>
  <c r="A485" i="4"/>
  <c r="P484" i="4"/>
  <c r="A484" i="4"/>
  <c r="P483" i="4"/>
  <c r="A483" i="4"/>
  <c r="P482" i="4"/>
  <c r="A482" i="4"/>
  <c r="P481" i="4"/>
  <c r="A481" i="4"/>
  <c r="P480" i="4"/>
  <c r="A480" i="4"/>
  <c r="P479" i="4"/>
  <c r="A479" i="4"/>
  <c r="P478" i="4"/>
  <c r="A478" i="4"/>
  <c r="P477" i="4"/>
  <c r="A477" i="4"/>
  <c r="P476" i="4"/>
  <c r="A476" i="4"/>
  <c r="P475" i="4"/>
  <c r="A475" i="4"/>
  <c r="P474" i="4"/>
  <c r="A474" i="4"/>
  <c r="P473" i="4"/>
  <c r="A473" i="4"/>
  <c r="P472" i="4"/>
  <c r="A472" i="4"/>
  <c r="P471" i="4"/>
  <c r="A471" i="4"/>
  <c r="P470" i="4"/>
  <c r="A470" i="4"/>
  <c r="P469" i="4"/>
  <c r="A469" i="4"/>
  <c r="P468" i="4"/>
  <c r="A468" i="4"/>
  <c r="P467" i="4"/>
  <c r="A467" i="4"/>
  <c r="P466" i="4"/>
  <c r="A466" i="4"/>
  <c r="P465" i="4"/>
  <c r="A465" i="4"/>
  <c r="P464" i="4"/>
  <c r="A464" i="4"/>
  <c r="P463" i="4"/>
  <c r="A463" i="4"/>
  <c r="P462" i="4"/>
  <c r="A462" i="4"/>
  <c r="P461" i="4"/>
  <c r="A461" i="4"/>
  <c r="P460" i="4"/>
  <c r="A460" i="4"/>
  <c r="P459" i="4"/>
  <c r="A459" i="4"/>
  <c r="P458" i="4"/>
  <c r="A458" i="4"/>
  <c r="P457" i="4"/>
  <c r="A457" i="4"/>
  <c r="P456" i="4"/>
  <c r="A456" i="4"/>
  <c r="P455" i="4"/>
  <c r="A455" i="4"/>
  <c r="P454" i="4"/>
  <c r="A454" i="4"/>
  <c r="P453" i="4"/>
  <c r="A453" i="4"/>
  <c r="P452" i="4"/>
  <c r="A452" i="4"/>
  <c r="P451" i="4"/>
  <c r="A451" i="4"/>
  <c r="P450" i="4"/>
  <c r="A450" i="4"/>
  <c r="P449" i="4"/>
  <c r="A449" i="4"/>
  <c r="P448" i="4"/>
  <c r="A448" i="4"/>
  <c r="P447" i="4"/>
  <c r="A447" i="4"/>
  <c r="P446" i="4"/>
  <c r="A446" i="4"/>
  <c r="P445" i="4"/>
  <c r="A445" i="4"/>
  <c r="P444" i="4"/>
  <c r="A444" i="4"/>
  <c r="P443" i="4"/>
  <c r="A443" i="4"/>
  <c r="P442" i="4"/>
  <c r="A442" i="4"/>
  <c r="P441" i="4"/>
  <c r="A441" i="4"/>
  <c r="P440" i="4"/>
  <c r="A440" i="4"/>
  <c r="P439" i="4"/>
  <c r="A439" i="4"/>
  <c r="P438" i="4"/>
  <c r="A438" i="4"/>
  <c r="P437" i="4"/>
  <c r="A437" i="4"/>
  <c r="P436" i="4"/>
  <c r="A436" i="4"/>
  <c r="P435" i="4"/>
  <c r="A435" i="4"/>
  <c r="P434" i="4"/>
  <c r="A434" i="4"/>
  <c r="P433" i="4"/>
  <c r="A433" i="4"/>
  <c r="P432" i="4"/>
  <c r="A432" i="4"/>
  <c r="P431" i="4"/>
  <c r="A431" i="4"/>
  <c r="P430" i="4"/>
  <c r="A430" i="4"/>
  <c r="P429" i="4"/>
  <c r="A429" i="4"/>
  <c r="P428" i="4"/>
  <c r="A428" i="4"/>
  <c r="P427" i="4"/>
  <c r="A427" i="4"/>
  <c r="P426" i="4"/>
  <c r="A426" i="4"/>
  <c r="P425" i="4"/>
  <c r="A425" i="4"/>
  <c r="P424" i="4"/>
  <c r="A424" i="4"/>
  <c r="P423" i="4"/>
  <c r="A423" i="4"/>
  <c r="P422" i="4"/>
  <c r="A422" i="4"/>
  <c r="P421" i="4"/>
  <c r="A421" i="4"/>
  <c r="P420" i="4"/>
  <c r="A420" i="4"/>
  <c r="P419" i="4"/>
  <c r="A419" i="4"/>
  <c r="P418" i="4"/>
  <c r="A418" i="4"/>
  <c r="P417" i="4"/>
  <c r="A417" i="4"/>
  <c r="P416" i="4"/>
  <c r="A416" i="4"/>
  <c r="P415" i="4"/>
  <c r="A415" i="4"/>
  <c r="P414" i="4"/>
  <c r="A414" i="4"/>
  <c r="P413" i="4"/>
  <c r="A413" i="4"/>
  <c r="P412" i="4"/>
  <c r="A412" i="4"/>
  <c r="P411" i="4"/>
  <c r="A411" i="4"/>
  <c r="P410" i="4"/>
  <c r="A410" i="4"/>
  <c r="P409" i="4"/>
  <c r="A409" i="4"/>
  <c r="P408" i="4"/>
  <c r="A408" i="4"/>
  <c r="P407" i="4"/>
  <c r="A407" i="4"/>
  <c r="P406" i="4"/>
  <c r="A406" i="4"/>
  <c r="P405" i="4"/>
  <c r="A405" i="4"/>
  <c r="P404" i="4"/>
  <c r="A404" i="4"/>
  <c r="P403" i="4"/>
  <c r="A403" i="4"/>
  <c r="P402" i="4"/>
  <c r="A402" i="4"/>
  <c r="P401" i="4"/>
  <c r="A401" i="4"/>
  <c r="P400" i="4"/>
  <c r="A400" i="4"/>
  <c r="P399" i="4"/>
  <c r="A399" i="4"/>
  <c r="P398" i="4"/>
  <c r="A398" i="4"/>
  <c r="P397" i="4"/>
  <c r="A397" i="4"/>
  <c r="P396" i="4"/>
  <c r="A396" i="4"/>
  <c r="P395" i="4"/>
  <c r="A395" i="4"/>
  <c r="P394" i="4"/>
  <c r="A394" i="4"/>
  <c r="P393" i="4"/>
  <c r="A393" i="4"/>
  <c r="P392" i="4"/>
  <c r="A392" i="4"/>
  <c r="P391" i="4"/>
  <c r="A391" i="4"/>
  <c r="P390" i="4"/>
  <c r="A390" i="4"/>
  <c r="P389" i="4"/>
  <c r="A389" i="4"/>
  <c r="P388" i="4"/>
  <c r="A388" i="4"/>
  <c r="P387" i="4"/>
  <c r="A387" i="4"/>
  <c r="P386" i="4"/>
  <c r="A386" i="4"/>
  <c r="P385" i="4"/>
  <c r="A385" i="4"/>
  <c r="P384" i="4"/>
  <c r="A384" i="4"/>
  <c r="P383" i="4"/>
  <c r="A383" i="4"/>
  <c r="P382" i="4"/>
  <c r="A382" i="4"/>
  <c r="P381" i="4"/>
  <c r="A381" i="4"/>
  <c r="P380" i="4"/>
  <c r="A380" i="4"/>
  <c r="P379" i="4"/>
  <c r="A379" i="4"/>
  <c r="P378" i="4"/>
  <c r="A378" i="4"/>
  <c r="P377" i="4"/>
  <c r="A377" i="4"/>
  <c r="P376" i="4"/>
  <c r="A376" i="4"/>
  <c r="P375" i="4"/>
  <c r="A375" i="4"/>
  <c r="P374" i="4"/>
  <c r="A374" i="4"/>
  <c r="P373" i="4"/>
  <c r="A373" i="4"/>
  <c r="P372" i="4"/>
  <c r="A372" i="4"/>
  <c r="P371" i="4"/>
  <c r="A371" i="4"/>
  <c r="P370" i="4"/>
  <c r="A370" i="4"/>
  <c r="P369" i="4"/>
  <c r="A369" i="4"/>
  <c r="P368" i="4"/>
  <c r="A368" i="4"/>
  <c r="P367" i="4"/>
  <c r="A367" i="4"/>
  <c r="P366" i="4"/>
  <c r="A366" i="4"/>
  <c r="P365" i="4"/>
  <c r="A365" i="4"/>
  <c r="P364" i="4"/>
  <c r="A364" i="4"/>
  <c r="P363" i="4"/>
  <c r="A363" i="4"/>
  <c r="P362" i="4"/>
  <c r="A362" i="4"/>
  <c r="P361" i="4"/>
  <c r="A361" i="4"/>
  <c r="P360" i="4"/>
  <c r="A360" i="4"/>
  <c r="P359" i="4"/>
  <c r="A359" i="4"/>
  <c r="P358" i="4"/>
  <c r="A358" i="4"/>
  <c r="P357" i="4"/>
  <c r="A357" i="4"/>
  <c r="P356" i="4"/>
  <c r="A356" i="4"/>
  <c r="P355" i="4"/>
  <c r="A355" i="4"/>
  <c r="P354" i="4"/>
  <c r="A354" i="4"/>
  <c r="P353" i="4"/>
  <c r="A353" i="4"/>
  <c r="P352" i="4"/>
  <c r="A352" i="4"/>
  <c r="P351" i="4"/>
  <c r="A351" i="4"/>
  <c r="P350" i="4"/>
  <c r="A350" i="4"/>
  <c r="P349" i="4"/>
  <c r="A349" i="4"/>
  <c r="P348" i="4"/>
  <c r="A348" i="4"/>
  <c r="P347" i="4"/>
  <c r="A347" i="4"/>
  <c r="P346" i="4"/>
  <c r="A346" i="4"/>
  <c r="P345" i="4"/>
  <c r="A345" i="4"/>
  <c r="P344" i="4"/>
  <c r="A344" i="4"/>
  <c r="P343" i="4"/>
  <c r="A343" i="4"/>
  <c r="P342" i="4"/>
  <c r="A342" i="4"/>
  <c r="P341" i="4"/>
  <c r="A341" i="4"/>
  <c r="P340" i="4"/>
  <c r="A340" i="4"/>
  <c r="P339" i="4"/>
  <c r="A339" i="4"/>
  <c r="P338" i="4"/>
  <c r="A338" i="4"/>
  <c r="P337" i="4"/>
  <c r="A337" i="4"/>
  <c r="P336" i="4"/>
  <c r="A336" i="4"/>
  <c r="P335" i="4"/>
  <c r="A335" i="4"/>
  <c r="P334" i="4"/>
  <c r="A334" i="4"/>
  <c r="P333" i="4"/>
  <c r="A333" i="4"/>
  <c r="P332" i="4"/>
  <c r="A332" i="4"/>
  <c r="P331" i="4"/>
  <c r="A331" i="4"/>
  <c r="P330" i="4"/>
  <c r="A330" i="4"/>
  <c r="P329" i="4"/>
  <c r="A329" i="4"/>
  <c r="P328" i="4"/>
  <c r="A328" i="4"/>
  <c r="P327" i="4"/>
  <c r="A327" i="4"/>
  <c r="P326" i="4"/>
  <c r="A326" i="4"/>
  <c r="P325" i="4"/>
  <c r="A325" i="4"/>
  <c r="P324" i="4"/>
  <c r="A324" i="4"/>
  <c r="P323" i="4"/>
  <c r="A323" i="4"/>
  <c r="P322" i="4"/>
  <c r="A322" i="4"/>
  <c r="P321" i="4"/>
  <c r="A321" i="4"/>
  <c r="P320" i="4"/>
  <c r="A320" i="4"/>
  <c r="P319" i="4"/>
  <c r="A319" i="4"/>
  <c r="P318" i="4"/>
  <c r="A318" i="4"/>
  <c r="P317" i="4"/>
  <c r="A317" i="4"/>
  <c r="P316" i="4"/>
  <c r="A316" i="4"/>
  <c r="P315" i="4"/>
  <c r="A315" i="4"/>
  <c r="P314" i="4"/>
  <c r="A314" i="4"/>
  <c r="P313" i="4"/>
  <c r="A313" i="4"/>
  <c r="P312" i="4"/>
  <c r="A312" i="4"/>
  <c r="P311" i="4"/>
  <c r="A311" i="4"/>
  <c r="P310" i="4"/>
  <c r="A310" i="4"/>
  <c r="P309" i="4"/>
  <c r="A309" i="4"/>
  <c r="P308" i="4"/>
  <c r="A308" i="4"/>
  <c r="P307" i="4"/>
  <c r="A307" i="4"/>
  <c r="P306" i="4"/>
  <c r="A306" i="4"/>
  <c r="P305" i="4"/>
  <c r="A305" i="4"/>
  <c r="P304" i="4"/>
  <c r="A304" i="4"/>
  <c r="P303" i="4"/>
  <c r="A303" i="4"/>
  <c r="P302" i="4"/>
  <c r="A302" i="4"/>
  <c r="P301" i="4"/>
  <c r="A301" i="4"/>
  <c r="P300" i="4"/>
  <c r="A300" i="4"/>
  <c r="P299" i="4"/>
  <c r="A299" i="4"/>
  <c r="P298" i="4"/>
  <c r="A298" i="4"/>
  <c r="P297" i="4"/>
  <c r="A297" i="4"/>
  <c r="P296" i="4"/>
  <c r="A296" i="4"/>
  <c r="P295" i="4"/>
  <c r="A295" i="4"/>
  <c r="P294" i="4"/>
  <c r="A294" i="4"/>
  <c r="P293" i="4"/>
  <c r="A293" i="4"/>
  <c r="P292" i="4"/>
  <c r="A292" i="4"/>
  <c r="P291" i="4"/>
  <c r="A291" i="4"/>
  <c r="P290" i="4"/>
  <c r="A290" i="4"/>
  <c r="P289" i="4"/>
  <c r="A289" i="4"/>
  <c r="P288" i="4"/>
  <c r="A288" i="4"/>
  <c r="P287" i="4"/>
  <c r="A287" i="4"/>
  <c r="P286" i="4"/>
  <c r="A286" i="4"/>
  <c r="P285" i="4"/>
  <c r="A285" i="4"/>
  <c r="P284" i="4"/>
  <c r="A284" i="4"/>
  <c r="P283" i="4"/>
  <c r="A283" i="4"/>
  <c r="P282" i="4"/>
  <c r="A282" i="4"/>
  <c r="P281" i="4"/>
  <c r="A281" i="4"/>
  <c r="P280" i="4"/>
  <c r="A280" i="4"/>
  <c r="P279" i="4"/>
  <c r="A279" i="4"/>
  <c r="P278" i="4"/>
  <c r="A278" i="4"/>
  <c r="P277" i="4"/>
  <c r="A277" i="4"/>
  <c r="P276" i="4"/>
  <c r="A276" i="4"/>
  <c r="P275" i="4"/>
  <c r="A275" i="4"/>
  <c r="P274" i="4"/>
  <c r="A274" i="4"/>
  <c r="P273" i="4"/>
  <c r="A273" i="4"/>
  <c r="P272" i="4"/>
  <c r="A272" i="4"/>
  <c r="P271" i="4"/>
  <c r="A271" i="4"/>
  <c r="P270" i="4"/>
  <c r="A270" i="4"/>
  <c r="P269" i="4"/>
  <c r="A269" i="4"/>
  <c r="P268" i="4"/>
  <c r="A268" i="4"/>
  <c r="P267" i="4"/>
  <c r="A267" i="4"/>
  <c r="P266" i="4"/>
  <c r="A266" i="4"/>
  <c r="P265" i="4"/>
  <c r="A265" i="4"/>
  <c r="P264" i="4"/>
  <c r="A264" i="4"/>
  <c r="P263" i="4"/>
  <c r="A263" i="4"/>
  <c r="P262" i="4"/>
  <c r="A262" i="4"/>
  <c r="P261" i="4"/>
  <c r="A261" i="4"/>
  <c r="P260" i="4"/>
  <c r="A260" i="4"/>
  <c r="P259" i="4"/>
  <c r="A259" i="4"/>
  <c r="P258" i="4"/>
  <c r="A258" i="4"/>
  <c r="P257" i="4"/>
  <c r="A257" i="4"/>
  <c r="P256" i="4"/>
  <c r="A256" i="4"/>
  <c r="P255" i="4"/>
  <c r="A255" i="4"/>
  <c r="P254" i="4"/>
  <c r="A254" i="4"/>
  <c r="P253" i="4"/>
  <c r="A253" i="4"/>
  <c r="P252" i="4"/>
  <c r="A252" i="4"/>
  <c r="P251" i="4"/>
  <c r="A251" i="4"/>
  <c r="P250" i="4"/>
  <c r="A250" i="4"/>
  <c r="P249" i="4"/>
  <c r="A249" i="4"/>
  <c r="P248" i="4"/>
  <c r="A248" i="4"/>
  <c r="P247" i="4"/>
  <c r="A247" i="4"/>
  <c r="P246" i="4"/>
  <c r="A246" i="4"/>
  <c r="P245" i="4"/>
  <c r="A245" i="4"/>
  <c r="P244" i="4"/>
  <c r="A244" i="4"/>
  <c r="P243" i="4"/>
  <c r="A243" i="4"/>
  <c r="P242" i="4"/>
  <c r="A242" i="4"/>
  <c r="P241" i="4"/>
  <c r="A241" i="4"/>
  <c r="P240" i="4"/>
  <c r="A240" i="4"/>
  <c r="P239" i="4"/>
  <c r="A239" i="4"/>
  <c r="P238" i="4"/>
  <c r="A238" i="4"/>
  <c r="P237" i="4"/>
  <c r="A237" i="4"/>
  <c r="P236" i="4"/>
  <c r="A236" i="4"/>
  <c r="P235" i="4"/>
  <c r="A235" i="4"/>
  <c r="P234" i="4"/>
  <c r="A234" i="4"/>
  <c r="P233" i="4"/>
  <c r="A233" i="4"/>
  <c r="P232" i="4"/>
  <c r="A232" i="4"/>
  <c r="P231" i="4"/>
  <c r="A231" i="4"/>
  <c r="P230" i="4"/>
  <c r="A230" i="4"/>
  <c r="P229" i="4"/>
  <c r="A229" i="4"/>
  <c r="P228" i="4"/>
  <c r="A228" i="4"/>
  <c r="P227" i="4"/>
  <c r="A227" i="4"/>
  <c r="P226" i="4"/>
  <c r="A226" i="4"/>
  <c r="P225" i="4"/>
  <c r="A225" i="4"/>
  <c r="P224" i="4"/>
  <c r="A224" i="4"/>
  <c r="P223" i="4"/>
  <c r="A223" i="4"/>
  <c r="P222" i="4"/>
  <c r="A222" i="4"/>
  <c r="P221" i="4"/>
  <c r="A221" i="4"/>
  <c r="P220" i="4"/>
  <c r="A220" i="4"/>
  <c r="P219" i="4"/>
  <c r="A219" i="4"/>
  <c r="P218" i="4"/>
  <c r="A218" i="4"/>
  <c r="P217" i="4"/>
  <c r="A217" i="4"/>
  <c r="P216" i="4"/>
  <c r="A216" i="4"/>
  <c r="P215" i="4"/>
  <c r="A215" i="4"/>
  <c r="P214" i="4"/>
  <c r="A214" i="4"/>
  <c r="P213" i="4"/>
  <c r="A213" i="4"/>
  <c r="P212" i="4"/>
  <c r="A212" i="4"/>
  <c r="P211" i="4"/>
  <c r="A211" i="4"/>
  <c r="P210" i="4"/>
  <c r="A210" i="4"/>
  <c r="P209" i="4"/>
  <c r="A209" i="4"/>
  <c r="P208" i="4"/>
  <c r="A208" i="4"/>
  <c r="P207" i="4"/>
  <c r="A207" i="4"/>
  <c r="P206" i="4"/>
  <c r="A206" i="4"/>
  <c r="P205" i="4"/>
  <c r="A205" i="4"/>
  <c r="P204" i="4"/>
  <c r="A204" i="4"/>
  <c r="P203" i="4"/>
  <c r="A203" i="4"/>
  <c r="P202" i="4"/>
  <c r="A202" i="4"/>
  <c r="P201" i="4"/>
  <c r="A201" i="4"/>
  <c r="P200" i="4"/>
  <c r="A200" i="4"/>
  <c r="P199" i="4"/>
  <c r="A199" i="4"/>
  <c r="P198" i="4"/>
  <c r="A198" i="4"/>
  <c r="P197" i="4"/>
  <c r="A197" i="4"/>
  <c r="P196" i="4"/>
  <c r="A196" i="4"/>
  <c r="P195" i="4"/>
  <c r="A195" i="4"/>
  <c r="P194" i="4"/>
  <c r="A194" i="4"/>
  <c r="P193" i="4"/>
  <c r="A193" i="4"/>
  <c r="P192" i="4"/>
  <c r="A192" i="4"/>
  <c r="P191" i="4"/>
  <c r="A191" i="4"/>
  <c r="P190" i="4"/>
  <c r="A190" i="4"/>
  <c r="P189" i="4"/>
  <c r="A189" i="4"/>
  <c r="P188" i="4"/>
  <c r="A188" i="4"/>
  <c r="P187" i="4"/>
  <c r="A187" i="4"/>
  <c r="P186" i="4"/>
  <c r="A186" i="4"/>
  <c r="P185" i="4"/>
  <c r="A185" i="4"/>
  <c r="P184" i="4"/>
  <c r="A184" i="4"/>
  <c r="P183" i="4"/>
  <c r="A183" i="4"/>
  <c r="P182" i="4"/>
  <c r="A182" i="4"/>
  <c r="P181" i="4"/>
  <c r="A181" i="4"/>
  <c r="P180" i="4"/>
  <c r="A180" i="4"/>
  <c r="P179" i="4"/>
  <c r="A179" i="4"/>
  <c r="P178" i="4"/>
  <c r="A178" i="4"/>
  <c r="P177" i="4"/>
  <c r="A177" i="4"/>
  <c r="P176" i="4"/>
  <c r="A176" i="4"/>
  <c r="P175" i="4"/>
  <c r="A175" i="4"/>
  <c r="P174" i="4"/>
  <c r="A174" i="4"/>
  <c r="P173" i="4"/>
  <c r="A173" i="4"/>
  <c r="P172" i="4"/>
  <c r="A172" i="4"/>
  <c r="P171" i="4"/>
  <c r="A171" i="4"/>
  <c r="P170" i="4"/>
  <c r="A170" i="4"/>
  <c r="P169" i="4"/>
  <c r="A169" i="4"/>
  <c r="P168" i="4"/>
  <c r="A168" i="4"/>
  <c r="P167" i="4"/>
  <c r="A167" i="4"/>
  <c r="P166" i="4"/>
  <c r="A166" i="4"/>
  <c r="P165" i="4"/>
  <c r="A165" i="4"/>
  <c r="P164" i="4"/>
  <c r="A164" i="4"/>
  <c r="P163" i="4"/>
  <c r="A163" i="4"/>
  <c r="P162" i="4"/>
  <c r="A162" i="4"/>
  <c r="P161" i="4"/>
  <c r="A161" i="4"/>
  <c r="P160" i="4"/>
  <c r="A160" i="4"/>
  <c r="P159" i="4"/>
  <c r="A159" i="4"/>
  <c r="P158" i="4"/>
  <c r="A158" i="4"/>
  <c r="P157" i="4"/>
  <c r="A157" i="4"/>
  <c r="P156" i="4"/>
  <c r="A156" i="4"/>
  <c r="P155" i="4"/>
  <c r="A155" i="4"/>
  <c r="P154" i="4"/>
  <c r="A154" i="4"/>
  <c r="P153" i="4"/>
  <c r="A153" i="4"/>
  <c r="P152" i="4"/>
  <c r="A152" i="4"/>
  <c r="P151" i="4"/>
  <c r="A151" i="4"/>
  <c r="P150" i="4"/>
  <c r="A150" i="4"/>
  <c r="P149" i="4"/>
  <c r="A149" i="4"/>
  <c r="P148" i="4"/>
  <c r="A148" i="4"/>
  <c r="P147" i="4"/>
  <c r="A147" i="4"/>
  <c r="P146" i="4"/>
  <c r="A146" i="4"/>
  <c r="P145" i="4"/>
  <c r="A145" i="4"/>
  <c r="P144" i="4"/>
  <c r="A144" i="4"/>
  <c r="P143" i="4"/>
  <c r="A143" i="4"/>
  <c r="P142" i="4"/>
  <c r="A142" i="4"/>
  <c r="P141" i="4"/>
  <c r="A141" i="4"/>
  <c r="P140" i="4"/>
  <c r="A140" i="4"/>
  <c r="P139" i="4"/>
  <c r="A139" i="4"/>
  <c r="P138" i="4"/>
  <c r="A138" i="4"/>
  <c r="P137" i="4"/>
  <c r="A137" i="4"/>
  <c r="P136" i="4"/>
  <c r="A136" i="4"/>
  <c r="P135" i="4"/>
  <c r="A135" i="4"/>
  <c r="P134" i="4"/>
  <c r="A134" i="4"/>
  <c r="P133" i="4"/>
  <c r="A133" i="4"/>
  <c r="P132" i="4"/>
  <c r="A132" i="4"/>
  <c r="P131" i="4"/>
  <c r="A131" i="4"/>
  <c r="P130" i="4"/>
  <c r="A130" i="4"/>
  <c r="P129" i="4"/>
  <c r="A129" i="4"/>
  <c r="P128" i="4"/>
  <c r="A128" i="4"/>
  <c r="P127" i="4"/>
  <c r="A127" i="4"/>
  <c r="P126" i="4"/>
  <c r="A126" i="4"/>
  <c r="P125" i="4"/>
  <c r="A125" i="4"/>
  <c r="P124" i="4"/>
  <c r="A124" i="4"/>
  <c r="P123" i="4"/>
  <c r="A123" i="4"/>
  <c r="P122" i="4"/>
  <c r="A122" i="4"/>
  <c r="P121" i="4"/>
  <c r="A121" i="4"/>
  <c r="P120" i="4"/>
  <c r="A120" i="4"/>
  <c r="P119" i="4"/>
  <c r="A119" i="4"/>
  <c r="P118" i="4"/>
  <c r="A118" i="4"/>
  <c r="P117" i="4"/>
  <c r="A117" i="4"/>
  <c r="P116" i="4"/>
  <c r="A116" i="4"/>
  <c r="P115" i="4"/>
  <c r="A115" i="4"/>
  <c r="P114" i="4"/>
  <c r="A114" i="4"/>
  <c r="P113" i="4"/>
  <c r="A113" i="4"/>
  <c r="P112" i="4"/>
  <c r="A112" i="4"/>
  <c r="P111" i="4"/>
  <c r="A111" i="4"/>
  <c r="P110" i="4"/>
  <c r="A110" i="4"/>
  <c r="P109" i="4"/>
  <c r="A109" i="4"/>
  <c r="P108" i="4"/>
  <c r="A108" i="4"/>
  <c r="P107" i="4"/>
  <c r="A107" i="4"/>
  <c r="P106" i="4"/>
  <c r="A106" i="4"/>
  <c r="P105" i="4"/>
  <c r="A105" i="4"/>
  <c r="P104" i="4"/>
  <c r="A104" i="4"/>
  <c r="P103" i="4"/>
  <c r="A103" i="4"/>
  <c r="P102" i="4"/>
  <c r="A102" i="4"/>
  <c r="P101" i="4"/>
  <c r="A101" i="4"/>
  <c r="P100" i="4"/>
  <c r="A100" i="4"/>
  <c r="P99" i="4"/>
  <c r="A99" i="4"/>
  <c r="P98" i="4"/>
  <c r="A98" i="4"/>
  <c r="P97" i="4"/>
  <c r="A97" i="4"/>
  <c r="P96" i="4"/>
  <c r="A96" i="4"/>
  <c r="P95" i="4"/>
  <c r="A95" i="4"/>
  <c r="P94" i="4"/>
  <c r="A94" i="4"/>
  <c r="P93" i="4"/>
  <c r="A93" i="4"/>
  <c r="P92" i="4"/>
  <c r="A92" i="4"/>
  <c r="P91" i="4"/>
  <c r="A91" i="4"/>
  <c r="P90" i="4"/>
  <c r="A90" i="4"/>
  <c r="P89" i="4"/>
  <c r="A89" i="4"/>
  <c r="P88" i="4"/>
  <c r="A88" i="4"/>
  <c r="P87" i="4"/>
  <c r="A87" i="4"/>
  <c r="P86" i="4"/>
  <c r="A86" i="4"/>
  <c r="P85" i="4"/>
  <c r="A85" i="4"/>
  <c r="P84" i="4"/>
  <c r="A84" i="4"/>
  <c r="P83" i="4"/>
  <c r="A83" i="4"/>
  <c r="P82" i="4"/>
  <c r="A82" i="4"/>
  <c r="P81" i="4"/>
  <c r="A81" i="4"/>
  <c r="P80" i="4"/>
  <c r="A80" i="4"/>
  <c r="P79" i="4"/>
  <c r="A79" i="4"/>
  <c r="P78" i="4"/>
  <c r="A78" i="4"/>
  <c r="P77" i="4"/>
  <c r="A77" i="4"/>
  <c r="P76" i="4"/>
  <c r="A76" i="4"/>
  <c r="P75" i="4"/>
  <c r="A75" i="4"/>
  <c r="P74" i="4"/>
  <c r="A74" i="4"/>
  <c r="P73" i="4"/>
  <c r="A73" i="4"/>
  <c r="P72" i="4"/>
  <c r="A72" i="4"/>
  <c r="P71" i="4"/>
  <c r="A71" i="4"/>
  <c r="P70" i="4"/>
  <c r="A70" i="4"/>
  <c r="P69" i="4"/>
  <c r="A69" i="4"/>
  <c r="P68" i="4"/>
  <c r="A68" i="4"/>
  <c r="P67" i="4"/>
  <c r="A67" i="4"/>
  <c r="P66" i="4"/>
  <c r="A66" i="4"/>
  <c r="P65" i="4"/>
  <c r="A65" i="4"/>
  <c r="P64" i="4"/>
  <c r="A64" i="4"/>
  <c r="P63" i="4"/>
  <c r="A63" i="4"/>
  <c r="P62" i="4"/>
  <c r="A62" i="4"/>
  <c r="P61" i="4"/>
  <c r="A61" i="4"/>
  <c r="P60" i="4"/>
  <c r="A60" i="4"/>
  <c r="P59" i="4"/>
  <c r="A59" i="4"/>
  <c r="P58" i="4"/>
  <c r="A58" i="4"/>
  <c r="P57" i="4"/>
  <c r="A57" i="4"/>
  <c r="P56" i="4"/>
  <c r="A56" i="4"/>
  <c r="P55" i="4"/>
  <c r="A55" i="4"/>
  <c r="P54" i="4"/>
  <c r="A54" i="4"/>
  <c r="P53" i="4"/>
  <c r="A53" i="4"/>
  <c r="P52" i="4"/>
  <c r="A52" i="4"/>
  <c r="P51" i="4"/>
  <c r="A51" i="4"/>
  <c r="P50" i="4"/>
  <c r="A50" i="4"/>
  <c r="P49" i="4"/>
  <c r="A49" i="4"/>
  <c r="P48" i="4"/>
  <c r="A48" i="4"/>
  <c r="P47" i="4"/>
  <c r="A47" i="4"/>
  <c r="P46" i="4"/>
  <c r="A46" i="4"/>
  <c r="P45" i="4"/>
  <c r="A45" i="4"/>
  <c r="P44" i="4"/>
  <c r="A44" i="4"/>
  <c r="P43" i="4"/>
  <c r="A43" i="4"/>
  <c r="P42" i="4"/>
  <c r="A42" i="4"/>
  <c r="P41" i="4"/>
  <c r="A41" i="4"/>
  <c r="P40" i="4"/>
  <c r="A40" i="4"/>
  <c r="P39" i="4"/>
  <c r="A39" i="4"/>
  <c r="P38" i="4"/>
  <c r="A38" i="4"/>
  <c r="P37" i="4"/>
  <c r="A37" i="4"/>
  <c r="P36" i="4"/>
  <c r="A36" i="4"/>
  <c r="P35" i="4"/>
  <c r="A35" i="4"/>
  <c r="P34" i="4"/>
  <c r="A34" i="4"/>
  <c r="P33" i="4"/>
  <c r="A33" i="4"/>
  <c r="P32" i="4"/>
  <c r="A32" i="4"/>
  <c r="P31" i="4"/>
  <c r="A31" i="4"/>
  <c r="P30" i="4"/>
  <c r="A30" i="4"/>
  <c r="P29" i="4"/>
  <c r="A29" i="4"/>
  <c r="P28" i="4"/>
  <c r="A28" i="4"/>
  <c r="P27" i="4"/>
  <c r="A27" i="4"/>
  <c r="P26" i="4"/>
  <c r="A26" i="4"/>
  <c r="P25" i="4"/>
  <c r="A25" i="4"/>
  <c r="P24" i="4"/>
  <c r="A24" i="4"/>
  <c r="P23" i="4"/>
  <c r="A23" i="4"/>
  <c r="P22" i="4"/>
  <c r="A22" i="4"/>
  <c r="P21" i="4"/>
  <c r="A21" i="4"/>
  <c r="P20" i="4"/>
  <c r="A20" i="4"/>
  <c r="P19" i="4"/>
  <c r="A19" i="4"/>
  <c r="P18" i="4"/>
  <c r="A18" i="4"/>
  <c r="P17" i="4"/>
  <c r="A17" i="4"/>
  <c r="P16" i="4"/>
  <c r="A16" i="4"/>
  <c r="P15" i="4"/>
  <c r="A15" i="4"/>
  <c r="P14" i="4"/>
  <c r="A14" i="4"/>
  <c r="P13" i="4"/>
  <c r="A13" i="4"/>
  <c r="P12" i="4"/>
  <c r="A12" i="4"/>
  <c r="P11" i="4"/>
  <c r="A11" i="4"/>
  <c r="P10" i="4"/>
  <c r="A10" i="4"/>
  <c r="P9" i="4"/>
  <c r="A9" i="4"/>
  <c r="P8" i="4"/>
  <c r="A8" i="4"/>
  <c r="P7" i="4"/>
  <c r="A7" i="4"/>
  <c r="P6" i="4"/>
  <c r="A6" i="4"/>
  <c r="P5" i="4"/>
  <c r="A5" i="4"/>
  <c r="P4" i="4"/>
  <c r="A4" i="4"/>
  <c r="P3" i="4"/>
  <c r="A3" i="4"/>
  <c r="P2" i="4"/>
  <c r="A2" i="4"/>
  <c r="C38" i="10"/>
  <c r="C39" i="10" s="1"/>
  <c r="C37" i="10"/>
  <c r="F15" i="10"/>
  <c r="F14" i="10"/>
  <c r="F13" i="10"/>
  <c r="F12" i="10"/>
  <c r="F11" i="10"/>
  <c r="F10" i="10"/>
  <c r="C9" i="10"/>
  <c r="F9" i="10"/>
  <c r="F8" i="10"/>
  <c r="F7" i="10"/>
  <c r="F6" i="10"/>
  <c r="F5" i="10"/>
  <c r="F4" i="10"/>
  <c r="C68" i="16"/>
  <c r="C67" i="16"/>
  <c r="C66" i="16"/>
  <c r="C35" i="16"/>
  <c r="T7" i="16"/>
  <c r="S7" i="16"/>
  <c r="R7" i="16"/>
  <c r="Q7" i="16"/>
  <c r="P7" i="16"/>
  <c r="O7" i="16"/>
  <c r="N7" i="16"/>
  <c r="M7" i="16"/>
  <c r="L7" i="16"/>
  <c r="K7" i="16"/>
  <c r="J7" i="16"/>
  <c r="I7" i="16"/>
  <c r="C5" i="16"/>
  <c r="J16" i="3"/>
  <c r="C30" i="16" s="1"/>
  <c r="C8" i="10"/>
  <c r="B18" i="3"/>
  <c r="V4" i="4" l="1"/>
  <c r="W4" i="4"/>
  <c r="AC4" i="4"/>
  <c r="AE4" i="4"/>
  <c r="AA4" i="4"/>
  <c r="AB4" i="4"/>
  <c r="AF4" i="4"/>
  <c r="U4" i="4"/>
  <c r="X4" i="4"/>
  <c r="AD4" i="4"/>
  <c r="Y4" i="4"/>
  <c r="T4" i="4"/>
  <c r="Z4" i="4"/>
  <c r="C69" i="16"/>
  <c r="C5" i="10"/>
  <c r="C3" i="16"/>
  <c r="W15" i="10" s="1"/>
  <c r="N12" i="10"/>
  <c r="N13" i="10"/>
  <c r="N6" i="10"/>
  <c r="U4" i="16"/>
  <c r="N4" i="10"/>
  <c r="N14" i="10"/>
  <c r="N5" i="10"/>
  <c r="N15" i="10"/>
  <c r="N7" i="10"/>
  <c r="N8" i="10"/>
  <c r="N9" i="10"/>
  <c r="C36" i="16"/>
  <c r="D59" i="16" s="1"/>
  <c r="E59" i="16" s="1"/>
  <c r="V7" i="16"/>
  <c r="C7" i="10"/>
  <c r="U7" i="16"/>
  <c r="F16" i="10"/>
  <c r="N10" i="10"/>
  <c r="N11" i="10"/>
  <c r="F17" i="10"/>
  <c r="N17" i="10" l="1"/>
  <c r="W48" i="10"/>
  <c r="W129" i="10"/>
  <c r="W83" i="10"/>
  <c r="W29" i="10"/>
  <c r="W124" i="10"/>
  <c r="W79" i="10"/>
  <c r="W95" i="10"/>
  <c r="W136" i="10"/>
  <c r="W71" i="10"/>
  <c r="W55" i="10"/>
  <c r="W77" i="10"/>
  <c r="W132" i="10"/>
  <c r="W101" i="10"/>
  <c r="W163" i="10"/>
  <c r="W172" i="10"/>
  <c r="W217" i="10"/>
  <c r="W205" i="10"/>
  <c r="W159" i="10"/>
  <c r="W223" i="10"/>
  <c r="W28" i="10"/>
  <c r="W102" i="10"/>
  <c r="W257" i="10"/>
  <c r="D66" i="16"/>
  <c r="E66" i="16" s="1"/>
  <c r="W121" i="10"/>
  <c r="W34" i="10"/>
  <c r="W44" i="10"/>
  <c r="W81" i="10"/>
  <c r="W92" i="10"/>
  <c r="W126" i="10"/>
  <c r="W114" i="10"/>
  <c r="W157" i="10"/>
  <c r="W200" i="10"/>
  <c r="W268" i="10"/>
  <c r="D60" i="16"/>
  <c r="E60" i="16" s="1"/>
  <c r="W26" i="10"/>
  <c r="W175" i="10"/>
  <c r="W251" i="10"/>
  <c r="W68" i="10"/>
  <c r="W195" i="10"/>
  <c r="D58" i="16"/>
  <c r="E58" i="16" s="1"/>
  <c r="W39" i="10"/>
  <c r="W36" i="10"/>
  <c r="W59" i="10"/>
  <c r="W89" i="10"/>
  <c r="W119" i="10"/>
  <c r="W134" i="10"/>
  <c r="W152" i="10"/>
  <c r="W181" i="10"/>
  <c r="W242" i="10"/>
  <c r="W285" i="10"/>
  <c r="W49" i="10"/>
  <c r="W58" i="10"/>
  <c r="W133" i="10"/>
  <c r="W188" i="10"/>
  <c r="W42" i="10"/>
  <c r="D68" i="16"/>
  <c r="E68" i="16" s="1"/>
  <c r="W17" i="10"/>
  <c r="W45" i="10"/>
  <c r="W82" i="10"/>
  <c r="W20" i="10"/>
  <c r="W64" i="10"/>
  <c r="W127" i="10"/>
  <c r="W107" i="10"/>
  <c r="W142" i="10"/>
  <c r="W162" i="10"/>
  <c r="W186" i="10"/>
  <c r="D63" i="16"/>
  <c r="E63" i="16" s="1"/>
  <c r="D62" i="16"/>
  <c r="E62" i="16" s="1"/>
  <c r="W151" i="10"/>
  <c r="W155" i="10"/>
  <c r="W21" i="10"/>
  <c r="W53" i="10"/>
  <c r="W60" i="10"/>
  <c r="W189" i="10"/>
  <c r="W62" i="10"/>
  <c r="W105" i="10"/>
  <c r="W149" i="10"/>
  <c r="W37" i="10"/>
  <c r="W54" i="10"/>
  <c r="W137" i="10"/>
  <c r="W23" i="10"/>
  <c r="W96" i="10"/>
  <c r="W167" i="10"/>
  <c r="W139" i="10"/>
  <c r="W166" i="10"/>
  <c r="W170" i="10"/>
  <c r="W183" i="10"/>
  <c r="W294" i="10"/>
  <c r="W237" i="10"/>
  <c r="W161" i="10"/>
  <c r="W250" i="10"/>
  <c r="W260" i="10"/>
  <c r="W203" i="10"/>
  <c r="W222" i="10"/>
  <c r="W70" i="10"/>
  <c r="W75" i="10"/>
  <c r="W31" i="10"/>
  <c r="W57" i="10"/>
  <c r="W72" i="10"/>
  <c r="W85" i="10"/>
  <c r="W113" i="10"/>
  <c r="W100" i="10"/>
  <c r="W115" i="10"/>
  <c r="W109" i="10"/>
  <c r="W122" i="10"/>
  <c r="W174" i="10"/>
  <c r="W221" i="10"/>
  <c r="W197" i="10"/>
  <c r="W148" i="10"/>
  <c r="W169" i="10"/>
  <c r="W208" i="10"/>
  <c r="W191" i="10"/>
  <c r="W258" i="10"/>
  <c r="W279" i="10"/>
  <c r="W245" i="10"/>
  <c r="W288" i="10"/>
  <c r="W14" i="10"/>
  <c r="W52" i="10"/>
  <c r="W78" i="10"/>
  <c r="W56" i="10"/>
  <c r="W30" i="10"/>
  <c r="W8" i="10"/>
  <c r="W86" i="10"/>
  <c r="W91" i="10"/>
  <c r="W33" i="10"/>
  <c r="W65" i="10"/>
  <c r="W80" i="10"/>
  <c r="W93" i="10"/>
  <c r="W103" i="10"/>
  <c r="W108" i="10"/>
  <c r="W110" i="10"/>
  <c r="W123" i="10"/>
  <c r="W117" i="10"/>
  <c r="W130" i="10"/>
  <c r="W196" i="10"/>
  <c r="W204" i="10"/>
  <c r="W146" i="10"/>
  <c r="W156" i="10"/>
  <c r="W177" i="10"/>
  <c r="W216" i="10"/>
  <c r="W199" i="10"/>
  <c r="W190" i="10"/>
  <c r="W246" i="10"/>
  <c r="W295" i="10"/>
  <c r="W4" i="10"/>
  <c r="W63" i="10"/>
  <c r="W94" i="10"/>
  <c r="W67" i="10"/>
  <c r="W32" i="10"/>
  <c r="W13" i="10"/>
  <c r="W40" i="10"/>
  <c r="W104" i="10"/>
  <c r="W35" i="10"/>
  <c r="W73" i="10"/>
  <c r="W88" i="10"/>
  <c r="W112" i="10"/>
  <c r="W111" i="10"/>
  <c r="W116" i="10"/>
  <c r="W118" i="10"/>
  <c r="W131" i="10"/>
  <c r="W125" i="10"/>
  <c r="W138" i="10"/>
  <c r="W147" i="10"/>
  <c r="W141" i="10"/>
  <c r="W154" i="10"/>
  <c r="W164" i="10"/>
  <c r="W187" i="10"/>
  <c r="W259" i="10"/>
  <c r="W215" i="10"/>
  <c r="W198" i="10"/>
  <c r="W254" i="10"/>
  <c r="W255" i="10"/>
  <c r="W10" i="10"/>
  <c r="W120" i="10"/>
  <c r="W41" i="10"/>
  <c r="W12" i="10"/>
  <c r="W51" i="10"/>
  <c r="W87" i="10"/>
  <c r="W46" i="10"/>
  <c r="W25" i="10"/>
  <c r="W74" i="10"/>
  <c r="W97" i="10"/>
  <c r="W61" i="10"/>
  <c r="W76" i="10"/>
  <c r="W135" i="10"/>
  <c r="W160" i="10"/>
  <c r="W168" i="10"/>
  <c r="W144" i="10"/>
  <c r="W98" i="10"/>
  <c r="W150" i="10"/>
  <c r="W171" i="10"/>
  <c r="W165" i="10"/>
  <c r="W178" i="10"/>
  <c r="W220" i="10"/>
  <c r="W219" i="10"/>
  <c r="W202" i="10"/>
  <c r="W193" i="10"/>
  <c r="W225" i="10"/>
  <c r="W256" i="10"/>
  <c r="W301" i="10"/>
  <c r="W16" i="10"/>
  <c r="W47" i="10"/>
  <c r="W43" i="10"/>
  <c r="W24" i="10"/>
  <c r="W66" i="10"/>
  <c r="W38" i="10"/>
  <c r="W50" i="10"/>
  <c r="W27" i="10"/>
  <c r="W90" i="10"/>
  <c r="W128" i="10"/>
  <c r="W69" i="10"/>
  <c r="W84" i="10"/>
  <c r="W140" i="10"/>
  <c r="W143" i="10"/>
  <c r="W99" i="10"/>
  <c r="W176" i="10"/>
  <c r="W106" i="10"/>
  <c r="W158" i="10"/>
  <c r="W179" i="10"/>
  <c r="W173" i="10"/>
  <c r="W212" i="10"/>
  <c r="W145" i="10"/>
  <c r="W234" i="10"/>
  <c r="W218" i="10"/>
  <c r="W201" i="10"/>
  <c r="W249" i="10"/>
  <c r="W267" i="10"/>
  <c r="W284" i="10"/>
  <c r="W302" i="10"/>
  <c r="W224" i="10"/>
  <c r="W247" i="10"/>
  <c r="W290" i="10"/>
  <c r="W272" i="10"/>
  <c r="W300" i="10"/>
  <c r="W230" i="10"/>
  <c r="W287" i="10"/>
  <c r="W252" i="10"/>
  <c r="W273" i="10"/>
  <c r="W280" i="10"/>
  <c r="W293" i="10"/>
  <c r="W19" i="10"/>
  <c r="D67" i="16"/>
  <c r="E67" i="16" s="1"/>
  <c r="W303" i="10"/>
  <c r="W275" i="10"/>
  <c r="W226" i="10"/>
  <c r="W241" i="10"/>
  <c r="W262" i="10"/>
  <c r="W278" i="10"/>
  <c r="W239" i="10"/>
  <c r="W269" i="10"/>
  <c r="W276" i="10"/>
  <c r="W291" i="10"/>
  <c r="W18" i="10"/>
  <c r="W11" i="10"/>
  <c r="W299" i="10"/>
  <c r="W9" i="10"/>
  <c r="C6" i="16"/>
  <c r="C7" i="16" s="1"/>
  <c r="W184" i="10"/>
  <c r="W210" i="10"/>
  <c r="W185" i="10"/>
  <c r="W206" i="10"/>
  <c r="W286" i="10"/>
  <c r="W240" i="10"/>
  <c r="W253" i="10"/>
  <c r="W228" i="10"/>
  <c r="W274" i="10"/>
  <c r="W281" i="10"/>
  <c r="W7" i="10"/>
  <c r="W248" i="10"/>
  <c r="W270" i="10"/>
  <c r="W236" i="10"/>
  <c r="W282" i="10"/>
  <c r="W297" i="10"/>
  <c r="W180" i="10"/>
  <c r="W213" i="10"/>
  <c r="W192" i="10"/>
  <c r="W194" i="10"/>
  <c r="W207" i="10"/>
  <c r="W209" i="10"/>
  <c r="W214" i="10"/>
  <c r="W265" i="10"/>
  <c r="W271" i="10"/>
  <c r="W264" i="10"/>
  <c r="W261" i="10"/>
  <c r="W263" i="10"/>
  <c r="W277" i="10"/>
  <c r="W298" i="10"/>
  <c r="W289" i="10"/>
  <c r="W296" i="10"/>
  <c r="W5" i="10"/>
  <c r="W6" i="10"/>
  <c r="W153" i="10"/>
  <c r="W211" i="10"/>
  <c r="W227" i="10"/>
  <c r="W235" i="10"/>
  <c r="W243" i="10"/>
  <c r="W182" i="10"/>
  <c r="W233" i="10"/>
  <c r="W238" i="10"/>
  <c r="W232" i="10"/>
  <c r="W229" i="10"/>
  <c r="W231" i="10"/>
  <c r="W244" i="10"/>
  <c r="W266" i="10"/>
  <c r="W292" i="10"/>
  <c r="W283" i="10"/>
  <c r="W22" i="10"/>
  <c r="N5" i="16"/>
  <c r="N6" i="16" s="1"/>
  <c r="P5" i="16"/>
  <c r="P6" i="16" s="1"/>
  <c r="I5" i="16"/>
  <c r="I6" i="16" s="1"/>
  <c r="Q5" i="16"/>
  <c r="Q6" i="16" s="1"/>
  <c r="R5" i="16"/>
  <c r="R6" i="16" s="1"/>
  <c r="K5" i="16"/>
  <c r="K6" i="16" s="1"/>
  <c r="S5" i="16"/>
  <c r="S6" i="16" s="1"/>
  <c r="O5" i="16"/>
  <c r="O6" i="16" s="1"/>
  <c r="L5" i="16"/>
  <c r="L6" i="16" s="1"/>
  <c r="T5" i="16"/>
  <c r="T6" i="16" s="1"/>
  <c r="M5" i="16"/>
  <c r="M6" i="16" s="1"/>
  <c r="J5" i="16"/>
  <c r="J6" i="16" s="1"/>
  <c r="N16" i="10"/>
  <c r="D64" i="16"/>
  <c r="E64" i="16" s="1"/>
  <c r="D61" i="16"/>
  <c r="E61" i="16" s="1"/>
  <c r="D65" i="16"/>
  <c r="E65" i="16" s="1"/>
  <c r="D57" i="16"/>
  <c r="E57" i="16" s="1"/>
  <c r="O8" i="16"/>
  <c r="O10" i="16" s="1"/>
  <c r="N8" i="16"/>
  <c r="N10" i="16" s="1"/>
  <c r="M8" i="16"/>
  <c r="M10" i="16" s="1"/>
  <c r="J8" i="16"/>
  <c r="J10" i="16" s="1"/>
  <c r="T8" i="16"/>
  <c r="T10" i="16" s="1"/>
  <c r="L8" i="16"/>
  <c r="L10" i="16" s="1"/>
  <c r="R8" i="16"/>
  <c r="R10" i="16" s="1"/>
  <c r="S8" i="16"/>
  <c r="S10" i="16" s="1"/>
  <c r="K8" i="16"/>
  <c r="K10" i="16" s="1"/>
  <c r="Q8" i="16"/>
  <c r="Q10" i="16" s="1"/>
  <c r="I8" i="16"/>
  <c r="P8" i="16"/>
  <c r="P10" i="16" s="1"/>
  <c r="AA300" i="10"/>
  <c r="AA292" i="10"/>
  <c r="AA303" i="10"/>
  <c r="AA295" i="10"/>
  <c r="AA287" i="10"/>
  <c r="AA279" i="10"/>
  <c r="AA271" i="10"/>
  <c r="AA298" i="10"/>
  <c r="AA301" i="10"/>
  <c r="AA293" i="10"/>
  <c r="AA285" i="10"/>
  <c r="AA277" i="10"/>
  <c r="AA269" i="10"/>
  <c r="AA296" i="10"/>
  <c r="AA288" i="10"/>
  <c r="AA280" i="10"/>
  <c r="AA272" i="10"/>
  <c r="AA299" i="10"/>
  <c r="AA302" i="10"/>
  <c r="AA294" i="10"/>
  <c r="AA286" i="10"/>
  <c r="AA278" i="10"/>
  <c r="AA270" i="10"/>
  <c r="AA297" i="10"/>
  <c r="AA289" i="10"/>
  <c r="AA281" i="10"/>
  <c r="AA273" i="10"/>
  <c r="AA265" i="10"/>
  <c r="AA264" i="10"/>
  <c r="AA256" i="10"/>
  <c r="AA248" i="10"/>
  <c r="AA240" i="10"/>
  <c r="AA232" i="10"/>
  <c r="AA224" i="10"/>
  <c r="AA290" i="10"/>
  <c r="AA275" i="10"/>
  <c r="AA259" i="10"/>
  <c r="AA251" i="10"/>
  <c r="AA243" i="10"/>
  <c r="AA235" i="10"/>
  <c r="AA227" i="10"/>
  <c r="AA283" i="10"/>
  <c r="AA267" i="10"/>
  <c r="AA266" i="10"/>
  <c r="AA268" i="10"/>
  <c r="AA257" i="10"/>
  <c r="AA249" i="10"/>
  <c r="AA241" i="10"/>
  <c r="AA233" i="10"/>
  <c r="AA225" i="10"/>
  <c r="AA276" i="10"/>
  <c r="AA260" i="10"/>
  <c r="AA252" i="10"/>
  <c r="AA244" i="10"/>
  <c r="AA236" i="10"/>
  <c r="AA228" i="10"/>
  <c r="AA284" i="10"/>
  <c r="AA291" i="10"/>
  <c r="AA274" i="10"/>
  <c r="AA258" i="10"/>
  <c r="AA250" i="10"/>
  <c r="AA242" i="10"/>
  <c r="AA234" i="10"/>
  <c r="AA226" i="10"/>
  <c r="AA282" i="10"/>
  <c r="AA261" i="10"/>
  <c r="AA253" i="10"/>
  <c r="AA245" i="10"/>
  <c r="AA237" i="10"/>
  <c r="AA229" i="10"/>
  <c r="AA263" i="10"/>
  <c r="AA231" i="10"/>
  <c r="AA218" i="10"/>
  <c r="AA210" i="10"/>
  <c r="AA202" i="10"/>
  <c r="AA194" i="10"/>
  <c r="AA186" i="10"/>
  <c r="AA238" i="10"/>
  <c r="AA221" i="10"/>
  <c r="AA213" i="10"/>
  <c r="AA205" i="10"/>
  <c r="AA197" i="10"/>
  <c r="AA189" i="10"/>
  <c r="AA255" i="10"/>
  <c r="AA262" i="10"/>
  <c r="AA230" i="10"/>
  <c r="AA219" i="10"/>
  <c r="AA211" i="10"/>
  <c r="AA203" i="10"/>
  <c r="AA195" i="10"/>
  <c r="AA187" i="10"/>
  <c r="AA247" i="10"/>
  <c r="AA222" i="10"/>
  <c r="AA214" i="10"/>
  <c r="AA206" i="10"/>
  <c r="AA198" i="10"/>
  <c r="AA190" i="10"/>
  <c r="AA182" i="10"/>
  <c r="AA254" i="10"/>
  <c r="AA239" i="10"/>
  <c r="AA220" i="10"/>
  <c r="AA212" i="10"/>
  <c r="AA204" i="10"/>
  <c r="AA196" i="10"/>
  <c r="AA188" i="10"/>
  <c r="AA246" i="10"/>
  <c r="AA223" i="10"/>
  <c r="AA215" i="10"/>
  <c r="AA207" i="10"/>
  <c r="AA199" i="10"/>
  <c r="AA191" i="10"/>
  <c r="AA183" i="10"/>
  <c r="AA193" i="10"/>
  <c r="AA181" i="10"/>
  <c r="AA173" i="10"/>
  <c r="AA165" i="10"/>
  <c r="AA157" i="10"/>
  <c r="AA149" i="10"/>
  <c r="AA141" i="10"/>
  <c r="AA200" i="10"/>
  <c r="AA176" i="10"/>
  <c r="AA168" i="10"/>
  <c r="AA160" i="10"/>
  <c r="AA152" i="10"/>
  <c r="AA144" i="10"/>
  <c r="AA217" i="10"/>
  <c r="AA185" i="10"/>
  <c r="AA192" i="10"/>
  <c r="AA174" i="10"/>
  <c r="AA166" i="10"/>
  <c r="AA158" i="10"/>
  <c r="AA150" i="10"/>
  <c r="AA142" i="10"/>
  <c r="AA209" i="10"/>
  <c r="AA177" i="10"/>
  <c r="AA169" i="10"/>
  <c r="AA161" i="10"/>
  <c r="AA153" i="10"/>
  <c r="AA145" i="10"/>
  <c r="AA216" i="10"/>
  <c r="AA184" i="10"/>
  <c r="AA201" i="10"/>
  <c r="AA175" i="10"/>
  <c r="AA167" i="10"/>
  <c r="AA159" i="10"/>
  <c r="AA151" i="10"/>
  <c r="AA143" i="10"/>
  <c r="AA208" i="10"/>
  <c r="AA178" i="10"/>
  <c r="AA170" i="10"/>
  <c r="AA162" i="10"/>
  <c r="AA154" i="10"/>
  <c r="AA146" i="10"/>
  <c r="AA164" i="10"/>
  <c r="AA134" i="10"/>
  <c r="AA126" i="10"/>
  <c r="AA118" i="10"/>
  <c r="AA110" i="10"/>
  <c r="AA102" i="10"/>
  <c r="AA171" i="10"/>
  <c r="AA137" i="10"/>
  <c r="AA129" i="10"/>
  <c r="AA121" i="10"/>
  <c r="AA113" i="10"/>
  <c r="AA105" i="10"/>
  <c r="AA156" i="10"/>
  <c r="AA163" i="10"/>
  <c r="AA135" i="10"/>
  <c r="AA127" i="10"/>
  <c r="AA119" i="10"/>
  <c r="AA111" i="10"/>
  <c r="AA103" i="10"/>
  <c r="AA180" i="10"/>
  <c r="AA148" i="10"/>
  <c r="AA138" i="10"/>
  <c r="AA130" i="10"/>
  <c r="AA122" i="10"/>
  <c r="AA114" i="10"/>
  <c r="AA106" i="10"/>
  <c r="AA155" i="10"/>
  <c r="AA172" i="10"/>
  <c r="AA140" i="10"/>
  <c r="AA136" i="10"/>
  <c r="AA128" i="10"/>
  <c r="AA120" i="10"/>
  <c r="AA112" i="10"/>
  <c r="AA104" i="10"/>
  <c r="AA179" i="10"/>
  <c r="AA147" i="10"/>
  <c r="AA139" i="10"/>
  <c r="AA131" i="10"/>
  <c r="AA123" i="10"/>
  <c r="AA115" i="10"/>
  <c r="AA107" i="10"/>
  <c r="AA99" i="10"/>
  <c r="AA125" i="10"/>
  <c r="AA98" i="10"/>
  <c r="AA96" i="10"/>
  <c r="AA88" i="10"/>
  <c r="AA80" i="10"/>
  <c r="AA72" i="10"/>
  <c r="AA64" i="10"/>
  <c r="AA56" i="10"/>
  <c r="AA124" i="10"/>
  <c r="AA97" i="10"/>
  <c r="AA89" i="10"/>
  <c r="AA81" i="10"/>
  <c r="AA73" i="10"/>
  <c r="AA65" i="10"/>
  <c r="AA57" i="10"/>
  <c r="AA109" i="10"/>
  <c r="AA92" i="10"/>
  <c r="AA84" i="10"/>
  <c r="AA76" i="10"/>
  <c r="AA68" i="10"/>
  <c r="AA60" i="10"/>
  <c r="AA108" i="10"/>
  <c r="AA93" i="10"/>
  <c r="AA85" i="10"/>
  <c r="AA77" i="10"/>
  <c r="AA69" i="10"/>
  <c r="AA61" i="10"/>
  <c r="AA86" i="10"/>
  <c r="AA70" i="10"/>
  <c r="AA51" i="10"/>
  <c r="AA36" i="10"/>
  <c r="AA34" i="10"/>
  <c r="AA32" i="10"/>
  <c r="AA30" i="10"/>
  <c r="AA28" i="10"/>
  <c r="AA26" i="10"/>
  <c r="AA24" i="10"/>
  <c r="AA12" i="10"/>
  <c r="AA87" i="10"/>
  <c r="AA71" i="10"/>
  <c r="AA54" i="10"/>
  <c r="AA45" i="10"/>
  <c r="AA43" i="10"/>
  <c r="AA41" i="10"/>
  <c r="AA39" i="10"/>
  <c r="AA133" i="10"/>
  <c r="AA82" i="10"/>
  <c r="AA66" i="10"/>
  <c r="AA49" i="10"/>
  <c r="AA47" i="10"/>
  <c r="AA132" i="10"/>
  <c r="AA83" i="10"/>
  <c r="AA67" i="10"/>
  <c r="AA52" i="10"/>
  <c r="AA37" i="10"/>
  <c r="AA17" i="10"/>
  <c r="AA16" i="10"/>
  <c r="J13" i="10"/>
  <c r="AA10" i="10"/>
  <c r="J8" i="10"/>
  <c r="AA117" i="10"/>
  <c r="AA94" i="10"/>
  <c r="AA78" i="10"/>
  <c r="AA62" i="10"/>
  <c r="AA55" i="10"/>
  <c r="AA35" i="10"/>
  <c r="AA33" i="10"/>
  <c r="AA31" i="10"/>
  <c r="AA29" i="10"/>
  <c r="AA27" i="10"/>
  <c r="AA25" i="10"/>
  <c r="AA23" i="10"/>
  <c r="AA20" i="10"/>
  <c r="J12" i="10"/>
  <c r="AA116" i="10"/>
  <c r="AA95" i="10"/>
  <c r="AA79" i="10"/>
  <c r="AA63" i="10"/>
  <c r="AA50" i="10"/>
  <c r="AA46" i="10"/>
  <c r="AA44" i="10"/>
  <c r="AA42" i="10"/>
  <c r="AA40" i="10"/>
  <c r="AA101" i="10"/>
  <c r="AA90" i="10"/>
  <c r="AA74" i="10"/>
  <c r="AA58" i="10"/>
  <c r="AA53" i="10"/>
  <c r="AA38" i="10"/>
  <c r="AA100" i="10"/>
  <c r="AA91" i="10"/>
  <c r="AA75" i="10"/>
  <c r="AA59" i="10"/>
  <c r="AA48" i="10"/>
  <c r="AA13" i="10"/>
  <c r="J10" i="10"/>
  <c r="AA8" i="10"/>
  <c r="AA7" i="10"/>
  <c r="J4" i="10"/>
  <c r="AA15" i="10"/>
  <c r="AA9" i="10"/>
  <c r="AA18" i="10"/>
  <c r="AA22" i="10"/>
  <c r="AA19" i="10"/>
  <c r="J11" i="10"/>
  <c r="J7" i="10"/>
  <c r="AA5" i="10"/>
  <c r="J14" i="10"/>
  <c r="AA4" i="10"/>
  <c r="J6" i="10"/>
  <c r="AA11" i="10"/>
  <c r="AA21" i="10"/>
  <c r="AA14" i="10"/>
  <c r="J15" i="10"/>
  <c r="J9" i="10"/>
  <c r="J5" i="10"/>
  <c r="AA6" i="10"/>
  <c r="C18" i="3"/>
  <c r="C10" i="10" s="1"/>
  <c r="E69" i="16" l="1"/>
  <c r="C31" i="16" s="1"/>
  <c r="C33" i="16" s="1"/>
  <c r="F36" i="10"/>
  <c r="F33" i="10"/>
  <c r="F24" i="10"/>
  <c r="F25" i="10"/>
  <c r="F43" i="10"/>
  <c r="F38" i="10"/>
  <c r="F34" i="10"/>
  <c r="F41" i="10"/>
  <c r="F31" i="10"/>
  <c r="F27" i="10"/>
  <c r="F29" i="10"/>
  <c r="F35" i="10"/>
  <c r="F28" i="10"/>
  <c r="F32" i="10"/>
  <c r="F30" i="10"/>
  <c r="F26" i="10"/>
  <c r="F23" i="10"/>
  <c r="F46" i="10"/>
  <c r="F37" i="10"/>
  <c r="F39" i="10"/>
  <c r="F42" i="10"/>
  <c r="F22" i="10"/>
  <c r="F45" i="10"/>
  <c r="F44" i="10"/>
  <c r="F40" i="10"/>
  <c r="D69" i="16"/>
  <c r="U5" i="16"/>
  <c r="U6" i="16"/>
  <c r="C9" i="16" s="1"/>
  <c r="C10" i="16" s="1"/>
  <c r="AE296" i="10"/>
  <c r="AE288" i="10"/>
  <c r="AE299" i="10"/>
  <c r="AE291" i="10"/>
  <c r="AE283" i="10"/>
  <c r="AE275" i="10"/>
  <c r="AE267" i="10"/>
  <c r="AE302" i="10"/>
  <c r="AE297" i="10"/>
  <c r="AE289" i="10"/>
  <c r="AE281" i="10"/>
  <c r="AE273" i="10"/>
  <c r="AE300" i="10"/>
  <c r="AE292" i="10"/>
  <c r="AE284" i="10"/>
  <c r="AE276" i="10"/>
  <c r="AE268" i="10"/>
  <c r="AE303" i="10"/>
  <c r="AE298" i="10"/>
  <c r="AE290" i="10"/>
  <c r="AE282" i="10"/>
  <c r="AE274" i="10"/>
  <c r="AE266" i="10"/>
  <c r="AE301" i="10"/>
  <c r="AE293" i="10"/>
  <c r="AE285" i="10"/>
  <c r="AE277" i="10"/>
  <c r="AE269" i="10"/>
  <c r="AE295" i="10"/>
  <c r="AE270" i="10"/>
  <c r="AE260" i="10"/>
  <c r="AE252" i="10"/>
  <c r="AE244" i="10"/>
  <c r="AE236" i="10"/>
  <c r="AE228" i="10"/>
  <c r="AE278" i="10"/>
  <c r="AE265" i="10"/>
  <c r="AE263" i="10"/>
  <c r="AE255" i="10"/>
  <c r="AE247" i="10"/>
  <c r="AE239" i="10"/>
  <c r="AE231" i="10"/>
  <c r="AE287" i="10"/>
  <c r="AE294" i="10"/>
  <c r="AE271" i="10"/>
  <c r="AE261" i="10"/>
  <c r="AE253" i="10"/>
  <c r="AE245" i="10"/>
  <c r="AE237" i="10"/>
  <c r="AE229" i="10"/>
  <c r="AE279" i="10"/>
  <c r="AE264" i="10"/>
  <c r="AE256" i="10"/>
  <c r="AE248" i="10"/>
  <c r="AE240" i="10"/>
  <c r="AE232" i="10"/>
  <c r="AE224" i="10"/>
  <c r="AE286" i="10"/>
  <c r="AE272" i="10"/>
  <c r="AE262" i="10"/>
  <c r="AE254" i="10"/>
  <c r="AE246" i="10"/>
  <c r="AE238" i="10"/>
  <c r="AE230" i="10"/>
  <c r="AE280" i="10"/>
  <c r="AE257" i="10"/>
  <c r="AE249" i="10"/>
  <c r="AE241" i="10"/>
  <c r="AE233" i="10"/>
  <c r="AE225" i="10"/>
  <c r="AE243" i="10"/>
  <c r="AE222" i="10"/>
  <c r="AE214" i="10"/>
  <c r="AE206" i="10"/>
  <c r="AE198" i="10"/>
  <c r="AE190" i="10"/>
  <c r="AE182" i="10"/>
  <c r="AE250" i="10"/>
  <c r="AE217" i="10"/>
  <c r="AE209" i="10"/>
  <c r="AE201" i="10"/>
  <c r="AE193" i="10"/>
  <c r="AE185" i="10"/>
  <c r="AE235" i="10"/>
  <c r="AE242" i="10"/>
  <c r="AE223" i="10"/>
  <c r="AE215" i="10"/>
  <c r="AE207" i="10"/>
  <c r="AE199" i="10"/>
  <c r="AE191" i="10"/>
  <c r="AE183" i="10"/>
  <c r="AE259" i="10"/>
  <c r="AE227" i="10"/>
  <c r="AE218" i="10"/>
  <c r="AE210" i="10"/>
  <c r="AE202" i="10"/>
  <c r="AE194" i="10"/>
  <c r="AE186" i="10"/>
  <c r="AE234" i="10"/>
  <c r="AE251" i="10"/>
  <c r="AE216" i="10"/>
  <c r="AE208" i="10"/>
  <c r="AE200" i="10"/>
  <c r="AE192" i="10"/>
  <c r="AE184" i="10"/>
  <c r="AE258" i="10"/>
  <c r="AE226" i="10"/>
  <c r="AE219" i="10"/>
  <c r="AE211" i="10"/>
  <c r="AE203" i="10"/>
  <c r="AE195" i="10"/>
  <c r="AE187" i="10"/>
  <c r="AE205" i="10"/>
  <c r="AE177" i="10"/>
  <c r="AE169" i="10"/>
  <c r="AE161" i="10"/>
  <c r="AE153" i="10"/>
  <c r="AE145" i="10"/>
  <c r="AE212" i="10"/>
  <c r="AE180" i="10"/>
  <c r="AE172" i="10"/>
  <c r="AE164" i="10"/>
  <c r="AE156" i="10"/>
  <c r="AE148" i="10"/>
  <c r="AE140" i="10"/>
  <c r="AE197" i="10"/>
  <c r="AE204" i="10"/>
  <c r="AE178" i="10"/>
  <c r="AE170" i="10"/>
  <c r="AE162" i="10"/>
  <c r="AE154" i="10"/>
  <c r="AE146" i="10"/>
  <c r="AE221" i="10"/>
  <c r="AE189" i="10"/>
  <c r="AE173" i="10"/>
  <c r="AE165" i="10"/>
  <c r="AE157" i="10"/>
  <c r="AE149" i="10"/>
  <c r="AE141" i="10"/>
  <c r="AE196" i="10"/>
  <c r="AE213" i="10"/>
  <c r="AE181" i="10"/>
  <c r="AE179" i="10"/>
  <c r="AE171" i="10"/>
  <c r="AE163" i="10"/>
  <c r="AE155" i="10"/>
  <c r="AE147" i="10"/>
  <c r="AE220" i="10"/>
  <c r="AE188" i="10"/>
  <c r="AE174" i="10"/>
  <c r="AE166" i="10"/>
  <c r="AE158" i="10"/>
  <c r="AE150" i="10"/>
  <c r="AE142" i="10"/>
  <c r="AE176" i="10"/>
  <c r="AE144" i="10"/>
  <c r="AE138" i="10"/>
  <c r="AE130" i="10"/>
  <c r="AE122" i="10"/>
  <c r="AE114" i="10"/>
  <c r="AE106" i="10"/>
  <c r="AE98" i="10"/>
  <c r="AE151" i="10"/>
  <c r="AE133" i="10"/>
  <c r="AE125" i="10"/>
  <c r="AE117" i="10"/>
  <c r="AE109" i="10"/>
  <c r="AE101" i="10"/>
  <c r="AE168" i="10"/>
  <c r="AE175" i="10"/>
  <c r="AE143" i="10"/>
  <c r="AE139" i="10"/>
  <c r="AE131" i="10"/>
  <c r="AE123" i="10"/>
  <c r="AE115" i="10"/>
  <c r="AE107" i="10"/>
  <c r="AE99" i="10"/>
  <c r="AE160" i="10"/>
  <c r="AE134" i="10"/>
  <c r="AE126" i="10"/>
  <c r="AE118" i="10"/>
  <c r="AE110" i="10"/>
  <c r="AE102" i="10"/>
  <c r="AE167" i="10"/>
  <c r="AE152" i="10"/>
  <c r="AE132" i="10"/>
  <c r="AE124" i="10"/>
  <c r="AE116" i="10"/>
  <c r="AE108" i="10"/>
  <c r="AE100" i="10"/>
  <c r="AE159" i="10"/>
  <c r="AE135" i="10"/>
  <c r="AE127" i="10"/>
  <c r="AE119" i="10"/>
  <c r="AE111" i="10"/>
  <c r="AE103" i="10"/>
  <c r="AE137" i="10"/>
  <c r="AE105" i="10"/>
  <c r="AE92" i="10"/>
  <c r="AE84" i="10"/>
  <c r="AE76" i="10"/>
  <c r="AE68" i="10"/>
  <c r="AE60" i="10"/>
  <c r="AE136" i="10"/>
  <c r="AE104" i="10"/>
  <c r="AE93" i="10"/>
  <c r="AE85" i="10"/>
  <c r="AE77" i="10"/>
  <c r="AE69" i="10"/>
  <c r="AE61" i="10"/>
  <c r="AE121" i="10"/>
  <c r="AE96" i="10"/>
  <c r="AE88" i="10"/>
  <c r="AE80" i="10"/>
  <c r="AE72" i="10"/>
  <c r="AE64" i="10"/>
  <c r="AE56" i="10"/>
  <c r="AE120" i="10"/>
  <c r="AE97" i="10"/>
  <c r="AE89" i="10"/>
  <c r="AE81" i="10"/>
  <c r="AE73" i="10"/>
  <c r="AE65" i="10"/>
  <c r="AE57" i="10"/>
  <c r="AE129" i="10"/>
  <c r="AE82" i="10"/>
  <c r="AE66" i="10"/>
  <c r="AE55" i="10"/>
  <c r="AE35" i="10"/>
  <c r="AE33" i="10"/>
  <c r="AE31" i="10"/>
  <c r="AE29" i="10"/>
  <c r="AE27" i="10"/>
  <c r="AE25" i="10"/>
  <c r="AE23" i="10"/>
  <c r="AE20" i="10"/>
  <c r="AE128" i="10"/>
  <c r="AE83" i="10"/>
  <c r="AE67" i="10"/>
  <c r="AE50" i="10"/>
  <c r="AE46" i="10"/>
  <c r="AE44" i="10"/>
  <c r="AE42" i="10"/>
  <c r="AE40" i="10"/>
  <c r="AE113" i="10"/>
  <c r="AE94" i="10"/>
  <c r="AE78" i="10"/>
  <c r="AE62" i="10"/>
  <c r="AE53" i="10"/>
  <c r="AE38" i="10"/>
  <c r="AE112" i="10"/>
  <c r="AE95" i="10"/>
  <c r="AE79" i="10"/>
  <c r="AE63" i="10"/>
  <c r="AE48" i="10"/>
  <c r="AE13" i="10"/>
  <c r="AE8" i="10"/>
  <c r="AE90" i="10"/>
  <c r="AE74" i="10"/>
  <c r="AE58" i="10"/>
  <c r="AE51" i="10"/>
  <c r="AE36" i="10"/>
  <c r="AE34" i="10"/>
  <c r="AE32" i="10"/>
  <c r="AE30" i="10"/>
  <c r="AE28" i="10"/>
  <c r="AE26" i="10"/>
  <c r="AE24" i="10"/>
  <c r="AE12" i="10"/>
  <c r="AE91" i="10"/>
  <c r="AE75" i="10"/>
  <c r="AE59" i="10"/>
  <c r="AE54" i="10"/>
  <c r="AE45" i="10"/>
  <c r="AE43" i="10"/>
  <c r="AE41" i="10"/>
  <c r="AE39" i="10"/>
  <c r="AE86" i="10"/>
  <c r="AE70" i="10"/>
  <c r="AE49" i="10"/>
  <c r="AE47" i="10"/>
  <c r="AE87" i="10"/>
  <c r="AE71" i="10"/>
  <c r="AE52" i="10"/>
  <c r="AE37" i="10"/>
  <c r="AE17" i="10"/>
  <c r="AE16" i="10"/>
  <c r="AE10" i="10"/>
  <c r="AE18" i="10"/>
  <c r="AE4" i="10"/>
  <c r="AE22" i="10"/>
  <c r="AE19" i="10"/>
  <c r="AE11" i="10"/>
  <c r="AE21" i="10"/>
  <c r="AE14" i="10"/>
  <c r="AE7" i="10"/>
  <c r="AE6" i="10"/>
  <c r="AE15" i="10"/>
  <c r="AE9" i="10"/>
  <c r="AE5" i="10"/>
  <c r="U8" i="16"/>
  <c r="V8" i="16"/>
  <c r="I10" i="16"/>
  <c r="U10" i="16" s="1"/>
  <c r="J16" i="10"/>
  <c r="J17" i="10"/>
  <c r="F48" i="10" l="1"/>
  <c r="F47" i="10"/>
  <c r="C14" i="16"/>
  <c r="C13" i="16"/>
  <c r="H30" i="10"/>
  <c r="H39" i="10"/>
  <c r="H46" i="10"/>
  <c r="H29" i="10"/>
  <c r="H43" i="10"/>
  <c r="H40" i="10"/>
  <c r="H38" i="10"/>
  <c r="H34" i="10"/>
  <c r="H33" i="10"/>
  <c r="H31" i="10"/>
  <c r="H32" i="10"/>
  <c r="H25" i="10"/>
  <c r="H22" i="10"/>
  <c r="AL4" i="10"/>
  <c r="AL5" i="10" s="1"/>
  <c r="AL6" i="10" s="1"/>
  <c r="AL7" i="10" s="1"/>
  <c r="AL8" i="10" s="1"/>
  <c r="AL9" i="10" s="1"/>
  <c r="AL10" i="10" s="1"/>
  <c r="AL11" i="10" s="1"/>
  <c r="AL12" i="10" s="1"/>
  <c r="AL13" i="10" s="1"/>
  <c r="AL14" i="10" s="1"/>
  <c r="AL15" i="10" s="1"/>
  <c r="AL16" i="10" s="1"/>
  <c r="AL17" i="10" s="1"/>
  <c r="AL18" i="10" s="1"/>
  <c r="AL19" i="10" s="1"/>
  <c r="AL20" i="10" s="1"/>
  <c r="AL21" i="10" s="1"/>
  <c r="AL22" i="10" s="1"/>
  <c r="AL23" i="10" s="1"/>
  <c r="AL24" i="10" s="1"/>
  <c r="AL25" i="10" s="1"/>
  <c r="AL26" i="10" s="1"/>
  <c r="AL27" i="10" s="1"/>
  <c r="AL28" i="10" s="1"/>
  <c r="AL29" i="10" s="1"/>
  <c r="AL30" i="10" s="1"/>
  <c r="AL31" i="10" s="1"/>
  <c r="AL32" i="10" s="1"/>
  <c r="AL33" i="10" s="1"/>
  <c r="AL34" i="10" s="1"/>
  <c r="AL35" i="10" s="1"/>
  <c r="AL36" i="10" s="1"/>
  <c r="AL37" i="10" s="1"/>
  <c r="AL38" i="10" s="1"/>
  <c r="AL39" i="10" s="1"/>
  <c r="AL40" i="10" s="1"/>
  <c r="AL41" i="10" s="1"/>
  <c r="AL42" i="10" s="1"/>
  <c r="AL43" i="10" s="1"/>
  <c r="AL44" i="10" s="1"/>
  <c r="AL45" i="10" s="1"/>
  <c r="AL46" i="10" s="1"/>
  <c r="AL47" i="10" s="1"/>
  <c r="AL48" i="10" s="1"/>
  <c r="AL49" i="10" s="1"/>
  <c r="AL50" i="10" s="1"/>
  <c r="AL51" i="10" s="1"/>
  <c r="AL52" i="10" s="1"/>
  <c r="AL53" i="10" s="1"/>
  <c r="AL54" i="10" s="1"/>
  <c r="AL55" i="10" s="1"/>
  <c r="AL56" i="10" s="1"/>
  <c r="AL57" i="10" s="1"/>
  <c r="AL58" i="10" s="1"/>
  <c r="AL59" i="10" s="1"/>
  <c r="AL60" i="10" s="1"/>
  <c r="AL61" i="10" s="1"/>
  <c r="AL62" i="10" s="1"/>
  <c r="AL63" i="10" s="1"/>
  <c r="AL64" i="10" s="1"/>
  <c r="AL65" i="10" s="1"/>
  <c r="AL66" i="10" s="1"/>
  <c r="AL67" i="10" s="1"/>
  <c r="AL68" i="10" s="1"/>
  <c r="AL69" i="10" s="1"/>
  <c r="AL70" i="10" s="1"/>
  <c r="AL71" i="10" s="1"/>
  <c r="AL72" i="10" s="1"/>
  <c r="AL73" i="10" s="1"/>
  <c r="AL74" i="10" s="1"/>
  <c r="AL75" i="10" s="1"/>
  <c r="AL76" i="10" s="1"/>
  <c r="AL77" i="10" s="1"/>
  <c r="AL78" i="10" s="1"/>
  <c r="AL79" i="10" s="1"/>
  <c r="AL80" i="10" s="1"/>
  <c r="AL81" i="10" s="1"/>
  <c r="AL82" i="10" s="1"/>
  <c r="AL83" i="10" s="1"/>
  <c r="AL84" i="10" s="1"/>
  <c r="AL85" i="10" s="1"/>
  <c r="AL86" i="10" s="1"/>
  <c r="AL87" i="10" s="1"/>
  <c r="AL88" i="10" s="1"/>
  <c r="AL89" i="10" s="1"/>
  <c r="AL90" i="10" s="1"/>
  <c r="AL91" i="10" s="1"/>
  <c r="AL92" i="10" s="1"/>
  <c r="AL93" i="10" s="1"/>
  <c r="AL94" i="10" s="1"/>
  <c r="AL95" i="10" s="1"/>
  <c r="AL96" i="10" s="1"/>
  <c r="AL97" i="10" s="1"/>
  <c r="AL98" i="10" s="1"/>
  <c r="AL99" i="10" s="1"/>
  <c r="AL100" i="10" s="1"/>
  <c r="AL101" i="10" s="1"/>
  <c r="AL102" i="10" s="1"/>
  <c r="AL103" i="10" s="1"/>
  <c r="AL104" i="10" s="1"/>
  <c r="AL105" i="10" s="1"/>
  <c r="AL106" i="10" s="1"/>
  <c r="AL107" i="10" s="1"/>
  <c r="AL108" i="10" s="1"/>
  <c r="AL109" i="10" s="1"/>
  <c r="AL110" i="10" s="1"/>
  <c r="AL111" i="10" s="1"/>
  <c r="AL112" i="10" s="1"/>
  <c r="AL113" i="10" s="1"/>
  <c r="AL114" i="10" s="1"/>
  <c r="AL115" i="10" s="1"/>
  <c r="AL116" i="10" s="1"/>
  <c r="AL117" i="10" s="1"/>
  <c r="AL118" i="10" s="1"/>
  <c r="AL119" i="10" s="1"/>
  <c r="AL120" i="10" s="1"/>
  <c r="AL121" i="10" s="1"/>
  <c r="AL122" i="10" s="1"/>
  <c r="AL123" i="10" s="1"/>
  <c r="AL124" i="10" s="1"/>
  <c r="AL125" i="10" s="1"/>
  <c r="AL126" i="10" s="1"/>
  <c r="AL127" i="10" s="1"/>
  <c r="AL128" i="10" s="1"/>
  <c r="AL129" i="10" s="1"/>
  <c r="AL130" i="10" s="1"/>
  <c r="AL131" i="10" s="1"/>
  <c r="AL132" i="10" s="1"/>
  <c r="AL133" i="10" s="1"/>
  <c r="AL134" i="10" s="1"/>
  <c r="AL135" i="10" s="1"/>
  <c r="AL136" i="10" s="1"/>
  <c r="AL137" i="10" s="1"/>
  <c r="AL138" i="10" s="1"/>
  <c r="AL139" i="10" s="1"/>
  <c r="AL140" i="10" s="1"/>
  <c r="AL141" i="10" s="1"/>
  <c r="AL142" i="10" s="1"/>
  <c r="AL143" i="10" s="1"/>
  <c r="AL144" i="10" s="1"/>
  <c r="AL145" i="10" s="1"/>
  <c r="AL146" i="10" s="1"/>
  <c r="AL147" i="10" s="1"/>
  <c r="AL148" i="10" s="1"/>
  <c r="AL149" i="10" s="1"/>
  <c r="AL150" i="10" s="1"/>
  <c r="AL151" i="10" s="1"/>
  <c r="AL152" i="10" s="1"/>
  <c r="AL153" i="10" s="1"/>
  <c r="AL154" i="10" s="1"/>
  <c r="AL155" i="10" s="1"/>
  <c r="AL156" i="10" s="1"/>
  <c r="AL157" i="10" s="1"/>
  <c r="AL158" i="10" s="1"/>
  <c r="AL159" i="10" s="1"/>
  <c r="AL160" i="10" s="1"/>
  <c r="AL161" i="10" s="1"/>
  <c r="AL162" i="10" s="1"/>
  <c r="AL163" i="10" s="1"/>
  <c r="AL164" i="10" s="1"/>
  <c r="AL165" i="10" s="1"/>
  <c r="AL166" i="10" s="1"/>
  <c r="AL167" i="10" s="1"/>
  <c r="AL168" i="10" s="1"/>
  <c r="AL169" i="10" s="1"/>
  <c r="AL170" i="10" s="1"/>
  <c r="AL171" i="10" s="1"/>
  <c r="AL172" i="10" s="1"/>
  <c r="AL173" i="10" s="1"/>
  <c r="AL174" i="10" s="1"/>
  <c r="AL175" i="10" s="1"/>
  <c r="AL176" i="10" s="1"/>
  <c r="AL177" i="10" s="1"/>
  <c r="AL178" i="10" s="1"/>
  <c r="AL179" i="10" s="1"/>
  <c r="AL180" i="10" s="1"/>
  <c r="AL181" i="10" s="1"/>
  <c r="AL182" i="10" s="1"/>
  <c r="AL183" i="10" s="1"/>
  <c r="AL184" i="10" s="1"/>
  <c r="AL185" i="10" s="1"/>
  <c r="AL186" i="10" s="1"/>
  <c r="AL187" i="10" s="1"/>
  <c r="AL188" i="10" s="1"/>
  <c r="AL189" i="10" s="1"/>
  <c r="AL190" i="10" s="1"/>
  <c r="AL191" i="10" s="1"/>
  <c r="AL192" i="10" s="1"/>
  <c r="AL193" i="10" s="1"/>
  <c r="AL194" i="10" s="1"/>
  <c r="AL195" i="10" s="1"/>
  <c r="AL196" i="10" s="1"/>
  <c r="AL197" i="10" s="1"/>
  <c r="AL198" i="10" s="1"/>
  <c r="AL199" i="10" s="1"/>
  <c r="AL200" i="10" s="1"/>
  <c r="AL201" i="10" s="1"/>
  <c r="AL202" i="10" s="1"/>
  <c r="AL203" i="10" s="1"/>
  <c r="AL204" i="10" s="1"/>
  <c r="AL205" i="10" s="1"/>
  <c r="AL206" i="10" s="1"/>
  <c r="AL207" i="10" s="1"/>
  <c r="AL208" i="10" s="1"/>
  <c r="AL209" i="10" s="1"/>
  <c r="AL210" i="10" s="1"/>
  <c r="AL211" i="10" s="1"/>
  <c r="AL212" i="10" s="1"/>
  <c r="AL213" i="10" s="1"/>
  <c r="AL214" i="10" s="1"/>
  <c r="AL215" i="10" s="1"/>
  <c r="AL216" i="10" s="1"/>
  <c r="AL217" i="10" s="1"/>
  <c r="AL218" i="10" s="1"/>
  <c r="AL219" i="10" s="1"/>
  <c r="AL220" i="10" s="1"/>
  <c r="AL221" i="10" s="1"/>
  <c r="AL222" i="10" s="1"/>
  <c r="AL223" i="10" s="1"/>
  <c r="AL224" i="10" s="1"/>
  <c r="AL225" i="10" s="1"/>
  <c r="AL226" i="10" s="1"/>
  <c r="AL227" i="10" s="1"/>
  <c r="AL228" i="10" s="1"/>
  <c r="AL229" i="10" s="1"/>
  <c r="AL230" i="10" s="1"/>
  <c r="AL231" i="10" s="1"/>
  <c r="AL232" i="10" s="1"/>
  <c r="AL233" i="10" s="1"/>
  <c r="AL234" i="10" s="1"/>
  <c r="AL235" i="10" s="1"/>
  <c r="AL236" i="10" s="1"/>
  <c r="AL237" i="10" s="1"/>
  <c r="AL238" i="10" s="1"/>
  <c r="AL239" i="10" s="1"/>
  <c r="AL240" i="10" s="1"/>
  <c r="AL241" i="10" s="1"/>
  <c r="AL242" i="10" s="1"/>
  <c r="AL243" i="10" s="1"/>
  <c r="AL244" i="10" s="1"/>
  <c r="AL245" i="10" s="1"/>
  <c r="AL246" i="10" s="1"/>
  <c r="AL247" i="10" s="1"/>
  <c r="AL248" i="10" s="1"/>
  <c r="AL249" i="10" s="1"/>
  <c r="AL250" i="10" s="1"/>
  <c r="AL251" i="10" s="1"/>
  <c r="AL252" i="10" s="1"/>
  <c r="AL253" i="10" s="1"/>
  <c r="AL254" i="10" s="1"/>
  <c r="AL255" i="10" s="1"/>
  <c r="AL256" i="10" s="1"/>
  <c r="AL257" i="10" s="1"/>
  <c r="AL258" i="10" s="1"/>
  <c r="AL259" i="10" s="1"/>
  <c r="AL260" i="10" s="1"/>
  <c r="AL261" i="10" s="1"/>
  <c r="AL262" i="10" s="1"/>
  <c r="AL263" i="10" s="1"/>
  <c r="AL264" i="10" s="1"/>
  <c r="AL265" i="10" s="1"/>
  <c r="AL266" i="10" s="1"/>
  <c r="AL267" i="10" s="1"/>
  <c r="AL268" i="10" s="1"/>
  <c r="AL269" i="10" s="1"/>
  <c r="AL270" i="10" s="1"/>
  <c r="AL271" i="10" s="1"/>
  <c r="AL272" i="10" s="1"/>
  <c r="AL273" i="10" s="1"/>
  <c r="AL274" i="10" s="1"/>
  <c r="AL275" i="10" s="1"/>
  <c r="AL276" i="10" s="1"/>
  <c r="AL277" i="10" s="1"/>
  <c r="AL278" i="10" s="1"/>
  <c r="AL279" i="10" s="1"/>
  <c r="AL280" i="10" s="1"/>
  <c r="AL281" i="10" s="1"/>
  <c r="AL282" i="10" s="1"/>
  <c r="AL283" i="10" s="1"/>
  <c r="AL284" i="10" s="1"/>
  <c r="AL285" i="10" s="1"/>
  <c r="AL286" i="10" s="1"/>
  <c r="AL287" i="10" s="1"/>
  <c r="AL288" i="10" s="1"/>
  <c r="AL289" i="10" s="1"/>
  <c r="AL290" i="10" s="1"/>
  <c r="AL291" i="10" s="1"/>
  <c r="AL292" i="10" s="1"/>
  <c r="AL293" i="10" s="1"/>
  <c r="AL294" i="10" s="1"/>
  <c r="AL295" i="10" s="1"/>
  <c r="AL296" i="10" s="1"/>
  <c r="AL297" i="10" s="1"/>
  <c r="AL298" i="10" s="1"/>
  <c r="AL299" i="10" s="1"/>
  <c r="AL300" i="10" s="1"/>
  <c r="AL301" i="10" s="1"/>
  <c r="AL302" i="10" s="1"/>
  <c r="AL303" i="10" s="1"/>
  <c r="H24" i="10"/>
  <c r="H35" i="10"/>
  <c r="H26" i="10"/>
  <c r="H28" i="10"/>
  <c r="H36" i="10"/>
  <c r="H37" i="10"/>
  <c r="H45" i="10"/>
  <c r="H42" i="10"/>
  <c r="H44" i="10"/>
  <c r="H41" i="10"/>
  <c r="H27" i="10"/>
  <c r="H23" i="10"/>
  <c r="C16" i="16" l="1"/>
  <c r="C20" i="16" s="1"/>
  <c r="H47" i="10"/>
  <c r="H48" i="10"/>
  <c r="O22" i="10"/>
  <c r="O23" i="10" s="1"/>
  <c r="O24" i="10" s="1"/>
  <c r="O25" i="10" s="1"/>
  <c r="O26" i="10" s="1"/>
  <c r="O27" i="10" s="1"/>
  <c r="O28" i="10" s="1"/>
  <c r="O29" i="10" s="1"/>
  <c r="O30" i="10" s="1"/>
  <c r="O31" i="10" s="1"/>
  <c r="O32" i="10" s="1"/>
  <c r="O33" i="10" s="1"/>
  <c r="O34" i="10" s="1"/>
  <c r="O35" i="10" s="1"/>
  <c r="O36" i="10" s="1"/>
  <c r="O37" i="10" s="1"/>
  <c r="O38" i="10" s="1"/>
  <c r="O39" i="10" s="1"/>
  <c r="O40" i="10" s="1"/>
  <c r="O41" i="10" s="1"/>
  <c r="O42" i="10" s="1"/>
  <c r="O43" i="10" s="1"/>
  <c r="O44" i="10" s="1"/>
  <c r="O45" i="10" s="1"/>
  <c r="O46" i="10" s="1"/>
  <c r="C22" i="16" l="1"/>
  <c r="A2" i="45" s="1"/>
  <c r="D10" i="45"/>
  <c r="E25" i="45" l="1"/>
  <c r="D19" i="45"/>
  <c r="C28" i="16"/>
  <c r="N9" i="16" s="1"/>
  <c r="G9" i="10" s="1"/>
  <c r="H9" i="10" s="1"/>
  <c r="K9" i="10" s="1"/>
  <c r="M9" i="10" s="1"/>
  <c r="C3" i="10"/>
  <c r="C25" i="16"/>
  <c r="D25" i="16" s="1"/>
  <c r="E24" i="16" s="1"/>
  <c r="O9" i="16" l="1"/>
  <c r="G10" i="10" s="1"/>
  <c r="H10" i="10" s="1"/>
  <c r="K10" i="10" s="1"/>
  <c r="M10" i="10" s="1"/>
  <c r="J9" i="16"/>
  <c r="G5" i="10" s="1"/>
  <c r="X5" i="10" s="1"/>
  <c r="X17" i="10" s="1"/>
  <c r="L9" i="16"/>
  <c r="G7" i="10" s="1"/>
  <c r="H7" i="10" s="1"/>
  <c r="K7" i="10" s="1"/>
  <c r="M7" i="10" s="1"/>
  <c r="R9" i="16"/>
  <c r="G13" i="10" s="1"/>
  <c r="X13" i="10" s="1"/>
  <c r="Z13" i="10" s="1"/>
  <c r="S9" i="16"/>
  <c r="G14" i="10" s="1"/>
  <c r="I14" i="10" s="1"/>
  <c r="M9" i="16"/>
  <c r="G8" i="10" s="1"/>
  <c r="I8" i="10" s="1"/>
  <c r="K9" i="16"/>
  <c r="G6" i="10" s="1"/>
  <c r="I6" i="10" s="1"/>
  <c r="I9" i="16"/>
  <c r="G4" i="10" s="1"/>
  <c r="I4" i="10" s="1"/>
  <c r="L4" i="10" s="1"/>
  <c r="Q9" i="16"/>
  <c r="J11" i="44" s="1"/>
  <c r="T9" i="16"/>
  <c r="J14" i="44" s="1"/>
  <c r="J8" i="44"/>
  <c r="P9" i="16"/>
  <c r="G11" i="10" s="1"/>
  <c r="X11" i="10" s="1"/>
  <c r="Y11" i="10" s="1"/>
  <c r="AB11" i="10" s="1"/>
  <c r="I21" i="45"/>
  <c r="D21" i="45"/>
  <c r="X9" i="10"/>
  <c r="Z9" i="10" s="1"/>
  <c r="I9" i="10"/>
  <c r="O9" i="10" s="1"/>
  <c r="I10" i="10" l="1"/>
  <c r="O10" i="10" s="1"/>
  <c r="J9" i="44"/>
  <c r="X10" i="10"/>
  <c r="Y10" i="10" s="1"/>
  <c r="AB10" i="10" s="1"/>
  <c r="I13" i="10"/>
  <c r="I7" i="10"/>
  <c r="O7" i="10" s="1"/>
  <c r="X4" i="10"/>
  <c r="Y4" i="10" s="1"/>
  <c r="AB4" i="10" s="1"/>
  <c r="AD4" i="10" s="1"/>
  <c r="J5" i="44"/>
  <c r="H5" i="10"/>
  <c r="K5" i="10" s="1"/>
  <c r="M5" i="10" s="1"/>
  <c r="H6" i="10"/>
  <c r="K6" i="10" s="1"/>
  <c r="M6" i="10" s="1"/>
  <c r="O6" i="10" s="1"/>
  <c r="X6" i="10"/>
  <c r="Y6" i="10" s="1"/>
  <c r="AB6" i="10" s="1"/>
  <c r="X7" i="10"/>
  <c r="Y7" i="10" s="1"/>
  <c r="AB7" i="10" s="1"/>
  <c r="H8" i="10"/>
  <c r="K8" i="10" s="1"/>
  <c r="M8" i="10" s="1"/>
  <c r="O8" i="10" s="1"/>
  <c r="X14" i="10"/>
  <c r="Y14" i="10" s="1"/>
  <c r="AB14" i="10" s="1"/>
  <c r="J13" i="44"/>
  <c r="H4" i="10"/>
  <c r="K4" i="10" s="1"/>
  <c r="M4" i="10" s="1"/>
  <c r="O4" i="10" s="1"/>
  <c r="Q4" i="10" s="1"/>
  <c r="J4" i="44"/>
  <c r="I5" i="10"/>
  <c r="O5" i="10" s="1"/>
  <c r="H14" i="10"/>
  <c r="K14" i="10" s="1"/>
  <c r="M14" i="10" s="1"/>
  <c r="O14" i="10" s="1"/>
  <c r="G12" i="10"/>
  <c r="X12" i="10" s="1"/>
  <c r="Z12" i="10" s="1"/>
  <c r="I11" i="10"/>
  <c r="Y13" i="10"/>
  <c r="AB13" i="10" s="1"/>
  <c r="H11" i="10"/>
  <c r="K11" i="10" s="1"/>
  <c r="M11" i="10" s="1"/>
  <c r="X25" i="10"/>
  <c r="Y25" i="10" s="1"/>
  <c r="AB25" i="10" s="1"/>
  <c r="J3" i="44"/>
  <c r="H13" i="10"/>
  <c r="K13" i="10" s="1"/>
  <c r="M13" i="10" s="1"/>
  <c r="X23" i="10"/>
  <c r="X35" i="10" s="1"/>
  <c r="Y35" i="10" s="1"/>
  <c r="AB35" i="10" s="1"/>
  <c r="X8" i="10"/>
  <c r="X20" i="10" s="1"/>
  <c r="Y20" i="10" s="1"/>
  <c r="AB20" i="10" s="1"/>
  <c r="J7" i="44"/>
  <c r="Z11" i="10"/>
  <c r="J12" i="44"/>
  <c r="J6" i="44"/>
  <c r="V9" i="16"/>
  <c r="G15" i="10"/>
  <c r="H15" i="10" s="1"/>
  <c r="K15" i="10" s="1"/>
  <c r="M15" i="10" s="1"/>
  <c r="U9" i="16"/>
  <c r="Y1" i="16" s="1"/>
  <c r="J10" i="44"/>
  <c r="D23" i="45"/>
  <c r="I24" i="45"/>
  <c r="Z5" i="10"/>
  <c r="Y9" i="10"/>
  <c r="AB9" i="10" s="1"/>
  <c r="Y5" i="10"/>
  <c r="AB5" i="10" s="1"/>
  <c r="X21" i="10"/>
  <c r="Y21" i="10" s="1"/>
  <c r="AB21" i="10" s="1"/>
  <c r="Z17" i="10"/>
  <c r="X29" i="10"/>
  <c r="Y17" i="10"/>
  <c r="AB17" i="10" s="1"/>
  <c r="X22" i="10" l="1"/>
  <c r="Y22" i="10" s="1"/>
  <c r="AB22" i="10" s="1"/>
  <c r="Z10" i="10"/>
  <c r="O13" i="10"/>
  <c r="X18" i="10"/>
  <c r="Z18" i="10" s="1"/>
  <c r="X16" i="10"/>
  <c r="Y16" i="10" s="1"/>
  <c r="AB16" i="10" s="1"/>
  <c r="L5" i="10"/>
  <c r="L6" i="10" s="1"/>
  <c r="L7" i="10" s="1"/>
  <c r="Z4" i="10"/>
  <c r="AF4" i="10" s="1"/>
  <c r="AG4" i="10" s="1"/>
  <c r="Z7" i="10"/>
  <c r="Z35" i="10"/>
  <c r="Z6" i="10"/>
  <c r="J15" i="44"/>
  <c r="I15" i="10"/>
  <c r="O15" i="10" s="1"/>
  <c r="Z14" i="10"/>
  <c r="X15" i="10"/>
  <c r="G22" i="10" s="1"/>
  <c r="P4" i="10"/>
  <c r="O11" i="10"/>
  <c r="X19" i="10"/>
  <c r="X31" i="10" s="1"/>
  <c r="X43" i="10" s="1"/>
  <c r="X55" i="10" s="1"/>
  <c r="X67" i="10" s="1"/>
  <c r="X79" i="10" s="1"/>
  <c r="X91" i="10" s="1"/>
  <c r="X26" i="10"/>
  <c r="Z26" i="10" s="1"/>
  <c r="Y23" i="10"/>
  <c r="AB23" i="10" s="1"/>
  <c r="Z25" i="10"/>
  <c r="X37" i="10"/>
  <c r="Z37" i="10" s="1"/>
  <c r="Y8" i="10"/>
  <c r="AB8" i="10" s="1"/>
  <c r="G17" i="10"/>
  <c r="X47" i="10"/>
  <c r="X59" i="10" s="1"/>
  <c r="X71" i="10" s="1"/>
  <c r="Y71" i="10" s="1"/>
  <c r="AB71" i="10" s="1"/>
  <c r="X24" i="10"/>
  <c r="X36" i="10" s="1"/>
  <c r="Z20" i="10"/>
  <c r="X32" i="10"/>
  <c r="X44" i="10" s="1"/>
  <c r="X56" i="10" s="1"/>
  <c r="Z56" i="10" s="1"/>
  <c r="Z23" i="10"/>
  <c r="I12" i="10"/>
  <c r="G16" i="10"/>
  <c r="Z8" i="10"/>
  <c r="H12" i="10"/>
  <c r="K12" i="10" s="1"/>
  <c r="M12" i="10" s="1"/>
  <c r="M16" i="10" s="1"/>
  <c r="Y12" i="10"/>
  <c r="AB12" i="10" s="1"/>
  <c r="D24" i="45"/>
  <c r="E24" i="45" s="1"/>
  <c r="I23" i="45"/>
  <c r="I25" i="45" s="1"/>
  <c r="X33" i="10"/>
  <c r="Y33" i="10" s="1"/>
  <c r="AB33" i="10" s="1"/>
  <c r="Z21" i="10"/>
  <c r="Q5" i="10"/>
  <c r="P5" i="10"/>
  <c r="X41" i="10"/>
  <c r="Z29" i="10"/>
  <c r="Y29" i="10"/>
  <c r="AB29" i="10" s="1"/>
  <c r="Z22" i="10" l="1"/>
  <c r="X34" i="10"/>
  <c r="Z34" i="10" s="1"/>
  <c r="Y18" i="10"/>
  <c r="AB18" i="10" s="1"/>
  <c r="X30" i="10"/>
  <c r="Z30" i="10" s="1"/>
  <c r="Z16" i="10"/>
  <c r="X28" i="10"/>
  <c r="Y28" i="10" s="1"/>
  <c r="AB28" i="10" s="1"/>
  <c r="Z24" i="10"/>
  <c r="AC4" i="10"/>
  <c r="AC5" i="10" s="1"/>
  <c r="AD6" i="10" s="1"/>
  <c r="AF6" i="10" s="1"/>
  <c r="AK6" i="10" s="1"/>
  <c r="AK4" i="10"/>
  <c r="X49" i="10"/>
  <c r="Z49" i="10" s="1"/>
  <c r="Z55" i="10"/>
  <c r="X27" i="10"/>
  <c r="Z27" i="10" s="1"/>
  <c r="Z15" i="10"/>
  <c r="Y15" i="10"/>
  <c r="AB15" i="10" s="1"/>
  <c r="Z31" i="10"/>
  <c r="Y26" i="10"/>
  <c r="AB26" i="10" s="1"/>
  <c r="Y19" i="10"/>
  <c r="AB19" i="10" s="1"/>
  <c r="Z79" i="10"/>
  <c r="Y31" i="10"/>
  <c r="AB31" i="10" s="1"/>
  <c r="Y79" i="10"/>
  <c r="AB79" i="10" s="1"/>
  <c r="Y67" i="10"/>
  <c r="AB67" i="10" s="1"/>
  <c r="Z19" i="10"/>
  <c r="Y37" i="10"/>
  <c r="AB37" i="10" s="1"/>
  <c r="Y43" i="10"/>
  <c r="AB43" i="10" s="1"/>
  <c r="Y55" i="10"/>
  <c r="AB55" i="10" s="1"/>
  <c r="Y24" i="10"/>
  <c r="AB24" i="10" s="1"/>
  <c r="Z67" i="10"/>
  <c r="Y47" i="10"/>
  <c r="AB47" i="10" s="1"/>
  <c r="Y59" i="10"/>
  <c r="AB59" i="10" s="1"/>
  <c r="Y32" i="10"/>
  <c r="AB32" i="10" s="1"/>
  <c r="I16" i="10"/>
  <c r="I17" i="10"/>
  <c r="Z43" i="10"/>
  <c r="Z47" i="10"/>
  <c r="X38" i="10"/>
  <c r="X50" i="10" s="1"/>
  <c r="Z50" i="10" s="1"/>
  <c r="Z59" i="10"/>
  <c r="X83" i="10"/>
  <c r="Y83" i="10" s="1"/>
  <c r="AB83" i="10" s="1"/>
  <c r="Z71" i="10"/>
  <c r="Y56" i="10"/>
  <c r="AB56" i="10" s="1"/>
  <c r="X68" i="10"/>
  <c r="X80" i="10" s="1"/>
  <c r="Z32" i="10"/>
  <c r="M17" i="10"/>
  <c r="K17" i="10"/>
  <c r="O12" i="10"/>
  <c r="H16" i="10"/>
  <c r="Z44" i="10"/>
  <c r="H17" i="10"/>
  <c r="Y44" i="10"/>
  <c r="AB44" i="10" s="1"/>
  <c r="K16" i="10"/>
  <c r="C4" i="10"/>
  <c r="R5" i="10" s="1"/>
  <c r="X45" i="10"/>
  <c r="Y45" i="10" s="1"/>
  <c r="AB45" i="10" s="1"/>
  <c r="Z33" i="10"/>
  <c r="X46" i="10"/>
  <c r="Y46" i="10" s="1"/>
  <c r="AB46" i="10" s="1"/>
  <c r="Z28" i="10"/>
  <c r="X48" i="10"/>
  <c r="Y36" i="10"/>
  <c r="AB36" i="10" s="1"/>
  <c r="Z36" i="10"/>
  <c r="Y34" i="10"/>
  <c r="AB34" i="10" s="1"/>
  <c r="P6" i="10"/>
  <c r="Q6" i="10"/>
  <c r="L8" i="10"/>
  <c r="X53" i="10"/>
  <c r="Z41" i="10"/>
  <c r="Y41" i="10"/>
  <c r="AB41" i="10" s="1"/>
  <c r="X103" i="10"/>
  <c r="Y91" i="10"/>
  <c r="AB91" i="10" s="1"/>
  <c r="Z91" i="10"/>
  <c r="X42" i="10" l="1"/>
  <c r="Z42" i="10" s="1"/>
  <c r="Y30" i="10"/>
  <c r="AB30" i="10" s="1"/>
  <c r="X40" i="10"/>
  <c r="X52" i="10" s="1"/>
  <c r="Z52" i="10" s="1"/>
  <c r="X39" i="10"/>
  <c r="X51" i="10" s="1"/>
  <c r="Y27" i="10"/>
  <c r="AB27" i="10" s="1"/>
  <c r="Y49" i="10"/>
  <c r="AB49" i="10" s="1"/>
  <c r="AD5" i="10"/>
  <c r="AF5" i="10" s="1"/>
  <c r="AG5" i="10" s="1"/>
  <c r="G23" i="10"/>
  <c r="Y38" i="10"/>
  <c r="AB38" i="10" s="1"/>
  <c r="AG6" i="10"/>
  <c r="AM6" i="10" s="1"/>
  <c r="X61" i="10"/>
  <c r="X73" i="10" s="1"/>
  <c r="Z73" i="10" s="1"/>
  <c r="AC6" i="10"/>
  <c r="AC7" i="10" s="1"/>
  <c r="AD8" i="10" s="1"/>
  <c r="AF8" i="10" s="1"/>
  <c r="Y50" i="10"/>
  <c r="AB50" i="10" s="1"/>
  <c r="X62" i="10"/>
  <c r="Y62" i="10" s="1"/>
  <c r="AB62" i="10" s="1"/>
  <c r="Z38" i="10"/>
  <c r="Z68" i="10"/>
  <c r="Y68" i="10"/>
  <c r="AB68" i="10" s="1"/>
  <c r="X95" i="10"/>
  <c r="Y95" i="10" s="1"/>
  <c r="AB95" i="10" s="1"/>
  <c r="Z83" i="10"/>
  <c r="AH247" i="10"/>
  <c r="C16" i="10"/>
  <c r="AH51" i="10"/>
  <c r="AH71" i="10"/>
  <c r="AH18" i="10"/>
  <c r="AP40" i="10"/>
  <c r="AP109" i="10"/>
  <c r="AH58" i="10"/>
  <c r="AH95" i="10"/>
  <c r="AH223" i="10"/>
  <c r="AP213" i="10"/>
  <c r="AP194" i="10"/>
  <c r="AH239" i="10"/>
  <c r="AH81" i="10"/>
  <c r="AP128" i="10"/>
  <c r="AH243" i="10"/>
  <c r="AH45" i="10"/>
  <c r="AP72" i="10"/>
  <c r="AH78" i="10"/>
  <c r="AP147" i="10"/>
  <c r="AH197" i="10"/>
  <c r="AP291" i="10"/>
  <c r="AH246" i="10"/>
  <c r="AP141" i="10"/>
  <c r="AP156" i="10"/>
  <c r="AP64" i="10"/>
  <c r="AH94" i="10"/>
  <c r="AH35" i="10"/>
  <c r="AP163" i="10"/>
  <c r="AP88" i="10"/>
  <c r="AP196" i="10"/>
  <c r="AH262" i="10"/>
  <c r="AH115" i="10"/>
  <c r="AP198" i="10"/>
  <c r="AH144" i="10"/>
  <c r="AH126" i="10"/>
  <c r="AH91" i="10"/>
  <c r="AP200" i="10"/>
  <c r="AP104" i="10"/>
  <c r="AP245" i="10"/>
  <c r="AH278" i="10"/>
  <c r="AH158" i="10"/>
  <c r="AP138" i="10"/>
  <c r="AH64" i="10"/>
  <c r="C33" i="10"/>
  <c r="AH195" i="10" s="1"/>
  <c r="AH68" i="10"/>
  <c r="AP65" i="10"/>
  <c r="AP224" i="10"/>
  <c r="AP90" i="10"/>
  <c r="AP301" i="10"/>
  <c r="AH264" i="10"/>
  <c r="AP19" i="10"/>
  <c r="AP23" i="10"/>
  <c r="AH10" i="10"/>
  <c r="AP84" i="10"/>
  <c r="AP276" i="10"/>
  <c r="AP249" i="10"/>
  <c r="AP48" i="10"/>
  <c r="AP91" i="10"/>
  <c r="AP269" i="10"/>
  <c r="AP260" i="10"/>
  <c r="AP16" i="10"/>
  <c r="AP82" i="10"/>
  <c r="AP161" i="10"/>
  <c r="AP166" i="10"/>
  <c r="AH218" i="10"/>
  <c r="AH276" i="10"/>
  <c r="AH130" i="10"/>
  <c r="AH167" i="10"/>
  <c r="AH245" i="10"/>
  <c r="AH210" i="10"/>
  <c r="AH206" i="10"/>
  <c r="AP114" i="10"/>
  <c r="AP130" i="10"/>
  <c r="AP289" i="10"/>
  <c r="AH253" i="10"/>
  <c r="AH11" i="10"/>
  <c r="AP14" i="10"/>
  <c r="AP192" i="10"/>
  <c r="AP199" i="10"/>
  <c r="AP107" i="10"/>
  <c r="AP207" i="10"/>
  <c r="AH160" i="10"/>
  <c r="AH284" i="10"/>
  <c r="AP236" i="10"/>
  <c r="AP242" i="10"/>
  <c r="AP53" i="10"/>
  <c r="AH83" i="10"/>
  <c r="AH36" i="10"/>
  <c r="AH99" i="10"/>
  <c r="AH85" i="10"/>
  <c r="AH43" i="10"/>
  <c r="AH17" i="10"/>
  <c r="AP46" i="10"/>
  <c r="AP132" i="10"/>
  <c r="AP277" i="10"/>
  <c r="AH242" i="10"/>
  <c r="AH57" i="10"/>
  <c r="AP139" i="10"/>
  <c r="AP186" i="10"/>
  <c r="AP96" i="10"/>
  <c r="AH49" i="10"/>
  <c r="AH136" i="10"/>
  <c r="AH215" i="10"/>
  <c r="AP86" i="10"/>
  <c r="AP195" i="10"/>
  <c r="AP222" i="10"/>
  <c r="AP217" i="10"/>
  <c r="AP144" i="10"/>
  <c r="AP302" i="10"/>
  <c r="AP70" i="10"/>
  <c r="AH47" i="10"/>
  <c r="AP97" i="10"/>
  <c r="AP102" i="10"/>
  <c r="AH217" i="10"/>
  <c r="AP252" i="10"/>
  <c r="AH75" i="10"/>
  <c r="AP173" i="10"/>
  <c r="AH226" i="10"/>
  <c r="AP35" i="10"/>
  <c r="AP81" i="10"/>
  <c r="AP113" i="10"/>
  <c r="AP118" i="10"/>
  <c r="AP286" i="10"/>
  <c r="AP299" i="10"/>
  <c r="AP50" i="10"/>
  <c r="AH222" i="10"/>
  <c r="AP226" i="10"/>
  <c r="AP42" i="10"/>
  <c r="AH84" i="10"/>
  <c r="AH77" i="10"/>
  <c r="AH214" i="10"/>
  <c r="AP182" i="10"/>
  <c r="AP253" i="10"/>
  <c r="AP293" i="10"/>
  <c r="AH105" i="10"/>
  <c r="AH52" i="10"/>
  <c r="AH140" i="10"/>
  <c r="AH41" i="10"/>
  <c r="AP235" i="10"/>
  <c r="AP284" i="10"/>
  <c r="AH154" i="10"/>
  <c r="AP208" i="10"/>
  <c r="AP268" i="10"/>
  <c r="AP8" i="10"/>
  <c r="AP100" i="10"/>
  <c r="AP68" i="10"/>
  <c r="AH277" i="10"/>
  <c r="AH100" i="10"/>
  <c r="AP281" i="10"/>
  <c r="AP116" i="10"/>
  <c r="AH21" i="10"/>
  <c r="AP178" i="10"/>
  <c r="AH132" i="10"/>
  <c r="AH66" i="10"/>
  <c r="AH53" i="10"/>
  <c r="AP290" i="10"/>
  <c r="AH272" i="10"/>
  <c r="AH301" i="10"/>
  <c r="AP89" i="10"/>
  <c r="AP110" i="10"/>
  <c r="AH298" i="10"/>
  <c r="AP230" i="10"/>
  <c r="AH111" i="10"/>
  <c r="AP32" i="10"/>
  <c r="AH155" i="10"/>
  <c r="AP285" i="10"/>
  <c r="AH216" i="10"/>
  <c r="AH255" i="10"/>
  <c r="AP155" i="10"/>
  <c r="AP205" i="10"/>
  <c r="AH250" i="10"/>
  <c r="AP28" i="10"/>
  <c r="AH129" i="10"/>
  <c r="AH171" i="10"/>
  <c r="AP288" i="10"/>
  <c r="AP238" i="10"/>
  <c r="AH271" i="10"/>
  <c r="AH156" i="10"/>
  <c r="AP160" i="10"/>
  <c r="AP10" i="10"/>
  <c r="AP33" i="10"/>
  <c r="AP17" i="10"/>
  <c r="AP211" i="10"/>
  <c r="AP257" i="10"/>
  <c r="AP278" i="10"/>
  <c r="AH287" i="10"/>
  <c r="AH172" i="10"/>
  <c r="AP184" i="10"/>
  <c r="AH8" i="10"/>
  <c r="AH87" i="10"/>
  <c r="AP47" i="10"/>
  <c r="AH123" i="10"/>
  <c r="AH180" i="10"/>
  <c r="AP120" i="10"/>
  <c r="AP248" i="10"/>
  <c r="AH294" i="10"/>
  <c r="AH174" i="10"/>
  <c r="AH110" i="10"/>
  <c r="AH22" i="10"/>
  <c r="AP26" i="10"/>
  <c r="AP279" i="10"/>
  <c r="AH283" i="10"/>
  <c r="AH152" i="10"/>
  <c r="AP169" i="10"/>
  <c r="AP185" i="10"/>
  <c r="AH65" i="10"/>
  <c r="AP74" i="10"/>
  <c r="AP61" i="10"/>
  <c r="AP51" i="10"/>
  <c r="AP241" i="10"/>
  <c r="AH240" i="10"/>
  <c r="AH269" i="10"/>
  <c r="AH170" i="10"/>
  <c r="AH178" i="10"/>
  <c r="AH234" i="10"/>
  <c r="AP98" i="10"/>
  <c r="AP111" i="10"/>
  <c r="AP143" i="10"/>
  <c r="AP234" i="10"/>
  <c r="AH233" i="10"/>
  <c r="AH208" i="10"/>
  <c r="AP38" i="10"/>
  <c r="AP162" i="10"/>
  <c r="AP31" i="10"/>
  <c r="AP239" i="10"/>
  <c r="AH299" i="10"/>
  <c r="AP203" i="10"/>
  <c r="AH224" i="10"/>
  <c r="AH263" i="10"/>
  <c r="AP229" i="10"/>
  <c r="AH181" i="10"/>
  <c r="AH282" i="10"/>
  <c r="AH46" i="10"/>
  <c r="AH67" i="10"/>
  <c r="AH109" i="10"/>
  <c r="AP78" i="10"/>
  <c r="AP193" i="10"/>
  <c r="AP83" i="10"/>
  <c r="AH72" i="10"/>
  <c r="AP44" i="10"/>
  <c r="AP215" i="10"/>
  <c r="AH89" i="10"/>
  <c r="AP87" i="10"/>
  <c r="AH163" i="10"/>
  <c r="AP271" i="10"/>
  <c r="AP127" i="10"/>
  <c r="AP21" i="10"/>
  <c r="AP5" i="10"/>
  <c r="AP66" i="10"/>
  <c r="AP148" i="10"/>
  <c r="AP280" i="10"/>
  <c r="AH258" i="10"/>
  <c r="AP79" i="10"/>
  <c r="AP126" i="10"/>
  <c r="AH261" i="10"/>
  <c r="AH19" i="10"/>
  <c r="AP43" i="10"/>
  <c r="AP69" i="10"/>
  <c r="AP164" i="10"/>
  <c r="AP282" i="10"/>
  <c r="AH274" i="10"/>
  <c r="AH107" i="10"/>
  <c r="AP171" i="10"/>
  <c r="AP261" i="10"/>
  <c r="AH23" i="10"/>
  <c r="AP58" i="10"/>
  <c r="AH93" i="10"/>
  <c r="AP216" i="10"/>
  <c r="AH219" i="10"/>
  <c r="AH290" i="10"/>
  <c r="AH139" i="10"/>
  <c r="AH149" i="10"/>
  <c r="AP266" i="10"/>
  <c r="AP263" i="10"/>
  <c r="AH113" i="10"/>
  <c r="AH7" i="10"/>
  <c r="AP129" i="10"/>
  <c r="AP134" i="10"/>
  <c r="AP255" i="10"/>
  <c r="AH244" i="10"/>
  <c r="AH70" i="10"/>
  <c r="AH220" i="10"/>
  <c r="AP34" i="10"/>
  <c r="AH31" i="10"/>
  <c r="AH15" i="10"/>
  <c r="AH286" i="10"/>
  <c r="AP167" i="10"/>
  <c r="AP124" i="10"/>
  <c r="AH225" i="10"/>
  <c r="AH142" i="10"/>
  <c r="AH80" i="10"/>
  <c r="AH168" i="10"/>
  <c r="AP177" i="10"/>
  <c r="AH74" i="10"/>
  <c r="AH37" i="10"/>
  <c r="AH40" i="10"/>
  <c r="AH162" i="10"/>
  <c r="AH175" i="10"/>
  <c r="AH50" i="10"/>
  <c r="AH39" i="10"/>
  <c r="AP20" i="10"/>
  <c r="AH249" i="10"/>
  <c r="AH131" i="10"/>
  <c r="AH145" i="10"/>
  <c r="AP172" i="10"/>
  <c r="AP265" i="10"/>
  <c r="AP228" i="10"/>
  <c r="AH55" i="10"/>
  <c r="AH86" i="10"/>
  <c r="AP75" i="10"/>
  <c r="AP237" i="10"/>
  <c r="AH288" i="10"/>
  <c r="AH90" i="10"/>
  <c r="AP105" i="10"/>
  <c r="AP232" i="10"/>
  <c r="AP159" i="10"/>
  <c r="AP77" i="10"/>
  <c r="AH118" i="10"/>
  <c r="AH103" i="10"/>
  <c r="AP275" i="10"/>
  <c r="AH235" i="10"/>
  <c r="AH122" i="10"/>
  <c r="AP121" i="10"/>
  <c r="AP142" i="10"/>
  <c r="AH293" i="10"/>
  <c r="AH44" i="10"/>
  <c r="AP67" i="10"/>
  <c r="AH135" i="10"/>
  <c r="AP190" i="10"/>
  <c r="AH251" i="10"/>
  <c r="AP55" i="10"/>
  <c r="AP137" i="10"/>
  <c r="AP158" i="10"/>
  <c r="AH54" i="10"/>
  <c r="AH179" i="10"/>
  <c r="AH25" i="10"/>
  <c r="AH29" i="10"/>
  <c r="AP183" i="10"/>
  <c r="AP214" i="10"/>
  <c r="AP247" i="10"/>
  <c r="AH303" i="10"/>
  <c r="AP227" i="10"/>
  <c r="AP187" i="10"/>
  <c r="AH97" i="10"/>
  <c r="AH6" i="10"/>
  <c r="AH92" i="10"/>
  <c r="AP60" i="10"/>
  <c r="AP181" i="10"/>
  <c r="AP106" i="10"/>
  <c r="AP273" i="10"/>
  <c r="AH280" i="10"/>
  <c r="AH183" i="10"/>
  <c r="AH59" i="10"/>
  <c r="AP6" i="10"/>
  <c r="AP11" i="10"/>
  <c r="AH302" i="10"/>
  <c r="AH73" i="10"/>
  <c r="AP202" i="10"/>
  <c r="AP140" i="10"/>
  <c r="AP294" i="10"/>
  <c r="AP270" i="10"/>
  <c r="AH176" i="10"/>
  <c r="AH279" i="10"/>
  <c r="AP189" i="10"/>
  <c r="AH266" i="10"/>
  <c r="AH106" i="10"/>
  <c r="AH252" i="10"/>
  <c r="AP287" i="10"/>
  <c r="AH32" i="10"/>
  <c r="AH112" i="10"/>
  <c r="AH173" i="10"/>
  <c r="AP201" i="10"/>
  <c r="AP22" i="10"/>
  <c r="AH12" i="10"/>
  <c r="AH42" i="10"/>
  <c r="AP71" i="10"/>
  <c r="AP117" i="10"/>
  <c r="AP154" i="10"/>
  <c r="AP292" i="10"/>
  <c r="AH259" i="10"/>
  <c r="AP243" i="10"/>
  <c r="AH4" i="10"/>
  <c r="AH96" i="10"/>
  <c r="AH117" i="10"/>
  <c r="AP283" i="10"/>
  <c r="AH121" i="10"/>
  <c r="AP103" i="10"/>
  <c r="AH198" i="10"/>
  <c r="AP206" i="10"/>
  <c r="AP262" i="10"/>
  <c r="AP29" i="10"/>
  <c r="AH128" i="10"/>
  <c r="AH69" i="10"/>
  <c r="AH238" i="10"/>
  <c r="AP37" i="10"/>
  <c r="AP119" i="10"/>
  <c r="AP209" i="10"/>
  <c r="AP274" i="10"/>
  <c r="AH169" i="10"/>
  <c r="AH88" i="10"/>
  <c r="AP36" i="10"/>
  <c r="AP54" i="10"/>
  <c r="AH254" i="10"/>
  <c r="AH62" i="10"/>
  <c r="AP135" i="10"/>
  <c r="AP92" i="10"/>
  <c r="AH227" i="10"/>
  <c r="AP210" i="10"/>
  <c r="AP41" i="10"/>
  <c r="AH108" i="10"/>
  <c r="AH125" i="10"/>
  <c r="AP191" i="10"/>
  <c r="AP240" i="10"/>
  <c r="AH237" i="10"/>
  <c r="AH207" i="10"/>
  <c r="AH165" i="10"/>
  <c r="AP231" i="10"/>
  <c r="AH76" i="10"/>
  <c r="AH116" i="10"/>
  <c r="AP27" i="10"/>
  <c r="AP225" i="10"/>
  <c r="AH143" i="10"/>
  <c r="AP256" i="10"/>
  <c r="AP296" i="10"/>
  <c r="AH137" i="10"/>
  <c r="AH20" i="10"/>
  <c r="AH28" i="10"/>
  <c r="AH13" i="10"/>
  <c r="AH124" i="10"/>
  <c r="AH114" i="10"/>
  <c r="AP85" i="10"/>
  <c r="AP122" i="10"/>
  <c r="AH202" i="10"/>
  <c r="AH296" i="10"/>
  <c r="AP179" i="10"/>
  <c r="AP157" i="10"/>
  <c r="AH34" i="10"/>
  <c r="AH209" i="10"/>
  <c r="AP76" i="10"/>
  <c r="AP95" i="10"/>
  <c r="AP233" i="10"/>
  <c r="AH256" i="10"/>
  <c r="AH27" i="10"/>
  <c r="AP115" i="10"/>
  <c r="AP212" i="10"/>
  <c r="AH147" i="10"/>
  <c r="AH141" i="10"/>
  <c r="AP49" i="10"/>
  <c r="AH101" i="10"/>
  <c r="AP131" i="10"/>
  <c r="AH229" i="10"/>
  <c r="AP244" i="10"/>
  <c r="AP300" i="10"/>
  <c r="AH33" i="10"/>
  <c r="AH292" i="10"/>
  <c r="AH133" i="10"/>
  <c r="AH127" i="10"/>
  <c r="AP18" i="10"/>
  <c r="AH265" i="10"/>
  <c r="AH204" i="10"/>
  <c r="AH161" i="10"/>
  <c r="AH201" i="10"/>
  <c r="AH275" i="10"/>
  <c r="AP251" i="10"/>
  <c r="AP80" i="10"/>
  <c r="AP24" i="10"/>
  <c r="AP39" i="10"/>
  <c r="AH281" i="10"/>
  <c r="AH150" i="10"/>
  <c r="AP176" i="10"/>
  <c r="AP220" i="10"/>
  <c r="AP267" i="10"/>
  <c r="AH268" i="10"/>
  <c r="AP59" i="10"/>
  <c r="AP73" i="10"/>
  <c r="AH48" i="10"/>
  <c r="AH297" i="10"/>
  <c r="AH166" i="10"/>
  <c r="AH199" i="10"/>
  <c r="AP254" i="10"/>
  <c r="AH248" i="10"/>
  <c r="AP101" i="10"/>
  <c r="AH82" i="10"/>
  <c r="AP7" i="10"/>
  <c r="AH14" i="10"/>
  <c r="AH232" i="10"/>
  <c r="AH267" i="10"/>
  <c r="AH205" i="10"/>
  <c r="AP153" i="10"/>
  <c r="AP174" i="10"/>
  <c r="AH138" i="10"/>
  <c r="AH119" i="10"/>
  <c r="AP25" i="10"/>
  <c r="AP180" i="10"/>
  <c r="AH230" i="10"/>
  <c r="AP136" i="10"/>
  <c r="AP295" i="10"/>
  <c r="AH241" i="10"/>
  <c r="AH212" i="10"/>
  <c r="AP223" i="10"/>
  <c r="AH79" i="10"/>
  <c r="AH38" i="10"/>
  <c r="AP62" i="10"/>
  <c r="AP99" i="10"/>
  <c r="AH159" i="10"/>
  <c r="AP303" i="10"/>
  <c r="AP298" i="10"/>
  <c r="AP52" i="10"/>
  <c r="AP204" i="10"/>
  <c r="AP112" i="10"/>
  <c r="AH177" i="10"/>
  <c r="AH300" i="10"/>
  <c r="AH213" i="10"/>
  <c r="AH153" i="10"/>
  <c r="AH61" i="10"/>
  <c r="AH196" i="10"/>
  <c r="AP56" i="10"/>
  <c r="AP13" i="10"/>
  <c r="AH98" i="10"/>
  <c r="AH228" i="10"/>
  <c r="AP146" i="10"/>
  <c r="AP170" i="10"/>
  <c r="AP9" i="10"/>
  <c r="AP45" i="10"/>
  <c r="AH24" i="10"/>
  <c r="AH203" i="10"/>
  <c r="AP133" i="10"/>
  <c r="AH148" i="10"/>
  <c r="AH134" i="10"/>
  <c r="AH63" i="10"/>
  <c r="AP12" i="10"/>
  <c r="AP94" i="10"/>
  <c r="AP93" i="10"/>
  <c r="AH236" i="10"/>
  <c r="AH289" i="10"/>
  <c r="AH5" i="10"/>
  <c r="AH60" i="10"/>
  <c r="AP123" i="10"/>
  <c r="AP125" i="10"/>
  <c r="AH200" i="10"/>
  <c r="AP219" i="10"/>
  <c r="AP165" i="10"/>
  <c r="AH270" i="10"/>
  <c r="AP145" i="10"/>
  <c r="AH56" i="10"/>
  <c r="AP272" i="10"/>
  <c r="AP63" i="10"/>
  <c r="AP197" i="10"/>
  <c r="AH16" i="10"/>
  <c r="AP150" i="10"/>
  <c r="AH146" i="10"/>
  <c r="AP246" i="10"/>
  <c r="AP258" i="10"/>
  <c r="AH157" i="10"/>
  <c r="AP175" i="10"/>
  <c r="AP4" i="10"/>
  <c r="AP57" i="10"/>
  <c r="AP152" i="10"/>
  <c r="AH26" i="10"/>
  <c r="AP250" i="10"/>
  <c r="AP218" i="10"/>
  <c r="AH102" i="10"/>
  <c r="AH257" i="10"/>
  <c r="AP3" i="10"/>
  <c r="AQ3" i="10" s="1"/>
  <c r="AP188" i="10"/>
  <c r="AP30" i="10"/>
  <c r="AH273" i="10"/>
  <c r="AP221" i="10"/>
  <c r="AH211" i="10"/>
  <c r="AH9" i="10"/>
  <c r="AH260" i="10"/>
  <c r="AH285" i="10"/>
  <c r="AH30" i="10"/>
  <c r="AH120" i="10"/>
  <c r="AP149" i="10"/>
  <c r="AP264" i="10"/>
  <c r="AH104" i="10"/>
  <c r="AP15" i="10"/>
  <c r="AP297" i="10"/>
  <c r="AH291" i="10"/>
  <c r="AP151" i="10"/>
  <c r="AH231" i="10"/>
  <c r="AP168" i="10"/>
  <c r="AP108" i="10"/>
  <c r="AH295" i="10"/>
  <c r="AP259" i="10"/>
  <c r="AH221" i="10"/>
  <c r="AH182" i="10"/>
  <c r="AH151" i="10"/>
  <c r="AH164" i="10"/>
  <c r="AM4" i="10"/>
  <c r="R4" i="10"/>
  <c r="Y42" i="10"/>
  <c r="AB42" i="10" s="1"/>
  <c r="X54" i="10"/>
  <c r="Z54" i="10" s="1"/>
  <c r="X57" i="10"/>
  <c r="X69" i="10" s="1"/>
  <c r="Z45" i="10"/>
  <c r="X85" i="10"/>
  <c r="Z85" i="10" s="1"/>
  <c r="Y52" i="10"/>
  <c r="AB52" i="10" s="1"/>
  <c r="Y40" i="10"/>
  <c r="AB40" i="10" s="1"/>
  <c r="Z46" i="10"/>
  <c r="X58" i="10"/>
  <c r="Z58" i="10" s="1"/>
  <c r="Z40" i="10"/>
  <c r="X64" i="10"/>
  <c r="X76" i="10" s="1"/>
  <c r="X88" i="10" s="1"/>
  <c r="X100" i="10" s="1"/>
  <c r="Z39" i="10"/>
  <c r="X60" i="10"/>
  <c r="Z48" i="10"/>
  <c r="Y48" i="10"/>
  <c r="AB48" i="10" s="1"/>
  <c r="L9" i="10"/>
  <c r="Q7" i="10"/>
  <c r="P7" i="10"/>
  <c r="R6" i="10"/>
  <c r="X65" i="10"/>
  <c r="Y53" i="10"/>
  <c r="AB53" i="10" s="1"/>
  <c r="Z53" i="10"/>
  <c r="X92" i="10"/>
  <c r="Y80" i="10"/>
  <c r="AB80" i="10" s="1"/>
  <c r="Z80" i="10"/>
  <c r="Z103" i="10"/>
  <c r="Y103" i="10"/>
  <c r="AB103" i="10" s="1"/>
  <c r="X115" i="10"/>
  <c r="G24" i="10" l="1"/>
  <c r="Y39" i="10"/>
  <c r="AB39" i="10" s="1"/>
  <c r="AK5" i="10"/>
  <c r="Y73" i="10"/>
  <c r="AB73" i="10" s="1"/>
  <c r="Z61" i="10"/>
  <c r="AI6" i="10"/>
  <c r="Y61" i="10"/>
  <c r="AB61" i="10" s="1"/>
  <c r="X74" i="10"/>
  <c r="Y74" i="10" s="1"/>
  <c r="AB74" i="10" s="1"/>
  <c r="AC8" i="10"/>
  <c r="AD9" i="10" s="1"/>
  <c r="AF9" i="10" s="1"/>
  <c r="AD7" i="10"/>
  <c r="AF7" i="10" s="1"/>
  <c r="AK7" i="10" s="1"/>
  <c r="Z62" i="10"/>
  <c r="AH191" i="10"/>
  <c r="AH192" i="10"/>
  <c r="Z95" i="10"/>
  <c r="X107" i="10"/>
  <c r="Z107" i="10" s="1"/>
  <c r="AH187" i="10"/>
  <c r="AH186" i="10"/>
  <c r="L46" i="10"/>
  <c r="AH193" i="10"/>
  <c r="AH194" i="10"/>
  <c r="AH189" i="10"/>
  <c r="AH184" i="10"/>
  <c r="AH188" i="10"/>
  <c r="AH190" i="10"/>
  <c r="AH185" i="10"/>
  <c r="L41" i="10"/>
  <c r="L22" i="10"/>
  <c r="AI4" i="10"/>
  <c r="AQ4" i="10" s="1"/>
  <c r="L33" i="10"/>
  <c r="L23" i="10"/>
  <c r="L32" i="10"/>
  <c r="L39" i="10"/>
  <c r="L38" i="10"/>
  <c r="L30" i="10"/>
  <c r="L24" i="10"/>
  <c r="L36" i="10"/>
  <c r="L27" i="10"/>
  <c r="L45" i="10"/>
  <c r="L43" i="10"/>
  <c r="L28" i="10"/>
  <c r="L31" i="10"/>
  <c r="L40" i="10"/>
  <c r="L35" i="10"/>
  <c r="L44" i="10"/>
  <c r="L34" i="10"/>
  <c r="L29" i="10"/>
  <c r="L25" i="10"/>
  <c r="L42" i="10"/>
  <c r="L26" i="10"/>
  <c r="Y54" i="10"/>
  <c r="AB54" i="10" s="1"/>
  <c r="X66" i="10"/>
  <c r="Z66" i="10" s="1"/>
  <c r="Y88" i="10"/>
  <c r="AB88" i="10" s="1"/>
  <c r="X97" i="10"/>
  <c r="Z97" i="10" s="1"/>
  <c r="Y85" i="10"/>
  <c r="AB85" i="10" s="1"/>
  <c r="Z57" i="10"/>
  <c r="Y57" i="10"/>
  <c r="AB57" i="10" s="1"/>
  <c r="Y58" i="10"/>
  <c r="AB58" i="10" s="1"/>
  <c r="X70" i="10"/>
  <c r="Z70" i="10" s="1"/>
  <c r="Z88" i="10"/>
  <c r="Z64" i="10"/>
  <c r="Z76" i="10"/>
  <c r="Y64" i="10"/>
  <c r="AB64" i="10" s="1"/>
  <c r="Y76" i="10"/>
  <c r="AB76" i="10" s="1"/>
  <c r="X63" i="10"/>
  <c r="Z51" i="10"/>
  <c r="Y51" i="10"/>
  <c r="AB51" i="10" s="1"/>
  <c r="G25" i="10"/>
  <c r="X72" i="10"/>
  <c r="Z60" i="10"/>
  <c r="Y60" i="10"/>
  <c r="AB60" i="10" s="1"/>
  <c r="AI5" i="10"/>
  <c r="AM5" i="10"/>
  <c r="Z69" i="10"/>
  <c r="Y69" i="10"/>
  <c r="AB69" i="10" s="1"/>
  <c r="X81" i="10"/>
  <c r="R7" i="10"/>
  <c r="L10" i="10"/>
  <c r="Q8" i="10"/>
  <c r="P8" i="10"/>
  <c r="Z65" i="10"/>
  <c r="Y65" i="10"/>
  <c r="AB65" i="10" s="1"/>
  <c r="X77" i="10"/>
  <c r="AG8" i="10"/>
  <c r="AK8" i="10"/>
  <c r="Y92" i="10"/>
  <c r="AB92" i="10" s="1"/>
  <c r="X104" i="10"/>
  <c r="Z92" i="10"/>
  <c r="Z115" i="10"/>
  <c r="Y115" i="10"/>
  <c r="AB115" i="10" s="1"/>
  <c r="X127" i="10"/>
  <c r="X112" i="10"/>
  <c r="Z100" i="10"/>
  <c r="Y100" i="10"/>
  <c r="AB100" i="10" s="1"/>
  <c r="AC9" i="10" l="1"/>
  <c r="AD10" i="10" s="1"/>
  <c r="AF10" i="10" s="1"/>
  <c r="AG7" i="10"/>
  <c r="AM7" i="10" s="1"/>
  <c r="X86" i="10"/>
  <c r="Z86" i="10" s="1"/>
  <c r="Z74" i="10"/>
  <c r="Y107" i="10"/>
  <c r="AB107" i="10" s="1"/>
  <c r="X119" i="10"/>
  <c r="Y119" i="10" s="1"/>
  <c r="AB119" i="10" s="1"/>
  <c r="AJ5" i="10"/>
  <c r="AQ5" i="10" s="1"/>
  <c r="L37" i="10"/>
  <c r="L48" i="10" s="1"/>
  <c r="X78" i="10"/>
  <c r="Y78" i="10" s="1"/>
  <c r="AB78" i="10" s="1"/>
  <c r="Y66" i="10"/>
  <c r="AB66" i="10" s="1"/>
  <c r="Y70" i="10"/>
  <c r="AB70" i="10" s="1"/>
  <c r="Y97" i="10"/>
  <c r="AB97" i="10" s="1"/>
  <c r="X109" i="10"/>
  <c r="X121" i="10" s="1"/>
  <c r="X133" i="10" s="1"/>
  <c r="X145" i="10" s="1"/>
  <c r="X82" i="10"/>
  <c r="X94" i="10" s="1"/>
  <c r="Y94" i="10" s="1"/>
  <c r="AB94" i="10" s="1"/>
  <c r="G26" i="10"/>
  <c r="X75" i="10"/>
  <c r="Y63" i="10"/>
  <c r="AB63" i="10" s="1"/>
  <c r="Z63" i="10"/>
  <c r="X84" i="10"/>
  <c r="Z72" i="10"/>
  <c r="Y72" i="10"/>
  <c r="AB72" i="10" s="1"/>
  <c r="Y81" i="10"/>
  <c r="AB81" i="10" s="1"/>
  <c r="X93" i="10"/>
  <c r="Z81" i="10"/>
  <c r="R8" i="10"/>
  <c r="L11" i="10"/>
  <c r="Q9" i="10"/>
  <c r="P9" i="10"/>
  <c r="AG9" i="10"/>
  <c r="AK9" i="10"/>
  <c r="AM8" i="10"/>
  <c r="AI8" i="10"/>
  <c r="Y77" i="10"/>
  <c r="AB77" i="10" s="1"/>
  <c r="X89" i="10"/>
  <c r="Z77" i="10"/>
  <c r="X116" i="10"/>
  <c r="Y104" i="10"/>
  <c r="AB104" i="10" s="1"/>
  <c r="Z104" i="10"/>
  <c r="Z127" i="10"/>
  <c r="X139" i="10"/>
  <c r="Y127" i="10"/>
  <c r="AB127" i="10" s="1"/>
  <c r="Y112" i="10"/>
  <c r="AB112" i="10" s="1"/>
  <c r="Z112" i="10"/>
  <c r="X124" i="10"/>
  <c r="AI7" i="10" l="1"/>
  <c r="AC10" i="10"/>
  <c r="AC11" i="10" s="1"/>
  <c r="X98" i="10"/>
  <c r="Y98" i="10" s="1"/>
  <c r="AB98" i="10" s="1"/>
  <c r="Y86" i="10"/>
  <c r="AB86" i="10" s="1"/>
  <c r="X131" i="10"/>
  <c r="Z131" i="10" s="1"/>
  <c r="Z119" i="10"/>
  <c r="AJ6" i="10"/>
  <c r="AQ6" i="10" s="1"/>
  <c r="L47" i="10"/>
  <c r="Z78" i="10"/>
  <c r="Y82" i="10"/>
  <c r="AB82" i="10" s="1"/>
  <c r="X90" i="10"/>
  <c r="Y90" i="10" s="1"/>
  <c r="AB90" i="10" s="1"/>
  <c r="Y133" i="10"/>
  <c r="AB133" i="10" s="1"/>
  <c r="Z133" i="10"/>
  <c r="Z109" i="10"/>
  <c r="Z82" i="10"/>
  <c r="Y121" i="10"/>
  <c r="AB121" i="10" s="1"/>
  <c r="Z121" i="10"/>
  <c r="Y109" i="10"/>
  <c r="AB109" i="10" s="1"/>
  <c r="X106" i="10"/>
  <c r="X118" i="10" s="1"/>
  <c r="Y118" i="10" s="1"/>
  <c r="AB118" i="10" s="1"/>
  <c r="Z94" i="10"/>
  <c r="Z75" i="10"/>
  <c r="X87" i="10"/>
  <c r="Y75" i="10"/>
  <c r="AB75" i="10" s="1"/>
  <c r="G27" i="10"/>
  <c r="X96" i="10"/>
  <c r="Z84" i="10"/>
  <c r="Y84" i="10"/>
  <c r="AB84" i="10" s="1"/>
  <c r="X105" i="10"/>
  <c r="Z93" i="10"/>
  <c r="Y93" i="10"/>
  <c r="AB93" i="10" s="1"/>
  <c r="R9" i="10"/>
  <c r="L12" i="10"/>
  <c r="P10" i="10"/>
  <c r="Q10" i="10"/>
  <c r="AM9" i="10"/>
  <c r="AI9" i="10"/>
  <c r="AK10" i="10"/>
  <c r="AG10" i="10"/>
  <c r="Z89" i="10"/>
  <c r="Y89" i="10"/>
  <c r="AB89" i="10" s="1"/>
  <c r="X101" i="10"/>
  <c r="Z116" i="10"/>
  <c r="X128" i="10"/>
  <c r="Y116" i="10"/>
  <c r="AB116" i="10" s="1"/>
  <c r="X136" i="10"/>
  <c r="Z124" i="10"/>
  <c r="Y124" i="10"/>
  <c r="AB124" i="10" s="1"/>
  <c r="X157" i="10"/>
  <c r="Y145" i="10"/>
  <c r="AB145" i="10" s="1"/>
  <c r="Z145" i="10"/>
  <c r="X151" i="10"/>
  <c r="Z139" i="10"/>
  <c r="Y139" i="10"/>
  <c r="AB139" i="10" s="1"/>
  <c r="AD11" i="10" l="1"/>
  <c r="AF11" i="10" s="1"/>
  <c r="AG11" i="10" s="1"/>
  <c r="Z98" i="10"/>
  <c r="X110" i="10"/>
  <c r="Y110" i="10" s="1"/>
  <c r="AB110" i="10" s="1"/>
  <c r="AJ7" i="10"/>
  <c r="AQ7" i="10" s="1"/>
  <c r="Y131" i="10"/>
  <c r="AB131" i="10" s="1"/>
  <c r="X143" i="10"/>
  <c r="Z143" i="10" s="1"/>
  <c r="Z90" i="10"/>
  <c r="X102" i="10"/>
  <c r="X114" i="10" s="1"/>
  <c r="Z118" i="10"/>
  <c r="Z106" i="10"/>
  <c r="X130" i="10"/>
  <c r="Y130" i="10" s="1"/>
  <c r="AB130" i="10" s="1"/>
  <c r="Y106" i="10"/>
  <c r="AB106" i="10" s="1"/>
  <c r="Y87" i="10"/>
  <c r="AB87" i="10" s="1"/>
  <c r="Z87" i="10"/>
  <c r="X99" i="10"/>
  <c r="G28" i="10"/>
  <c r="Y96" i="10"/>
  <c r="AB96" i="10" s="1"/>
  <c r="X108" i="10"/>
  <c r="Z96" i="10"/>
  <c r="X117" i="10"/>
  <c r="Z105" i="10"/>
  <c r="Y105" i="10"/>
  <c r="AB105" i="10" s="1"/>
  <c r="R10" i="10"/>
  <c r="L13" i="10"/>
  <c r="P11" i="10"/>
  <c r="Q11" i="10"/>
  <c r="AI10" i="10"/>
  <c r="AM10" i="10"/>
  <c r="AD12" i="10"/>
  <c r="AF12" i="10" s="1"/>
  <c r="AC12" i="10"/>
  <c r="X113" i="10"/>
  <c r="Z101" i="10"/>
  <c r="Y101" i="10"/>
  <c r="AB101" i="10" s="1"/>
  <c r="Z128" i="10"/>
  <c r="X140" i="10"/>
  <c r="Y128" i="10"/>
  <c r="AB128" i="10" s="1"/>
  <c r="Y151" i="10"/>
  <c r="AB151" i="10" s="1"/>
  <c r="Z151" i="10"/>
  <c r="X163" i="10"/>
  <c r="X148" i="10"/>
  <c r="Y136" i="10"/>
  <c r="AB136" i="10" s="1"/>
  <c r="Z136" i="10"/>
  <c r="Z157" i="10"/>
  <c r="X169" i="10"/>
  <c r="Y157" i="10"/>
  <c r="AB157" i="10" s="1"/>
  <c r="X122" i="10" l="1"/>
  <c r="X134" i="10" s="1"/>
  <c r="Z110" i="10"/>
  <c r="AK11" i="10"/>
  <c r="Y143" i="10"/>
  <c r="AB143" i="10" s="1"/>
  <c r="AJ8" i="10"/>
  <c r="AQ8" i="10" s="1"/>
  <c r="X155" i="10"/>
  <c r="Y155" i="10" s="1"/>
  <c r="AB155" i="10" s="1"/>
  <c r="Z102" i="10"/>
  <c r="Y102" i="10"/>
  <c r="AB102" i="10" s="1"/>
  <c r="X142" i="10"/>
  <c r="X154" i="10" s="1"/>
  <c r="Z130" i="10"/>
  <c r="Z99" i="10"/>
  <c r="Y99" i="10"/>
  <c r="AB99" i="10" s="1"/>
  <c r="X111" i="10"/>
  <c r="G29" i="10"/>
  <c r="Y108" i="10"/>
  <c r="AB108" i="10" s="1"/>
  <c r="X120" i="10"/>
  <c r="Z108" i="10"/>
  <c r="Y114" i="10"/>
  <c r="AB114" i="10" s="1"/>
  <c r="X126" i="10"/>
  <c r="Z114" i="10"/>
  <c r="X129" i="10"/>
  <c r="Z117" i="10"/>
  <c r="Y117" i="10"/>
  <c r="AB117" i="10" s="1"/>
  <c r="Z122" i="10"/>
  <c r="Y122" i="10"/>
  <c r="AB122" i="10" s="1"/>
  <c r="R11" i="10"/>
  <c r="L14" i="10"/>
  <c r="Q12" i="10"/>
  <c r="P12" i="10"/>
  <c r="X125" i="10"/>
  <c r="Y113" i="10"/>
  <c r="AB113" i="10" s="1"/>
  <c r="Z113" i="10"/>
  <c r="AD13" i="10"/>
  <c r="AF13" i="10" s="1"/>
  <c r="AC13" i="10"/>
  <c r="AG12" i="10"/>
  <c r="AK12" i="10"/>
  <c r="AM11" i="10"/>
  <c r="AI11" i="10"/>
  <c r="X152" i="10"/>
  <c r="Z140" i="10"/>
  <c r="Y140" i="10"/>
  <c r="AB140" i="10" s="1"/>
  <c r="X160" i="10"/>
  <c r="Z148" i="10"/>
  <c r="Y148" i="10"/>
  <c r="AB148" i="10" s="1"/>
  <c r="X181" i="10"/>
  <c r="Y169" i="10"/>
  <c r="AB169" i="10" s="1"/>
  <c r="Z169" i="10"/>
  <c r="X175" i="10"/>
  <c r="Z163" i="10"/>
  <c r="Y163" i="10"/>
  <c r="AB163" i="10" s="1"/>
  <c r="Z155" i="10" l="1"/>
  <c r="X167" i="10"/>
  <c r="Z167" i="10" s="1"/>
  <c r="AJ9" i="10"/>
  <c r="AQ9" i="10" s="1"/>
  <c r="Y142" i="10"/>
  <c r="AB142" i="10" s="1"/>
  <c r="Z142" i="10"/>
  <c r="Z111" i="10"/>
  <c r="X123" i="10"/>
  <c r="Y111" i="10"/>
  <c r="AB111" i="10" s="1"/>
  <c r="G30" i="10"/>
  <c r="Y120" i="10"/>
  <c r="AB120" i="10" s="1"/>
  <c r="Z120" i="10"/>
  <c r="X132" i="10"/>
  <c r="X138" i="10"/>
  <c r="Y126" i="10"/>
  <c r="AB126" i="10" s="1"/>
  <c r="Z126" i="10"/>
  <c r="X141" i="10"/>
  <c r="Y129" i="10"/>
  <c r="AB129" i="10" s="1"/>
  <c r="Z129" i="10"/>
  <c r="Z134" i="10"/>
  <c r="X146" i="10"/>
  <c r="Y134" i="10"/>
  <c r="AB134" i="10" s="1"/>
  <c r="Q13" i="10"/>
  <c r="P13" i="10"/>
  <c r="R12" i="10"/>
  <c r="L15" i="10"/>
  <c r="AM12" i="10"/>
  <c r="AI12" i="10"/>
  <c r="AC14" i="10"/>
  <c r="AD14" i="10"/>
  <c r="AF14" i="10" s="1"/>
  <c r="AG13" i="10"/>
  <c r="AK13" i="10"/>
  <c r="Y125" i="10"/>
  <c r="AB125" i="10" s="1"/>
  <c r="X137" i="10"/>
  <c r="Z125" i="10"/>
  <c r="Y154" i="10"/>
  <c r="AB154" i="10" s="1"/>
  <c r="Z154" i="10"/>
  <c r="X166" i="10"/>
  <c r="Z152" i="10"/>
  <c r="Y152" i="10"/>
  <c r="AB152" i="10" s="1"/>
  <c r="X164" i="10"/>
  <c r="X172" i="10"/>
  <c r="Y160" i="10"/>
  <c r="AB160" i="10" s="1"/>
  <c r="Z160" i="10"/>
  <c r="X193" i="10"/>
  <c r="Z181" i="10"/>
  <c r="Y181" i="10"/>
  <c r="AB181" i="10" s="1"/>
  <c r="X187" i="10"/>
  <c r="Y175" i="10"/>
  <c r="AB175" i="10" s="1"/>
  <c r="Z175" i="10"/>
  <c r="X179" i="10" l="1"/>
  <c r="X191" i="10" s="1"/>
  <c r="X203" i="10" s="1"/>
  <c r="Y167" i="10"/>
  <c r="AB167" i="10" s="1"/>
  <c r="AJ10" i="10"/>
  <c r="AQ10" i="10" s="1"/>
  <c r="X135" i="10"/>
  <c r="Y123" i="10"/>
  <c r="AB123" i="10" s="1"/>
  <c r="Z123" i="10"/>
  <c r="G31" i="10"/>
  <c r="Y132" i="10"/>
  <c r="AB132" i="10" s="1"/>
  <c r="X144" i="10"/>
  <c r="Z132" i="10"/>
  <c r="X150" i="10"/>
  <c r="Y138" i="10"/>
  <c r="AB138" i="10" s="1"/>
  <c r="Z138" i="10"/>
  <c r="X153" i="10"/>
  <c r="Z141" i="10"/>
  <c r="Y141" i="10"/>
  <c r="AB141" i="10" s="1"/>
  <c r="Y146" i="10"/>
  <c r="AB146" i="10" s="1"/>
  <c r="Z146" i="10"/>
  <c r="X158" i="10"/>
  <c r="Q14" i="10"/>
  <c r="P14" i="10"/>
  <c r="L17" i="10"/>
  <c r="L16" i="10"/>
  <c r="R13" i="10"/>
  <c r="AM13" i="10"/>
  <c r="AI13" i="10"/>
  <c r="AK14" i="10"/>
  <c r="AG14" i="10"/>
  <c r="AC15" i="10"/>
  <c r="AD15" i="10"/>
  <c r="AF15" i="10" s="1"/>
  <c r="X149" i="10"/>
  <c r="Z137" i="10"/>
  <c r="Y137" i="10"/>
  <c r="AB137" i="10" s="1"/>
  <c r="Z166" i="10"/>
  <c r="Y166" i="10"/>
  <c r="AB166" i="10" s="1"/>
  <c r="X178" i="10"/>
  <c r="X176" i="10"/>
  <c r="Z164" i="10"/>
  <c r="Y164" i="10"/>
  <c r="AB164" i="10" s="1"/>
  <c r="X205" i="10"/>
  <c r="Z193" i="10"/>
  <c r="Y193" i="10"/>
  <c r="AB193" i="10" s="1"/>
  <c r="X184" i="10"/>
  <c r="Z172" i="10"/>
  <c r="Y172" i="10"/>
  <c r="AB172" i="10" s="1"/>
  <c r="Z187" i="10"/>
  <c r="Y187" i="10"/>
  <c r="AB187" i="10" s="1"/>
  <c r="X199" i="10"/>
  <c r="Y191" i="10" l="1"/>
  <c r="AB191" i="10" s="1"/>
  <c r="Z179" i="10"/>
  <c r="Y179" i="10"/>
  <c r="AB179" i="10" s="1"/>
  <c r="Z191" i="10"/>
  <c r="AJ11" i="10"/>
  <c r="AQ11" i="10" s="1"/>
  <c r="G32" i="10"/>
  <c r="Y135" i="10"/>
  <c r="AB135" i="10" s="1"/>
  <c r="X147" i="10"/>
  <c r="Z135" i="10"/>
  <c r="X156" i="10"/>
  <c r="Z144" i="10"/>
  <c r="Y144" i="10"/>
  <c r="AB144" i="10" s="1"/>
  <c r="X162" i="10"/>
  <c r="Y150" i="10"/>
  <c r="AB150" i="10" s="1"/>
  <c r="Z150" i="10"/>
  <c r="X165" i="10"/>
  <c r="Y153" i="10"/>
  <c r="AB153" i="10" s="1"/>
  <c r="Z153" i="10"/>
  <c r="Z158" i="10"/>
  <c r="Y158" i="10"/>
  <c r="AB158" i="10" s="1"/>
  <c r="X170" i="10"/>
  <c r="P15" i="10"/>
  <c r="Q15" i="10"/>
  <c r="O17" i="10"/>
  <c r="R14" i="10"/>
  <c r="X161" i="10"/>
  <c r="Z149" i="10"/>
  <c r="Y149" i="10"/>
  <c r="AB149" i="10" s="1"/>
  <c r="I22" i="10"/>
  <c r="AK15" i="10"/>
  <c r="AG15" i="10"/>
  <c r="AD16" i="10"/>
  <c r="AF16" i="10" s="1"/>
  <c r="AC16" i="10"/>
  <c r="AM14" i="10"/>
  <c r="AI14" i="10"/>
  <c r="X190" i="10"/>
  <c r="Z178" i="10"/>
  <c r="Y178" i="10"/>
  <c r="AB178" i="10" s="1"/>
  <c r="X188" i="10"/>
  <c r="Y176" i="10"/>
  <c r="AB176" i="10" s="1"/>
  <c r="Z176" i="10"/>
  <c r="Z199" i="10"/>
  <c r="Y199" i="10"/>
  <c r="AB199" i="10" s="1"/>
  <c r="X211" i="10"/>
  <c r="X196" i="10"/>
  <c r="Z184" i="10"/>
  <c r="Y184" i="10"/>
  <c r="AB184" i="10" s="1"/>
  <c r="Z203" i="10"/>
  <c r="Y203" i="10"/>
  <c r="AB203" i="10" s="1"/>
  <c r="X215" i="10"/>
  <c r="X217" i="10"/>
  <c r="Y205" i="10"/>
  <c r="AB205" i="10" s="1"/>
  <c r="Z205" i="10"/>
  <c r="AJ12" i="10" l="1"/>
  <c r="AQ12" i="10" s="1"/>
  <c r="X159" i="10"/>
  <c r="Y147" i="10"/>
  <c r="AB147" i="10" s="1"/>
  <c r="G33" i="10"/>
  <c r="Z147" i="10"/>
  <c r="Z156" i="10"/>
  <c r="Y156" i="10"/>
  <c r="AB156" i="10" s="1"/>
  <c r="X168" i="10"/>
  <c r="Z162" i="10"/>
  <c r="Y162" i="10"/>
  <c r="AB162" i="10" s="1"/>
  <c r="X174" i="10"/>
  <c r="Y165" i="10"/>
  <c r="AB165" i="10" s="1"/>
  <c r="X177" i="10"/>
  <c r="Z165" i="10"/>
  <c r="Y170" i="10"/>
  <c r="AB170" i="10" s="1"/>
  <c r="X182" i="10"/>
  <c r="Z170" i="10"/>
  <c r="O16" i="10"/>
  <c r="Q16" i="10"/>
  <c r="R15" i="10"/>
  <c r="P17" i="10"/>
  <c r="AK16" i="10"/>
  <c r="AG16" i="10"/>
  <c r="AM15" i="10"/>
  <c r="AI15" i="10"/>
  <c r="J22" i="10"/>
  <c r="AC17" i="10"/>
  <c r="AD17" i="10"/>
  <c r="AF17" i="10" s="1"/>
  <c r="X173" i="10"/>
  <c r="Z161" i="10"/>
  <c r="Y161" i="10"/>
  <c r="AB161" i="10" s="1"/>
  <c r="X202" i="10"/>
  <c r="Y190" i="10"/>
  <c r="AB190" i="10" s="1"/>
  <c r="Z190" i="10"/>
  <c r="Z188" i="10"/>
  <c r="X200" i="10"/>
  <c r="Y188" i="10"/>
  <c r="AB188" i="10" s="1"/>
  <c r="Y196" i="10"/>
  <c r="AB196" i="10" s="1"/>
  <c r="Z196" i="10"/>
  <c r="X208" i="10"/>
  <c r="X227" i="10"/>
  <c r="Z215" i="10"/>
  <c r="Y215" i="10"/>
  <c r="AB215" i="10" s="1"/>
  <c r="Z211" i="10"/>
  <c r="Y211" i="10"/>
  <c r="AB211" i="10" s="1"/>
  <c r="X223" i="10"/>
  <c r="Z217" i="10"/>
  <c r="X229" i="10"/>
  <c r="Y217" i="10"/>
  <c r="AB217" i="10" s="1"/>
  <c r="AJ13" i="10" l="1"/>
  <c r="AQ13" i="10" s="1"/>
  <c r="Z159" i="10"/>
  <c r="X171" i="10"/>
  <c r="Y159" i="10"/>
  <c r="AB159" i="10" s="1"/>
  <c r="G34" i="10"/>
  <c r="X180" i="10"/>
  <c r="Y168" i="10"/>
  <c r="AB168" i="10" s="1"/>
  <c r="Z168" i="10"/>
  <c r="Z174" i="10"/>
  <c r="X186" i="10"/>
  <c r="Y174" i="10"/>
  <c r="AB174" i="10" s="1"/>
  <c r="Y177" i="10"/>
  <c r="AB177" i="10" s="1"/>
  <c r="Z177" i="10"/>
  <c r="X189" i="10"/>
  <c r="Y182" i="10"/>
  <c r="AB182" i="10" s="1"/>
  <c r="Z182" i="10"/>
  <c r="X194" i="10"/>
  <c r="P16" i="10"/>
  <c r="R16" i="10"/>
  <c r="R17" i="10"/>
  <c r="X185" i="10"/>
  <c r="Z173" i="10"/>
  <c r="Y173" i="10"/>
  <c r="AB173" i="10" s="1"/>
  <c r="AG17" i="10"/>
  <c r="AK17" i="10"/>
  <c r="AD18" i="10"/>
  <c r="AF18" i="10" s="1"/>
  <c r="AC18" i="10"/>
  <c r="C15" i="10"/>
  <c r="K22" i="10"/>
  <c r="P22" i="10"/>
  <c r="C14" i="10"/>
  <c r="M22" i="10"/>
  <c r="N22" i="10" s="1"/>
  <c r="AI16" i="10"/>
  <c r="AM16" i="10"/>
  <c r="Y202" i="10"/>
  <c r="AB202" i="10" s="1"/>
  <c r="Z202" i="10"/>
  <c r="X214" i="10"/>
  <c r="X212" i="10"/>
  <c r="Z200" i="10"/>
  <c r="Y200" i="10"/>
  <c r="AB200" i="10" s="1"/>
  <c r="X220" i="10"/>
  <c r="Z208" i="10"/>
  <c r="Y208" i="10"/>
  <c r="AB208" i="10" s="1"/>
  <c r="X239" i="10"/>
  <c r="Y227" i="10"/>
  <c r="AB227" i="10" s="1"/>
  <c r="Z227" i="10"/>
  <c r="Z229" i="10"/>
  <c r="Y229" i="10"/>
  <c r="AB229" i="10" s="1"/>
  <c r="X241" i="10"/>
  <c r="X235" i="10"/>
  <c r="Z223" i="10"/>
  <c r="Y223" i="10"/>
  <c r="AB223" i="10" s="1"/>
  <c r="AJ14" i="10" l="1"/>
  <c r="AQ14" i="10" s="1"/>
  <c r="Z171" i="10"/>
  <c r="X183" i="10"/>
  <c r="Y171" i="10"/>
  <c r="AB171" i="10" s="1"/>
  <c r="G35" i="10"/>
  <c r="X192" i="10"/>
  <c r="Z180" i="10"/>
  <c r="Y180" i="10"/>
  <c r="AB180" i="10" s="1"/>
  <c r="Y186" i="10"/>
  <c r="AB186" i="10" s="1"/>
  <c r="X198" i="10"/>
  <c r="Z186" i="10"/>
  <c r="Y189" i="10"/>
  <c r="AB189" i="10" s="1"/>
  <c r="Z189" i="10"/>
  <c r="X201" i="10"/>
  <c r="Y194" i="10"/>
  <c r="AB194" i="10" s="1"/>
  <c r="Z194" i="10"/>
  <c r="X206" i="10"/>
  <c r="AD19" i="10"/>
  <c r="AF19" i="10" s="1"/>
  <c r="AC19" i="10"/>
  <c r="AK18" i="10"/>
  <c r="AG18" i="10"/>
  <c r="AM17" i="10"/>
  <c r="AI17" i="10"/>
  <c r="X197" i="10"/>
  <c r="Z185" i="10"/>
  <c r="Y185" i="10"/>
  <c r="AB185" i="10" s="1"/>
  <c r="Y214" i="10"/>
  <c r="AB214" i="10" s="1"/>
  <c r="Z214" i="10"/>
  <c r="X226" i="10"/>
  <c r="Y212" i="10"/>
  <c r="AB212" i="10" s="1"/>
  <c r="X224" i="10"/>
  <c r="Z212" i="10"/>
  <c r="X232" i="10"/>
  <c r="Y220" i="10"/>
  <c r="AB220" i="10" s="1"/>
  <c r="Z220" i="10"/>
  <c r="X247" i="10"/>
  <c r="Y235" i="10"/>
  <c r="AB235" i="10" s="1"/>
  <c r="Z235" i="10"/>
  <c r="Z241" i="10"/>
  <c r="Y241" i="10"/>
  <c r="AB241" i="10" s="1"/>
  <c r="X253" i="10"/>
  <c r="X251" i="10"/>
  <c r="Z239" i="10"/>
  <c r="Y239" i="10"/>
  <c r="AB239" i="10" s="1"/>
  <c r="AJ15" i="10" l="1"/>
  <c r="AJ16" i="10" s="1"/>
  <c r="S16" i="10" s="1"/>
  <c r="X195" i="10"/>
  <c r="Z183" i="10"/>
  <c r="G36" i="10"/>
  <c r="Y183" i="10"/>
  <c r="AB183" i="10" s="1"/>
  <c r="Z192" i="10"/>
  <c r="Y192" i="10"/>
  <c r="AB192" i="10" s="1"/>
  <c r="X204" i="10"/>
  <c r="Y198" i="10"/>
  <c r="AB198" i="10" s="1"/>
  <c r="Z198" i="10"/>
  <c r="X210" i="10"/>
  <c r="Y201" i="10"/>
  <c r="AB201" i="10" s="1"/>
  <c r="X213" i="10"/>
  <c r="Z201" i="10"/>
  <c r="Y206" i="10"/>
  <c r="AB206" i="10" s="1"/>
  <c r="X218" i="10"/>
  <c r="Z206" i="10"/>
  <c r="AM18" i="10"/>
  <c r="AI18" i="10"/>
  <c r="AC20" i="10"/>
  <c r="AD20" i="10"/>
  <c r="AF20" i="10" s="1"/>
  <c r="Z197" i="10"/>
  <c r="Y197" i="10"/>
  <c r="AB197" i="10" s="1"/>
  <c r="X209" i="10"/>
  <c r="AK19" i="10"/>
  <c r="AG19" i="10"/>
  <c r="Y226" i="10"/>
  <c r="AB226" i="10" s="1"/>
  <c r="Z226" i="10"/>
  <c r="X238" i="10"/>
  <c r="Z224" i="10"/>
  <c r="Y224" i="10"/>
  <c r="AB224" i="10" s="1"/>
  <c r="X236" i="10"/>
  <c r="Z253" i="10"/>
  <c r="Y253" i="10"/>
  <c r="AB253" i="10" s="1"/>
  <c r="X265" i="10"/>
  <c r="X263" i="10"/>
  <c r="Y251" i="10"/>
  <c r="AB251" i="10" s="1"/>
  <c r="Z251" i="10"/>
  <c r="X259" i="10"/>
  <c r="Z247" i="10"/>
  <c r="Y247" i="10"/>
  <c r="AB247" i="10" s="1"/>
  <c r="Z232" i="10"/>
  <c r="X244" i="10"/>
  <c r="Y232" i="10"/>
  <c r="AB232" i="10" s="1"/>
  <c r="AQ16" i="10" l="1"/>
  <c r="AJ17" i="10"/>
  <c r="AQ17" i="10" s="1"/>
  <c r="AQ15" i="10"/>
  <c r="Y195" i="10"/>
  <c r="AB195" i="10" s="1"/>
  <c r="X207" i="10"/>
  <c r="Z195" i="10"/>
  <c r="G37" i="10"/>
  <c r="Z204" i="10"/>
  <c r="X216" i="10"/>
  <c r="Y204" i="10"/>
  <c r="AB204" i="10" s="1"/>
  <c r="X222" i="10"/>
  <c r="Z210" i="10"/>
  <c r="Y210" i="10"/>
  <c r="AB210" i="10" s="1"/>
  <c r="Y213" i="10"/>
  <c r="AB213" i="10" s="1"/>
  <c r="Z213" i="10"/>
  <c r="X225" i="10"/>
  <c r="Z218" i="10"/>
  <c r="X230" i="10"/>
  <c r="Y218" i="10"/>
  <c r="AB218" i="10" s="1"/>
  <c r="AG20" i="10"/>
  <c r="AK20" i="10"/>
  <c r="AC21" i="10"/>
  <c r="AD21" i="10"/>
  <c r="AF21" i="10" s="1"/>
  <c r="AM19" i="10"/>
  <c r="AI19" i="10"/>
  <c r="Y209" i="10"/>
  <c r="AB209" i="10" s="1"/>
  <c r="X221" i="10"/>
  <c r="Z209" i="10"/>
  <c r="X250" i="10"/>
  <c r="Z238" i="10"/>
  <c r="Y238" i="10"/>
  <c r="AB238" i="10" s="1"/>
  <c r="Y236" i="10"/>
  <c r="AB236" i="10" s="1"/>
  <c r="Z236" i="10"/>
  <c r="X248" i="10"/>
  <c r="X256" i="10"/>
  <c r="Y244" i="10"/>
  <c r="AB244" i="10" s="1"/>
  <c r="Z244" i="10"/>
  <c r="X277" i="10"/>
  <c r="Z265" i="10"/>
  <c r="Y265" i="10"/>
  <c r="AB265" i="10" s="1"/>
  <c r="X275" i="10"/>
  <c r="Z263" i="10"/>
  <c r="Y263" i="10"/>
  <c r="AB263" i="10" s="1"/>
  <c r="X271" i="10"/>
  <c r="Y259" i="10"/>
  <c r="AB259" i="10" s="1"/>
  <c r="Z259" i="10"/>
  <c r="AJ18" i="10" l="1"/>
  <c r="AJ19" i="10" s="1"/>
  <c r="S17" i="10"/>
  <c r="Z207" i="10"/>
  <c r="X219" i="10"/>
  <c r="Y207" i="10"/>
  <c r="AB207" i="10" s="1"/>
  <c r="G38" i="10"/>
  <c r="Z216" i="10"/>
  <c r="Y216" i="10"/>
  <c r="AB216" i="10" s="1"/>
  <c r="X228" i="10"/>
  <c r="X234" i="10"/>
  <c r="Z222" i="10"/>
  <c r="Y222" i="10"/>
  <c r="AB222" i="10" s="1"/>
  <c r="Y225" i="10"/>
  <c r="AB225" i="10" s="1"/>
  <c r="X237" i="10"/>
  <c r="Z225" i="10"/>
  <c r="Z230" i="10"/>
  <c r="X242" i="10"/>
  <c r="Y230" i="10"/>
  <c r="AB230" i="10" s="1"/>
  <c r="AK21" i="10"/>
  <c r="AG21" i="10"/>
  <c r="AD22" i="10"/>
  <c r="AF22" i="10" s="1"/>
  <c r="AC22" i="10"/>
  <c r="X233" i="10"/>
  <c r="Y221" i="10"/>
  <c r="AB221" i="10" s="1"/>
  <c r="Z221" i="10"/>
  <c r="AM20" i="10"/>
  <c r="AI20" i="10"/>
  <c r="X262" i="10"/>
  <c r="Y250" i="10"/>
  <c r="AB250" i="10" s="1"/>
  <c r="Z250" i="10"/>
  <c r="Z248" i="10"/>
  <c r="X260" i="10"/>
  <c r="Y248" i="10"/>
  <c r="AB248" i="10" s="1"/>
  <c r="Z277" i="10"/>
  <c r="Y277" i="10"/>
  <c r="AB277" i="10" s="1"/>
  <c r="X289" i="10"/>
  <c r="X268" i="10"/>
  <c r="Z256" i="10"/>
  <c r="Y256" i="10"/>
  <c r="AB256" i="10" s="1"/>
  <c r="Y271" i="10"/>
  <c r="AB271" i="10" s="1"/>
  <c r="X283" i="10"/>
  <c r="Z271" i="10"/>
  <c r="X287" i="10"/>
  <c r="Z275" i="10"/>
  <c r="Y275" i="10"/>
  <c r="AB275" i="10" s="1"/>
  <c r="AQ18" i="10" l="1"/>
  <c r="S18" i="10"/>
  <c r="Z219" i="10"/>
  <c r="Y219" i="10"/>
  <c r="AB219" i="10" s="1"/>
  <c r="X231" i="10"/>
  <c r="G39" i="10"/>
  <c r="X240" i="10"/>
  <c r="Y228" i="10"/>
  <c r="AB228" i="10" s="1"/>
  <c r="Z228" i="10"/>
  <c r="Z234" i="10"/>
  <c r="X246" i="10"/>
  <c r="Y234" i="10"/>
  <c r="AB234" i="10" s="1"/>
  <c r="Y237" i="10"/>
  <c r="AB237" i="10" s="1"/>
  <c r="X249" i="10"/>
  <c r="Z237" i="10"/>
  <c r="X254" i="10"/>
  <c r="Z242" i="10"/>
  <c r="Y242" i="10"/>
  <c r="AB242" i="10" s="1"/>
  <c r="Y233" i="10"/>
  <c r="AB233" i="10" s="1"/>
  <c r="X245" i="10"/>
  <c r="Z233" i="10"/>
  <c r="AD23" i="10"/>
  <c r="AF23" i="10" s="1"/>
  <c r="AC23" i="10"/>
  <c r="AK22" i="10"/>
  <c r="AG22" i="10"/>
  <c r="AM21" i="10"/>
  <c r="AI21" i="10"/>
  <c r="S19" i="10"/>
  <c r="AQ19" i="10"/>
  <c r="AJ20" i="10"/>
  <c r="Y262" i="10"/>
  <c r="AB262" i="10" s="1"/>
  <c r="X274" i="10"/>
  <c r="Z262" i="10"/>
  <c r="X272" i="10"/>
  <c r="Y260" i="10"/>
  <c r="AB260" i="10" s="1"/>
  <c r="Z260" i="10"/>
  <c r="X299" i="10"/>
  <c r="Y287" i="10"/>
  <c r="AB287" i="10" s="1"/>
  <c r="Z287" i="10"/>
  <c r="X295" i="10"/>
  <c r="Z283" i="10"/>
  <c r="Y283" i="10"/>
  <c r="AB283" i="10" s="1"/>
  <c r="Z268" i="10"/>
  <c r="X280" i="10"/>
  <c r="Y268" i="10"/>
  <c r="AB268" i="10" s="1"/>
  <c r="Z289" i="10"/>
  <c r="Y289" i="10"/>
  <c r="AB289" i="10" s="1"/>
  <c r="X301" i="10"/>
  <c r="X243" i="10" l="1"/>
  <c r="Z231" i="10"/>
  <c r="Y231" i="10"/>
  <c r="AB231" i="10" s="1"/>
  <c r="G40" i="10"/>
  <c r="X252" i="10"/>
  <c r="Y240" i="10"/>
  <c r="AB240" i="10" s="1"/>
  <c r="Z240" i="10"/>
  <c r="X258" i="10"/>
  <c r="Y246" i="10"/>
  <c r="AB246" i="10" s="1"/>
  <c r="Z246" i="10"/>
  <c r="Z249" i="10"/>
  <c r="Y249" i="10"/>
  <c r="AB249" i="10" s="1"/>
  <c r="X261" i="10"/>
  <c r="X266" i="10"/>
  <c r="Y254" i="10"/>
  <c r="AB254" i="10" s="1"/>
  <c r="Z254" i="10"/>
  <c r="AM22" i="10"/>
  <c r="AI22" i="10"/>
  <c r="AC24" i="10"/>
  <c r="AD24" i="10"/>
  <c r="AF24" i="10" s="1"/>
  <c r="AQ20" i="10"/>
  <c r="S20" i="10"/>
  <c r="AJ21" i="10"/>
  <c r="AK23" i="10"/>
  <c r="AG23" i="10"/>
  <c r="Z245" i="10"/>
  <c r="Y245" i="10"/>
  <c r="AB245" i="10" s="1"/>
  <c r="X257" i="10"/>
  <c r="Y274" i="10"/>
  <c r="AB274" i="10" s="1"/>
  <c r="Z274" i="10"/>
  <c r="X286" i="10"/>
  <c r="X284" i="10"/>
  <c r="Y272" i="10"/>
  <c r="AB272" i="10" s="1"/>
  <c r="Z272" i="10"/>
  <c r="Y295" i="10"/>
  <c r="AB295" i="10" s="1"/>
  <c r="Z295" i="10"/>
  <c r="Z299" i="10"/>
  <c r="Y299" i="10"/>
  <c r="AB299" i="10" s="1"/>
  <c r="X292" i="10"/>
  <c r="Y280" i="10"/>
  <c r="AB280" i="10" s="1"/>
  <c r="Z280" i="10"/>
  <c r="Z301" i="10"/>
  <c r="Y301" i="10"/>
  <c r="AB301" i="10" s="1"/>
  <c r="X255" i="10" l="1"/>
  <c r="Y243" i="10"/>
  <c r="AB243" i="10" s="1"/>
  <c r="Z243" i="10"/>
  <c r="G41" i="10"/>
  <c r="X264" i="10"/>
  <c r="Y252" i="10"/>
  <c r="AB252" i="10" s="1"/>
  <c r="Z252" i="10"/>
  <c r="Z258" i="10"/>
  <c r="Y258" i="10"/>
  <c r="AB258" i="10" s="1"/>
  <c r="X270" i="10"/>
  <c r="Y261" i="10"/>
  <c r="AB261" i="10" s="1"/>
  <c r="X273" i="10"/>
  <c r="Z261" i="10"/>
  <c r="Y266" i="10"/>
  <c r="AB266" i="10" s="1"/>
  <c r="X278" i="10"/>
  <c r="Z266" i="10"/>
  <c r="AQ21" i="10"/>
  <c r="AJ22" i="10"/>
  <c r="S21" i="10"/>
  <c r="Z257" i="10"/>
  <c r="Y257" i="10"/>
  <c r="AB257" i="10" s="1"/>
  <c r="X269" i="10"/>
  <c r="AK24" i="10"/>
  <c r="AG24" i="10"/>
  <c r="AD25" i="10"/>
  <c r="AF25" i="10" s="1"/>
  <c r="AC25" i="10"/>
  <c r="AM23" i="10"/>
  <c r="AI23" i="10"/>
  <c r="Y286" i="10"/>
  <c r="AB286" i="10" s="1"/>
  <c r="X298" i="10"/>
  <c r="Z286" i="10"/>
  <c r="Z284" i="10"/>
  <c r="X296" i="10"/>
  <c r="Y284" i="10"/>
  <c r="AB284" i="10" s="1"/>
  <c r="Z292" i="10"/>
  <c r="Y292" i="10"/>
  <c r="AB292" i="10" s="1"/>
  <c r="Y255" i="10" l="1"/>
  <c r="AB255" i="10" s="1"/>
  <c r="X267" i="10"/>
  <c r="Z255" i="10"/>
  <c r="G42" i="10"/>
  <c r="Y264" i="10"/>
  <c r="AB264" i="10" s="1"/>
  <c r="X276" i="10"/>
  <c r="Z264" i="10"/>
  <c r="Z270" i="10"/>
  <c r="Y270" i="10"/>
  <c r="AB270" i="10" s="1"/>
  <c r="X282" i="10"/>
  <c r="X285" i="10"/>
  <c r="Z273" i="10"/>
  <c r="Y273" i="10"/>
  <c r="AB273" i="10" s="1"/>
  <c r="Y278" i="10"/>
  <c r="AB278" i="10" s="1"/>
  <c r="X290" i="10"/>
  <c r="Z278" i="10"/>
  <c r="Z269" i="10"/>
  <c r="X281" i="10"/>
  <c r="Y269" i="10"/>
  <c r="AB269" i="10" s="1"/>
  <c r="AC26" i="10"/>
  <c r="AD26" i="10"/>
  <c r="AF26" i="10" s="1"/>
  <c r="AK25" i="10"/>
  <c r="AG25" i="10"/>
  <c r="AQ22" i="10"/>
  <c r="S22" i="10"/>
  <c r="AJ23" i="10"/>
  <c r="AI24" i="10"/>
  <c r="AM24" i="10"/>
  <c r="Z298" i="10"/>
  <c r="Y298" i="10"/>
  <c r="AB298" i="10" s="1"/>
  <c r="Z296" i="10"/>
  <c r="Y296" i="10"/>
  <c r="AB296" i="10" s="1"/>
  <c r="X279" i="10" l="1"/>
  <c r="Z267" i="10"/>
  <c r="G43" i="10"/>
  <c r="Y267" i="10"/>
  <c r="AB267" i="10" s="1"/>
  <c r="Y276" i="10"/>
  <c r="AB276" i="10" s="1"/>
  <c r="Z276" i="10"/>
  <c r="X288" i="10"/>
  <c r="Z282" i="10"/>
  <c r="Y282" i="10"/>
  <c r="AB282" i="10" s="1"/>
  <c r="X294" i="10"/>
  <c r="X297" i="10"/>
  <c r="Z285" i="10"/>
  <c r="Y285" i="10"/>
  <c r="AB285" i="10" s="1"/>
  <c r="X302" i="10"/>
  <c r="Z290" i="10"/>
  <c r="Y290" i="10"/>
  <c r="AB290" i="10" s="1"/>
  <c r="AM25" i="10"/>
  <c r="AI25" i="10"/>
  <c r="AK26" i="10"/>
  <c r="AG26" i="10"/>
  <c r="AC27" i="10"/>
  <c r="AD27" i="10"/>
  <c r="AF27" i="10" s="1"/>
  <c r="S23" i="10"/>
  <c r="AJ24" i="10"/>
  <c r="AQ23" i="10"/>
  <c r="X293" i="10"/>
  <c r="Z281" i="10"/>
  <c r="Y281" i="10"/>
  <c r="AB281" i="10" s="1"/>
  <c r="X291" i="10" l="1"/>
  <c r="Y279" i="10"/>
  <c r="AB279" i="10" s="1"/>
  <c r="Z279" i="10"/>
  <c r="G44" i="10"/>
  <c r="X300" i="10"/>
  <c r="Y288" i="10"/>
  <c r="AB288" i="10" s="1"/>
  <c r="Z288" i="10"/>
  <c r="Y294" i="10"/>
  <c r="AB294" i="10" s="1"/>
  <c r="Z294" i="10"/>
  <c r="Y297" i="10"/>
  <c r="AB297" i="10" s="1"/>
  <c r="Z297" i="10"/>
  <c r="Y302" i="10"/>
  <c r="AB302" i="10" s="1"/>
  <c r="Z302" i="10"/>
  <c r="AK27" i="10"/>
  <c r="AG27" i="10"/>
  <c r="AD28" i="10"/>
  <c r="AF28" i="10" s="1"/>
  <c r="AC28" i="10"/>
  <c r="AM26" i="10"/>
  <c r="AI26" i="10"/>
  <c r="Z293" i="10"/>
  <c r="Y293" i="10"/>
  <c r="AB293" i="10" s="1"/>
  <c r="I23" i="10"/>
  <c r="AJ25" i="10"/>
  <c r="S24" i="10"/>
  <c r="AQ24" i="10"/>
  <c r="Y291" i="10" l="1"/>
  <c r="AB291" i="10" s="1"/>
  <c r="Z291" i="10"/>
  <c r="X303" i="10"/>
  <c r="G45" i="10"/>
  <c r="Z300" i="10"/>
  <c r="Y300" i="10"/>
  <c r="AB300" i="10" s="1"/>
  <c r="AD29" i="10"/>
  <c r="AF29" i="10" s="1"/>
  <c r="AC29" i="10"/>
  <c r="AK28" i="10"/>
  <c r="AG28" i="10"/>
  <c r="J23" i="10"/>
  <c r="AM27" i="10"/>
  <c r="AI27" i="10"/>
  <c r="M23" i="10" s="1"/>
  <c r="N23" i="10" s="1"/>
  <c r="D23" i="10" s="1"/>
  <c r="AQ25" i="10"/>
  <c r="S25" i="10"/>
  <c r="AJ26" i="10"/>
  <c r="Y303" i="10" l="1"/>
  <c r="AB303" i="10" s="1"/>
  <c r="Z303" i="10"/>
  <c r="G46" i="10"/>
  <c r="C23" i="10" s="1"/>
  <c r="C21" i="10" s="1"/>
  <c r="K23" i="10"/>
  <c r="P23" i="10"/>
  <c r="AI28" i="10"/>
  <c r="AM28" i="10"/>
  <c r="S26" i="10"/>
  <c r="AJ27" i="10"/>
  <c r="AQ26" i="10"/>
  <c r="AC30" i="10"/>
  <c r="AD30" i="10"/>
  <c r="AF30" i="10" s="1"/>
  <c r="AG29" i="10"/>
  <c r="AK29" i="10"/>
  <c r="G47" i="10" l="1"/>
  <c r="C6" i="10" s="1"/>
  <c r="C22" i="10"/>
  <c r="G48" i="10"/>
  <c r="AC31" i="10"/>
  <c r="AD31" i="10"/>
  <c r="AF31" i="10" s="1"/>
  <c r="AM29" i="10"/>
  <c r="AI29" i="10"/>
  <c r="AJ28" i="10"/>
  <c r="AQ27" i="10"/>
  <c r="S27" i="10"/>
  <c r="AG30" i="10"/>
  <c r="AK30" i="10"/>
  <c r="AJ29" i="10" l="1"/>
  <c r="S28" i="10"/>
  <c r="AQ28" i="10"/>
  <c r="AK31" i="10"/>
  <c r="AG31" i="10"/>
  <c r="AM30" i="10"/>
  <c r="AI30" i="10"/>
  <c r="AC32" i="10"/>
  <c r="AD32" i="10"/>
  <c r="AF32" i="10" s="1"/>
  <c r="AI31" i="10" l="1"/>
  <c r="AM31" i="10"/>
  <c r="AC33" i="10"/>
  <c r="AD33" i="10"/>
  <c r="AF33" i="10" s="1"/>
  <c r="AK32" i="10"/>
  <c r="AG32" i="10"/>
  <c r="AQ29" i="10"/>
  <c r="S29" i="10"/>
  <c r="AJ30" i="10"/>
  <c r="AM32" i="10" l="1"/>
  <c r="AI32" i="10"/>
  <c r="AC34" i="10"/>
  <c r="AD34" i="10"/>
  <c r="AF34" i="10" s="1"/>
  <c r="AK33" i="10"/>
  <c r="AG33" i="10"/>
  <c r="AJ31" i="10"/>
  <c r="AQ30" i="10"/>
  <c r="S30" i="10"/>
  <c r="AJ32" i="10" l="1"/>
  <c r="S31" i="10"/>
  <c r="AQ31" i="10"/>
  <c r="AD35" i="10"/>
  <c r="AF35" i="10" s="1"/>
  <c r="AC35" i="10"/>
  <c r="AK34" i="10"/>
  <c r="AG34" i="10"/>
  <c r="AM33" i="10"/>
  <c r="AI33" i="10"/>
  <c r="AI34" i="10" l="1"/>
  <c r="AM34" i="10"/>
  <c r="AC36" i="10"/>
  <c r="AD36" i="10"/>
  <c r="AF36" i="10" s="1"/>
  <c r="AK35" i="10"/>
  <c r="AG35" i="10"/>
  <c r="AQ32" i="10"/>
  <c r="AJ33" i="10"/>
  <c r="S32" i="10"/>
  <c r="AK36" i="10" l="1"/>
  <c r="AG36" i="10"/>
  <c r="AC37" i="10"/>
  <c r="AD37" i="10"/>
  <c r="AF37" i="10" s="1"/>
  <c r="AM35" i="10"/>
  <c r="AI35" i="10"/>
  <c r="AQ33" i="10"/>
  <c r="AJ34" i="10"/>
  <c r="S33" i="10"/>
  <c r="AK37" i="10" l="1"/>
  <c r="AG37" i="10"/>
  <c r="AC38" i="10"/>
  <c r="AD38" i="10"/>
  <c r="AF38" i="10" s="1"/>
  <c r="AJ35" i="10"/>
  <c r="AQ34" i="10"/>
  <c r="S34" i="10"/>
  <c r="AM36" i="10"/>
  <c r="AI36" i="10"/>
  <c r="AK38" i="10" l="1"/>
  <c r="AG38" i="10"/>
  <c r="AD39" i="10"/>
  <c r="AF39" i="10" s="1"/>
  <c r="AC39" i="10"/>
  <c r="S35" i="10"/>
  <c r="AQ35" i="10"/>
  <c r="AJ36" i="10"/>
  <c r="AM37" i="10"/>
  <c r="AI37" i="10"/>
  <c r="AK39" i="10" l="1"/>
  <c r="AG39" i="10"/>
  <c r="AQ36" i="10"/>
  <c r="S36" i="10"/>
  <c r="AJ37" i="10"/>
  <c r="I24" i="10"/>
  <c r="AI38" i="10"/>
  <c r="AM38" i="10"/>
  <c r="AC40" i="10"/>
  <c r="AD40" i="10"/>
  <c r="AF40" i="10" s="1"/>
  <c r="S37" i="10" l="1"/>
  <c r="AJ38" i="10"/>
  <c r="AQ37" i="10"/>
  <c r="AG40" i="10"/>
  <c r="AK40" i="10"/>
  <c r="AM39" i="10"/>
  <c r="AI39" i="10"/>
  <c r="M24" i="10" s="1"/>
  <c r="N24" i="10" s="1"/>
  <c r="D24" i="10" s="1"/>
  <c r="J24" i="10"/>
  <c r="AC41" i="10"/>
  <c r="AD41" i="10"/>
  <c r="AF41" i="10" s="1"/>
  <c r="AM40" i="10" l="1"/>
  <c r="AI40" i="10"/>
  <c r="K24" i="10"/>
  <c r="P24" i="10"/>
  <c r="AG41" i="10"/>
  <c r="AK41" i="10"/>
  <c r="S38" i="10"/>
  <c r="AJ39" i="10"/>
  <c r="AQ38" i="10"/>
  <c r="AD42" i="10"/>
  <c r="AF42" i="10" s="1"/>
  <c r="AC42" i="10"/>
  <c r="AM41" i="10" l="1"/>
  <c r="AI41" i="10"/>
  <c r="AG42" i="10"/>
  <c r="AK42" i="10"/>
  <c r="AJ40" i="10"/>
  <c r="S39" i="10"/>
  <c r="AQ39" i="10"/>
  <c r="AC43" i="10"/>
  <c r="AD43" i="10"/>
  <c r="AF43" i="10" s="1"/>
  <c r="AI42" i="10" l="1"/>
  <c r="AM42" i="10"/>
  <c r="S40" i="10"/>
  <c r="AJ41" i="10"/>
  <c r="AQ40" i="10"/>
  <c r="AC44" i="10"/>
  <c r="AD44" i="10"/>
  <c r="AF44" i="10" s="1"/>
  <c r="AK43" i="10"/>
  <c r="AG43" i="10"/>
  <c r="AG44" i="10" l="1"/>
  <c r="AK44" i="10"/>
  <c r="AC45" i="10"/>
  <c r="AD45" i="10"/>
  <c r="AF45" i="10" s="1"/>
  <c r="S41" i="10"/>
  <c r="AQ41" i="10"/>
  <c r="AJ42" i="10"/>
  <c r="AM43" i="10"/>
  <c r="AI43" i="10"/>
  <c r="AJ43" i="10" l="1"/>
  <c r="S42" i="10"/>
  <c r="AQ42" i="10"/>
  <c r="AC46" i="10"/>
  <c r="AD46" i="10"/>
  <c r="AF46" i="10" s="1"/>
  <c r="AG45" i="10"/>
  <c r="AK45" i="10"/>
  <c r="AM44" i="10"/>
  <c r="AI44" i="10"/>
  <c r="AM45" i="10" l="1"/>
  <c r="AI45" i="10"/>
  <c r="AK46" i="10"/>
  <c r="AG46" i="10"/>
  <c r="AC47" i="10"/>
  <c r="AD47" i="10"/>
  <c r="AF47" i="10" s="1"/>
  <c r="AJ44" i="10"/>
  <c r="AQ43" i="10"/>
  <c r="S43" i="10"/>
  <c r="S44" i="10" l="1"/>
  <c r="AJ45" i="10"/>
  <c r="AQ44" i="10"/>
  <c r="AK47" i="10"/>
  <c r="AG47" i="10"/>
  <c r="AD48" i="10"/>
  <c r="AF48" i="10" s="1"/>
  <c r="AC48" i="10"/>
  <c r="AM46" i="10"/>
  <c r="AI46" i="10"/>
  <c r="AK48" i="10" l="1"/>
  <c r="AG48" i="10"/>
  <c r="AD49" i="10"/>
  <c r="AF49" i="10" s="1"/>
  <c r="AC49" i="10"/>
  <c r="AM47" i="10"/>
  <c r="AI47" i="10"/>
  <c r="S45" i="10"/>
  <c r="AJ46" i="10"/>
  <c r="AQ45" i="10"/>
  <c r="AK49" i="10" l="1"/>
  <c r="AG49" i="10"/>
  <c r="AJ47" i="10"/>
  <c r="AQ46" i="10"/>
  <c r="S46" i="10"/>
  <c r="AC50" i="10"/>
  <c r="AD50" i="10"/>
  <c r="AF50" i="10" s="1"/>
  <c r="AM48" i="10"/>
  <c r="AI48" i="10"/>
  <c r="AG50" i="10" l="1"/>
  <c r="AK50" i="10"/>
  <c r="AQ47" i="10"/>
  <c r="AJ48" i="10"/>
  <c r="S47" i="10"/>
  <c r="AM49" i="10"/>
  <c r="AI49" i="10"/>
  <c r="AD51" i="10"/>
  <c r="AC51" i="10"/>
  <c r="AF51" i="10" l="1"/>
  <c r="I25" i="10" s="1"/>
  <c r="AQ48" i="10"/>
  <c r="AJ49" i="10"/>
  <c r="S48" i="10"/>
  <c r="AC52" i="10"/>
  <c r="AD52" i="10"/>
  <c r="AF52" i="10" s="1"/>
  <c r="AM50" i="10"/>
  <c r="AI50" i="10"/>
  <c r="AG51" i="10" l="1"/>
  <c r="J25" i="10" s="1"/>
  <c r="P25" i="10" s="1"/>
  <c r="AK51" i="10"/>
  <c r="AK52" i="10"/>
  <c r="AG52" i="10"/>
  <c r="AJ50" i="10"/>
  <c r="S49" i="10"/>
  <c r="AQ49" i="10"/>
  <c r="AC53" i="10"/>
  <c r="AD53" i="10"/>
  <c r="AF53" i="10" s="1"/>
  <c r="K25" i="10" l="1"/>
  <c r="AI51" i="10"/>
  <c r="M25" i="10" s="1"/>
  <c r="N25" i="10" s="1"/>
  <c r="D25" i="10" s="1"/>
  <c r="AM51" i="10"/>
  <c r="AK53" i="10"/>
  <c r="AG53" i="10"/>
  <c r="AM52" i="10"/>
  <c r="AI52" i="10"/>
  <c r="S50" i="10"/>
  <c r="AQ50" i="10"/>
  <c r="AD54" i="10"/>
  <c r="AF54" i="10" s="1"/>
  <c r="AC54" i="10"/>
  <c r="AJ51" i="10" l="1"/>
  <c r="S51" i="10" s="1"/>
  <c r="AK54" i="10"/>
  <c r="AG54" i="10"/>
  <c r="AM53" i="10"/>
  <c r="AI53" i="10"/>
  <c r="AC55" i="10"/>
  <c r="AD55" i="10"/>
  <c r="AF55" i="10" s="1"/>
  <c r="AJ52" i="10" l="1"/>
  <c r="AQ52" i="10" s="1"/>
  <c r="AQ51" i="10"/>
  <c r="AC56" i="10"/>
  <c r="AD56" i="10"/>
  <c r="AF56" i="10" s="1"/>
  <c r="AM54" i="10"/>
  <c r="AI54" i="10"/>
  <c r="AK55" i="10"/>
  <c r="AG55" i="10"/>
  <c r="S52" i="10" l="1"/>
  <c r="AJ53" i="10"/>
  <c r="AQ53" i="10" s="1"/>
  <c r="AK56" i="10"/>
  <c r="AG56" i="10"/>
  <c r="AM55" i="10"/>
  <c r="AI55" i="10"/>
  <c r="AC57" i="10"/>
  <c r="AD57" i="10"/>
  <c r="AF57" i="10" s="1"/>
  <c r="S53" i="10" l="1"/>
  <c r="AJ54" i="10"/>
  <c r="AQ54" i="10" s="1"/>
  <c r="AC58" i="10"/>
  <c r="AD58" i="10"/>
  <c r="AF58" i="10" s="1"/>
  <c r="AM56" i="10"/>
  <c r="AI56" i="10"/>
  <c r="AG57" i="10"/>
  <c r="AK57" i="10"/>
  <c r="S54" i="10" l="1"/>
  <c r="AJ55" i="10"/>
  <c r="AJ56" i="10" s="1"/>
  <c r="AI57" i="10"/>
  <c r="AM57" i="10"/>
  <c r="AC59" i="10"/>
  <c r="AD59" i="10"/>
  <c r="AF59" i="10" s="1"/>
  <c r="AG58" i="10"/>
  <c r="AK58" i="10"/>
  <c r="S55" i="10" l="1"/>
  <c r="AQ55" i="10"/>
  <c r="AI58" i="10"/>
  <c r="AM58" i="10"/>
  <c r="AC60" i="10"/>
  <c r="AD60" i="10"/>
  <c r="AF60" i="10" s="1"/>
  <c r="S56" i="10"/>
  <c r="AJ57" i="10"/>
  <c r="AQ56" i="10"/>
  <c r="AK59" i="10"/>
  <c r="AG59" i="10"/>
  <c r="AQ57" i="10" l="1"/>
  <c r="AJ58" i="10"/>
  <c r="S57" i="10"/>
  <c r="AC61" i="10"/>
  <c r="AD61" i="10"/>
  <c r="AF61" i="10" s="1"/>
  <c r="AG60" i="10"/>
  <c r="AK60" i="10"/>
  <c r="AI59" i="10"/>
  <c r="AM59" i="10"/>
  <c r="AM60" i="10" l="1"/>
  <c r="AI60" i="10"/>
  <c r="AK61" i="10"/>
  <c r="AG61" i="10"/>
  <c r="AJ59" i="10"/>
  <c r="AQ58" i="10"/>
  <c r="S58" i="10"/>
  <c r="AD62" i="10"/>
  <c r="AF62" i="10" s="1"/>
  <c r="AC62" i="10"/>
  <c r="AK62" i="10" l="1"/>
  <c r="AG62" i="10"/>
  <c r="AM61" i="10"/>
  <c r="AI61" i="10"/>
  <c r="S59" i="10"/>
  <c r="AJ60" i="10"/>
  <c r="AQ59" i="10"/>
  <c r="AC63" i="10"/>
  <c r="AD63" i="10"/>
  <c r="AF63" i="10" l="1"/>
  <c r="I26" i="10" s="1"/>
  <c r="AJ61" i="10"/>
  <c r="AQ60" i="10"/>
  <c r="S60" i="10"/>
  <c r="AI62" i="10"/>
  <c r="AM62" i="10"/>
  <c r="AC64" i="10"/>
  <c r="AD64" i="10"/>
  <c r="AF64" i="10" s="1"/>
  <c r="AG63" i="10" l="1"/>
  <c r="J26" i="10" s="1"/>
  <c r="AK63" i="10"/>
  <c r="AG64" i="10"/>
  <c r="AK64" i="10"/>
  <c r="AD65" i="10"/>
  <c r="AF65" i="10" s="1"/>
  <c r="AC65" i="10"/>
  <c r="AQ61" i="10"/>
  <c r="S61" i="10"/>
  <c r="AJ62" i="10"/>
  <c r="AI63" i="10" l="1"/>
  <c r="M26" i="10" s="1"/>
  <c r="N26" i="10" s="1"/>
  <c r="D26" i="10" s="1"/>
  <c r="AM63" i="10"/>
  <c r="K26" i="10"/>
  <c r="P26" i="10"/>
  <c r="AC66" i="10"/>
  <c r="AD66" i="10"/>
  <c r="AF66" i="10" s="1"/>
  <c r="AK65" i="10"/>
  <c r="AG65" i="10"/>
  <c r="S62" i="10"/>
  <c r="AQ62" i="10"/>
  <c r="AM64" i="10"/>
  <c r="AI64" i="10"/>
  <c r="AJ63" i="10" l="1"/>
  <c r="AJ64" i="10" s="1"/>
  <c r="AK66" i="10"/>
  <c r="AG66" i="10"/>
  <c r="AC67" i="10"/>
  <c r="AD67" i="10"/>
  <c r="AF67" i="10" s="1"/>
  <c r="AM65" i="10"/>
  <c r="AI65" i="10"/>
  <c r="AQ63" i="10" l="1"/>
  <c r="S63" i="10"/>
  <c r="AK67" i="10"/>
  <c r="AG67" i="10"/>
  <c r="AC68" i="10"/>
  <c r="AD68" i="10"/>
  <c r="AF68" i="10" s="1"/>
  <c r="AJ65" i="10"/>
  <c r="S64" i="10"/>
  <c r="AQ64" i="10"/>
  <c r="AM66" i="10"/>
  <c r="AI66" i="10"/>
  <c r="AC69" i="10" l="1"/>
  <c r="AD69" i="10"/>
  <c r="AF69" i="10" s="1"/>
  <c r="AK68" i="10"/>
  <c r="AG68" i="10"/>
  <c r="AM67" i="10"/>
  <c r="AI67" i="10"/>
  <c r="AQ65" i="10"/>
  <c r="AJ66" i="10"/>
  <c r="S65" i="10"/>
  <c r="AM68" i="10" l="1"/>
  <c r="AI68" i="10"/>
  <c r="S66" i="10"/>
  <c r="AQ66" i="10"/>
  <c r="AJ67" i="10"/>
  <c r="AG69" i="10"/>
  <c r="AK69" i="10"/>
  <c r="AC70" i="10"/>
  <c r="AD70" i="10"/>
  <c r="AF70" i="10" s="1"/>
  <c r="AC71" i="10" l="1"/>
  <c r="AD71" i="10"/>
  <c r="AF71" i="10" s="1"/>
  <c r="AQ67" i="10"/>
  <c r="S67" i="10"/>
  <c r="AJ68" i="10"/>
  <c r="AM69" i="10"/>
  <c r="AI69" i="10"/>
  <c r="AK70" i="10"/>
  <c r="AG70" i="10"/>
  <c r="S68" i="10" l="1"/>
  <c r="AQ68" i="10"/>
  <c r="AJ69" i="10"/>
  <c r="AK71" i="10"/>
  <c r="AG71" i="10"/>
  <c r="AM70" i="10"/>
  <c r="AI70" i="10"/>
  <c r="AC72" i="10"/>
  <c r="AD72" i="10"/>
  <c r="AF72" i="10" s="1"/>
  <c r="AC73" i="10" l="1"/>
  <c r="AD73" i="10"/>
  <c r="AF73" i="10" s="1"/>
  <c r="AI71" i="10"/>
  <c r="AM71" i="10"/>
  <c r="AQ69" i="10"/>
  <c r="S69" i="10"/>
  <c r="AJ70" i="10"/>
  <c r="AG72" i="10"/>
  <c r="AK72" i="10"/>
  <c r="S70" i="10" l="1"/>
  <c r="AJ71" i="10"/>
  <c r="AQ70" i="10"/>
  <c r="AM72" i="10"/>
  <c r="AI72" i="10"/>
  <c r="AK73" i="10"/>
  <c r="AG73" i="10"/>
  <c r="AC74" i="10"/>
  <c r="AD74" i="10"/>
  <c r="AF74" i="10" s="1"/>
  <c r="AM73" i="10" l="1"/>
  <c r="AI73" i="10"/>
  <c r="AC75" i="10"/>
  <c r="AD75" i="10"/>
  <c r="AF75" i="10" s="1"/>
  <c r="AJ72" i="10"/>
  <c r="AQ71" i="10"/>
  <c r="S71" i="10"/>
  <c r="AG74" i="10"/>
  <c r="AK74" i="10"/>
  <c r="AQ72" i="10" l="1"/>
  <c r="AJ73" i="10"/>
  <c r="S72" i="10"/>
  <c r="AC76" i="10"/>
  <c r="AD76" i="10"/>
  <c r="AF76" i="10" s="1"/>
  <c r="AK75" i="10"/>
  <c r="AG75" i="10"/>
  <c r="AI74" i="10"/>
  <c r="AM74" i="10"/>
  <c r="I27" i="10"/>
  <c r="AC77" i="10" l="1"/>
  <c r="AD77" i="10"/>
  <c r="AF77" i="10" s="1"/>
  <c r="AM75" i="10"/>
  <c r="AI75" i="10"/>
  <c r="M27" i="10" s="1"/>
  <c r="N27" i="10" s="1"/>
  <c r="D27" i="10" s="1"/>
  <c r="J27" i="10"/>
  <c r="AJ74" i="10"/>
  <c r="S73" i="10"/>
  <c r="AQ73" i="10"/>
  <c r="AK76" i="10"/>
  <c r="AG76" i="10"/>
  <c r="AJ75" i="10" l="1"/>
  <c r="AQ74" i="10"/>
  <c r="S74" i="10"/>
  <c r="AK77" i="10"/>
  <c r="AG77" i="10"/>
  <c r="K27" i="10"/>
  <c r="P27" i="10"/>
  <c r="AM76" i="10"/>
  <c r="AI76" i="10"/>
  <c r="AC78" i="10"/>
  <c r="AD78" i="10"/>
  <c r="AF78" i="10" s="1"/>
  <c r="AI77" i="10" l="1"/>
  <c r="AM77" i="10"/>
  <c r="AG78" i="10"/>
  <c r="AK78" i="10"/>
  <c r="AC79" i="10"/>
  <c r="AD79" i="10"/>
  <c r="AF79" i="10" s="1"/>
  <c r="S75" i="10"/>
  <c r="AJ76" i="10"/>
  <c r="AQ75" i="10"/>
  <c r="AD80" i="10" l="1"/>
  <c r="AF80" i="10" s="1"/>
  <c r="AC80" i="10"/>
  <c r="AI78" i="10"/>
  <c r="AM78" i="10"/>
  <c r="AJ77" i="10"/>
  <c r="S76" i="10"/>
  <c r="AQ76" i="10"/>
  <c r="AK79" i="10"/>
  <c r="AG79" i="10"/>
  <c r="S77" i="10" l="1"/>
  <c r="AJ78" i="10"/>
  <c r="AQ77" i="10"/>
  <c r="AC81" i="10"/>
  <c r="AD81" i="10"/>
  <c r="AF81" i="10" s="1"/>
  <c r="AM79" i="10"/>
  <c r="AI79" i="10"/>
  <c r="AK80" i="10"/>
  <c r="AG80" i="10"/>
  <c r="AC82" i="10" l="1"/>
  <c r="AD82" i="10"/>
  <c r="AF82" i="10" s="1"/>
  <c r="AK81" i="10"/>
  <c r="AG81" i="10"/>
  <c r="AJ79" i="10"/>
  <c r="S78" i="10"/>
  <c r="AQ78" i="10"/>
  <c r="AM80" i="10"/>
  <c r="AI80" i="10"/>
  <c r="AM81" i="10" l="1"/>
  <c r="AI81" i="10"/>
  <c r="AJ80" i="10"/>
  <c r="S79" i="10"/>
  <c r="AQ79" i="10"/>
  <c r="AK82" i="10"/>
  <c r="AG82" i="10"/>
  <c r="AC83" i="10"/>
  <c r="AD83" i="10"/>
  <c r="AF83" i="10" s="1"/>
  <c r="AC84" i="10" l="1"/>
  <c r="AD84" i="10"/>
  <c r="AF84" i="10" s="1"/>
  <c r="AI82" i="10"/>
  <c r="AM82" i="10"/>
  <c r="S80" i="10"/>
  <c r="AQ80" i="10"/>
  <c r="AJ81" i="10"/>
  <c r="AK83" i="10"/>
  <c r="AG83" i="10"/>
  <c r="AK84" i="10" l="1"/>
  <c r="AG84" i="10"/>
  <c r="AQ81" i="10"/>
  <c r="AJ82" i="10"/>
  <c r="S81" i="10"/>
  <c r="AM83" i="10"/>
  <c r="AI83" i="10"/>
  <c r="AC85" i="10"/>
  <c r="AD85" i="10"/>
  <c r="AF85" i="10" s="1"/>
  <c r="AQ82" i="10" l="1"/>
  <c r="S82" i="10"/>
  <c r="AJ83" i="10"/>
  <c r="AM84" i="10"/>
  <c r="AI84" i="10"/>
  <c r="AC86" i="10"/>
  <c r="AD86" i="10"/>
  <c r="AF86" i="10" s="1"/>
  <c r="AK85" i="10"/>
  <c r="AG85" i="10"/>
  <c r="AK86" i="10" l="1"/>
  <c r="AG86" i="10"/>
  <c r="AQ83" i="10"/>
  <c r="S83" i="10"/>
  <c r="AJ84" i="10"/>
  <c r="AC87" i="10"/>
  <c r="AD87" i="10"/>
  <c r="AM85" i="10"/>
  <c r="AI85" i="10"/>
  <c r="AF87" i="10" l="1"/>
  <c r="I28" i="10" s="1"/>
  <c r="S84" i="10"/>
  <c r="AJ85" i="10"/>
  <c r="AQ84" i="10"/>
  <c r="AM86" i="10"/>
  <c r="AI86" i="10"/>
  <c r="AC88" i="10"/>
  <c r="AD88" i="10"/>
  <c r="AF88" i="10" s="1"/>
  <c r="AG87" i="10" l="1"/>
  <c r="AM87" i="10" s="1"/>
  <c r="AK87" i="10"/>
  <c r="AD89" i="10"/>
  <c r="AF89" i="10" s="1"/>
  <c r="AC89" i="10"/>
  <c r="AJ86" i="10"/>
  <c r="S85" i="10"/>
  <c r="AQ85" i="10"/>
  <c r="AG88" i="10"/>
  <c r="AK88" i="10"/>
  <c r="J28" i="10" l="1"/>
  <c r="K28" i="10" s="1"/>
  <c r="AI87" i="10"/>
  <c r="M28" i="10" s="1"/>
  <c r="N28" i="10" s="1"/>
  <c r="D28" i="10" s="1"/>
  <c r="S86" i="10"/>
  <c r="AQ86" i="10"/>
  <c r="AD90" i="10"/>
  <c r="AF90" i="10" s="1"/>
  <c r="AC90" i="10"/>
  <c r="AM88" i="10"/>
  <c r="AI88" i="10"/>
  <c r="AG89" i="10"/>
  <c r="AK89" i="10"/>
  <c r="P28" i="10" l="1"/>
  <c r="AJ87" i="10"/>
  <c r="AJ88" i="10" s="1"/>
  <c r="AG90" i="10"/>
  <c r="AK90" i="10"/>
  <c r="AC91" i="10"/>
  <c r="AD91" i="10"/>
  <c r="AF91" i="10" s="1"/>
  <c r="AM89" i="10"/>
  <c r="AI89" i="10"/>
  <c r="AQ87" i="10" l="1"/>
  <c r="S87" i="10"/>
  <c r="AC92" i="10"/>
  <c r="AD92" i="10"/>
  <c r="AF92" i="10" s="1"/>
  <c r="AG91" i="10"/>
  <c r="AK91" i="10"/>
  <c r="AJ89" i="10"/>
  <c r="S88" i="10"/>
  <c r="AQ88" i="10"/>
  <c r="AM90" i="10"/>
  <c r="AI90" i="10"/>
  <c r="AQ89" i="10" l="1"/>
  <c r="AJ90" i="10"/>
  <c r="S89" i="10"/>
  <c r="AM91" i="10"/>
  <c r="AI91" i="10"/>
  <c r="AG92" i="10"/>
  <c r="AK92" i="10"/>
  <c r="AC93" i="10"/>
  <c r="AD93" i="10"/>
  <c r="AF93" i="10" s="1"/>
  <c r="AM92" i="10" l="1"/>
  <c r="AI92" i="10"/>
  <c r="AC94" i="10"/>
  <c r="AD94" i="10"/>
  <c r="AF94" i="10" s="1"/>
  <c r="AJ91" i="10"/>
  <c r="S90" i="10"/>
  <c r="AQ90" i="10"/>
  <c r="AK93" i="10"/>
  <c r="AG93" i="10"/>
  <c r="AJ92" i="10" l="1"/>
  <c r="AQ91" i="10"/>
  <c r="S91" i="10"/>
  <c r="AC95" i="10"/>
  <c r="AD95" i="10"/>
  <c r="AF95" i="10" s="1"/>
  <c r="AK94" i="10"/>
  <c r="AG94" i="10"/>
  <c r="AM93" i="10"/>
  <c r="AI93" i="10"/>
  <c r="AM94" i="10" l="1"/>
  <c r="AI94" i="10"/>
  <c r="AK95" i="10"/>
  <c r="AG95" i="10"/>
  <c r="AC96" i="10"/>
  <c r="AD96" i="10"/>
  <c r="AF96" i="10" s="1"/>
  <c r="AQ92" i="10"/>
  <c r="S92" i="10"/>
  <c r="AJ93" i="10"/>
  <c r="AQ93" i="10" l="1"/>
  <c r="S93" i="10"/>
  <c r="AJ94" i="10"/>
  <c r="AM95" i="10"/>
  <c r="AI95" i="10"/>
  <c r="AC97" i="10"/>
  <c r="AD97" i="10"/>
  <c r="AF97" i="10" s="1"/>
  <c r="AK96" i="10"/>
  <c r="AG96" i="10"/>
  <c r="AG97" i="10" l="1"/>
  <c r="AK97" i="10"/>
  <c r="S94" i="10"/>
  <c r="AJ95" i="10"/>
  <c r="AQ94" i="10"/>
  <c r="AC98" i="10"/>
  <c r="AD98" i="10"/>
  <c r="AF98" i="10" s="1"/>
  <c r="AM96" i="10"/>
  <c r="AI96" i="10"/>
  <c r="AQ95" i="10" l="1"/>
  <c r="AJ96" i="10"/>
  <c r="S95" i="10"/>
  <c r="AG98" i="10"/>
  <c r="AK98" i="10"/>
  <c r="AC99" i="10"/>
  <c r="AD99" i="10"/>
  <c r="AI97" i="10"/>
  <c r="AM97" i="10"/>
  <c r="AF99" i="10" l="1"/>
  <c r="I29" i="10" s="1"/>
  <c r="AM98" i="10"/>
  <c r="AI98" i="10"/>
  <c r="AC100" i="10"/>
  <c r="AD100" i="10"/>
  <c r="AF100" i="10" s="1"/>
  <c r="AQ96" i="10"/>
  <c r="S96" i="10"/>
  <c r="AJ97" i="10"/>
  <c r="AG99" i="10" l="1"/>
  <c r="J29" i="10" s="1"/>
  <c r="K29" i="10" s="1"/>
  <c r="AK99" i="10"/>
  <c r="AK100" i="10"/>
  <c r="AG100" i="10"/>
  <c r="AC101" i="10"/>
  <c r="AD101" i="10"/>
  <c r="AF101" i="10" s="1"/>
  <c r="AQ97" i="10"/>
  <c r="AJ98" i="10"/>
  <c r="S97" i="10"/>
  <c r="P29" i="10" l="1"/>
  <c r="AM99" i="10"/>
  <c r="AI99" i="10"/>
  <c r="M29" i="10" s="1"/>
  <c r="N29" i="10" s="1"/>
  <c r="D29" i="10" s="1"/>
  <c r="AK101" i="10"/>
  <c r="AG101" i="10"/>
  <c r="AQ98" i="10"/>
  <c r="S98" i="10"/>
  <c r="AC102" i="10"/>
  <c r="AD102" i="10"/>
  <c r="AF102" i="10" s="1"/>
  <c r="AM100" i="10"/>
  <c r="AI100" i="10"/>
  <c r="AJ99" i="10" l="1"/>
  <c r="AJ100" i="10" s="1"/>
  <c r="AC103" i="10"/>
  <c r="AD103" i="10"/>
  <c r="AF103" i="10" s="1"/>
  <c r="AM101" i="10"/>
  <c r="AI101" i="10"/>
  <c r="AG102" i="10"/>
  <c r="AK102" i="10"/>
  <c r="AQ99" i="10" l="1"/>
  <c r="S99" i="10"/>
  <c r="AI102" i="10"/>
  <c r="AM102" i="10"/>
  <c r="AG103" i="10"/>
  <c r="AK103" i="10"/>
  <c r="AQ100" i="10"/>
  <c r="S100" i="10"/>
  <c r="AJ101" i="10"/>
  <c r="AC104" i="10"/>
  <c r="AD104" i="10"/>
  <c r="AF104" i="10" s="1"/>
  <c r="AD105" i="10" l="1"/>
  <c r="AF105" i="10" s="1"/>
  <c r="AC105" i="10"/>
  <c r="AQ101" i="10"/>
  <c r="AJ102" i="10"/>
  <c r="S101" i="10"/>
  <c r="AI103" i="10"/>
  <c r="AM103" i="10"/>
  <c r="AK104" i="10"/>
  <c r="AG104" i="10"/>
  <c r="AJ103" i="10" l="1"/>
  <c r="S102" i="10"/>
  <c r="AQ102" i="10"/>
  <c r="AC106" i="10"/>
  <c r="AD106" i="10"/>
  <c r="AF106" i="10" s="1"/>
  <c r="AM104" i="10"/>
  <c r="AI104" i="10"/>
  <c r="AK105" i="10"/>
  <c r="AG105" i="10"/>
  <c r="AK106" i="10" l="1"/>
  <c r="AG106" i="10"/>
  <c r="AC107" i="10"/>
  <c r="AD107" i="10"/>
  <c r="AF107" i="10" s="1"/>
  <c r="AM105" i="10"/>
  <c r="AI105" i="10"/>
  <c r="AQ103" i="10"/>
  <c r="AJ104" i="10"/>
  <c r="S103" i="10"/>
  <c r="AJ105" i="10" l="1"/>
  <c r="AQ104" i="10"/>
  <c r="S104" i="10"/>
  <c r="AD108" i="10"/>
  <c r="AF108" i="10" s="1"/>
  <c r="AC108" i="10"/>
  <c r="AK107" i="10"/>
  <c r="AG107" i="10"/>
  <c r="AM106" i="10"/>
  <c r="AI106" i="10"/>
  <c r="AM107" i="10" l="1"/>
  <c r="AI107" i="10"/>
  <c r="AD109" i="10"/>
  <c r="AF109" i="10" s="1"/>
  <c r="AC109" i="10"/>
  <c r="AK108" i="10"/>
  <c r="AG108" i="10"/>
  <c r="AQ105" i="10"/>
  <c r="AJ106" i="10"/>
  <c r="S105" i="10"/>
  <c r="AC110" i="10" l="1"/>
  <c r="AD110" i="10"/>
  <c r="AF110" i="10" s="1"/>
  <c r="AM108" i="10"/>
  <c r="AI108" i="10"/>
  <c r="AK109" i="10"/>
  <c r="AG109" i="10"/>
  <c r="AQ106" i="10"/>
  <c r="S106" i="10"/>
  <c r="AJ107" i="10"/>
  <c r="AI109" i="10" l="1"/>
  <c r="AM109" i="10"/>
  <c r="AK110" i="10"/>
  <c r="AG110" i="10"/>
  <c r="AJ108" i="10"/>
  <c r="AQ107" i="10"/>
  <c r="S107" i="10"/>
  <c r="AC111" i="10"/>
  <c r="AD111" i="10"/>
  <c r="AF111" i="10" s="1"/>
  <c r="AI110" i="10" l="1"/>
  <c r="AM110" i="10"/>
  <c r="AC112" i="10"/>
  <c r="AD112" i="10"/>
  <c r="AF112" i="10" s="1"/>
  <c r="AJ109" i="10"/>
  <c r="S108" i="10"/>
  <c r="AQ108" i="10"/>
  <c r="AK111" i="10"/>
  <c r="AG111" i="10"/>
  <c r="I30" i="10"/>
  <c r="AD113" i="10" l="1"/>
  <c r="AF113" i="10" s="1"/>
  <c r="AC113" i="10"/>
  <c r="AQ109" i="10"/>
  <c r="AJ110" i="10"/>
  <c r="S109" i="10"/>
  <c r="AK112" i="10"/>
  <c r="AG112" i="10"/>
  <c r="AM111" i="10"/>
  <c r="AI111" i="10"/>
  <c r="M30" i="10" s="1"/>
  <c r="N30" i="10" s="1"/>
  <c r="D30" i="10" s="1"/>
  <c r="J30" i="10"/>
  <c r="AI112" i="10" l="1"/>
  <c r="AM112" i="10"/>
  <c r="S110" i="10"/>
  <c r="AJ111" i="10"/>
  <c r="AQ110" i="10"/>
  <c r="K30" i="10"/>
  <c r="P30" i="10"/>
  <c r="AC114" i="10"/>
  <c r="AD114" i="10"/>
  <c r="AF114" i="10" s="1"/>
  <c r="AG113" i="10"/>
  <c r="AK113" i="10"/>
  <c r="AJ112" i="10" l="1"/>
  <c r="AQ111" i="10"/>
  <c r="S111" i="10"/>
  <c r="AI113" i="10"/>
  <c r="AM113" i="10"/>
  <c r="AC115" i="10"/>
  <c r="AD115" i="10"/>
  <c r="AF115" i="10" s="1"/>
  <c r="AG114" i="10"/>
  <c r="AK114" i="10"/>
  <c r="AM114" i="10" l="1"/>
  <c r="AI114" i="10"/>
  <c r="AG115" i="10"/>
  <c r="AK115" i="10"/>
  <c r="AC116" i="10"/>
  <c r="AD116" i="10"/>
  <c r="AF116" i="10" s="1"/>
  <c r="S112" i="10"/>
  <c r="AQ112" i="10"/>
  <c r="AJ113" i="10"/>
  <c r="AM115" i="10" l="1"/>
  <c r="AI115" i="10"/>
  <c r="AD117" i="10"/>
  <c r="AF117" i="10" s="1"/>
  <c r="AC117" i="10"/>
  <c r="AG116" i="10"/>
  <c r="AK116" i="10"/>
  <c r="S113" i="10"/>
  <c r="AJ114" i="10"/>
  <c r="AQ113" i="10"/>
  <c r="AJ115" i="10" l="1"/>
  <c r="AQ114" i="10"/>
  <c r="S114" i="10"/>
  <c r="AK117" i="10"/>
  <c r="AG117" i="10"/>
  <c r="AC118" i="10"/>
  <c r="AD118" i="10"/>
  <c r="AF118" i="10" s="1"/>
  <c r="AM116" i="10"/>
  <c r="AI116" i="10"/>
  <c r="AC119" i="10" l="1"/>
  <c r="AD119" i="10"/>
  <c r="AF119" i="10" s="1"/>
  <c r="AK118" i="10"/>
  <c r="AG118" i="10"/>
  <c r="AM117" i="10"/>
  <c r="AI117" i="10"/>
  <c r="AJ116" i="10"/>
  <c r="S115" i="10"/>
  <c r="AQ115" i="10"/>
  <c r="S116" i="10" l="1"/>
  <c r="AQ116" i="10"/>
  <c r="AJ117" i="10"/>
  <c r="AM118" i="10"/>
  <c r="AI118" i="10"/>
  <c r="AK119" i="10"/>
  <c r="AG119" i="10"/>
  <c r="AD120" i="10"/>
  <c r="AF120" i="10" s="1"/>
  <c r="AC120" i="10"/>
  <c r="AK120" i="10" l="1"/>
  <c r="AG120" i="10"/>
  <c r="S117" i="10"/>
  <c r="AQ117" i="10"/>
  <c r="AJ118" i="10"/>
  <c r="AM119" i="10"/>
  <c r="AI119" i="10"/>
  <c r="AD121" i="10"/>
  <c r="AF121" i="10" s="1"/>
  <c r="AC121" i="10"/>
  <c r="AK121" i="10" l="1"/>
  <c r="AG121" i="10"/>
  <c r="AJ119" i="10"/>
  <c r="S118" i="10"/>
  <c r="AQ118" i="10"/>
  <c r="AM120" i="10"/>
  <c r="AI120" i="10"/>
  <c r="AD122" i="10"/>
  <c r="AF122" i="10" s="1"/>
  <c r="AC122" i="10"/>
  <c r="AQ119" i="10" l="1"/>
  <c r="AJ120" i="10"/>
  <c r="S119" i="10"/>
  <c r="AM121" i="10"/>
  <c r="AI121" i="10"/>
  <c r="AK122" i="10"/>
  <c r="AG122" i="10"/>
  <c r="AD123" i="10"/>
  <c r="AF123" i="10" s="1"/>
  <c r="AC123" i="10"/>
  <c r="AM122" i="10" l="1"/>
  <c r="AI122" i="10"/>
  <c r="AQ120" i="10"/>
  <c r="S120" i="10"/>
  <c r="AJ121" i="10"/>
  <c r="AC124" i="10"/>
  <c r="AD124" i="10"/>
  <c r="AF124" i="10" s="1"/>
  <c r="AG123" i="10"/>
  <c r="J31" i="10" s="1"/>
  <c r="K31" i="10" s="1"/>
  <c r="AK123" i="10"/>
  <c r="I31" i="10"/>
  <c r="AG124" i="10" l="1"/>
  <c r="AK124" i="10"/>
  <c r="AC125" i="10"/>
  <c r="AD125" i="10"/>
  <c r="AF125" i="10" s="1"/>
  <c r="P31" i="10"/>
  <c r="AQ121" i="10"/>
  <c r="AJ122" i="10"/>
  <c r="S121" i="10"/>
  <c r="AM123" i="10"/>
  <c r="AI123" i="10"/>
  <c r="M31" i="10" s="1"/>
  <c r="N31" i="10" s="1"/>
  <c r="D31" i="10" s="1"/>
  <c r="AJ123" i="10" l="1"/>
  <c r="S122" i="10"/>
  <c r="AQ122" i="10"/>
  <c r="AK125" i="10"/>
  <c r="AG125" i="10"/>
  <c r="AC126" i="10"/>
  <c r="AD126" i="10"/>
  <c r="AF126" i="10" s="1"/>
  <c r="AM124" i="10"/>
  <c r="AI124" i="10"/>
  <c r="AI125" i="10" l="1"/>
  <c r="AM125" i="10"/>
  <c r="AG126" i="10"/>
  <c r="AK126" i="10"/>
  <c r="AC127" i="10"/>
  <c r="AD127" i="10"/>
  <c r="AF127" i="10" s="1"/>
  <c r="S123" i="10"/>
  <c r="AQ123" i="10"/>
  <c r="AJ124" i="10"/>
  <c r="AK127" i="10" l="1"/>
  <c r="AG127" i="10"/>
  <c r="AC128" i="10"/>
  <c r="AD128" i="10"/>
  <c r="AF128" i="10" s="1"/>
  <c r="AM126" i="10"/>
  <c r="AI126" i="10"/>
  <c r="S124" i="10"/>
  <c r="AJ125" i="10"/>
  <c r="AQ124" i="10"/>
  <c r="AC129" i="10" l="1"/>
  <c r="AD129" i="10"/>
  <c r="AF129" i="10" s="1"/>
  <c r="AK128" i="10"/>
  <c r="AG128" i="10"/>
  <c r="AM127" i="10"/>
  <c r="AI127" i="10"/>
  <c r="AQ125" i="10"/>
  <c r="AJ126" i="10"/>
  <c r="S125" i="10"/>
  <c r="AM128" i="10" l="1"/>
  <c r="AI128" i="10"/>
  <c r="AQ126" i="10"/>
  <c r="AJ127" i="10"/>
  <c r="S126" i="10"/>
  <c r="AK129" i="10"/>
  <c r="AG129" i="10"/>
  <c r="AD130" i="10"/>
  <c r="AF130" i="10" s="1"/>
  <c r="AC130" i="10"/>
  <c r="AK130" i="10" l="1"/>
  <c r="AG130" i="10"/>
  <c r="AQ127" i="10"/>
  <c r="AJ128" i="10"/>
  <c r="S127" i="10"/>
  <c r="AI129" i="10"/>
  <c r="AM129" i="10"/>
  <c r="AD131" i="10"/>
  <c r="AF131" i="10" s="1"/>
  <c r="AC131" i="10"/>
  <c r="AK131" i="10" l="1"/>
  <c r="AG131" i="10"/>
  <c r="AQ128" i="10"/>
  <c r="S128" i="10"/>
  <c r="AJ129" i="10"/>
  <c r="AM130" i="10"/>
  <c r="AI130" i="10"/>
  <c r="AC132" i="10"/>
  <c r="AD132" i="10"/>
  <c r="AF132" i="10" s="1"/>
  <c r="AC133" i="10" l="1"/>
  <c r="AD133" i="10"/>
  <c r="AF133" i="10" s="1"/>
  <c r="AJ130" i="10"/>
  <c r="S129" i="10"/>
  <c r="AQ129" i="10"/>
  <c r="AM131" i="10"/>
  <c r="AI131" i="10"/>
  <c r="AK132" i="10"/>
  <c r="AG132" i="10"/>
  <c r="AQ130" i="10" l="1"/>
  <c r="AJ131" i="10"/>
  <c r="S130" i="10"/>
  <c r="AG133" i="10"/>
  <c r="AK133" i="10"/>
  <c r="AM132" i="10"/>
  <c r="AI132" i="10"/>
  <c r="AC134" i="10"/>
  <c r="AD134" i="10"/>
  <c r="AF134" i="10" s="1"/>
  <c r="AC135" i="10" l="1"/>
  <c r="AD135" i="10"/>
  <c r="AF135" i="10" s="1"/>
  <c r="AM133" i="10"/>
  <c r="AI133" i="10"/>
  <c r="AJ132" i="10"/>
  <c r="AQ131" i="10"/>
  <c r="S131" i="10"/>
  <c r="AK134" i="10"/>
  <c r="AG134" i="10"/>
  <c r="I32" i="10" l="1"/>
  <c r="AK135" i="10"/>
  <c r="AG135" i="10"/>
  <c r="S132" i="10"/>
  <c r="AQ132" i="10"/>
  <c r="AJ133" i="10"/>
  <c r="AM134" i="10"/>
  <c r="AI134" i="10"/>
  <c r="AC136" i="10"/>
  <c r="AD136" i="10"/>
  <c r="AF136" i="10" s="1"/>
  <c r="AM135" i="10" l="1"/>
  <c r="AI135" i="10"/>
  <c r="M32" i="10" s="1"/>
  <c r="N32" i="10" s="1"/>
  <c r="D32" i="10" s="1"/>
  <c r="J32" i="10"/>
  <c r="AJ134" i="10"/>
  <c r="S133" i="10"/>
  <c r="AQ133" i="10"/>
  <c r="AK136" i="10"/>
  <c r="AG136" i="10"/>
  <c r="AC137" i="10"/>
  <c r="AD137" i="10"/>
  <c r="AF137" i="10" s="1"/>
  <c r="S134" i="10" l="1"/>
  <c r="AQ134" i="10"/>
  <c r="AJ135" i="10"/>
  <c r="K32" i="10"/>
  <c r="P32" i="10"/>
  <c r="AI136" i="10"/>
  <c r="AM136" i="10"/>
  <c r="AK137" i="10"/>
  <c r="AG137" i="10"/>
  <c r="AC138" i="10"/>
  <c r="AD138" i="10"/>
  <c r="AF138" i="10" s="1"/>
  <c r="AK138" i="10" l="1"/>
  <c r="AG138" i="10"/>
  <c r="S135" i="10"/>
  <c r="AQ135" i="10"/>
  <c r="AJ136" i="10"/>
  <c r="AC139" i="10"/>
  <c r="AD139" i="10"/>
  <c r="AF139" i="10" s="1"/>
  <c r="AI137" i="10"/>
  <c r="AM137" i="10"/>
  <c r="AC140" i="10" l="1"/>
  <c r="AD140" i="10"/>
  <c r="AF140" i="10" s="1"/>
  <c r="S136" i="10"/>
  <c r="AQ136" i="10"/>
  <c r="AJ137" i="10"/>
  <c r="AM138" i="10"/>
  <c r="AI138" i="10"/>
  <c r="AK139" i="10"/>
  <c r="AG139" i="10"/>
  <c r="AK140" i="10" l="1"/>
  <c r="AG140" i="10"/>
  <c r="AJ138" i="10"/>
  <c r="S137" i="10"/>
  <c r="AQ137" i="10"/>
  <c r="AI139" i="10"/>
  <c r="AM139" i="10"/>
  <c r="AC141" i="10"/>
  <c r="AD141" i="10"/>
  <c r="AF141" i="10" s="1"/>
  <c r="S138" i="10" l="1"/>
  <c r="AQ138" i="10"/>
  <c r="AJ139" i="10"/>
  <c r="AM140" i="10"/>
  <c r="AI140" i="10"/>
  <c r="AC142" i="10"/>
  <c r="AD142" i="10"/>
  <c r="AF142" i="10" s="1"/>
  <c r="AG141" i="10"/>
  <c r="AK141" i="10"/>
  <c r="AM141" i="10" l="1"/>
  <c r="AI141" i="10"/>
  <c r="AC143" i="10"/>
  <c r="AD143" i="10"/>
  <c r="AF143" i="10" s="1"/>
  <c r="AK142" i="10"/>
  <c r="AG142" i="10"/>
  <c r="AJ140" i="10"/>
  <c r="S139" i="10"/>
  <c r="AQ139" i="10"/>
  <c r="AJ141" i="10" l="1"/>
  <c r="AQ140" i="10"/>
  <c r="S140" i="10"/>
  <c r="AM142" i="10"/>
  <c r="AI142" i="10"/>
  <c r="AC144" i="10"/>
  <c r="AD144" i="10"/>
  <c r="AF144" i="10" s="1"/>
  <c r="AK143" i="10"/>
  <c r="AG143" i="10"/>
  <c r="AK144" i="10" l="1"/>
  <c r="AG144" i="10"/>
  <c r="AC145" i="10"/>
  <c r="AD145" i="10"/>
  <c r="AF145" i="10" s="1"/>
  <c r="AM143" i="10"/>
  <c r="AI143" i="10"/>
  <c r="AQ141" i="10"/>
  <c r="AJ142" i="10"/>
  <c r="S141" i="10"/>
  <c r="AQ142" i="10" l="1"/>
  <c r="S142" i="10"/>
  <c r="AJ143" i="10"/>
  <c r="AC146" i="10"/>
  <c r="AD146" i="10"/>
  <c r="AF146" i="10" s="1"/>
  <c r="AK145" i="10"/>
  <c r="AG145" i="10"/>
  <c r="AM144" i="10"/>
  <c r="AI144" i="10"/>
  <c r="AK146" i="10" l="1"/>
  <c r="AG146" i="10"/>
  <c r="AJ144" i="10"/>
  <c r="S143" i="10"/>
  <c r="AQ143" i="10"/>
  <c r="AM145" i="10"/>
  <c r="AI145" i="10"/>
  <c r="AC147" i="10"/>
  <c r="AD147" i="10"/>
  <c r="AF147" i="10" s="1"/>
  <c r="AQ144" i="10" l="1"/>
  <c r="S144" i="10"/>
  <c r="AJ145" i="10"/>
  <c r="AM146" i="10"/>
  <c r="AI146" i="10"/>
  <c r="AK147" i="10"/>
  <c r="AG147" i="10"/>
  <c r="AD148" i="10"/>
  <c r="AF148" i="10" s="1"/>
  <c r="AC148" i="10"/>
  <c r="I33" i="10"/>
  <c r="AK148" i="10" l="1"/>
  <c r="AG148" i="10"/>
  <c r="J33" i="10"/>
  <c r="AM147" i="10"/>
  <c r="AI147" i="10"/>
  <c r="M33" i="10" s="1"/>
  <c r="N33" i="10" s="1"/>
  <c r="D33" i="10" s="1"/>
  <c r="AQ145" i="10"/>
  <c r="S145" i="10"/>
  <c r="AJ146" i="10"/>
  <c r="AC149" i="10"/>
  <c r="AD149" i="10"/>
  <c r="AF149" i="10" s="1"/>
  <c r="P33" i="10" l="1"/>
  <c r="K33" i="10"/>
  <c r="AJ147" i="10"/>
  <c r="AQ146" i="10"/>
  <c r="S146" i="10"/>
  <c r="AG149" i="10"/>
  <c r="AK149" i="10"/>
  <c r="AM148" i="10"/>
  <c r="AI148" i="10"/>
  <c r="AC150" i="10"/>
  <c r="AD150" i="10"/>
  <c r="AF150" i="10" s="1"/>
  <c r="AM149" i="10" l="1"/>
  <c r="AI149" i="10"/>
  <c r="S147" i="10"/>
  <c r="AQ147" i="10"/>
  <c r="AJ148" i="10"/>
  <c r="AD151" i="10"/>
  <c r="AF151" i="10" s="1"/>
  <c r="AC151" i="10"/>
  <c r="AK150" i="10"/>
  <c r="AG150" i="10"/>
  <c r="AG151" i="10" l="1"/>
  <c r="AK151" i="10"/>
  <c r="AD152" i="10"/>
  <c r="AF152" i="10" s="1"/>
  <c r="AC152" i="10"/>
  <c r="AJ149" i="10"/>
  <c r="S148" i="10"/>
  <c r="AQ148" i="10"/>
  <c r="AI150" i="10"/>
  <c r="AM150" i="10"/>
  <c r="AG152" i="10" l="1"/>
  <c r="AK152" i="10"/>
  <c r="S149" i="10"/>
  <c r="AJ150" i="10"/>
  <c r="AQ149" i="10"/>
  <c r="AC153" i="10"/>
  <c r="AD153" i="10"/>
  <c r="AF153" i="10" s="1"/>
  <c r="AI151" i="10"/>
  <c r="AM151" i="10"/>
  <c r="AC154" i="10" l="1"/>
  <c r="AD154" i="10"/>
  <c r="AF154" i="10" s="1"/>
  <c r="S150" i="10"/>
  <c r="AJ151" i="10"/>
  <c r="AQ150" i="10"/>
  <c r="AK153" i="10"/>
  <c r="AG153" i="10"/>
  <c r="AM152" i="10"/>
  <c r="AI152" i="10"/>
  <c r="AQ151" i="10" l="1"/>
  <c r="AJ152" i="10"/>
  <c r="S151" i="10"/>
  <c r="AM153" i="10"/>
  <c r="AI153" i="10"/>
  <c r="AG154" i="10"/>
  <c r="AK154" i="10"/>
  <c r="AD155" i="10"/>
  <c r="AF155" i="10" s="1"/>
  <c r="AC155" i="10"/>
  <c r="AK155" i="10" l="1"/>
  <c r="AG155" i="10"/>
  <c r="AM154" i="10"/>
  <c r="AI154" i="10"/>
  <c r="AQ152" i="10"/>
  <c r="AJ153" i="10"/>
  <c r="S152" i="10"/>
  <c r="AC156" i="10"/>
  <c r="AD156" i="10"/>
  <c r="AF156" i="10" s="1"/>
  <c r="AC157" i="10" l="1"/>
  <c r="AD157" i="10"/>
  <c r="AF157" i="10" s="1"/>
  <c r="AJ154" i="10"/>
  <c r="S153" i="10"/>
  <c r="AQ153" i="10"/>
  <c r="AM155" i="10"/>
  <c r="AI155" i="10"/>
  <c r="AK156" i="10"/>
  <c r="AG156" i="10"/>
  <c r="AQ154" i="10" l="1"/>
  <c r="S154" i="10"/>
  <c r="AJ155" i="10"/>
  <c r="AK157" i="10"/>
  <c r="AG157" i="10"/>
  <c r="AM156" i="10"/>
  <c r="AI156" i="10"/>
  <c r="AC158" i="10"/>
  <c r="AD158" i="10"/>
  <c r="AF158" i="10" s="1"/>
  <c r="AM157" i="10" l="1"/>
  <c r="AI157" i="10"/>
  <c r="AQ155" i="10"/>
  <c r="AJ156" i="10"/>
  <c r="S155" i="10"/>
  <c r="AC159" i="10"/>
  <c r="AD159" i="10"/>
  <c r="AF159" i="10" s="1"/>
  <c r="AK158" i="10"/>
  <c r="AG158" i="10"/>
  <c r="AK159" i="10" l="1"/>
  <c r="AG159" i="10"/>
  <c r="I34" i="10"/>
  <c r="AC160" i="10"/>
  <c r="AD160" i="10"/>
  <c r="AF160" i="10" s="1"/>
  <c r="AQ156" i="10"/>
  <c r="S156" i="10"/>
  <c r="AJ157" i="10"/>
  <c r="AM158" i="10"/>
  <c r="AI158" i="10"/>
  <c r="S157" i="10" l="1"/>
  <c r="AQ157" i="10"/>
  <c r="AJ158" i="10"/>
  <c r="AK160" i="10"/>
  <c r="AG160" i="10"/>
  <c r="AC161" i="10"/>
  <c r="AD161" i="10"/>
  <c r="AF161" i="10" s="1"/>
  <c r="AM159" i="10"/>
  <c r="J34" i="10"/>
  <c r="AI159" i="10"/>
  <c r="M34" i="10" s="1"/>
  <c r="N34" i="10" s="1"/>
  <c r="D34" i="10" s="1"/>
  <c r="AK161" i="10" l="1"/>
  <c r="AG161" i="10"/>
  <c r="AM160" i="10"/>
  <c r="AI160" i="10"/>
  <c r="AJ159" i="10"/>
  <c r="S158" i="10"/>
  <c r="AQ158" i="10"/>
  <c r="AC162" i="10"/>
  <c r="AD162" i="10"/>
  <c r="AF162" i="10" s="1"/>
  <c r="K34" i="10"/>
  <c r="P34" i="10"/>
  <c r="AC163" i="10" l="1"/>
  <c r="AD163" i="10"/>
  <c r="AF163" i="10" s="1"/>
  <c r="S159" i="10"/>
  <c r="AQ159" i="10"/>
  <c r="AJ160" i="10"/>
  <c r="AM161" i="10"/>
  <c r="AI161" i="10"/>
  <c r="AG162" i="10"/>
  <c r="AK162" i="10"/>
  <c r="AM162" i="10" l="1"/>
  <c r="AI162" i="10"/>
  <c r="AG163" i="10"/>
  <c r="AK163" i="10"/>
  <c r="S160" i="10"/>
  <c r="AQ160" i="10"/>
  <c r="AJ161" i="10"/>
  <c r="AC164" i="10"/>
  <c r="AD164" i="10"/>
  <c r="AF164" i="10" s="1"/>
  <c r="AQ161" i="10" l="1"/>
  <c r="AJ162" i="10"/>
  <c r="S161" i="10"/>
  <c r="AM163" i="10"/>
  <c r="AI163" i="10"/>
  <c r="AD165" i="10"/>
  <c r="AF165" i="10" s="1"/>
  <c r="AC165" i="10"/>
  <c r="AK164" i="10"/>
  <c r="AG164" i="10"/>
  <c r="AK165" i="10" l="1"/>
  <c r="AG165" i="10"/>
  <c r="AD166" i="10"/>
  <c r="AF166" i="10" s="1"/>
  <c r="AC166" i="10"/>
  <c r="AQ162" i="10"/>
  <c r="S162" i="10"/>
  <c r="AJ163" i="10"/>
  <c r="AM164" i="10"/>
  <c r="AI164" i="10"/>
  <c r="AQ163" i="10" l="1"/>
  <c r="AJ164" i="10"/>
  <c r="S163" i="10"/>
  <c r="AK166" i="10"/>
  <c r="AG166" i="10"/>
  <c r="AM165" i="10"/>
  <c r="AI165" i="10"/>
  <c r="AD167" i="10"/>
  <c r="AF167" i="10" s="1"/>
  <c r="AC167" i="10"/>
  <c r="AG167" i="10" l="1"/>
  <c r="AK167" i="10"/>
  <c r="AJ165" i="10"/>
  <c r="S164" i="10"/>
  <c r="AQ164" i="10"/>
  <c r="AM166" i="10"/>
  <c r="AI166" i="10"/>
  <c r="AC168" i="10"/>
  <c r="AD168" i="10"/>
  <c r="AF168" i="10" s="1"/>
  <c r="AD169" i="10" l="1"/>
  <c r="AF169" i="10" s="1"/>
  <c r="AC169" i="10"/>
  <c r="AJ166" i="10"/>
  <c r="S165" i="10"/>
  <c r="AQ165" i="10"/>
  <c r="AK168" i="10"/>
  <c r="AG168" i="10"/>
  <c r="AM167" i="10"/>
  <c r="AI167" i="10"/>
  <c r="AQ166" i="10" l="1"/>
  <c r="S166" i="10"/>
  <c r="AJ167" i="10"/>
  <c r="AM168" i="10"/>
  <c r="AI168" i="10"/>
  <c r="AC170" i="10"/>
  <c r="AD170" i="10"/>
  <c r="AF170" i="10" s="1"/>
  <c r="AK169" i="10"/>
  <c r="AG169" i="10"/>
  <c r="AK170" i="10" l="1"/>
  <c r="AG170" i="10"/>
  <c r="AQ167" i="10"/>
  <c r="AJ168" i="10"/>
  <c r="S167" i="10"/>
  <c r="AC171" i="10"/>
  <c r="AD171" i="10"/>
  <c r="AF171" i="10" s="1"/>
  <c r="AI169" i="10"/>
  <c r="AM169" i="10"/>
  <c r="AC172" i="10" l="1"/>
  <c r="AD172" i="10"/>
  <c r="AF172" i="10" s="1"/>
  <c r="AG171" i="10"/>
  <c r="AK171" i="10"/>
  <c r="I35" i="10"/>
  <c r="S168" i="10"/>
  <c r="AJ169" i="10"/>
  <c r="AQ168" i="10"/>
  <c r="AM170" i="10"/>
  <c r="AI170" i="10"/>
  <c r="AI171" i="10" l="1"/>
  <c r="M35" i="10" s="1"/>
  <c r="N35" i="10" s="1"/>
  <c r="D35" i="10" s="1"/>
  <c r="J35" i="10"/>
  <c r="AM171" i="10"/>
  <c r="AK172" i="10"/>
  <c r="AG172" i="10"/>
  <c r="S169" i="10"/>
  <c r="AJ170" i="10"/>
  <c r="AQ169" i="10"/>
  <c r="AC173" i="10"/>
  <c r="AD173" i="10"/>
  <c r="AF173" i="10" s="1"/>
  <c r="AM172" i="10" l="1"/>
  <c r="AI172" i="10"/>
  <c r="AQ170" i="10"/>
  <c r="S170" i="10"/>
  <c r="AJ171" i="10"/>
  <c r="AK173" i="10"/>
  <c r="AG173" i="10"/>
  <c r="K35" i="10"/>
  <c r="P35" i="10"/>
  <c r="AC174" i="10"/>
  <c r="AD174" i="10"/>
  <c r="AF174" i="10" s="1"/>
  <c r="AQ171" i="10" l="1"/>
  <c r="S171" i="10"/>
  <c r="AJ172" i="10"/>
  <c r="AM173" i="10"/>
  <c r="AI173" i="10"/>
  <c r="AK174" i="10"/>
  <c r="AG174" i="10"/>
  <c r="AD175" i="10"/>
  <c r="AF175" i="10" s="1"/>
  <c r="AC175" i="10"/>
  <c r="AM174" i="10" l="1"/>
  <c r="AI174" i="10"/>
  <c r="AJ173" i="10"/>
  <c r="S172" i="10"/>
  <c r="AQ172" i="10"/>
  <c r="AG175" i="10"/>
  <c r="AK175" i="10"/>
  <c r="AD176" i="10"/>
  <c r="AF176" i="10" s="1"/>
  <c r="AC176" i="10"/>
  <c r="AK176" i="10" l="1"/>
  <c r="AG176" i="10"/>
  <c r="AI175" i="10"/>
  <c r="AM175" i="10"/>
  <c r="AQ173" i="10"/>
  <c r="AJ174" i="10"/>
  <c r="S173" i="10"/>
  <c r="AC177" i="10"/>
  <c r="AD177" i="10"/>
  <c r="AF177" i="10" s="1"/>
  <c r="AC178" i="10" l="1"/>
  <c r="AD178" i="10"/>
  <c r="AF178" i="10" s="1"/>
  <c r="S174" i="10"/>
  <c r="AQ174" i="10"/>
  <c r="AJ175" i="10"/>
  <c r="AM176" i="10"/>
  <c r="AI176" i="10"/>
  <c r="AG177" i="10"/>
  <c r="AK177" i="10"/>
  <c r="AM177" i="10" l="1"/>
  <c r="AI177" i="10"/>
  <c r="AK178" i="10"/>
  <c r="AG178" i="10"/>
  <c r="AQ175" i="10"/>
  <c r="S175" i="10"/>
  <c r="AJ176" i="10"/>
  <c r="AC179" i="10"/>
  <c r="AD179" i="10"/>
  <c r="AF179" i="10" s="1"/>
  <c r="AC180" i="10" l="1"/>
  <c r="AD180" i="10"/>
  <c r="AF180" i="10" s="1"/>
  <c r="AJ177" i="10"/>
  <c r="AQ176" i="10"/>
  <c r="S176" i="10"/>
  <c r="AM178" i="10"/>
  <c r="AI178" i="10"/>
  <c r="AK179" i="10"/>
  <c r="AG179" i="10"/>
  <c r="AJ178" i="10" l="1"/>
  <c r="S177" i="10"/>
  <c r="AQ177" i="10"/>
  <c r="AK180" i="10"/>
  <c r="AG180" i="10"/>
  <c r="AM179" i="10"/>
  <c r="AI179" i="10"/>
  <c r="AC181" i="10"/>
  <c r="AD181" i="10"/>
  <c r="AF181" i="10" s="1"/>
  <c r="AD182" i="10" l="1"/>
  <c r="AF182" i="10" s="1"/>
  <c r="AC182" i="10"/>
  <c r="AM180" i="10"/>
  <c r="AI180" i="10"/>
  <c r="AK181" i="10"/>
  <c r="AG181" i="10"/>
  <c r="S178" i="10"/>
  <c r="AQ178" i="10"/>
  <c r="AJ179" i="10"/>
  <c r="AM181" i="10" l="1"/>
  <c r="AI181" i="10"/>
  <c r="AC183" i="10"/>
  <c r="AD183" i="10"/>
  <c r="AF183" i="10" s="1"/>
  <c r="AJ180" i="10"/>
  <c r="AQ179" i="10"/>
  <c r="S179" i="10"/>
  <c r="AG182" i="10"/>
  <c r="AK182" i="10"/>
  <c r="AI182" i="10" l="1"/>
  <c r="AM182" i="10"/>
  <c r="AC184" i="10"/>
  <c r="AD184" i="10"/>
  <c r="AF184" i="10" s="1"/>
  <c r="S180" i="10"/>
  <c r="AQ180" i="10"/>
  <c r="AJ181" i="10"/>
  <c r="AK183" i="10"/>
  <c r="AG183" i="10"/>
  <c r="J36" i="10" s="1"/>
  <c r="I36" i="10"/>
  <c r="K36" i="10" l="1"/>
  <c r="P36" i="10"/>
  <c r="AC185" i="10"/>
  <c r="AD185" i="10"/>
  <c r="AF185" i="10" s="1"/>
  <c r="AG184" i="10"/>
  <c r="AK184" i="10"/>
  <c r="AM183" i="10"/>
  <c r="AI183" i="10"/>
  <c r="M36" i="10" s="1"/>
  <c r="N36" i="10" s="1"/>
  <c r="D36" i="10" s="1"/>
  <c r="S181" i="10"/>
  <c r="AJ182" i="10"/>
  <c r="AQ181" i="10"/>
  <c r="AI184" i="10" l="1"/>
  <c r="AM184" i="10"/>
  <c r="AG185" i="10"/>
  <c r="AK185" i="10"/>
  <c r="AC186" i="10"/>
  <c r="AD186" i="10"/>
  <c r="AF186" i="10" s="1"/>
  <c r="S182" i="10"/>
  <c r="AQ182" i="10"/>
  <c r="AJ183" i="10"/>
  <c r="AI185" i="10" l="1"/>
  <c r="AM185" i="10"/>
  <c r="AC187" i="10"/>
  <c r="AD187" i="10"/>
  <c r="AF187" i="10" s="1"/>
  <c r="AK186" i="10"/>
  <c r="AG186" i="10"/>
  <c r="AJ184" i="10"/>
  <c r="S183" i="10"/>
  <c r="AQ183" i="10"/>
  <c r="AJ185" i="10" l="1"/>
  <c r="AQ184" i="10"/>
  <c r="S184" i="10"/>
  <c r="AM186" i="10"/>
  <c r="AI186" i="10"/>
  <c r="AC188" i="10"/>
  <c r="AD188" i="10"/>
  <c r="AF188" i="10" s="1"/>
  <c r="AK187" i="10"/>
  <c r="AG187" i="10"/>
  <c r="AC189" i="10" l="1"/>
  <c r="AD189" i="10"/>
  <c r="AF189" i="10" s="1"/>
  <c r="AK188" i="10"/>
  <c r="AG188" i="10"/>
  <c r="AM187" i="10"/>
  <c r="AI187" i="10"/>
  <c r="AJ186" i="10"/>
  <c r="S185" i="10"/>
  <c r="AQ185" i="10"/>
  <c r="AQ186" i="10" l="1"/>
  <c r="S186" i="10"/>
  <c r="AJ187" i="10"/>
  <c r="AG189" i="10"/>
  <c r="AK189" i="10"/>
  <c r="AM188" i="10"/>
  <c r="AI188" i="10"/>
  <c r="AC190" i="10"/>
  <c r="AD190" i="10"/>
  <c r="AF190" i="10" s="1"/>
  <c r="AC191" i="10" l="1"/>
  <c r="AD191" i="10"/>
  <c r="AF191" i="10" s="1"/>
  <c r="AI189" i="10"/>
  <c r="AM189" i="10"/>
  <c r="S187" i="10"/>
  <c r="AQ187" i="10"/>
  <c r="AJ188" i="10"/>
  <c r="AK190" i="10"/>
  <c r="AG190" i="10"/>
  <c r="AJ189" i="10" l="1"/>
  <c r="AQ188" i="10"/>
  <c r="S188" i="10"/>
  <c r="AK191" i="10"/>
  <c r="AG191" i="10"/>
  <c r="AI190" i="10"/>
  <c r="AM190" i="10"/>
  <c r="AD192" i="10"/>
  <c r="AF192" i="10" s="1"/>
  <c r="AC192" i="10"/>
  <c r="AK192" i="10" l="1"/>
  <c r="AG192" i="10"/>
  <c r="AM191" i="10"/>
  <c r="AI191" i="10"/>
  <c r="AD193" i="10"/>
  <c r="AF193" i="10" s="1"/>
  <c r="AC193" i="10"/>
  <c r="AJ190" i="10"/>
  <c r="S189" i="10"/>
  <c r="AQ189" i="10"/>
  <c r="AC194" i="10" l="1"/>
  <c r="AD194" i="10"/>
  <c r="AF194" i="10" s="1"/>
  <c r="AJ191" i="10"/>
  <c r="S190" i="10"/>
  <c r="AQ190" i="10"/>
  <c r="AM192" i="10"/>
  <c r="AI192" i="10"/>
  <c r="AK193" i="10"/>
  <c r="AG193" i="10"/>
  <c r="AQ191" i="10" l="1"/>
  <c r="AJ192" i="10"/>
  <c r="S191" i="10"/>
  <c r="AK194" i="10"/>
  <c r="AG194" i="10"/>
  <c r="AM193" i="10"/>
  <c r="AI193" i="10"/>
  <c r="AC195" i="10"/>
  <c r="AD195" i="10"/>
  <c r="AF195" i="10" s="1"/>
  <c r="AQ192" i="10" l="1"/>
  <c r="AJ193" i="10"/>
  <c r="S192" i="10"/>
  <c r="AC196" i="10"/>
  <c r="AD196" i="10"/>
  <c r="AF196" i="10" s="1"/>
  <c r="AM194" i="10"/>
  <c r="AI194" i="10"/>
  <c r="AK195" i="10"/>
  <c r="I37" i="10"/>
  <c r="AG195" i="10"/>
  <c r="AD197" i="10" l="1"/>
  <c r="AF197" i="10" s="1"/>
  <c r="AC197" i="10"/>
  <c r="AJ194" i="10"/>
  <c r="S193" i="10"/>
  <c r="AQ193" i="10"/>
  <c r="AK196" i="10"/>
  <c r="AG196" i="10"/>
  <c r="AM195" i="10"/>
  <c r="AI195" i="10"/>
  <c r="M37" i="10" s="1"/>
  <c r="N37" i="10" s="1"/>
  <c r="D37" i="10" s="1"/>
  <c r="J37" i="10"/>
  <c r="AM196" i="10" l="1"/>
  <c r="AI196" i="10"/>
  <c r="AQ194" i="10"/>
  <c r="S194" i="10"/>
  <c r="AJ195" i="10"/>
  <c r="P37" i="10"/>
  <c r="K37" i="10"/>
  <c r="AC198" i="10"/>
  <c r="AD198" i="10"/>
  <c r="AF198" i="10" s="1"/>
  <c r="AG197" i="10"/>
  <c r="AK197" i="10"/>
  <c r="AC199" i="10" l="1"/>
  <c r="AD199" i="10"/>
  <c r="AF199" i="10" s="1"/>
  <c r="S195" i="10"/>
  <c r="AQ195" i="10"/>
  <c r="AJ196" i="10"/>
  <c r="AM197" i="10"/>
  <c r="AI197" i="10"/>
  <c r="AG198" i="10"/>
  <c r="AK198" i="10"/>
  <c r="AI198" i="10" l="1"/>
  <c r="AM198" i="10"/>
  <c r="S196" i="10"/>
  <c r="AJ197" i="10"/>
  <c r="AQ196" i="10"/>
  <c r="AK199" i="10"/>
  <c r="AG199" i="10"/>
  <c r="AD200" i="10"/>
  <c r="AF200" i="10" s="1"/>
  <c r="AC200" i="10"/>
  <c r="AI199" i="10" l="1"/>
  <c r="AM199" i="10"/>
  <c r="AK200" i="10"/>
  <c r="AG200" i="10"/>
  <c r="S197" i="10"/>
  <c r="AJ198" i="10"/>
  <c r="AQ197" i="10"/>
  <c r="AC201" i="10"/>
  <c r="AD201" i="10"/>
  <c r="AF201" i="10" s="1"/>
  <c r="AQ198" i="10" l="1"/>
  <c r="AJ199" i="10"/>
  <c r="S198" i="10"/>
  <c r="AM200" i="10"/>
  <c r="AI200" i="10"/>
  <c r="AC202" i="10"/>
  <c r="AD202" i="10"/>
  <c r="AF202" i="10" s="1"/>
  <c r="AK201" i="10"/>
  <c r="AG201" i="10"/>
  <c r="AD203" i="10" l="1"/>
  <c r="AF203" i="10" s="1"/>
  <c r="AC203" i="10"/>
  <c r="AK202" i="10"/>
  <c r="AG202" i="10"/>
  <c r="AQ199" i="10"/>
  <c r="AJ200" i="10"/>
  <c r="S199" i="10"/>
  <c r="AM201" i="10"/>
  <c r="AI201" i="10"/>
  <c r="S200" i="10" l="1"/>
  <c r="AJ201" i="10"/>
  <c r="AQ200" i="10"/>
  <c r="AM202" i="10"/>
  <c r="AI202" i="10"/>
  <c r="AC204" i="10"/>
  <c r="AD204" i="10"/>
  <c r="AF204" i="10" s="1"/>
  <c r="AK203" i="10"/>
  <c r="AG203" i="10"/>
  <c r="AC205" i="10" l="1"/>
  <c r="AD205" i="10"/>
  <c r="AF205" i="10" s="1"/>
  <c r="AK204" i="10"/>
  <c r="AG204" i="10"/>
  <c r="AQ201" i="10"/>
  <c r="S201" i="10"/>
  <c r="AJ202" i="10"/>
  <c r="AM203" i="10"/>
  <c r="AI203" i="10"/>
  <c r="AI204" i="10" l="1"/>
  <c r="AM204" i="10"/>
  <c r="S202" i="10"/>
  <c r="AQ202" i="10"/>
  <c r="AJ203" i="10"/>
  <c r="AG205" i="10"/>
  <c r="AK205" i="10"/>
  <c r="AC206" i="10"/>
  <c r="AD206" i="10"/>
  <c r="AF206" i="10" s="1"/>
  <c r="AM205" i="10" l="1"/>
  <c r="AI205" i="10"/>
  <c r="AJ204" i="10"/>
  <c r="S203" i="10"/>
  <c r="AQ203" i="10"/>
  <c r="AC207" i="10"/>
  <c r="AD207" i="10"/>
  <c r="AF207" i="10" s="1"/>
  <c r="AK206" i="10"/>
  <c r="AG206" i="10"/>
  <c r="AK207" i="10" l="1"/>
  <c r="AG207" i="10"/>
  <c r="I38" i="10"/>
  <c r="AD208" i="10"/>
  <c r="AF208" i="10" s="1"/>
  <c r="AC208" i="10"/>
  <c r="S204" i="10"/>
  <c r="AQ204" i="10"/>
  <c r="AJ205" i="10"/>
  <c r="AI206" i="10"/>
  <c r="AM206" i="10"/>
  <c r="AG208" i="10" l="1"/>
  <c r="AK208" i="10"/>
  <c r="AJ206" i="10"/>
  <c r="AQ205" i="10"/>
  <c r="S205" i="10"/>
  <c r="AC209" i="10"/>
  <c r="AD209" i="10"/>
  <c r="AF209" i="10" s="1"/>
  <c r="AM207" i="10"/>
  <c r="AI207" i="10"/>
  <c r="M38" i="10" s="1"/>
  <c r="N38" i="10" s="1"/>
  <c r="D38" i="10" s="1"/>
  <c r="J38" i="10"/>
  <c r="AD210" i="10" l="1"/>
  <c r="AF210" i="10" s="1"/>
  <c r="AC210" i="10"/>
  <c r="AK209" i="10"/>
  <c r="AG209" i="10"/>
  <c r="AQ206" i="10"/>
  <c r="AJ207" i="10"/>
  <c r="S206" i="10"/>
  <c r="K38" i="10"/>
  <c r="P38" i="10"/>
  <c r="AM208" i="10"/>
  <c r="AI208" i="10"/>
  <c r="AM209" i="10" l="1"/>
  <c r="AI209" i="10"/>
  <c r="AQ207" i="10"/>
  <c r="AJ208" i="10"/>
  <c r="S207" i="10"/>
  <c r="AC211" i="10"/>
  <c r="AD211" i="10"/>
  <c r="AF211" i="10" s="1"/>
  <c r="AK210" i="10"/>
  <c r="AG210" i="10"/>
  <c r="AC212" i="10" l="1"/>
  <c r="AD212" i="10"/>
  <c r="AF212" i="10" s="1"/>
  <c r="AK211" i="10"/>
  <c r="AG211" i="10"/>
  <c r="S208" i="10"/>
  <c r="AJ209" i="10"/>
  <c r="AQ208" i="10"/>
  <c r="AM210" i="10"/>
  <c r="AI210" i="10"/>
  <c r="AI211" i="10" l="1"/>
  <c r="AM211" i="10"/>
  <c r="AK212" i="10"/>
  <c r="AG212" i="10"/>
  <c r="AQ209" i="10"/>
  <c r="S209" i="10"/>
  <c r="AJ210" i="10"/>
  <c r="AC213" i="10"/>
  <c r="AD213" i="10"/>
  <c r="AF213" i="10" s="1"/>
  <c r="AC214" i="10" l="1"/>
  <c r="AD214" i="10"/>
  <c r="AF214" i="10" s="1"/>
  <c r="AM212" i="10"/>
  <c r="AI212" i="10"/>
  <c r="S210" i="10"/>
  <c r="AJ211" i="10"/>
  <c r="AQ210" i="10"/>
  <c r="AG213" i="10"/>
  <c r="AK213" i="10"/>
  <c r="AI213" i="10" l="1"/>
  <c r="AM213" i="10"/>
  <c r="AQ211" i="10"/>
  <c r="S211" i="10"/>
  <c r="AJ212" i="10"/>
  <c r="AK214" i="10"/>
  <c r="AG214" i="10"/>
  <c r="AC215" i="10"/>
  <c r="AD215" i="10"/>
  <c r="AF215" i="10" s="1"/>
  <c r="AC216" i="10" l="1"/>
  <c r="AD216" i="10"/>
  <c r="AF216" i="10" s="1"/>
  <c r="AI214" i="10"/>
  <c r="AM214" i="10"/>
  <c r="AJ213" i="10"/>
  <c r="AQ212" i="10"/>
  <c r="S212" i="10"/>
  <c r="AG215" i="10"/>
  <c r="AK215" i="10"/>
  <c r="AJ214" i="10" l="1"/>
  <c r="AQ213" i="10"/>
  <c r="S213" i="10"/>
  <c r="AM215" i="10"/>
  <c r="AI215" i="10"/>
  <c r="AK216" i="10"/>
  <c r="AG216" i="10"/>
  <c r="AC217" i="10"/>
  <c r="AD217" i="10"/>
  <c r="AF217" i="10" s="1"/>
  <c r="AM216" i="10" l="1"/>
  <c r="AI216" i="10"/>
  <c r="AC218" i="10"/>
  <c r="AD218" i="10"/>
  <c r="AF218" i="10" s="1"/>
  <c r="AG217" i="10"/>
  <c r="AK217" i="10"/>
  <c r="S214" i="10"/>
  <c r="AJ215" i="10"/>
  <c r="AQ214" i="10"/>
  <c r="AC219" i="10" l="1"/>
  <c r="AD219" i="10"/>
  <c r="AF219" i="10" s="1"/>
  <c r="AQ215" i="10"/>
  <c r="S215" i="10"/>
  <c r="AJ216" i="10"/>
  <c r="AI217" i="10"/>
  <c r="AM217" i="10"/>
  <c r="AK218" i="10"/>
  <c r="AG218" i="10"/>
  <c r="AQ216" i="10" l="1"/>
  <c r="S216" i="10"/>
  <c r="AJ217" i="10"/>
  <c r="AG219" i="10"/>
  <c r="AK219" i="10"/>
  <c r="AI218" i="10"/>
  <c r="AM218" i="10"/>
  <c r="AC220" i="10"/>
  <c r="AD220" i="10"/>
  <c r="AF220" i="10" s="1"/>
  <c r="I39" i="10"/>
  <c r="AC221" i="10" l="1"/>
  <c r="AD221" i="10"/>
  <c r="AF221" i="10" s="1"/>
  <c r="AI219" i="10"/>
  <c r="M39" i="10" s="1"/>
  <c r="N39" i="10" s="1"/>
  <c r="D39" i="10" s="1"/>
  <c r="AM219" i="10"/>
  <c r="AQ217" i="10"/>
  <c r="AJ218" i="10"/>
  <c r="S217" i="10"/>
  <c r="J39" i="10"/>
  <c r="AK220" i="10"/>
  <c r="AG220" i="10"/>
  <c r="P39" i="10" l="1"/>
  <c r="K39" i="10"/>
  <c r="AK221" i="10"/>
  <c r="AG221" i="10"/>
  <c r="AQ218" i="10"/>
  <c r="AJ219" i="10"/>
  <c r="S218" i="10"/>
  <c r="AM220" i="10"/>
  <c r="AI220" i="10"/>
  <c r="AC222" i="10"/>
  <c r="AD222" i="10"/>
  <c r="AF222" i="10" s="1"/>
  <c r="AQ219" i="10" l="1"/>
  <c r="AJ220" i="10"/>
  <c r="S219" i="10"/>
  <c r="AI221" i="10"/>
  <c r="AM221" i="10"/>
  <c r="AC223" i="10"/>
  <c r="AD223" i="10"/>
  <c r="AF223" i="10" s="1"/>
  <c r="AK222" i="10"/>
  <c r="AG222" i="10"/>
  <c r="AD224" i="10" l="1"/>
  <c r="AF224" i="10" s="1"/>
  <c r="AC224" i="10"/>
  <c r="AK223" i="10"/>
  <c r="AG223" i="10"/>
  <c r="AJ221" i="10"/>
  <c r="AQ220" i="10"/>
  <c r="S220" i="10"/>
  <c r="AI222" i="10"/>
  <c r="AM222" i="10"/>
  <c r="AM223" i="10" l="1"/>
  <c r="AI223" i="10"/>
  <c r="AQ221" i="10"/>
  <c r="S221" i="10"/>
  <c r="AJ222" i="10"/>
  <c r="AC225" i="10"/>
  <c r="AD225" i="10"/>
  <c r="AF225" i="10" s="1"/>
  <c r="AK224" i="10"/>
  <c r="AG224" i="10"/>
  <c r="AK225" i="10" l="1"/>
  <c r="AG225" i="10"/>
  <c r="S222" i="10"/>
  <c r="AQ222" i="10"/>
  <c r="AJ223" i="10"/>
  <c r="AC226" i="10"/>
  <c r="AD226" i="10"/>
  <c r="AF226" i="10" s="1"/>
  <c r="AI224" i="10"/>
  <c r="AM224" i="10"/>
  <c r="AD227" i="10" l="1"/>
  <c r="AF227" i="10" s="1"/>
  <c r="AC227" i="10"/>
  <c r="AK226" i="10"/>
  <c r="AG226" i="10"/>
  <c r="AQ223" i="10"/>
  <c r="AJ224" i="10"/>
  <c r="S223" i="10"/>
  <c r="AI225" i="10"/>
  <c r="AM225" i="10"/>
  <c r="AM226" i="10" l="1"/>
  <c r="AI226" i="10"/>
  <c r="AQ224" i="10"/>
  <c r="S224" i="10"/>
  <c r="AJ225" i="10"/>
  <c r="AC228" i="10"/>
  <c r="AD228" i="10"/>
  <c r="AF228" i="10" s="1"/>
  <c r="AG227" i="10"/>
  <c r="AK227" i="10"/>
  <c r="AI227" i="10" l="1"/>
  <c r="AM227" i="10"/>
  <c r="AK228" i="10"/>
  <c r="AG228" i="10"/>
  <c r="S225" i="10"/>
  <c r="AJ226" i="10"/>
  <c r="AQ225" i="10"/>
  <c r="AC229" i="10"/>
  <c r="AD229" i="10"/>
  <c r="AF229" i="10" s="1"/>
  <c r="AC230" i="10" l="1"/>
  <c r="AD230" i="10"/>
  <c r="AF230" i="10" s="1"/>
  <c r="AM228" i="10"/>
  <c r="AI228" i="10"/>
  <c r="S226" i="10"/>
  <c r="AJ227" i="10"/>
  <c r="AQ226" i="10"/>
  <c r="AG229" i="10"/>
  <c r="AK229" i="10"/>
  <c r="AI229" i="10" l="1"/>
  <c r="AM229" i="10"/>
  <c r="AJ228" i="10"/>
  <c r="S227" i="10"/>
  <c r="AQ227" i="10"/>
  <c r="AK230" i="10"/>
  <c r="AG230" i="10"/>
  <c r="AC231" i="10"/>
  <c r="AD231" i="10"/>
  <c r="AF231" i="10" s="1"/>
  <c r="AJ229" i="10" l="1"/>
  <c r="S228" i="10"/>
  <c r="AQ228" i="10"/>
  <c r="AI230" i="10"/>
  <c r="AM230" i="10"/>
  <c r="AC232" i="10"/>
  <c r="AD232" i="10"/>
  <c r="AF232" i="10" s="1"/>
  <c r="AK231" i="10"/>
  <c r="I40" i="10"/>
  <c r="AG231" i="10"/>
  <c r="J40" i="10" s="1"/>
  <c r="K40" i="10" s="1"/>
  <c r="AK232" i="10" l="1"/>
  <c r="AG232" i="10"/>
  <c r="P40" i="10"/>
  <c r="AM231" i="10"/>
  <c r="AI231" i="10"/>
  <c r="M40" i="10" s="1"/>
  <c r="N40" i="10" s="1"/>
  <c r="D40" i="10" s="1"/>
  <c r="AC233" i="10"/>
  <c r="AD233" i="10"/>
  <c r="AF233" i="10" s="1"/>
  <c r="AQ229" i="10"/>
  <c r="AJ230" i="10"/>
  <c r="S229" i="10"/>
  <c r="AK233" i="10" l="1"/>
  <c r="AG233" i="10"/>
  <c r="AM232" i="10"/>
  <c r="AI232" i="10"/>
  <c r="AD234" i="10"/>
  <c r="AF234" i="10" s="1"/>
  <c r="AC234" i="10"/>
  <c r="AJ231" i="10"/>
  <c r="S230" i="10"/>
  <c r="AQ230" i="10"/>
  <c r="AK234" i="10" l="1"/>
  <c r="AG234" i="10"/>
  <c r="AQ231" i="10"/>
  <c r="AJ232" i="10"/>
  <c r="S231" i="10"/>
  <c r="AI233" i="10"/>
  <c r="AM233" i="10"/>
  <c r="AC235" i="10"/>
  <c r="AD235" i="10"/>
  <c r="AF235" i="10" s="1"/>
  <c r="S232" i="10" l="1"/>
  <c r="AJ233" i="10"/>
  <c r="AQ232" i="10"/>
  <c r="AC236" i="10"/>
  <c r="AD236" i="10"/>
  <c r="AF236" i="10" s="1"/>
  <c r="AI234" i="10"/>
  <c r="AM234" i="10"/>
  <c r="AK235" i="10"/>
  <c r="AG235" i="10"/>
  <c r="AK236" i="10" l="1"/>
  <c r="AG236" i="10"/>
  <c r="AC237" i="10"/>
  <c r="AD237" i="10"/>
  <c r="AF237" i="10" s="1"/>
  <c r="S233" i="10"/>
  <c r="AQ233" i="10"/>
  <c r="AJ234" i="10"/>
  <c r="AM235" i="10"/>
  <c r="AI235" i="10"/>
  <c r="AQ234" i="10" l="1"/>
  <c r="AJ235" i="10"/>
  <c r="S234" i="10"/>
  <c r="AC238" i="10"/>
  <c r="AD238" i="10"/>
  <c r="AF238" i="10" s="1"/>
  <c r="AK237" i="10"/>
  <c r="AG237" i="10"/>
  <c r="AI236" i="10"/>
  <c r="AM236" i="10"/>
  <c r="AM237" i="10" l="1"/>
  <c r="AI237" i="10"/>
  <c r="AC239" i="10"/>
  <c r="AD239" i="10"/>
  <c r="AF239" i="10" s="1"/>
  <c r="AQ235" i="10"/>
  <c r="AJ236" i="10"/>
  <c r="S235" i="10"/>
  <c r="AG238" i="10"/>
  <c r="AK238" i="10"/>
  <c r="AM238" i="10" l="1"/>
  <c r="AI238" i="10"/>
  <c r="S236" i="10"/>
  <c r="AJ237" i="10"/>
  <c r="AQ236" i="10"/>
  <c r="AC240" i="10"/>
  <c r="AD240" i="10"/>
  <c r="AF240" i="10" s="1"/>
  <c r="AK239" i="10"/>
  <c r="AG239" i="10"/>
  <c r="AC241" i="10" l="1"/>
  <c r="AD241" i="10"/>
  <c r="AF241" i="10" s="1"/>
  <c r="AQ237" i="10"/>
  <c r="AJ238" i="10"/>
  <c r="S237" i="10"/>
  <c r="AK240" i="10"/>
  <c r="AG240" i="10"/>
  <c r="AM239" i="10"/>
  <c r="AI239" i="10"/>
  <c r="AI240" i="10" l="1"/>
  <c r="AM240" i="10"/>
  <c r="AQ238" i="10"/>
  <c r="S238" i="10"/>
  <c r="AJ239" i="10"/>
  <c r="AK241" i="10"/>
  <c r="AG241" i="10"/>
  <c r="AC242" i="10"/>
  <c r="AD242" i="10"/>
  <c r="AF242" i="10" s="1"/>
  <c r="AC243" i="10" l="1"/>
  <c r="AD243" i="10"/>
  <c r="AF243" i="10" s="1"/>
  <c r="AQ239" i="10"/>
  <c r="AJ240" i="10"/>
  <c r="S239" i="10"/>
  <c r="AM241" i="10"/>
  <c r="AI241" i="10"/>
  <c r="AK242" i="10"/>
  <c r="AG242" i="10"/>
  <c r="S240" i="10" l="1"/>
  <c r="AQ240" i="10"/>
  <c r="AJ241" i="10"/>
  <c r="AK243" i="10"/>
  <c r="I41" i="10"/>
  <c r="AG243" i="10"/>
  <c r="AM242" i="10"/>
  <c r="AI242" i="10"/>
  <c r="AD244" i="10"/>
  <c r="AF244" i="10" s="1"/>
  <c r="AC244" i="10"/>
  <c r="J41" i="10" l="1"/>
  <c r="AI243" i="10"/>
  <c r="M41" i="10" s="1"/>
  <c r="N41" i="10" s="1"/>
  <c r="D41" i="10" s="1"/>
  <c r="AM243" i="10"/>
  <c r="AQ241" i="10"/>
  <c r="AJ242" i="10"/>
  <c r="S241" i="10"/>
  <c r="AC245" i="10"/>
  <c r="AD245" i="10"/>
  <c r="AF245" i="10" s="1"/>
  <c r="AK244" i="10"/>
  <c r="AG244" i="10"/>
  <c r="AC246" i="10" l="1"/>
  <c r="AD246" i="10"/>
  <c r="AF246" i="10" s="1"/>
  <c r="AG245" i="10"/>
  <c r="AK245" i="10"/>
  <c r="AQ242" i="10"/>
  <c r="S242" i="10"/>
  <c r="AJ243" i="10"/>
  <c r="AM244" i="10"/>
  <c r="AI244" i="10"/>
  <c r="K41" i="10"/>
  <c r="P41" i="10"/>
  <c r="AI245" i="10" l="1"/>
  <c r="AM245" i="10"/>
  <c r="AK246" i="10"/>
  <c r="AG246" i="10"/>
  <c r="AQ243" i="10"/>
  <c r="AJ244" i="10"/>
  <c r="S243" i="10"/>
  <c r="AC247" i="10"/>
  <c r="AD247" i="10"/>
  <c r="AF247" i="10" s="1"/>
  <c r="AI246" i="10" l="1"/>
  <c r="AM246" i="10"/>
  <c r="AC248" i="10"/>
  <c r="AD248" i="10"/>
  <c r="AF248" i="10" s="1"/>
  <c r="AQ244" i="10"/>
  <c r="AJ245" i="10"/>
  <c r="S244" i="10"/>
  <c r="AK247" i="10"/>
  <c r="AG247" i="10"/>
  <c r="AQ245" i="10" l="1"/>
  <c r="S245" i="10"/>
  <c r="AJ246" i="10"/>
  <c r="AC249" i="10"/>
  <c r="AD249" i="10"/>
  <c r="AF249" i="10" s="1"/>
  <c r="AG248" i="10"/>
  <c r="AK248" i="10"/>
  <c r="AM247" i="10"/>
  <c r="AI247" i="10"/>
  <c r="AG249" i="10" l="1"/>
  <c r="AK249" i="10"/>
  <c r="S246" i="10"/>
  <c r="AJ247" i="10"/>
  <c r="AQ246" i="10"/>
  <c r="AM248" i="10"/>
  <c r="AI248" i="10"/>
  <c r="AC250" i="10"/>
  <c r="AD250" i="10"/>
  <c r="AF250" i="10" s="1"/>
  <c r="AQ247" i="10" l="1"/>
  <c r="S247" i="10"/>
  <c r="AJ248" i="10"/>
  <c r="AC251" i="10"/>
  <c r="AD251" i="10"/>
  <c r="AF251" i="10" s="1"/>
  <c r="AK250" i="10"/>
  <c r="AG250" i="10"/>
  <c r="AM249" i="10"/>
  <c r="AI249" i="10"/>
  <c r="AK251" i="10" l="1"/>
  <c r="AG251" i="10"/>
  <c r="AQ248" i="10"/>
  <c r="AJ249" i="10"/>
  <c r="S248" i="10"/>
  <c r="AI250" i="10"/>
  <c r="AM250" i="10"/>
  <c r="AC252" i="10"/>
  <c r="AD252" i="10"/>
  <c r="AF252" i="10" s="1"/>
  <c r="AD253" i="10" l="1"/>
  <c r="AF253" i="10" s="1"/>
  <c r="AC253" i="10"/>
  <c r="S249" i="10"/>
  <c r="AJ250" i="10"/>
  <c r="AQ249" i="10"/>
  <c r="AM251" i="10"/>
  <c r="AI251" i="10"/>
  <c r="AK252" i="10"/>
  <c r="AG252" i="10"/>
  <c r="AQ250" i="10" l="1"/>
  <c r="AJ251" i="10"/>
  <c r="S250" i="10"/>
  <c r="AC254" i="10"/>
  <c r="AD254" i="10"/>
  <c r="AF254" i="10" s="1"/>
  <c r="AM252" i="10"/>
  <c r="AI252" i="10"/>
  <c r="AK253" i="10"/>
  <c r="AG253" i="10"/>
  <c r="AK254" i="10" l="1"/>
  <c r="AG254" i="10"/>
  <c r="AQ251" i="10"/>
  <c r="S251" i="10"/>
  <c r="AJ252" i="10"/>
  <c r="AC255" i="10"/>
  <c r="AD255" i="10"/>
  <c r="AF255" i="10" s="1"/>
  <c r="AI253" i="10"/>
  <c r="AM253" i="10"/>
  <c r="AG255" i="10" l="1"/>
  <c r="AK255" i="10"/>
  <c r="S252" i="10"/>
  <c r="AJ253" i="10"/>
  <c r="AQ252" i="10"/>
  <c r="AI254" i="10"/>
  <c r="AM254" i="10"/>
  <c r="AC256" i="10"/>
  <c r="AD256" i="10"/>
  <c r="AF256" i="10" s="1"/>
  <c r="I42" i="10"/>
  <c r="AC257" i="10" l="1"/>
  <c r="AD257" i="10"/>
  <c r="AF257" i="10" s="1"/>
  <c r="S253" i="10"/>
  <c r="AJ254" i="10"/>
  <c r="AQ253" i="10"/>
  <c r="AG256" i="10"/>
  <c r="AK256" i="10"/>
  <c r="AM255" i="10"/>
  <c r="AI255" i="10"/>
  <c r="M42" i="10" s="1"/>
  <c r="N42" i="10" s="1"/>
  <c r="D42" i="10" s="1"/>
  <c r="J42" i="10"/>
  <c r="AM256" i="10" l="1"/>
  <c r="AI256" i="10"/>
  <c r="S254" i="10"/>
  <c r="AQ254" i="10"/>
  <c r="AJ255" i="10"/>
  <c r="K42" i="10"/>
  <c r="P42" i="10"/>
  <c r="AK257" i="10"/>
  <c r="AG257" i="10"/>
  <c r="AC258" i="10"/>
  <c r="AD258" i="10"/>
  <c r="AF258" i="10" s="1"/>
  <c r="AQ255" i="10" l="1"/>
  <c r="AJ256" i="10"/>
  <c r="S255" i="10"/>
  <c r="AC259" i="10"/>
  <c r="AD259" i="10"/>
  <c r="AF259" i="10" s="1"/>
  <c r="AG258" i="10"/>
  <c r="AK258" i="10"/>
  <c r="AI257" i="10"/>
  <c r="AM257" i="10"/>
  <c r="AM258" i="10" l="1"/>
  <c r="AI258" i="10"/>
  <c r="AC260" i="10"/>
  <c r="AD260" i="10"/>
  <c r="AF260" i="10" s="1"/>
  <c r="AQ256" i="10"/>
  <c r="AJ257" i="10"/>
  <c r="S256" i="10"/>
  <c r="AG259" i="10"/>
  <c r="AK259" i="10"/>
  <c r="AQ257" i="10" l="1"/>
  <c r="S257" i="10"/>
  <c r="AJ258" i="10"/>
  <c r="AC261" i="10"/>
  <c r="AD261" i="10"/>
  <c r="AF261" i="10" s="1"/>
  <c r="AG260" i="10"/>
  <c r="AK260" i="10"/>
  <c r="AM259" i="10"/>
  <c r="AI259" i="10"/>
  <c r="AM260" i="10" l="1"/>
  <c r="AI260" i="10"/>
  <c r="AK261" i="10"/>
  <c r="AG261" i="10"/>
  <c r="AQ258" i="10"/>
  <c r="AJ259" i="10"/>
  <c r="S258" i="10"/>
  <c r="AC262" i="10"/>
  <c r="AD262" i="10"/>
  <c r="AF262" i="10" s="1"/>
  <c r="AC263" i="10" l="1"/>
  <c r="AD263" i="10"/>
  <c r="AF263" i="10" s="1"/>
  <c r="S259" i="10"/>
  <c r="AJ260" i="10"/>
  <c r="AQ259" i="10"/>
  <c r="AI261" i="10"/>
  <c r="AM261" i="10"/>
  <c r="AK262" i="10"/>
  <c r="AG262" i="10"/>
  <c r="AQ260" i="10" l="1"/>
  <c r="AJ261" i="10"/>
  <c r="S260" i="10"/>
  <c r="AK263" i="10"/>
  <c r="AG263" i="10"/>
  <c r="AM262" i="10"/>
  <c r="AI262" i="10"/>
  <c r="AC264" i="10"/>
  <c r="AD264" i="10"/>
  <c r="AF264" i="10" s="1"/>
  <c r="AC265" i="10" l="1"/>
  <c r="AD265" i="10"/>
  <c r="AF265" i="10" s="1"/>
  <c r="AI263" i="10"/>
  <c r="AM263" i="10"/>
  <c r="AQ261" i="10"/>
  <c r="AJ262" i="10"/>
  <c r="S261" i="10"/>
  <c r="AK264" i="10"/>
  <c r="AG264" i="10"/>
  <c r="AJ263" i="10" l="1"/>
  <c r="S262" i="10"/>
  <c r="AQ262" i="10"/>
  <c r="AK265" i="10"/>
  <c r="AG265" i="10"/>
  <c r="AM264" i="10"/>
  <c r="AI264" i="10"/>
  <c r="AC266" i="10"/>
  <c r="AD266" i="10"/>
  <c r="AF266" i="10" s="1"/>
  <c r="AC267" i="10" l="1"/>
  <c r="AD267" i="10"/>
  <c r="AF267" i="10" s="1"/>
  <c r="AM265" i="10"/>
  <c r="AI265" i="10"/>
  <c r="AK266" i="10"/>
  <c r="AG266" i="10"/>
  <c r="S263" i="10"/>
  <c r="AJ264" i="10"/>
  <c r="AQ263" i="10"/>
  <c r="S264" i="10" l="1"/>
  <c r="AJ265" i="10"/>
  <c r="AQ264" i="10"/>
  <c r="I43" i="10"/>
  <c r="AG267" i="10"/>
  <c r="AK267" i="10"/>
  <c r="AM266" i="10"/>
  <c r="AI266" i="10"/>
  <c r="AC268" i="10"/>
  <c r="AD268" i="10"/>
  <c r="AF268" i="10" s="1"/>
  <c r="AM267" i="10" l="1"/>
  <c r="AI267" i="10"/>
  <c r="M43" i="10" s="1"/>
  <c r="N43" i="10" s="1"/>
  <c r="D43" i="10" s="1"/>
  <c r="AG268" i="10"/>
  <c r="AK268" i="10"/>
  <c r="AQ265" i="10"/>
  <c r="AJ266" i="10"/>
  <c r="S265" i="10"/>
  <c r="AC269" i="10"/>
  <c r="AD269" i="10"/>
  <c r="AF269" i="10" s="1"/>
  <c r="J43" i="10"/>
  <c r="AC270" i="10" l="1"/>
  <c r="AD270" i="10"/>
  <c r="AF270" i="10" s="1"/>
  <c r="AJ267" i="10"/>
  <c r="S266" i="10"/>
  <c r="AQ266" i="10"/>
  <c r="AM268" i="10"/>
  <c r="AI268" i="10"/>
  <c r="P43" i="10"/>
  <c r="K43" i="10"/>
  <c r="AK269" i="10"/>
  <c r="AG269" i="10"/>
  <c r="AI269" i="10" l="1"/>
  <c r="AM269" i="10"/>
  <c r="AQ267" i="10"/>
  <c r="AJ268" i="10"/>
  <c r="S267" i="10"/>
  <c r="AK270" i="10"/>
  <c r="AG270" i="10"/>
  <c r="AC271" i="10"/>
  <c r="AD271" i="10"/>
  <c r="AF271" i="10" s="1"/>
  <c r="AD272" i="10" l="1"/>
  <c r="AF272" i="10" s="1"/>
  <c r="AC272" i="10"/>
  <c r="AM270" i="10"/>
  <c r="AI270" i="10"/>
  <c r="AQ268" i="10"/>
  <c r="AJ269" i="10"/>
  <c r="S268" i="10"/>
  <c r="AG271" i="10"/>
  <c r="AK271" i="10"/>
  <c r="AI271" i="10" l="1"/>
  <c r="AM271" i="10"/>
  <c r="AC273" i="10"/>
  <c r="AD273" i="10"/>
  <c r="AF273" i="10" s="1"/>
  <c r="AQ269" i="10"/>
  <c r="AJ270" i="10"/>
  <c r="S269" i="10"/>
  <c r="AK272" i="10"/>
  <c r="AG272" i="10"/>
  <c r="AC274" i="10" l="1"/>
  <c r="AD274" i="10"/>
  <c r="AF274" i="10" s="1"/>
  <c r="AG273" i="10"/>
  <c r="AK273" i="10"/>
  <c r="AJ271" i="10"/>
  <c r="AQ270" i="10"/>
  <c r="S270" i="10"/>
  <c r="AM272" i="10"/>
  <c r="AI272" i="10"/>
  <c r="AQ271" i="10" l="1"/>
  <c r="S271" i="10"/>
  <c r="AJ272" i="10"/>
  <c r="AM273" i="10"/>
  <c r="AI273" i="10"/>
  <c r="AK274" i="10"/>
  <c r="AG274" i="10"/>
  <c r="AD275" i="10"/>
  <c r="AF275" i="10" s="1"/>
  <c r="AC275" i="10"/>
  <c r="AI274" i="10" l="1"/>
  <c r="AM274" i="10"/>
  <c r="S272" i="10"/>
  <c r="AJ273" i="10"/>
  <c r="AQ272" i="10"/>
  <c r="AK275" i="10"/>
  <c r="AG275" i="10"/>
  <c r="AC276" i="10"/>
  <c r="AD276" i="10"/>
  <c r="AF276" i="10" s="1"/>
  <c r="AM275" i="10" l="1"/>
  <c r="AI275" i="10"/>
  <c r="AQ273" i="10"/>
  <c r="AJ274" i="10"/>
  <c r="S273" i="10"/>
  <c r="AC277" i="10"/>
  <c r="AD277" i="10"/>
  <c r="AF277" i="10" s="1"/>
  <c r="AK276" i="10"/>
  <c r="AG276" i="10"/>
  <c r="AK277" i="10" l="1"/>
  <c r="AG277" i="10"/>
  <c r="AC278" i="10"/>
  <c r="AD278" i="10"/>
  <c r="AF278" i="10" s="1"/>
  <c r="S274" i="10"/>
  <c r="AQ274" i="10"/>
  <c r="AJ275" i="10"/>
  <c r="AI276" i="10"/>
  <c r="AM276" i="10"/>
  <c r="AQ275" i="10" l="1"/>
  <c r="S275" i="10"/>
  <c r="AJ276" i="10"/>
  <c r="AC279" i="10"/>
  <c r="AD279" i="10"/>
  <c r="AF279" i="10" s="1"/>
  <c r="AK278" i="10"/>
  <c r="AG278" i="10"/>
  <c r="AM277" i="10"/>
  <c r="AI277" i="10"/>
  <c r="AM278" i="10" l="1"/>
  <c r="AI278" i="10"/>
  <c r="AK279" i="10"/>
  <c r="I44" i="10"/>
  <c r="AG279" i="10"/>
  <c r="J44" i="10" s="1"/>
  <c r="P44" i="10" s="1"/>
  <c r="AJ277" i="10"/>
  <c r="AQ276" i="10"/>
  <c r="S276" i="10"/>
  <c r="AD280" i="10"/>
  <c r="AF280" i="10" s="1"/>
  <c r="AC280" i="10"/>
  <c r="AM279" i="10" l="1"/>
  <c r="AI279" i="10"/>
  <c r="M44" i="10" s="1"/>
  <c r="N44" i="10" s="1"/>
  <c r="D44" i="10" s="1"/>
  <c r="K44" i="10"/>
  <c r="AC281" i="10"/>
  <c r="AD281" i="10"/>
  <c r="AF281" i="10" s="1"/>
  <c r="AG280" i="10"/>
  <c r="AK280" i="10"/>
  <c r="AQ277" i="10"/>
  <c r="S277" i="10"/>
  <c r="AJ278" i="10"/>
  <c r="AD282" i="10" l="1"/>
  <c r="AF282" i="10" s="1"/>
  <c r="AC282" i="10"/>
  <c r="AG281" i="10"/>
  <c r="AK281" i="10"/>
  <c r="AM280" i="10"/>
  <c r="AI280" i="10"/>
  <c r="S278" i="10"/>
  <c r="AJ279" i="10"/>
  <c r="AQ278" i="10"/>
  <c r="AM281" i="10" l="1"/>
  <c r="AI281" i="10"/>
  <c r="AJ280" i="10"/>
  <c r="AQ279" i="10"/>
  <c r="S279" i="10"/>
  <c r="AD283" i="10"/>
  <c r="AF283" i="10" s="1"/>
  <c r="AC283" i="10"/>
  <c r="AG282" i="10"/>
  <c r="AK282" i="10"/>
  <c r="AI282" i="10" l="1"/>
  <c r="AM282" i="10"/>
  <c r="AQ280" i="10"/>
  <c r="AJ281" i="10"/>
  <c r="S280" i="10"/>
  <c r="AK283" i="10"/>
  <c r="AG283" i="10"/>
  <c r="AC284" i="10"/>
  <c r="AD284" i="10"/>
  <c r="AF284" i="10" s="1"/>
  <c r="AC285" i="10" l="1"/>
  <c r="AD285" i="10"/>
  <c r="AF285" i="10" s="1"/>
  <c r="AM283" i="10"/>
  <c r="AI283" i="10"/>
  <c r="S281" i="10"/>
  <c r="AJ282" i="10"/>
  <c r="AQ281" i="10"/>
  <c r="AK284" i="10"/>
  <c r="AG284" i="10"/>
  <c r="AQ282" i="10" l="1"/>
  <c r="AJ283" i="10"/>
  <c r="S282" i="10"/>
  <c r="AK285" i="10"/>
  <c r="AG285" i="10"/>
  <c r="AM284" i="10"/>
  <c r="AI284" i="10"/>
  <c r="AC286" i="10"/>
  <c r="AD286" i="10"/>
  <c r="AF286" i="10" s="1"/>
  <c r="AM285" i="10" l="1"/>
  <c r="AI285" i="10"/>
  <c r="AD287" i="10"/>
  <c r="AF287" i="10" s="1"/>
  <c r="AC287" i="10"/>
  <c r="AJ284" i="10"/>
  <c r="AQ283" i="10"/>
  <c r="S283" i="10"/>
  <c r="AK286" i="10"/>
  <c r="AG286" i="10"/>
  <c r="AK287" i="10" l="1"/>
  <c r="AG287" i="10"/>
  <c r="AD288" i="10"/>
  <c r="AF288" i="10" s="1"/>
  <c r="AC288" i="10"/>
  <c r="AQ284" i="10"/>
  <c r="AJ285" i="10"/>
  <c r="S284" i="10"/>
  <c r="AM286" i="10"/>
  <c r="AI286" i="10"/>
  <c r="AJ286" i="10" l="1"/>
  <c r="S285" i="10"/>
  <c r="AQ285" i="10"/>
  <c r="AK288" i="10"/>
  <c r="AG288" i="10"/>
  <c r="AD289" i="10"/>
  <c r="AF289" i="10" s="1"/>
  <c r="AC289" i="10"/>
  <c r="AM287" i="10"/>
  <c r="AI287" i="10"/>
  <c r="AG289" i="10" l="1"/>
  <c r="AK289" i="10"/>
  <c r="AC290" i="10"/>
  <c r="AD290" i="10"/>
  <c r="AF290" i="10" s="1"/>
  <c r="AI288" i="10"/>
  <c r="AM288" i="10"/>
  <c r="AQ286" i="10"/>
  <c r="AJ287" i="10"/>
  <c r="S286" i="10"/>
  <c r="AK290" i="10" l="1"/>
  <c r="AG290" i="10"/>
  <c r="AC291" i="10"/>
  <c r="AD291" i="10"/>
  <c r="AF291" i="10" s="1"/>
  <c r="AJ288" i="10"/>
  <c r="S287" i="10"/>
  <c r="AQ287" i="10"/>
  <c r="AM289" i="10"/>
  <c r="AI289" i="10"/>
  <c r="S288" i="10" l="1"/>
  <c r="AJ289" i="10"/>
  <c r="AQ288" i="10"/>
  <c r="AK291" i="10"/>
  <c r="AG291" i="10"/>
  <c r="I45" i="10"/>
  <c r="AC292" i="10"/>
  <c r="AD292" i="10"/>
  <c r="AF292" i="10" s="1"/>
  <c r="AI290" i="10"/>
  <c r="AM290" i="10"/>
  <c r="AK292" i="10" l="1"/>
  <c r="AG292" i="10"/>
  <c r="AI291" i="10"/>
  <c r="M45" i="10" s="1"/>
  <c r="N45" i="10" s="1"/>
  <c r="D45" i="10" s="1"/>
  <c r="J45" i="10"/>
  <c r="AM291" i="10"/>
  <c r="AQ289" i="10"/>
  <c r="S289" i="10"/>
  <c r="AJ290" i="10"/>
  <c r="AC293" i="10"/>
  <c r="AD293" i="10"/>
  <c r="AF293" i="10" s="1"/>
  <c r="AQ290" i="10" l="1"/>
  <c r="S290" i="10"/>
  <c r="AJ291" i="10"/>
  <c r="P45" i="10"/>
  <c r="K45" i="10"/>
  <c r="AG293" i="10"/>
  <c r="AK293" i="10"/>
  <c r="AM292" i="10"/>
  <c r="AI292" i="10"/>
  <c r="AC294" i="10"/>
  <c r="AD294" i="10"/>
  <c r="AF294" i="10" s="1"/>
  <c r="AK294" i="10" l="1"/>
  <c r="AG294" i="10"/>
  <c r="S291" i="10"/>
  <c r="AQ291" i="10"/>
  <c r="AJ292" i="10"/>
  <c r="AM293" i="10"/>
  <c r="AI293" i="10"/>
  <c r="AC295" i="10"/>
  <c r="AD295" i="10"/>
  <c r="AF295" i="10" s="1"/>
  <c r="AC296" i="10" l="1"/>
  <c r="AD296" i="10"/>
  <c r="AF296" i="10" s="1"/>
  <c r="AI294" i="10"/>
  <c r="AM294" i="10"/>
  <c r="S292" i="10"/>
  <c r="AJ293" i="10"/>
  <c r="AQ292" i="10"/>
  <c r="AK295" i="10"/>
  <c r="AG295" i="10"/>
  <c r="AK296" i="10" l="1"/>
  <c r="AG296" i="10"/>
  <c r="AQ293" i="10"/>
  <c r="S293" i="10"/>
  <c r="AJ294" i="10"/>
  <c r="AM295" i="10"/>
  <c r="AI295" i="10"/>
  <c r="AC297" i="10"/>
  <c r="AD297" i="10"/>
  <c r="AF297" i="10" s="1"/>
  <c r="AC298" i="10" l="1"/>
  <c r="AD298" i="10"/>
  <c r="AF298" i="10" s="1"/>
  <c r="AQ294" i="10"/>
  <c r="AJ295" i="10"/>
  <c r="S294" i="10"/>
  <c r="AI296" i="10"/>
  <c r="AM296" i="10"/>
  <c r="AK297" i="10"/>
  <c r="AG297" i="10"/>
  <c r="S295" i="10" l="1"/>
  <c r="AJ296" i="10"/>
  <c r="AQ295" i="10"/>
  <c r="AK298" i="10"/>
  <c r="AG298" i="10"/>
  <c r="AI297" i="10"/>
  <c r="AM297" i="10"/>
  <c r="AC299" i="10"/>
  <c r="AD299" i="10"/>
  <c r="AF299" i="10" s="1"/>
  <c r="AC300" i="10" l="1"/>
  <c r="AD300" i="10"/>
  <c r="AF300" i="10" s="1"/>
  <c r="AM298" i="10"/>
  <c r="AI298" i="10"/>
  <c r="AJ297" i="10"/>
  <c r="S296" i="10"/>
  <c r="AQ296" i="10"/>
  <c r="AK299" i="10"/>
  <c r="AG299" i="10"/>
  <c r="AQ297" i="10" l="1"/>
  <c r="S297" i="10"/>
  <c r="AJ298" i="10"/>
  <c r="AK300" i="10"/>
  <c r="AG300" i="10"/>
  <c r="AM299" i="10"/>
  <c r="AI299" i="10"/>
  <c r="AC301" i="10"/>
  <c r="AD301" i="10"/>
  <c r="AF301" i="10" s="1"/>
  <c r="AC302" i="10" l="1"/>
  <c r="AD302" i="10"/>
  <c r="AF302" i="10" s="1"/>
  <c r="S298" i="10"/>
  <c r="AJ299" i="10"/>
  <c r="AQ298" i="10"/>
  <c r="AM300" i="10"/>
  <c r="AI300" i="10"/>
  <c r="AK301" i="10"/>
  <c r="AG301" i="10"/>
  <c r="AJ300" i="10" l="1"/>
  <c r="AQ299" i="10"/>
  <c r="S299" i="10"/>
  <c r="AK302" i="10"/>
  <c r="AG302" i="10"/>
  <c r="AM301" i="10"/>
  <c r="AI301" i="10"/>
  <c r="AD303" i="10"/>
  <c r="AF303" i="10" s="1"/>
  <c r="AC303" i="10"/>
  <c r="AK303" i="10" l="1"/>
  <c r="AG303" i="10"/>
  <c r="I46" i="10"/>
  <c r="AI302" i="10"/>
  <c r="AM302" i="10"/>
  <c r="S300" i="10"/>
  <c r="AQ300" i="10"/>
  <c r="AJ301" i="10"/>
  <c r="S301" i="10" l="1"/>
  <c r="AQ301" i="10"/>
  <c r="AJ302" i="10"/>
  <c r="I47" i="10"/>
  <c r="I48" i="10"/>
  <c r="C24" i="10" s="1"/>
  <c r="AI303" i="10"/>
  <c r="M46" i="10" s="1"/>
  <c r="J46" i="10"/>
  <c r="AM303" i="10"/>
  <c r="K46" i="10" l="1"/>
  <c r="K47" i="10" s="1"/>
  <c r="J48" i="10"/>
  <c r="K48" i="10" s="1"/>
  <c r="P46" i="10"/>
  <c r="J47" i="10"/>
  <c r="N46" i="10"/>
  <c r="C19" i="10" s="1"/>
  <c r="C18" i="10"/>
  <c r="C17" i="10"/>
  <c r="AJ303" i="10"/>
  <c r="AQ302" i="10"/>
  <c r="S302" i="10"/>
  <c r="AQ303" i="10" l="1"/>
  <c r="S303" i="10"/>
  <c r="C13" i="10" s="1"/>
  <c r="D46" i="10"/>
  <c r="C20" i="10"/>
  <c r="C12" i="10" l="1"/>
</calcChain>
</file>

<file path=xl/sharedStrings.xml><?xml version="1.0" encoding="utf-8"?>
<sst xmlns="http://schemas.openxmlformats.org/spreadsheetml/2006/main" count="1301" uniqueCount="581">
  <si>
    <t>Total</t>
  </si>
  <si>
    <t>Custo Global do Projeto</t>
  </si>
  <si>
    <t>Característiccas Técnicas</t>
  </si>
  <si>
    <t>Fator de Perdas</t>
  </si>
  <si>
    <t>Premissas e Taxas</t>
  </si>
  <si>
    <t>Degradação do Painéis Ano 1</t>
  </si>
  <si>
    <t>Degradação outros anos</t>
  </si>
  <si>
    <t>Custo de Manutenção / Ano</t>
  </si>
  <si>
    <t>Ano de troca do Inversor</t>
  </si>
  <si>
    <t>Outputs e Resultados</t>
  </si>
  <si>
    <t>Payback Ano</t>
  </si>
  <si>
    <t>Retorno no Primeiro Ano</t>
  </si>
  <si>
    <t>Retorno no Primeiro Ano $</t>
  </si>
  <si>
    <t>Reais por Watt Instalado</t>
  </si>
  <si>
    <t>VPL</t>
  </si>
  <si>
    <t>TIR</t>
  </si>
  <si>
    <t>kWh</t>
  </si>
  <si>
    <t>Potência Nominal do Sistema</t>
  </si>
  <si>
    <t>Monofásica</t>
  </si>
  <si>
    <t>Bifásica</t>
  </si>
  <si>
    <t>Trifásica</t>
  </si>
  <si>
    <t>Disponibilidade</t>
  </si>
  <si>
    <t>Tipo de Ligação</t>
  </si>
  <si>
    <t>Custo de disponibilidade</t>
  </si>
  <si>
    <t>Consumo médio Mensal</t>
  </si>
  <si>
    <t>Energia de Compensação Mensal</t>
  </si>
  <si>
    <t>Energia de Compensação Diária</t>
  </si>
  <si>
    <t>HSP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</si>
  <si>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</si>
  <si>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</si>
  <si>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</si>
  <si>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</si>
  <si>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</si>
  <si>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</si>
  <si>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</si>
  <si>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</si>
  <si>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</si>
  <si>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</si>
  <si>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</si>
  <si>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Jan</t>
  </si>
  <si>
    <t>Média</t>
  </si>
  <si>
    <t>Potencial Solar - Dia</t>
  </si>
  <si>
    <t>Potencial Solar  - Ano</t>
  </si>
  <si>
    <t>Potencia Teórica</t>
  </si>
  <si>
    <t>K</t>
  </si>
  <si>
    <t>HSPk</t>
  </si>
  <si>
    <t>Latitude</t>
  </si>
  <si>
    <t>Normais Climatológicas do Brasil 1961-1990</t>
  </si>
  <si>
    <t>Nome da Estação</t>
  </si>
  <si>
    <t>UF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</si>
  <si>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</si>
  <si>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</si>
  <si>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</si>
  <si>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</si>
  <si>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</si>
  <si>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</si>
  <si>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</si>
  <si>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</si>
  <si>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</si>
  <si>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</si>
  <si>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</si>
  <si>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</si>
  <si>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</t>
  </si>
  <si>
    <t>Cruzeiro do Sul</t>
  </si>
  <si>
    <t>AC</t>
  </si>
  <si>
    <t>Rio Branco</t>
  </si>
  <si>
    <t>Tarauacá</t>
  </si>
  <si>
    <t>Coruripe</t>
  </si>
  <si>
    <t>AL</t>
  </si>
  <si>
    <t>Maceió</t>
  </si>
  <si>
    <t>Barcelos</t>
  </si>
  <si>
    <t>AM</t>
  </si>
  <si>
    <t>Benjamin Constant</t>
  </si>
  <si>
    <t>Carauari</t>
  </si>
  <si>
    <t>Coari</t>
  </si>
  <si>
    <t>Fonte Boa</t>
  </si>
  <si>
    <t>Iauaretê</t>
  </si>
  <si>
    <t>Itacoatiara</t>
  </si>
  <si>
    <t>Lábrea</t>
  </si>
  <si>
    <t>Manaus</t>
  </si>
  <si>
    <t>Manicoré</t>
  </si>
  <si>
    <t>Paricachoeira</t>
  </si>
  <si>
    <t>Parintins</t>
  </si>
  <si>
    <t>Rio Içana</t>
  </si>
  <si>
    <t>S. G. da Cachoeira(Uaupés)</t>
  </si>
  <si>
    <t>Santa Izabel do Rio Negro</t>
  </si>
  <si>
    <t>Taracuá</t>
  </si>
  <si>
    <t>Tefé</t>
  </si>
  <si>
    <t>Cupixi</t>
  </si>
  <si>
    <t>AP</t>
  </si>
  <si>
    <t>-</t>
  </si>
  <si>
    <t>Macapá</t>
  </si>
  <si>
    <t>Porto Platon</t>
  </si>
  <si>
    <t>Alagoinhas</t>
  </si>
  <si>
    <t>BA</t>
  </si>
  <si>
    <t>Barreiras</t>
  </si>
  <si>
    <t>Bom Jesus da Lapa</t>
  </si>
  <si>
    <t>Caetité</t>
  </si>
  <si>
    <t>Caravelas</t>
  </si>
  <si>
    <t>Cipó</t>
  </si>
  <si>
    <t>Ilhéus</t>
  </si>
  <si>
    <t>Itaberaba</t>
  </si>
  <si>
    <t>Itiruçu (Jaguaquara)</t>
  </si>
  <si>
    <t>Jacobina</t>
  </si>
  <si>
    <t>Lençóis</t>
  </si>
  <si>
    <t>Monte Santo</t>
  </si>
  <si>
    <t>Morro do Chapéu</t>
  </si>
  <si>
    <t>Paulo Afonso</t>
  </si>
  <si>
    <t>Remanso</t>
  </si>
  <si>
    <t>Salvador (Ondina)</t>
  </si>
  <si>
    <t>Santa Rita de Cássia (Ibipetuba)</t>
  </si>
  <si>
    <t>São Francisco do Conde</t>
  </si>
  <si>
    <t>Serrinha</t>
  </si>
  <si>
    <t>CE</t>
  </si>
  <si>
    <t>Barbalha</t>
  </si>
  <si>
    <t>Campos Sales</t>
  </si>
  <si>
    <t>Crateús</t>
  </si>
  <si>
    <t>Fortaleza</t>
  </si>
  <si>
    <t>Guaramiranga</t>
  </si>
  <si>
    <t>Iguatu</t>
  </si>
  <si>
    <t>Morada Nova</t>
  </si>
  <si>
    <t>Quixeramobim</t>
  </si>
  <si>
    <t>Sobral</t>
  </si>
  <si>
    <t>Tauá</t>
  </si>
  <si>
    <t>Brasília</t>
  </si>
  <si>
    <t>DF</t>
  </si>
  <si>
    <t>ES</t>
  </si>
  <si>
    <t>Cachoeiro do Itapemirim</t>
  </si>
  <si>
    <t>Linhares</t>
  </si>
  <si>
    <t>Vitória</t>
  </si>
  <si>
    <t>Aragarças</t>
  </si>
  <si>
    <t>GO</t>
  </si>
  <si>
    <t>Catalão</t>
  </si>
  <si>
    <t>Formosa</t>
  </si>
  <si>
    <t>Goiânia</t>
  </si>
  <si>
    <t>Goiás</t>
  </si>
  <si>
    <t>Jataí</t>
  </si>
  <si>
    <t>Mineiros</t>
  </si>
  <si>
    <t>Pirenópolis</t>
  </si>
  <si>
    <t>Rio Verde</t>
  </si>
  <si>
    <t>MA</t>
  </si>
  <si>
    <t>Barra do Corda</t>
  </si>
  <si>
    <t>Carolina</t>
  </si>
  <si>
    <t>Caxias</t>
  </si>
  <si>
    <t>Grajaú</t>
  </si>
  <si>
    <t>Imperatriz</t>
  </si>
  <si>
    <t>São Luís</t>
  </si>
  <si>
    <t>Zé Doca</t>
  </si>
  <si>
    <t>MG</t>
  </si>
  <si>
    <t>Araçuaí</t>
  </si>
  <si>
    <t>Araxá</t>
  </si>
  <si>
    <t>Bambuí</t>
  </si>
  <si>
    <t>Barbacena</t>
  </si>
  <si>
    <t>Belo Horizonte</t>
  </si>
  <si>
    <t>Caldas (P. de Caldas)</t>
  </si>
  <si>
    <t>Cambuquira</t>
  </si>
  <si>
    <t>Capinópolis</t>
  </si>
  <si>
    <t>Caratinga</t>
  </si>
  <si>
    <t>Cataguases</t>
  </si>
  <si>
    <t>Caxambu</t>
  </si>
  <si>
    <t>Conceição do Mato Dentro</t>
  </si>
  <si>
    <t>Coronel Pacheco</t>
  </si>
  <si>
    <t>Curvelo</t>
  </si>
  <si>
    <t>Diamantina</t>
  </si>
  <si>
    <t>Espinosa</t>
  </si>
  <si>
    <t>Florestal</t>
  </si>
  <si>
    <t>Frutal</t>
  </si>
  <si>
    <t>Governador Valadares</t>
  </si>
  <si>
    <t>Ibirité</t>
  </si>
  <si>
    <t>Itamarandiba</t>
  </si>
  <si>
    <t>Itambacuri</t>
  </si>
  <si>
    <t>Januária</t>
  </si>
  <si>
    <t>João Monlevade</t>
  </si>
  <si>
    <t>João Pinheiro</t>
  </si>
  <si>
    <t>Juiz de Fora</t>
  </si>
  <si>
    <t>Lavras</t>
  </si>
  <si>
    <t>Lavras-ESAL.</t>
  </si>
  <si>
    <t>Machado</t>
  </si>
  <si>
    <t>Minas Novas</t>
  </si>
  <si>
    <t>Montes Claros</t>
  </si>
  <si>
    <t>Oliveira</t>
  </si>
  <si>
    <t>Ouro Fino</t>
  </si>
  <si>
    <t>Passa Quatro</t>
  </si>
  <si>
    <t>Patos de Minas</t>
  </si>
  <si>
    <t>Patrocínio</t>
  </si>
  <si>
    <t>Pedra Azul</t>
  </si>
  <si>
    <t>Pirapora</t>
  </si>
  <si>
    <t>Pompeu</t>
  </si>
  <si>
    <t>Salinas</t>
  </si>
  <si>
    <t>São Francisco</t>
  </si>
  <si>
    <t>São João del-Rei</t>
  </si>
  <si>
    <t>São Lourenço</t>
  </si>
  <si>
    <t>São Sebas. do Paraíso</t>
  </si>
  <si>
    <t>Sete Lagoas</t>
  </si>
  <si>
    <t>Teófilo Otoni</t>
  </si>
  <si>
    <t>Uberaba</t>
  </si>
  <si>
    <t>Viçosa</t>
  </si>
  <si>
    <t>Campo Grande</t>
  </si>
  <si>
    <t>MS</t>
  </si>
  <si>
    <t>Coxim</t>
  </si>
  <si>
    <t>Dourados</t>
  </si>
  <si>
    <t>Ivinhema</t>
  </si>
  <si>
    <t>Paranaíba</t>
  </si>
  <si>
    <t>Ponta Porã</t>
  </si>
  <si>
    <t>Cáceres</t>
  </si>
  <si>
    <t>MT</t>
  </si>
  <si>
    <t>Cuiabá</t>
  </si>
  <si>
    <t>Diamantino</t>
  </si>
  <si>
    <t>Gleba Celeste</t>
  </si>
  <si>
    <t>Sangradouro</t>
  </si>
  <si>
    <t>Altamira</t>
  </si>
  <si>
    <t>PA</t>
  </si>
  <si>
    <t>Alto Tapajós</t>
  </si>
  <si>
    <t>Belém</t>
  </si>
  <si>
    <t>Belterra</t>
  </si>
  <si>
    <t>Breves</t>
  </si>
  <si>
    <t>Cametá</t>
  </si>
  <si>
    <t>Conceição do Araguaia</t>
  </si>
  <si>
    <t>Itaituba</t>
  </si>
  <si>
    <t>Marabá</t>
  </si>
  <si>
    <t>Monte Alegre</t>
  </si>
  <si>
    <t>Óbidos</t>
  </si>
  <si>
    <t>Porto de Moz</t>
  </si>
  <si>
    <t>Santarém (Taperinha)</t>
  </si>
  <si>
    <t>São Félix do Xingu</t>
  </si>
  <si>
    <t>Soure</t>
  </si>
  <si>
    <t>Tracuateua (Desativada)</t>
  </si>
  <si>
    <t>Tracuateua (Operante)</t>
  </si>
  <si>
    <t>Tucuruí</t>
  </si>
  <si>
    <t>Campina Grande</t>
  </si>
  <si>
    <t>PB</t>
  </si>
  <si>
    <t>João Pessoa</t>
  </si>
  <si>
    <t>Monteiro</t>
  </si>
  <si>
    <t>São Gonçalo</t>
  </si>
  <si>
    <t>Arcoverde</t>
  </si>
  <si>
    <t>PE</t>
  </si>
  <si>
    <t>Cabrobó</t>
  </si>
  <si>
    <t>Caruaru</t>
  </si>
  <si>
    <t>Floresta</t>
  </si>
  <si>
    <t>Garanhuns</t>
  </si>
  <si>
    <t>Pesqueira</t>
  </si>
  <si>
    <t>Petrolina</t>
  </si>
  <si>
    <t>Recife (Curado)</t>
  </si>
  <si>
    <t>Surubim</t>
  </si>
  <si>
    <t>Triunfo</t>
  </si>
  <si>
    <t>Bom Jesus do Piauí</t>
  </si>
  <si>
    <t>PI</t>
  </si>
  <si>
    <t>Floriano</t>
  </si>
  <si>
    <t>Picos</t>
  </si>
  <si>
    <t>Teresina</t>
  </si>
  <si>
    <t>Campo Mourão</t>
  </si>
  <si>
    <t>PR</t>
  </si>
  <si>
    <t>Castro</t>
  </si>
  <si>
    <t>Curitiba</t>
  </si>
  <si>
    <t>Foz do lguaçu</t>
  </si>
  <si>
    <t>Guaíra</t>
  </si>
  <si>
    <t>Guarapuava</t>
  </si>
  <si>
    <t>Irati</t>
  </si>
  <si>
    <t>Ivaí</t>
  </si>
  <si>
    <t>Jacarezinho</t>
  </si>
  <si>
    <t>Londrina</t>
  </si>
  <si>
    <t>Maringá</t>
  </si>
  <si>
    <t>Palmas</t>
  </si>
  <si>
    <t>Paranaguá</t>
  </si>
  <si>
    <t>Ponta Grossa</t>
  </si>
  <si>
    <t>Rio Negro</t>
  </si>
  <si>
    <t>São Mateus do Sul</t>
  </si>
  <si>
    <t>Toledo</t>
  </si>
  <si>
    <t>Alto da Boa Vista</t>
  </si>
  <si>
    <t>RJ</t>
  </si>
  <si>
    <t>Angra dos Reis</t>
  </si>
  <si>
    <t>Araras</t>
  </si>
  <si>
    <t>Bangu</t>
  </si>
  <si>
    <t>Barreirinha</t>
  </si>
  <si>
    <t>Cabo Frio (Alcalis)</t>
  </si>
  <si>
    <t xml:space="preserve">Campos </t>
  </si>
  <si>
    <t>Carmo</t>
  </si>
  <si>
    <t>Cordeiro</t>
  </si>
  <si>
    <t>Ecologia Agrícola</t>
  </si>
  <si>
    <t>Engenho de Dentro</t>
  </si>
  <si>
    <t>Ilha Guaíba</t>
  </si>
  <si>
    <t>Itaperuna</t>
  </si>
  <si>
    <t>Jacarepaguá</t>
  </si>
  <si>
    <t>Nova Friburgo</t>
  </si>
  <si>
    <t>Penha</t>
  </si>
  <si>
    <t>Pinheiral</t>
  </si>
  <si>
    <t>Piraí</t>
  </si>
  <si>
    <t>Resende</t>
  </si>
  <si>
    <t>Rio de Janeiro</t>
  </si>
  <si>
    <t>Santa Maria Madalena</t>
  </si>
  <si>
    <t>Santa Teresa</t>
  </si>
  <si>
    <t>Santo Antônio de Pádua</t>
  </si>
  <si>
    <t>São Bento (Duque de Caxias)</t>
  </si>
  <si>
    <t>Teresópolis - P. Nacional</t>
  </si>
  <si>
    <t>Tinguá</t>
  </si>
  <si>
    <t>Vassouras</t>
  </si>
  <si>
    <t>Apodí</t>
  </si>
  <si>
    <t>RN</t>
  </si>
  <si>
    <t>Ceará Mirim</t>
  </si>
  <si>
    <t>Cruzeta</t>
  </si>
  <si>
    <t>Florânia</t>
  </si>
  <si>
    <t>Macau</t>
  </si>
  <si>
    <t>Natal</t>
  </si>
  <si>
    <t>Porto Velho</t>
  </si>
  <si>
    <t>RO</t>
  </si>
  <si>
    <t>Boa Vista</t>
  </si>
  <si>
    <t>RR</t>
  </si>
  <si>
    <t>Alegrete</t>
  </si>
  <si>
    <t>RS</t>
  </si>
  <si>
    <t>Bagé</t>
  </si>
  <si>
    <t>Bento Gonçalves</t>
  </si>
  <si>
    <t>Bom Jesus</t>
  </si>
  <si>
    <t>Caçapava do Sul</t>
  </si>
  <si>
    <t>Cachoeira do Sul</t>
  </si>
  <si>
    <t>Caxias do Sul</t>
  </si>
  <si>
    <t>Cruz Alta</t>
  </si>
  <si>
    <t>Encruzilhada do Sul</t>
  </si>
  <si>
    <t>Guaporé</t>
  </si>
  <si>
    <t>Iraí</t>
  </si>
  <si>
    <t>Itaqui</t>
  </si>
  <si>
    <t>Lagoa Vermelha</t>
  </si>
  <si>
    <t>Marcelino Ramos</t>
  </si>
  <si>
    <t>Palmeira das Missões</t>
  </si>
  <si>
    <t>Passo Fundo</t>
  </si>
  <si>
    <t>Pelotas</t>
  </si>
  <si>
    <t>Porto Alegre</t>
  </si>
  <si>
    <t>Rio Grande</t>
  </si>
  <si>
    <t>Santa Maria</t>
  </si>
  <si>
    <t>Santa Vitória do Palmar</t>
  </si>
  <si>
    <t>Santana do Livramento</t>
  </si>
  <si>
    <t>Santo Ângelo</t>
  </si>
  <si>
    <t>São Gabriel</t>
  </si>
  <si>
    <t>São Luiz Gonzaga</t>
  </si>
  <si>
    <t>Tapes</t>
  </si>
  <si>
    <t>Torres</t>
  </si>
  <si>
    <t>Uruguaiana</t>
  </si>
  <si>
    <t>Vacaria</t>
  </si>
  <si>
    <t xml:space="preserve"> Araranguá </t>
  </si>
  <si>
    <t>SC</t>
  </si>
  <si>
    <t>Camboriú</t>
  </si>
  <si>
    <t>Campos Novos</t>
  </si>
  <si>
    <t>Chapecó</t>
  </si>
  <si>
    <t>Florianópolis</t>
  </si>
  <si>
    <t xml:space="preserve">Irineópolis </t>
  </si>
  <si>
    <t>Lages</t>
  </si>
  <si>
    <t>Laguna</t>
  </si>
  <si>
    <t>Orleans</t>
  </si>
  <si>
    <t>Porto União</t>
  </si>
  <si>
    <t>São Francisco do Sul</t>
  </si>
  <si>
    <t>São Joaquim</t>
  </si>
  <si>
    <t>Urussanga</t>
  </si>
  <si>
    <t>Xanxerê</t>
  </si>
  <si>
    <t>Aracaju</t>
  </si>
  <si>
    <t>SE</t>
  </si>
  <si>
    <t>Itabaianinha</t>
  </si>
  <si>
    <t>Propriá</t>
  </si>
  <si>
    <t>Araçatuba</t>
  </si>
  <si>
    <t>SP</t>
  </si>
  <si>
    <t>Avaré</t>
  </si>
  <si>
    <t>Bananal</t>
  </si>
  <si>
    <t>Campinas</t>
  </si>
  <si>
    <t>Campos do Jordão</t>
  </si>
  <si>
    <t>Catanduva</t>
  </si>
  <si>
    <t>Coop. Agrícola de Cotia</t>
  </si>
  <si>
    <t>Franca</t>
  </si>
  <si>
    <t>Iguape</t>
  </si>
  <si>
    <t>Itapeva</t>
  </si>
  <si>
    <t>Jaboticabal</t>
  </si>
  <si>
    <t>Lins</t>
  </si>
  <si>
    <t>Mogi das Cruzes</t>
  </si>
  <si>
    <t>Presidente Prudente</t>
  </si>
  <si>
    <t>Santa Rita</t>
  </si>
  <si>
    <t>Santos</t>
  </si>
  <si>
    <t>São Carlos</t>
  </si>
  <si>
    <t>São José dos Campos</t>
  </si>
  <si>
    <t>São Paulo - Horto Florestal</t>
  </si>
  <si>
    <t>São Paulo (Mir. de Santana)</t>
  </si>
  <si>
    <t>São Simão</t>
  </si>
  <si>
    <t>Sertãozinho</t>
  </si>
  <si>
    <t>Sorocaba</t>
  </si>
  <si>
    <t>Taubaté</t>
  </si>
  <si>
    <t>Tremembé</t>
  </si>
  <si>
    <t>Ubatuba</t>
  </si>
  <si>
    <t>Votuporanga</t>
  </si>
  <si>
    <t>TO</t>
  </si>
  <si>
    <t>Paranã</t>
  </si>
  <si>
    <t>Pedro Afonso</t>
  </si>
  <si>
    <t>Peixe</t>
  </si>
  <si>
    <t>Porto Nacional</t>
  </si>
  <si>
    <t>Taguatinga</t>
  </si>
  <si>
    <t>a</t>
  </si>
  <si>
    <t>Estrutura Elevada</t>
  </si>
  <si>
    <t>b</t>
  </si>
  <si>
    <t>Laje ou Telhado</t>
  </si>
  <si>
    <t>c</t>
  </si>
  <si>
    <t>Sobre telhado</t>
  </si>
  <si>
    <t>d</t>
  </si>
  <si>
    <t>Integrado</t>
  </si>
  <si>
    <t>Perda média por temperatura</t>
  </si>
  <si>
    <t>Outras Perdas</t>
  </si>
  <si>
    <t>K tol</t>
  </si>
  <si>
    <t>K somb</t>
  </si>
  <si>
    <t>K mis</t>
  </si>
  <si>
    <t>K temp</t>
  </si>
  <si>
    <t>K cc</t>
  </si>
  <si>
    <t>K inv</t>
  </si>
  <si>
    <t>K ca</t>
  </si>
  <si>
    <t>K spmp</t>
  </si>
  <si>
    <t>∆T</t>
  </si>
  <si>
    <r>
      <rPr>
        <sz val="11"/>
        <color theme="1"/>
        <rFont val="Calibri"/>
        <family val="2"/>
      </rPr>
      <t>∆</t>
    </r>
    <r>
      <rPr>
        <sz val="9.35"/>
        <color theme="1"/>
        <rFont val="Calibri"/>
        <family val="2"/>
      </rPr>
      <t>T</t>
    </r>
  </si>
  <si>
    <t>Diferença à Tref</t>
  </si>
  <si>
    <t>Estrutura</t>
  </si>
  <si>
    <t>kWp</t>
  </si>
  <si>
    <t>Kwp teórico</t>
  </si>
  <si>
    <t>⁰</t>
  </si>
  <si>
    <t>kWh/m²/dia</t>
  </si>
  <si>
    <t>kWh/mês</t>
  </si>
  <si>
    <t>Custo de Capital (Wacc)</t>
  </si>
  <si>
    <t>,88,</t>
  </si>
  <si>
    <t>,89,</t>
  </si>
  <si>
    <t>,,81</t>
  </si>
  <si>
    <t>1,,09</t>
  </si>
  <si>
    <t>Inclnação</t>
  </si>
  <si>
    <t>Temp. calc</t>
  </si>
  <si>
    <t>Potência Instalada (Wp)</t>
  </si>
  <si>
    <t>Dimensionamento</t>
  </si>
  <si>
    <t>PREÇO TOTAL</t>
  </si>
  <si>
    <t>Economia</t>
  </si>
  <si>
    <t>Consumo</t>
  </si>
  <si>
    <t>Débito</t>
  </si>
  <si>
    <t>Crédito</t>
  </si>
  <si>
    <t>TD</t>
  </si>
  <si>
    <t>Faturaveis</t>
  </si>
  <si>
    <t>Consumo médio</t>
  </si>
  <si>
    <t xml:space="preserve">K suj </t>
  </si>
  <si>
    <t>Mês</t>
  </si>
  <si>
    <t>Faturáveis</t>
  </si>
  <si>
    <t>Subtotal</t>
  </si>
  <si>
    <t>Custos/Manutenção</t>
  </si>
  <si>
    <t>W</t>
  </si>
  <si>
    <t>Coef. Temp para Pmax</t>
  </si>
  <si>
    <t>%/°C</t>
  </si>
  <si>
    <t>%</t>
  </si>
  <si>
    <t>un.</t>
  </si>
  <si>
    <t>kW</t>
  </si>
  <si>
    <t xml:space="preserve">Kwp </t>
  </si>
  <si>
    <t>Consumo Energético</t>
  </si>
  <si>
    <t xml:space="preserve">Energia Estimada </t>
  </si>
  <si>
    <t>Correção HSP e Geração Estimada</t>
  </si>
  <si>
    <t>Potência do Sistema</t>
  </si>
  <si>
    <t>Wp</t>
  </si>
  <si>
    <t>ºC</t>
  </si>
  <si>
    <t>C</t>
  </si>
  <si>
    <t>Custo de Disponibilidade</t>
  </si>
  <si>
    <t>Fatura</t>
  </si>
  <si>
    <t>Tarifa Energética</t>
  </si>
  <si>
    <t>Conumo médio mensal</t>
  </si>
  <si>
    <t>Além TD</t>
  </si>
  <si>
    <t>Inflação Projetada (%a.a.)</t>
  </si>
  <si>
    <t>Inflação Energética Projetada (%a.a.)</t>
  </si>
  <si>
    <t>Créditos</t>
  </si>
  <si>
    <t>Sem Energia Solar</t>
  </si>
  <si>
    <t>Com Energia Solar</t>
  </si>
  <si>
    <t>Demonstrativo Energético e Financeiro do primeiro ano com Energia Solar:</t>
  </si>
  <si>
    <t>Economia (R$)</t>
  </si>
  <si>
    <t>Economia (%)</t>
  </si>
  <si>
    <t xml:space="preserve">Fluxo Final </t>
  </si>
  <si>
    <t>Custos</t>
  </si>
  <si>
    <t>Percentual Médio de Geração em 25 anos</t>
  </si>
  <si>
    <t>Além da Disp.</t>
  </si>
  <si>
    <t>Geração Diária Média de Energia (kWh/dia)</t>
  </si>
  <si>
    <t>Geração desejada</t>
  </si>
  <si>
    <t>Quadro Tarifário</t>
  </si>
  <si>
    <t>Gasto Acumulado</t>
  </si>
  <si>
    <t>Acumulado Sem ES</t>
  </si>
  <si>
    <t xml:space="preserve">Tarifa </t>
  </si>
  <si>
    <t>Fatura média atual</t>
  </si>
  <si>
    <t>Sistema Real para Geração Máxima (100%)</t>
  </si>
  <si>
    <t>Caracterização das Perdas</t>
  </si>
  <si>
    <t>Custo do Kwh Solar (Valor Presente)</t>
  </si>
  <si>
    <t>Payback Mês</t>
  </si>
  <si>
    <t>Geração Mensal Média de Energia (kWh/mês)</t>
  </si>
  <si>
    <t>Geração Anual Média de Energia (kWh/ano)</t>
  </si>
  <si>
    <t>Objetivo de Geração</t>
  </si>
  <si>
    <t>2.</t>
  </si>
  <si>
    <t>3.</t>
  </si>
  <si>
    <t>ROI</t>
  </si>
  <si>
    <t>5.</t>
  </si>
  <si>
    <t>Inclinação</t>
  </si>
  <si>
    <t>Geração</t>
  </si>
  <si>
    <t>Energia Solar</t>
  </si>
  <si>
    <t>Estimativa Custo % do Inversor no Sistema</t>
  </si>
  <si>
    <t>Poupança e Conta de Energia</t>
  </si>
  <si>
    <t>Latitude (Nº inteiro)</t>
  </si>
  <si>
    <t>Demonstrativo Energético e Financeiro dos 25 anos do projeto:</t>
  </si>
  <si>
    <t>Poupança (a.m.)</t>
  </si>
  <si>
    <t>Poupança (a.a.)</t>
  </si>
  <si>
    <t>Inflação (a.a)</t>
  </si>
  <si>
    <t>Inflação (a.m.)</t>
  </si>
  <si>
    <t>Indices Monetários</t>
  </si>
  <si>
    <t>Retorno Investimento</t>
  </si>
  <si>
    <t>Crédito mês</t>
  </si>
  <si>
    <t>Preencher</t>
  </si>
  <si>
    <t>Escolher</t>
  </si>
  <si>
    <t>Potência Nominal do Inversor que se pretende usar</t>
  </si>
  <si>
    <t>Perdas Totais</t>
  </si>
  <si>
    <t>Retorno Inv.</t>
  </si>
  <si>
    <t>Economia %</t>
  </si>
  <si>
    <t>Retorno Invest.</t>
  </si>
  <si>
    <t>Temperatura Média (°C)</t>
  </si>
  <si>
    <t>Temp. Média</t>
  </si>
  <si>
    <t>Estim. Custo % do Inversor no Sist. ano troca</t>
  </si>
  <si>
    <t>Inclinação ideal de projeto</t>
  </si>
  <si>
    <t>Inclinação Real</t>
  </si>
  <si>
    <t>Cód.</t>
  </si>
  <si>
    <t>Latitude do Projeto</t>
  </si>
  <si>
    <t>Código Lat x Incl</t>
  </si>
  <si>
    <t>Fator de Correção por Inclinação (K) para Tabela B1B3 normal</t>
  </si>
  <si>
    <t>Fotor de Dimensionamento Global (Pcc/Pca)</t>
  </si>
  <si>
    <t>Outras Perdas (Ver aba Inputs)</t>
  </si>
  <si>
    <t>Nº de Inversores</t>
  </si>
  <si>
    <t>Perda Transformador 380V/220V</t>
  </si>
  <si>
    <t>http://www.cresesb.cepel.br/index.php?section=sundata</t>
  </si>
  <si>
    <t xml:space="preserve">1. </t>
  </si>
  <si>
    <t>Encontre no Google Maps o local onde será feita a instalação</t>
  </si>
  <si>
    <t>Localize na barra de navegação as coordenadas geográficas do local da instalação</t>
  </si>
  <si>
    <t>Exemplo ao lado.</t>
  </si>
  <si>
    <t>Insira as coordenadas no site do CRESESB para obter os níveis de radiação</t>
  </si>
  <si>
    <t>Obs.: Não precisa inserir o sinal de negativo</t>
  </si>
  <si>
    <r>
      <t xml:space="preserve">e clique em </t>
    </r>
    <r>
      <rPr>
        <b/>
        <sz val="11"/>
        <color theme="1"/>
        <rFont val="Calibri"/>
        <family val="2"/>
        <scheme val="minor"/>
      </rPr>
      <t>BUSCAR</t>
    </r>
  </si>
  <si>
    <t xml:space="preserve">4. </t>
  </si>
  <si>
    <t>O site irá mostrar 3 opções para irradiação solar no Plano Horizontal</t>
  </si>
  <si>
    <t>Escolha uma opção e cole os dados de irradiação abaixo:</t>
  </si>
  <si>
    <t xml:space="preserve">6. </t>
  </si>
  <si>
    <t>Insira aqui o valor da latitude:</t>
  </si>
  <si>
    <t>Potência nominal dos Módulos</t>
  </si>
  <si>
    <t>Número necessários de Módulos</t>
  </si>
  <si>
    <t>Perdas por Temperatura (Selecione abaixo a cidade mais próxima, ver aba "Temp. Média"</t>
  </si>
  <si>
    <t>Selecione Tipo de Estrutura (Na ordem, a,b,c,d)</t>
  </si>
  <si>
    <t>https://maps.google.com/</t>
  </si>
  <si>
    <t>Calculada à parte</t>
  </si>
  <si>
    <t>Ajuste manual do número de módulos</t>
  </si>
  <si>
    <t>Inclinação Real (Escolha inclinação + Próxima)</t>
  </si>
  <si>
    <t>Previsão de Geração em kWh/mês</t>
  </si>
  <si>
    <t>Lucro Final do Projeto após 25 anos</t>
  </si>
  <si>
    <t>Taxa de Disponibilidade (kWh/h)</t>
  </si>
  <si>
    <t>Descrição</t>
  </si>
  <si>
    <t>Quant.</t>
  </si>
  <si>
    <t>Valor Unit.</t>
  </si>
  <si>
    <t>Protetor Surto CA</t>
  </si>
  <si>
    <t>Caixa CA</t>
  </si>
  <si>
    <t>Caixa CC</t>
  </si>
  <si>
    <t>Combustivel</t>
  </si>
  <si>
    <t>Instaladores</t>
  </si>
  <si>
    <t>ART</t>
  </si>
  <si>
    <t>Despesas diversas</t>
  </si>
  <si>
    <t>Disjuntor CA</t>
  </si>
  <si>
    <t>SubTotal</t>
  </si>
  <si>
    <t>Margem %</t>
  </si>
  <si>
    <t>Lucro</t>
  </si>
  <si>
    <t>Despesas Diretas e Indiretas</t>
  </si>
  <si>
    <t>Imposto sobre emissao nota 5%</t>
  </si>
  <si>
    <t>Imposto Nota</t>
  </si>
  <si>
    <t>Valor Final Cliente</t>
  </si>
  <si>
    <t>Valor Cliente</t>
  </si>
  <si>
    <t>Frete</t>
  </si>
  <si>
    <t>Andaimes</t>
  </si>
  <si>
    <t>Engenheiro</t>
  </si>
  <si>
    <t>Eletrocalhas</t>
  </si>
  <si>
    <t>Cabos CA</t>
  </si>
  <si>
    <t>Transformador  25KVA</t>
  </si>
  <si>
    <t>Nota</t>
  </si>
  <si>
    <t>contraposta</t>
  </si>
  <si>
    <t>https://www.aldo.com.br/loja/produto/127999-7/gerador-de-energia-solar-growatt-colonial-solar-group-aldo-solar-on-grid-gf-9kwp-jinko-tiger-pro-mono-450w-mtl-s-8kw-2mppt-mono-220v</t>
  </si>
  <si>
    <t>Comissao</t>
  </si>
  <si>
    <t>uba 790, casa37</t>
  </si>
  <si>
    <t>aterramento Cabo</t>
  </si>
  <si>
    <t>cartão</t>
  </si>
  <si>
    <t>Normal</t>
  </si>
  <si>
    <t>A Vista</t>
  </si>
  <si>
    <t>90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</si>
</sst>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"/>
    <numFmt numFmtId="165" formatCode="_(&quot;R$ &quot;* #,##0.00_);_(&quot;R$ &quot;* \(#,##0.00\);_(&quot;R$ &quot;* &quot;-&quot;??_);_(@_)"/>
    <numFmt numFmtId="166" formatCode="_(* #,##0.00_);_(* \(#,##0.00\);_(* &quot;-&quot;??_);_(@_)"/>
    <numFmt numFmtId="167" formatCode="_-* #,##0_-;\-* #,##0_-;_-* &quot;-&quot;??_-;_-@_-"/>
    <numFmt numFmtId="168" formatCode="_-* #,##0.0_-;\-* #,##0.0_-;_-* &quot;-&quot;??_-;_-@_-"/>
    <numFmt numFmtId="169" formatCode="0.0%"/>
    <numFmt numFmtId="170" formatCode="0.000"/>
    <numFmt numFmtId="171" formatCode="&quot;R$&quot;\ #,##0.00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9.35"/>
      <color theme="1"/>
      <name val="Calibri"/>
      <family val="2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u/>
      <sz val="10"/>
      <color indexed="12"/>
      <name val="Arial"/>
      <family val="2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9"/>
      <color indexed="8"/>
      <name val="Calibri"/>
      <family val="2"/>
    </font>
    <font>
      <i/>
      <sz val="9"/>
      <color indexed="30"/>
      <name val="Calibri"/>
      <family val="2"/>
    </font>
    <font>
      <i/>
      <sz val="9"/>
      <color indexed="30"/>
      <name val="Arial"/>
      <family val="2"/>
    </font>
    <font>
      <sz val="10"/>
      <name val="Trebuchet MS"/>
      <family val="2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sz val="11"/>
      <color indexed="10"/>
      <name val="Calibri"/>
      <family val="2"/>
    </font>
    <font>
      <b/>
      <i/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.9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rgb="FFCC3300"/>
      <name val="Calibri"/>
      <family val="2"/>
      <scheme val="minor"/>
    </font>
    <font>
      <b/>
      <sz val="11"/>
      <color rgb="FF0033CC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C2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6"/>
        <bgColor indexed="64"/>
      </patternFill>
    </fill>
    <fill>
      <patternFill patternType="solid">
        <fgColor rgb="FFE1F1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74999237037263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5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9" fillId="3" borderId="0" applyNumberFormat="0" applyBorder="0" applyAlignment="0" applyProtection="0"/>
    <xf numFmtId="0" fontId="1" fillId="4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/>
    <xf numFmtId="0" fontId="30" fillId="0" borderId="0"/>
    <xf numFmtId="166" fontId="31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5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19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5" fillId="29" borderId="0" applyNumberFormat="0" applyBorder="0" applyAlignment="0" applyProtection="0"/>
    <xf numFmtId="0" fontId="36" fillId="30" borderId="7" applyNumberFormat="0" applyAlignment="0" applyProtection="0"/>
    <xf numFmtId="0" fontId="37" fillId="31" borderId="8" applyNumberFormat="0" applyAlignment="0" applyProtection="0"/>
    <xf numFmtId="0" fontId="38" fillId="0" borderId="0" applyNumberFormat="0" applyFill="0" applyBorder="0" applyAlignment="0" applyProtection="0"/>
    <xf numFmtId="0" fontId="39" fillId="32" borderId="0" applyNumberFormat="0" applyBorder="0" applyAlignment="0" applyProtection="0"/>
    <xf numFmtId="0" fontId="40" fillId="0" borderId="9" applyNumberFormat="0" applyFill="0" applyAlignment="0" applyProtection="0"/>
    <xf numFmtId="0" fontId="41" fillId="0" borderId="10" applyNumberFormat="0" applyFill="0" applyAlignment="0" applyProtection="0"/>
    <xf numFmtId="0" fontId="42" fillId="0" borderId="11" applyNumberFormat="0" applyFill="0" applyAlignment="0" applyProtection="0"/>
    <xf numFmtId="0" fontId="42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43" fillId="24" borderId="7" applyNumberFormat="0" applyAlignment="0" applyProtection="0"/>
    <xf numFmtId="0" fontId="44" fillId="0" borderId="12" applyNumberFormat="0" applyFill="0" applyAlignment="0" applyProtection="0"/>
    <xf numFmtId="0" fontId="45" fillId="18" borderId="0" applyNumberFormat="0" applyBorder="0" applyAlignment="0" applyProtection="0"/>
    <xf numFmtId="0" fontId="6" fillId="18" borderId="13" applyNumberFormat="0" applyFont="0" applyAlignment="0" applyProtection="0"/>
    <xf numFmtId="0" fontId="46" fillId="30" borderId="14" applyNumberFormat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</cellStyleXfs>
  <cellXfs count="249">
    <xf numFmtId="0" fontId="0" fillId="0" borderId="0" xfId="0"/>
    <xf numFmtId="0" fontId="2" fillId="2" borderId="1" xfId="0" applyFont="1" applyFill="1" applyBorder="1"/>
    <xf numFmtId="44" fontId="0" fillId="2" borderId="1" xfId="1" applyFont="1" applyFill="1" applyBorder="1"/>
    <xf numFmtId="0" fontId="0" fillId="2" borderId="1" xfId="0" applyFill="1" applyBorder="1"/>
    <xf numFmtId="8" fontId="0" fillId="2" borderId="1" xfId="0" applyNumberFormat="1" applyFill="1" applyBorder="1"/>
    <xf numFmtId="44" fontId="1" fillId="2" borderId="1" xfId="2" applyNumberFormat="1" applyFont="1" applyFill="1" applyBorder="1"/>
    <xf numFmtId="44" fontId="1" fillId="2" borderId="1" xfId="1" applyFont="1" applyFill="1" applyBorder="1"/>
    <xf numFmtId="0" fontId="0" fillId="2" borderId="5" xfId="0" applyFill="1" applyBorder="1"/>
    <xf numFmtId="10" fontId="1" fillId="2" borderId="1" xfId="2" applyNumberFormat="1" applyFont="1" applyFill="1" applyBorder="1"/>
    <xf numFmtId="0" fontId="0" fillId="2" borderId="0" xfId="0" applyFill="1"/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center"/>
    </xf>
    <xf numFmtId="44" fontId="0" fillId="2" borderId="1" xfId="0" applyNumberFormat="1" applyFill="1" applyBorder="1"/>
    <xf numFmtId="0" fontId="1" fillId="4" borderId="0" xfId="9"/>
    <xf numFmtId="0" fontId="8" fillId="3" borderId="0" xfId="8" applyFont="1" applyBorder="1" applyAlignment="1">
      <alignment horizontal="center"/>
    </xf>
    <xf numFmtId="164" fontId="8" fillId="3" borderId="0" xfId="8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10" fillId="4" borderId="0" xfId="9" applyFont="1" applyAlignment="1"/>
    <xf numFmtId="0" fontId="11" fillId="4" borderId="0" xfId="9" applyFont="1" applyAlignment="1">
      <alignment vertical="center"/>
    </xf>
    <xf numFmtId="0" fontId="13" fillId="2" borderId="1" xfId="0" applyFont="1" applyFill="1" applyBorder="1"/>
    <xf numFmtId="167" fontId="0" fillId="2" borderId="1" xfId="3" applyNumberFormat="1" applyFont="1" applyFill="1" applyBorder="1" applyAlignment="1">
      <alignment horizontal="center"/>
    </xf>
    <xf numFmtId="9" fontId="2" fillId="2" borderId="1" xfId="0" applyNumberFormat="1" applyFont="1" applyFill="1" applyBorder="1"/>
    <xf numFmtId="1" fontId="0" fillId="2" borderId="1" xfId="0" applyNumberFormat="1" applyFill="1" applyBorder="1"/>
    <xf numFmtId="167" fontId="0" fillId="2" borderId="1" xfId="3" applyNumberFormat="1" applyFont="1" applyFill="1" applyBorder="1"/>
    <xf numFmtId="0" fontId="7" fillId="2" borderId="0" xfId="0" applyFont="1" applyFill="1" applyAlignment="1">
      <alignment vertical="center" wrapText="1"/>
    </xf>
    <xf numFmtId="0" fontId="4" fillId="2" borderId="0" xfId="0" applyFont="1" applyFill="1"/>
    <xf numFmtId="0" fontId="2" fillId="2" borderId="0" xfId="0" applyFont="1" applyFill="1"/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left"/>
    </xf>
    <xf numFmtId="43" fontId="0" fillId="2" borderId="1" xfId="0" applyNumberFormat="1" applyFill="1" applyBorder="1" applyAlignment="1">
      <alignment horizontal="right" vertical="center"/>
    </xf>
    <xf numFmtId="43" fontId="0" fillId="2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0" fontId="0" fillId="6" borderId="1" xfId="0" applyNumberForma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right"/>
    </xf>
    <xf numFmtId="168" fontId="0" fillId="2" borderId="1" xfId="0" applyNumberFormat="1" applyFill="1" applyBorder="1" applyAlignment="1">
      <alignment horizontal="right" vertical="center"/>
    </xf>
    <xf numFmtId="1" fontId="0" fillId="2" borderId="1" xfId="0" applyNumberFormat="1" applyFill="1" applyBorder="1" applyAlignment="1">
      <alignment horizontal="right"/>
    </xf>
    <xf numFmtId="169" fontId="0" fillId="2" borderId="1" xfId="0" applyNumberFormat="1" applyFill="1" applyBorder="1" applyAlignment="1">
      <alignment horizontal="right"/>
    </xf>
    <xf numFmtId="169" fontId="0" fillId="2" borderId="1" xfId="2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6" fillId="2" borderId="0" xfId="0" applyFont="1" applyFill="1" applyAlignment="1">
      <alignment horizontal="right"/>
    </xf>
    <xf numFmtId="1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7" fillId="2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2" borderId="0" xfId="0" applyFont="1" applyFill="1"/>
    <xf numFmtId="9" fontId="0" fillId="2" borderId="1" xfId="2" applyFont="1" applyFill="1" applyBorder="1"/>
    <xf numFmtId="0" fontId="0" fillId="2" borderId="2" xfId="0" applyFill="1" applyBorder="1" applyAlignment="1">
      <alignment horizontal="center"/>
    </xf>
    <xf numFmtId="167" fontId="0" fillId="2" borderId="1" xfId="0" applyNumberFormat="1" applyFill="1" applyBorder="1"/>
    <xf numFmtId="44" fontId="0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44" fontId="17" fillId="2" borderId="0" xfId="0" applyNumberFormat="1" applyFont="1" applyFill="1" applyAlignment="1">
      <alignment horizontal="right"/>
    </xf>
    <xf numFmtId="167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3" fontId="0" fillId="2" borderId="1" xfId="0" applyNumberFormat="1" applyFill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43" fontId="0" fillId="0" borderId="1" xfId="0" applyNumberFormat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 wrapText="1"/>
    </xf>
    <xf numFmtId="9" fontId="0" fillId="2" borderId="0" xfId="2" applyFont="1" applyFill="1"/>
    <xf numFmtId="0" fontId="0" fillId="2" borderId="3" xfId="0" applyFill="1" applyBorder="1"/>
    <xf numFmtId="0" fontId="0" fillId="2" borderId="0" xfId="0" applyFill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/>
    </xf>
    <xf numFmtId="169" fontId="0" fillId="2" borderId="0" xfId="2" applyNumberFormat="1" applyFont="1" applyFill="1" applyBorder="1" applyAlignment="1">
      <alignment horizontal="center" vertical="center"/>
    </xf>
    <xf numFmtId="169" fontId="2" fillId="2" borderId="1" xfId="2" applyNumberFormat="1" applyFont="1" applyFill="1" applyBorder="1" applyAlignment="1">
      <alignment horizontal="center"/>
    </xf>
    <xf numFmtId="169" fontId="2" fillId="2" borderId="0" xfId="2" applyNumberFormat="1" applyFont="1" applyFill="1" applyBorder="1" applyAlignment="1">
      <alignment horizontal="center"/>
    </xf>
    <xf numFmtId="44" fontId="0" fillId="2" borderId="0" xfId="1" applyFont="1" applyFill="1" applyBorder="1" applyAlignment="1">
      <alignment horizontal="center" vertical="center"/>
    </xf>
    <xf numFmtId="44" fontId="0" fillId="2" borderId="0" xfId="0" applyNumberFormat="1" applyFill="1"/>
    <xf numFmtId="9" fontId="0" fillId="2" borderId="0" xfId="2" applyFont="1" applyFill="1" applyBorder="1"/>
    <xf numFmtId="167" fontId="0" fillId="0" borderId="1" xfId="3" applyNumberFormat="1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69" fontId="0" fillId="2" borderId="1" xfId="2" applyNumberFormat="1" applyFont="1" applyFill="1" applyBorder="1" applyAlignment="1">
      <alignment horizontal="right"/>
    </xf>
    <xf numFmtId="167" fontId="0" fillId="2" borderId="1" xfId="3" applyNumberFormat="1" applyFont="1" applyFill="1" applyBorder="1" applyAlignment="1">
      <alignment horizontal="right"/>
    </xf>
    <xf numFmtId="3" fontId="0" fillId="2" borderId="0" xfId="0" applyNumberFormat="1" applyFill="1"/>
    <xf numFmtId="0" fontId="0" fillId="2" borderId="1" xfId="0" applyFill="1" applyBorder="1" applyAlignment="1">
      <alignment horizontal="left" vertical="center" wrapText="1"/>
    </xf>
    <xf numFmtId="167" fontId="0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2" borderId="2" xfId="0" applyFill="1" applyBorder="1"/>
    <xf numFmtId="9" fontId="0" fillId="2" borderId="1" xfId="2" applyFont="1" applyFill="1" applyBorder="1" applyAlignment="1">
      <alignment horizontal="center"/>
    </xf>
    <xf numFmtId="0" fontId="0" fillId="2" borderId="0" xfId="0" applyFill="1" applyAlignment="1">
      <alignment horizontal="left"/>
    </xf>
    <xf numFmtId="1" fontId="0" fillId="2" borderId="0" xfId="0" applyNumberFormat="1" applyFill="1" applyAlignment="1">
      <alignment horizontal="right"/>
    </xf>
    <xf numFmtId="43" fontId="0" fillId="2" borderId="1" xfId="0" applyNumberFormat="1" applyFill="1" applyBorder="1" applyAlignment="1">
      <alignment horizontal="center"/>
    </xf>
    <xf numFmtId="0" fontId="0" fillId="2" borderId="5" xfId="0" applyFill="1" applyBorder="1" applyAlignment="1">
      <alignment horizontal="right"/>
    </xf>
    <xf numFmtId="10" fontId="1" fillId="2" borderId="1" xfId="2" applyNumberFormat="1" applyFont="1" applyFill="1" applyBorder="1" applyAlignment="1">
      <alignment horizontal="right"/>
    </xf>
    <xf numFmtId="0" fontId="0" fillId="2" borderId="1" xfId="0" applyFill="1" applyBorder="1" applyProtection="1">
      <protection locked="0"/>
    </xf>
    <xf numFmtId="44" fontId="0" fillId="2" borderId="1" xfId="1" applyFont="1" applyFill="1" applyBorder="1" applyProtection="1">
      <protection locked="0"/>
    </xf>
    <xf numFmtId="3" fontId="0" fillId="2" borderId="1" xfId="0" applyNumberFormat="1" applyFill="1" applyBorder="1" applyAlignment="1">
      <alignment horizontal="right"/>
    </xf>
    <xf numFmtId="167" fontId="0" fillId="2" borderId="1" xfId="0" applyNumberFormat="1" applyFill="1" applyBorder="1" applyAlignment="1">
      <alignment horizontal="right"/>
    </xf>
    <xf numFmtId="44" fontId="0" fillId="2" borderId="1" xfId="1" applyFont="1" applyFill="1" applyBorder="1" applyAlignment="1">
      <alignment horizontal="right"/>
    </xf>
    <xf numFmtId="167" fontId="2" fillId="2" borderId="1" xfId="0" applyNumberFormat="1" applyFont="1" applyFill="1" applyBorder="1" applyAlignment="1">
      <alignment horizontal="right"/>
    </xf>
    <xf numFmtId="44" fontId="2" fillId="2" borderId="0" xfId="0" applyNumberFormat="1" applyFont="1" applyFill="1" applyAlignment="1">
      <alignment horizontal="right"/>
    </xf>
    <xf numFmtId="44" fontId="2" fillId="2" borderId="1" xfId="0" applyNumberFormat="1" applyFont="1" applyFill="1" applyBorder="1" applyAlignment="1">
      <alignment horizontal="right"/>
    </xf>
    <xf numFmtId="44" fontId="2" fillId="2" borderId="1" xfId="1" applyFont="1" applyFill="1" applyBorder="1" applyAlignment="1">
      <alignment horizontal="right"/>
    </xf>
    <xf numFmtId="10" fontId="15" fillId="9" borderId="1" xfId="2" applyNumberFormat="1" applyFont="1" applyFill="1" applyBorder="1" applyProtection="1">
      <protection locked="0"/>
    </xf>
    <xf numFmtId="1" fontId="15" fillId="9" borderId="1" xfId="2" applyNumberFormat="1" applyFont="1" applyFill="1" applyBorder="1" applyProtection="1">
      <protection locked="0"/>
    </xf>
    <xf numFmtId="10" fontId="0" fillId="9" borderId="1" xfId="2" applyNumberFormat="1" applyFont="1" applyFill="1" applyBorder="1" applyProtection="1">
      <protection locked="0"/>
    </xf>
    <xf numFmtId="167" fontId="2" fillId="2" borderId="1" xfId="3" applyNumberFormat="1" applyFont="1" applyFill="1" applyBorder="1" applyAlignment="1">
      <alignment horizontal="right"/>
    </xf>
    <xf numFmtId="167" fontId="0" fillId="0" borderId="1" xfId="0" applyNumberFormat="1" applyBorder="1" applyAlignment="1">
      <alignment vertical="center"/>
    </xf>
    <xf numFmtId="0" fontId="0" fillId="2" borderId="0" xfId="0" applyFill="1" applyAlignment="1">
      <alignment horizontal="right"/>
    </xf>
    <xf numFmtId="164" fontId="0" fillId="2" borderId="1" xfId="0" applyNumberFormat="1" applyFill="1" applyBorder="1" applyAlignment="1">
      <alignment horizontal="right"/>
    </xf>
    <xf numFmtId="9" fontId="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43" fontId="1" fillId="2" borderId="5" xfId="3" applyFont="1" applyFill="1" applyBorder="1"/>
    <xf numFmtId="0" fontId="19" fillId="0" borderId="1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vertical="center"/>
    </xf>
    <xf numFmtId="44" fontId="20" fillId="2" borderId="1" xfId="1" applyFont="1" applyFill="1" applyBorder="1" applyAlignment="1">
      <alignment vertical="center"/>
    </xf>
    <xf numFmtId="3" fontId="21" fillId="2" borderId="1" xfId="0" applyNumberFormat="1" applyFont="1" applyFill="1" applyBorder="1" applyAlignment="1">
      <alignment horizontal="center" vertical="center"/>
    </xf>
    <xf numFmtId="44" fontId="19" fillId="2" borderId="1" xfId="1" applyFont="1" applyFill="1" applyBorder="1" applyAlignment="1">
      <alignment vertical="center"/>
    </xf>
    <xf numFmtId="0" fontId="0" fillId="2" borderId="0" xfId="0" applyFill="1" applyProtection="1">
      <protection locked="0"/>
    </xf>
    <xf numFmtId="169" fontId="15" fillId="2" borderId="1" xfId="2" applyNumberFormat="1" applyFont="1" applyFill="1" applyBorder="1" applyAlignment="1" applyProtection="1">
      <alignment horizontal="right"/>
      <protection locked="0"/>
    </xf>
    <xf numFmtId="1" fontId="2" fillId="2" borderId="1" xfId="0" applyNumberFormat="1" applyFont="1" applyFill="1" applyBorder="1" applyAlignment="1">
      <alignment horizontal="right"/>
    </xf>
    <xf numFmtId="2" fontId="0" fillId="2" borderId="1" xfId="0" applyNumberFormat="1" applyFill="1" applyBorder="1" applyAlignment="1">
      <alignment horizontal="right" vertical="center"/>
    </xf>
    <xf numFmtId="0" fontId="24" fillId="2" borderId="0" xfId="0" applyFont="1" applyFill="1"/>
    <xf numFmtId="0" fontId="0" fillId="2" borderId="1" xfId="0" applyFill="1" applyBorder="1" applyAlignment="1">
      <alignment horizontal="center" vertical="center"/>
    </xf>
    <xf numFmtId="0" fontId="25" fillId="2" borderId="0" xfId="11" applyFill="1"/>
    <xf numFmtId="10" fontId="0" fillId="2" borderId="1" xfId="2" applyNumberFormat="1" applyFont="1" applyFill="1" applyBorder="1" applyAlignment="1">
      <alignment horizontal="center"/>
    </xf>
    <xf numFmtId="44" fontId="0" fillId="2" borderId="1" xfId="0" applyNumberFormat="1" applyFill="1" applyBorder="1" applyAlignment="1">
      <alignment horizontal="center"/>
    </xf>
    <xf numFmtId="169" fontId="15" fillId="2" borderId="1" xfId="0" applyNumberFormat="1" applyFont="1" applyFill="1" applyBorder="1" applyAlignment="1">
      <alignment horizontal="right"/>
    </xf>
    <xf numFmtId="169" fontId="0" fillId="2" borderId="1" xfId="2" applyNumberFormat="1" applyFont="1" applyFill="1" applyBorder="1" applyAlignment="1">
      <alignment horizontal="center"/>
    </xf>
    <xf numFmtId="9" fontId="0" fillId="2" borderId="0" xfId="2" applyFont="1" applyFill="1" applyBorder="1" applyAlignment="1">
      <alignment horizontal="right"/>
    </xf>
    <xf numFmtId="9" fontId="0" fillId="8" borderId="1" xfId="2" applyFont="1" applyFill="1" applyBorder="1"/>
    <xf numFmtId="2" fontId="5" fillId="2" borderId="1" xfId="0" applyNumberFormat="1" applyFont="1" applyFill="1" applyBorder="1" applyAlignment="1">
      <alignment horizontal="right"/>
    </xf>
    <xf numFmtId="0" fontId="0" fillId="10" borderId="1" xfId="0" applyFill="1" applyBorder="1"/>
    <xf numFmtId="10" fontId="0" fillId="8" borderId="1" xfId="0" applyNumberFormat="1" applyFill="1" applyBorder="1" applyAlignment="1">
      <alignment horizontal="center"/>
    </xf>
    <xf numFmtId="169" fontId="0" fillId="2" borderId="1" xfId="0" applyNumberFormat="1" applyFill="1" applyBorder="1" applyAlignment="1">
      <alignment horizontal="center"/>
    </xf>
    <xf numFmtId="10" fontId="2" fillId="2" borderId="1" xfId="0" applyNumberFormat="1" applyFont="1" applyFill="1" applyBorder="1" applyAlignment="1">
      <alignment horizontal="center"/>
    </xf>
    <xf numFmtId="10" fontId="2" fillId="2" borderId="1" xfId="2" applyNumberFormat="1" applyFont="1" applyFill="1" applyBorder="1" applyAlignment="1">
      <alignment horizontal="center" vertical="center"/>
    </xf>
    <xf numFmtId="0" fontId="0" fillId="13" borderId="1" xfId="0" applyFill="1" applyBorder="1"/>
    <xf numFmtId="0" fontId="8" fillId="12" borderId="2" xfId="0" applyFont="1" applyFill="1" applyBorder="1" applyAlignment="1">
      <alignment horizontal="left"/>
    </xf>
    <xf numFmtId="0" fontId="8" fillId="12" borderId="4" xfId="0" applyFont="1" applyFill="1" applyBorder="1" applyAlignment="1">
      <alignment horizontal="left"/>
    </xf>
    <xf numFmtId="0" fontId="8" fillId="12" borderId="3" xfId="0" applyFont="1" applyFill="1" applyBorder="1" applyAlignment="1">
      <alignment horizontal="left"/>
    </xf>
    <xf numFmtId="0" fontId="23" fillId="13" borderId="1" xfId="0" applyFont="1" applyFill="1" applyBorder="1" applyAlignment="1" applyProtection="1">
      <alignment horizontal="right" vertical="center"/>
      <protection locked="0"/>
    </xf>
    <xf numFmtId="0" fontId="4" fillId="13" borderId="1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left"/>
    </xf>
    <xf numFmtId="0" fontId="22" fillId="1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9" fontId="0" fillId="2" borderId="1" xfId="2" applyFont="1" applyFill="1" applyBorder="1" applyAlignment="1">
      <alignment horizontal="center" vertical="center"/>
    </xf>
    <xf numFmtId="44" fontId="0" fillId="2" borderId="1" xfId="0" applyNumberForma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0" fontId="27" fillId="0" borderId="0" xfId="0" applyFont="1" applyAlignment="1">
      <alignment horizontal="center"/>
    </xf>
    <xf numFmtId="164" fontId="27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164" fontId="29" fillId="0" borderId="0" xfId="0" applyNumberFormat="1" applyFont="1" applyAlignment="1">
      <alignment horizontal="center"/>
    </xf>
    <xf numFmtId="169" fontId="23" fillId="10" borderId="1" xfId="2" applyNumberFormat="1" applyFont="1" applyFill="1" applyBorder="1" applyProtection="1">
      <protection locked="0"/>
    </xf>
    <xf numFmtId="0" fontId="8" fillId="14" borderId="1" xfId="0" applyFont="1" applyFill="1" applyBorder="1" applyAlignment="1">
      <alignment horizontal="left"/>
    </xf>
    <xf numFmtId="0" fontId="8" fillId="14" borderId="2" xfId="0" applyFont="1" applyFill="1" applyBorder="1" applyAlignment="1">
      <alignment horizontal="left"/>
    </xf>
    <xf numFmtId="0" fontId="8" fillId="14" borderId="3" xfId="0" applyFont="1" applyFill="1" applyBorder="1" applyAlignment="1">
      <alignment horizontal="left"/>
    </xf>
    <xf numFmtId="0" fontId="8" fillId="12" borderId="4" xfId="0" applyFont="1" applyFill="1" applyBorder="1" applyAlignment="1">
      <alignment horizontal="center"/>
    </xf>
    <xf numFmtId="0" fontId="8" fillId="12" borderId="3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2" borderId="5" xfId="0" applyFill="1" applyBorder="1" applyAlignment="1">
      <alignment horizontal="left"/>
    </xf>
    <xf numFmtId="0" fontId="2" fillId="7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33" borderId="2" xfId="0" applyFill="1" applyBorder="1"/>
    <xf numFmtId="0" fontId="16" fillId="7" borderId="3" xfId="0" applyFont="1" applyFill="1" applyBorder="1" applyAlignment="1">
      <alignment horizontal="center" vertical="center"/>
    </xf>
    <xf numFmtId="2" fontId="50" fillId="0" borderId="1" xfId="0" applyNumberFormat="1" applyFont="1" applyBorder="1" applyAlignment="1">
      <alignment horizontal="center" vertical="center"/>
    </xf>
    <xf numFmtId="1" fontId="0" fillId="2" borderId="1" xfId="0" applyNumberFormat="1" applyFill="1" applyBorder="1" applyAlignment="1" applyProtection="1">
      <alignment horizontal="right"/>
      <protection locked="0"/>
    </xf>
    <xf numFmtId="0" fontId="2" fillId="0" borderId="1" xfId="0" applyFont="1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2" fontId="49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4" fontId="0" fillId="2" borderId="0" xfId="1" applyFont="1" applyFill="1" applyBorder="1" applyAlignment="1" applyProtection="1">
      <alignment horizontal="center"/>
      <protection locked="0"/>
    </xf>
    <xf numFmtId="9" fontId="1" fillId="13" borderId="1" xfId="2" applyFont="1" applyFill="1" applyBorder="1"/>
    <xf numFmtId="1" fontId="23" fillId="13" borderId="1" xfId="0" applyNumberFormat="1" applyFont="1" applyFill="1" applyBorder="1" applyAlignment="1" applyProtection="1">
      <alignment horizontal="right" vertical="center"/>
      <protection locked="0"/>
    </xf>
    <xf numFmtId="169" fontId="23" fillId="10" borderId="1" xfId="2" applyNumberFormat="1" applyFont="1" applyFill="1" applyBorder="1" applyAlignment="1" applyProtection="1">
      <alignment horizontal="right"/>
      <protection locked="0"/>
    </xf>
    <xf numFmtId="0" fontId="2" fillId="2" borderId="0" xfId="0" applyFont="1" applyFill="1" applyAlignment="1">
      <alignment horizontal="left" vertical="center"/>
    </xf>
    <xf numFmtId="1" fontId="0" fillId="2" borderId="0" xfId="0" applyNumberForma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" fontId="49" fillId="2" borderId="0" xfId="0" applyNumberFormat="1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50" fillId="2" borderId="0" xfId="0" applyFont="1" applyFill="1" applyAlignment="1">
      <alignment horizontal="center" vertical="center"/>
    </xf>
    <xf numFmtId="169" fontId="15" fillId="8" borderId="1" xfId="0" applyNumberFormat="1" applyFont="1" applyFill="1" applyBorder="1" applyAlignment="1">
      <alignment horizontal="right"/>
    </xf>
    <xf numFmtId="0" fontId="8" fillId="12" borderId="2" xfId="0" applyFont="1" applyFill="1" applyBorder="1" applyAlignment="1">
      <alignment horizontal="center"/>
    </xf>
    <xf numFmtId="0" fontId="52" fillId="34" borderId="15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/>
    </xf>
    <xf numFmtId="44" fontId="0" fillId="8" borderId="1" xfId="1" applyFont="1" applyFill="1" applyBorder="1" applyAlignment="1" applyProtection="1">
      <alignment horizontal="center"/>
      <protection locked="0"/>
    </xf>
    <xf numFmtId="0" fontId="0" fillId="13" borderId="2" xfId="0" applyFill="1" applyBorder="1"/>
    <xf numFmtId="10" fontId="0" fillId="13" borderId="1" xfId="2" applyNumberFormat="1" applyFont="1" applyFill="1" applyBorder="1" applyAlignment="1">
      <alignment horizontal="right" vertical="center"/>
    </xf>
    <xf numFmtId="44" fontId="2" fillId="13" borderId="1" xfId="1" applyFont="1" applyFill="1" applyBorder="1"/>
    <xf numFmtId="0" fontId="24" fillId="2" borderId="3" xfId="0" applyFont="1" applyFill="1" applyBorder="1"/>
    <xf numFmtId="0" fontId="4" fillId="33" borderId="1" xfId="0" applyFont="1" applyFill="1" applyBorder="1" applyAlignment="1">
      <alignment horizontal="center"/>
    </xf>
    <xf numFmtId="0" fontId="51" fillId="2" borderId="0" xfId="0" applyFont="1" applyFill="1"/>
    <xf numFmtId="0" fontId="53" fillId="12" borderId="2" xfId="0" applyFont="1" applyFill="1" applyBorder="1" applyAlignment="1">
      <alignment horizontal="left"/>
    </xf>
    <xf numFmtId="9" fontId="0" fillId="8" borderId="1" xfId="0" applyNumberFormat="1" applyFill="1" applyBorder="1" applyProtection="1">
      <protection locked="0"/>
    </xf>
    <xf numFmtId="0" fontId="0" fillId="8" borderId="0" xfId="0" applyFill="1"/>
    <xf numFmtId="44" fontId="26" fillId="2" borderId="1" xfId="0" applyNumberFormat="1" applyFont="1" applyFill="1" applyBorder="1"/>
    <xf numFmtId="0" fontId="0" fillId="34" borderId="15" xfId="0" applyFill="1" applyBorder="1" applyAlignment="1">
      <alignment horizontal="right" vertical="center" wrapText="1"/>
    </xf>
    <xf numFmtId="0" fontId="54" fillId="34" borderId="15" xfId="0" applyFont="1" applyFill="1" applyBorder="1" applyAlignment="1">
      <alignment horizontal="right" vertical="center" wrapText="1"/>
    </xf>
    <xf numFmtId="0" fontId="55" fillId="34" borderId="15" xfId="0" applyFont="1" applyFill="1" applyBorder="1" applyAlignment="1">
      <alignment horizontal="right" vertical="center" wrapText="1"/>
    </xf>
    <xf numFmtId="44" fontId="0" fillId="2" borderId="1" xfId="1" applyFont="1" applyFill="1" applyBorder="1" applyAlignment="1" applyProtection="1">
      <alignment horizontal="right"/>
      <protection locked="0"/>
    </xf>
    <xf numFmtId="1" fontId="0" fillId="2" borderId="0" xfId="0" applyNumberFormat="1" applyFill="1"/>
    <xf numFmtId="0" fontId="0" fillId="35" borderId="1" xfId="0" applyFill="1" applyBorder="1"/>
    <xf numFmtId="0" fontId="0" fillId="36" borderId="1" xfId="0" applyFill="1" applyBorder="1"/>
    <xf numFmtId="3" fontId="0" fillId="36" borderId="1" xfId="0" applyNumberFormat="1" applyFill="1" applyBorder="1"/>
    <xf numFmtId="4" fontId="0" fillId="36" borderId="1" xfId="0" applyNumberFormat="1" applyFill="1" applyBorder="1"/>
    <xf numFmtId="0" fontId="0" fillId="37" borderId="1" xfId="0" applyFill="1" applyBorder="1"/>
    <xf numFmtId="4" fontId="0" fillId="37" borderId="1" xfId="0" applyNumberFormat="1" applyFill="1" applyBorder="1"/>
    <xf numFmtId="4" fontId="0" fillId="10" borderId="1" xfId="0" applyNumberFormat="1" applyFill="1" applyBorder="1"/>
    <xf numFmtId="0" fontId="0" fillId="0" borderId="1" xfId="0" applyBorder="1"/>
    <xf numFmtId="4" fontId="0" fillId="0" borderId="1" xfId="0" applyNumberFormat="1" applyBorder="1"/>
    <xf numFmtId="0" fontId="9" fillId="38" borderId="1" xfId="0" applyFont="1" applyFill="1" applyBorder="1"/>
    <xf numFmtId="4" fontId="9" fillId="38" borderId="1" xfId="0" applyNumberFormat="1" applyFont="1" applyFill="1" applyBorder="1"/>
    <xf numFmtId="4" fontId="0" fillId="0" borderId="0" xfId="0" applyNumberFormat="1"/>
    <xf numFmtId="0" fontId="25" fillId="0" borderId="0" xfId="11"/>
    <xf numFmtId="0" fontId="56" fillId="0" borderId="0" xfId="0" applyFont="1"/>
    <xf numFmtId="0" fontId="56" fillId="2" borderId="0" xfId="0" applyFont="1" applyFill="1"/>
    <xf numFmtId="0" fontId="0" fillId="35" borderId="2" xfId="0" applyFill="1" applyBorder="1"/>
    <xf numFmtId="4" fontId="0" fillId="36" borderId="2" xfId="0" applyNumberFormat="1" applyFill="1" applyBorder="1"/>
    <xf numFmtId="4" fontId="0" fillId="2" borderId="0" xfId="0" applyNumberFormat="1" applyFill="1"/>
    <xf numFmtId="0" fontId="25" fillId="2" borderId="0" xfId="11" applyFill="1" applyBorder="1"/>
    <xf numFmtId="0" fontId="57" fillId="2" borderId="0" xfId="11" applyFont="1" applyFill="1" applyBorder="1"/>
    <xf numFmtId="2" fontId="0" fillId="36" borderId="1" xfId="0" applyNumberFormat="1" applyFill="1" applyBorder="1"/>
    <xf numFmtId="171" fontId="0" fillId="0" borderId="0" xfId="0" applyNumberFormat="1"/>
    <xf numFmtId="10" fontId="0" fillId="10" borderId="1" xfId="0" applyNumberFormat="1" applyFill="1" applyBorder="1"/>
    <xf numFmtId="4" fontId="56" fillId="0" borderId="0" xfId="0" applyNumberFormat="1" applyFont="1"/>
    <xf numFmtId="3" fontId="0" fillId="0" borderId="0" xfId="0" applyNumberFormat="1"/>
    <xf numFmtId="0" fontId="0" fillId="35" borderId="16" xfId="0" applyFill="1" applyBorder="1"/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9" fillId="2" borderId="0" xfId="0" applyNumberFormat="1" applyFont="1" applyFill="1" applyAlignment="1">
      <alignment horizontal="center"/>
    </xf>
    <xf numFmtId="0" fontId="8" fillId="14" borderId="1" xfId="0" applyFont="1" applyFill="1" applyBorder="1" applyAlignment="1">
      <alignment horizontal="left"/>
    </xf>
    <xf numFmtId="0" fontId="8" fillId="14" borderId="1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left" vertical="center"/>
    </xf>
    <xf numFmtId="0" fontId="8" fillId="14" borderId="4" xfId="0" applyFont="1" applyFill="1" applyBorder="1" applyAlignment="1">
      <alignment horizontal="left" vertical="center"/>
    </xf>
    <xf numFmtId="0" fontId="8" fillId="14" borderId="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4" borderId="0" xfId="9" applyFont="1" applyAlignment="1">
      <alignment horizontal="center"/>
    </xf>
    <xf numFmtId="0" fontId="11" fillId="4" borderId="0" xfId="9" applyFont="1" applyAlignment="1">
      <alignment horizontal="center" vertical="center"/>
    </xf>
  </cellXfs>
  <cellStyles count="56">
    <cellStyle name="20% - Accent1" xfId="15" xr:uid="{00000000-0005-0000-0000-000000000000}"/>
    <cellStyle name="20% - Accent2" xfId="16" xr:uid="{00000000-0005-0000-0000-000001000000}"/>
    <cellStyle name="20% - Accent3" xfId="17" xr:uid="{00000000-0005-0000-0000-000002000000}"/>
    <cellStyle name="20% - Accent4" xfId="18" xr:uid="{00000000-0005-0000-0000-000003000000}"/>
    <cellStyle name="20% - Accent5" xfId="19" xr:uid="{00000000-0005-0000-0000-000004000000}"/>
    <cellStyle name="20% - Accent6" xfId="20" xr:uid="{00000000-0005-0000-0000-000005000000}"/>
    <cellStyle name="20% - Ênfase1" xfId="9" builtinId="30"/>
    <cellStyle name="40% - Accent1" xfId="21" xr:uid="{00000000-0005-0000-0000-000007000000}"/>
    <cellStyle name="40% - Accent2" xfId="22" xr:uid="{00000000-0005-0000-0000-000008000000}"/>
    <cellStyle name="40% - Accent3" xfId="23" xr:uid="{00000000-0005-0000-0000-000009000000}"/>
    <cellStyle name="40% - Accent4" xfId="24" xr:uid="{00000000-0005-0000-0000-00000A000000}"/>
    <cellStyle name="40% - Accent5" xfId="25" xr:uid="{00000000-0005-0000-0000-00000B000000}"/>
    <cellStyle name="40% - Accent6" xfId="26" xr:uid="{00000000-0005-0000-0000-00000C000000}"/>
    <cellStyle name="60% - Accent1" xfId="27" xr:uid="{00000000-0005-0000-0000-00000D000000}"/>
    <cellStyle name="60% - Accent2" xfId="28" xr:uid="{00000000-0005-0000-0000-00000E000000}"/>
    <cellStyle name="60% - Accent3" xfId="29" xr:uid="{00000000-0005-0000-0000-00000F000000}"/>
    <cellStyle name="60% - Accent4" xfId="30" xr:uid="{00000000-0005-0000-0000-000010000000}"/>
    <cellStyle name="60% - Accent5" xfId="31" xr:uid="{00000000-0005-0000-0000-000011000000}"/>
    <cellStyle name="60% - Accent6" xfId="32" xr:uid="{00000000-0005-0000-0000-000012000000}"/>
    <cellStyle name="Accent1" xfId="33" xr:uid="{00000000-0005-0000-0000-000013000000}"/>
    <cellStyle name="Accent2" xfId="34" xr:uid="{00000000-0005-0000-0000-000014000000}"/>
    <cellStyle name="Accent3" xfId="35" xr:uid="{00000000-0005-0000-0000-000015000000}"/>
    <cellStyle name="Accent4" xfId="36" xr:uid="{00000000-0005-0000-0000-000016000000}"/>
    <cellStyle name="Accent5" xfId="37" xr:uid="{00000000-0005-0000-0000-000017000000}"/>
    <cellStyle name="Accent6" xfId="38" xr:uid="{00000000-0005-0000-0000-000018000000}"/>
    <cellStyle name="Bad" xfId="39" xr:uid="{00000000-0005-0000-0000-000019000000}"/>
    <cellStyle name="Calculation" xfId="40" xr:uid="{00000000-0005-0000-0000-00001A000000}"/>
    <cellStyle name="Check Cell" xfId="41" xr:uid="{00000000-0005-0000-0000-00001B000000}"/>
    <cellStyle name="Ênfase1" xfId="8" builtinId="29"/>
    <cellStyle name="Explanatory Text" xfId="42" xr:uid="{00000000-0005-0000-0000-00001D000000}"/>
    <cellStyle name="Good" xfId="43" xr:uid="{00000000-0005-0000-0000-00001E000000}"/>
    <cellStyle name="Heading 1" xfId="44" xr:uid="{00000000-0005-0000-0000-00001F000000}"/>
    <cellStyle name="Heading 2" xfId="45" xr:uid="{00000000-0005-0000-0000-000020000000}"/>
    <cellStyle name="Heading 3" xfId="46" xr:uid="{00000000-0005-0000-0000-000021000000}"/>
    <cellStyle name="Heading 4" xfId="47" xr:uid="{00000000-0005-0000-0000-000022000000}"/>
    <cellStyle name="Hiperlink" xfId="11" builtinId="8"/>
    <cellStyle name="Hiperlink 2" xfId="10" xr:uid="{00000000-0005-0000-0000-000024000000}"/>
    <cellStyle name="Hiperlink 3" xfId="14" xr:uid="{00000000-0005-0000-0000-000025000000}"/>
    <cellStyle name="Hyperlink_blank" xfId="48" xr:uid="{00000000-0005-0000-0000-000026000000}"/>
    <cellStyle name="Input" xfId="49" xr:uid="{00000000-0005-0000-0000-000027000000}"/>
    <cellStyle name="Linked Cell" xfId="50" xr:uid="{00000000-0005-0000-0000-000028000000}"/>
    <cellStyle name="Moeda" xfId="1" builtinId="4"/>
    <cellStyle name="Moeda 2" xfId="4" xr:uid="{00000000-0005-0000-0000-00002A000000}"/>
    <cellStyle name="Neutral" xfId="51" xr:uid="{00000000-0005-0000-0000-00002B000000}"/>
    <cellStyle name="Normal" xfId="0" builtinId="0"/>
    <cellStyle name="Normal 2" xfId="5" xr:uid="{00000000-0005-0000-0000-00002D000000}"/>
    <cellStyle name="Normal 3" xfId="12" xr:uid="{00000000-0005-0000-0000-00002E000000}"/>
    <cellStyle name="Note" xfId="52" xr:uid="{00000000-0005-0000-0000-00002F000000}"/>
    <cellStyle name="Output" xfId="53" xr:uid="{00000000-0005-0000-0000-000030000000}"/>
    <cellStyle name="Porcentagem" xfId="2" builtinId="5"/>
    <cellStyle name="Porcentagem 2" xfId="6" xr:uid="{00000000-0005-0000-0000-000032000000}"/>
    <cellStyle name="Separador de milhares 2" xfId="7" xr:uid="{00000000-0005-0000-0000-000033000000}"/>
    <cellStyle name="Title" xfId="54" xr:uid="{00000000-0005-0000-0000-000034000000}"/>
    <cellStyle name="Vírgula" xfId="3" builtinId="3"/>
    <cellStyle name="Vírgula 2" xfId="13" xr:uid="{00000000-0005-0000-0000-000036000000}"/>
    <cellStyle name="Warning Text" xfId="55" xr:uid="{00000000-0005-0000-0000-000037000000}"/>
  </cellStyles>
  <dxfs count="24">
    <dxf>
      <fill>
        <patternFill>
          <bgColor rgb="FFFF0000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60"/>
          <bgColor indexed="10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strike val="0"/>
        <color rgb="FFFF0000"/>
      </font>
    </dxf>
    <dxf>
      <fill>
        <patternFill>
          <bgColor rgb="FFFF0000"/>
        </patternFill>
      </fill>
    </dxf>
    <dxf>
      <font>
        <b/>
        <i val="0"/>
        <color rgb="FFFFC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relativeIndent="0" justifyLastLine="0" shrinkToFit="0" readingOrder="0"/>
    </dxf>
  </dxfs>
  <tableStyles count="0" defaultTableStyle="TableStyleMedium2" defaultPivotStyle="PivotStyleLight16"/>
  <colors>
    <mruColors>
      <color rgb="FFFFCC29"/>
      <color rgb="FFFFFF99"/>
      <color rgb="FF003366"/>
      <color rgb="FF131F35"/>
      <color rgb="FFFFCC00"/>
      <color rgb="FFEBC642"/>
      <color rgb="FFD8D4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ysClr val="windowText" lastClr="000000"/>
                </a:solidFill>
              </a:defRPr>
            </a:pPr>
            <a:r>
              <a:rPr lang="pt-BR" sz="1200">
                <a:solidFill>
                  <a:sysClr val="windowText" lastClr="000000"/>
                </a:solidFill>
              </a:rPr>
              <a:t>Previsão Otimizada de Geração de Energia</a:t>
            </a:r>
          </a:p>
          <a:p>
            <a:pPr>
              <a:defRPr sz="1100">
                <a:solidFill>
                  <a:sysClr val="windowText" lastClr="000000"/>
                </a:solidFill>
              </a:defRPr>
            </a:pPr>
            <a:r>
              <a:rPr lang="pt-BR" sz="1100">
                <a:solidFill>
                  <a:sysClr val="windowText" lastClr="000000"/>
                </a:solidFill>
              </a:rPr>
              <a:t>(kWh/mês)</a:t>
            </a:r>
          </a:p>
        </c:rich>
      </c:tx>
      <c:layout>
        <c:manualLayout>
          <c:xMode val="edge"/>
          <c:yMode val="edge"/>
          <c:x val="0.2976299707602339"/>
          <c:y val="4.379870624048706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Geração</c:v>
          </c:tx>
          <c:spPr>
            <a:noFill/>
            <a:ln w="19050">
              <a:solidFill>
                <a:srgbClr val="C00000"/>
              </a:solidFill>
            </a:ln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dLbl>
              <c:idx val="12"/>
              <c:numFmt formatCode="#,##0" sourceLinked="0"/>
              <c:spPr/>
              <c:txPr>
                <a:bodyPr/>
                <a:lstStyle/>
                <a:p>
                  <a:pPr>
                    <a:defRPr/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CD4A-4BEF-BF15-DD71A31CB83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Janeiro</c:v>
              </c:pt>
              <c:pt idx="1">
                <c:v>Fevereiro</c:v>
              </c:pt>
              <c:pt idx="2">
                <c:v>Março</c:v>
              </c:pt>
              <c:pt idx="3">
                <c:v>Abril</c:v>
              </c:pt>
              <c:pt idx="4">
                <c:v>Maio</c:v>
              </c:pt>
              <c:pt idx="5">
                <c:v>Junho</c:v>
              </c:pt>
              <c:pt idx="6">
                <c:v>Julho</c:v>
              </c:pt>
              <c:pt idx="7">
                <c:v>Agosto</c:v>
              </c:pt>
              <c:pt idx="8">
                <c:v>Setembro</c:v>
              </c:pt>
              <c:pt idx="9">
                <c:v>Outubro</c:v>
              </c:pt>
              <c:pt idx="10">
                <c:v>Novembro</c:v>
              </c:pt>
              <c:pt idx="11">
                <c:v>Dezembro</c:v>
              </c:pt>
            </c:strLit>
          </c:cat>
          <c:val>
            <c:numRef>
              <c:f>'Análise Técnica'!$I$9:$T$9</c:f>
              <c:numCache>
                <c:formatCode>_-* #,##0_-;\-* #,##0_-;_-* "-"??_-;_-@_-</c:formatCode>
                <c:ptCount val="12"/>
                <c:pt idx="0">
                  <c:v>911.23719790949986</c:v>
                </c:pt>
                <c:pt idx="1">
                  <c:v>959.73166223549981</c:v>
                </c:pt>
                <c:pt idx="2">
                  <c:v>805.38641229375025</c:v>
                </c:pt>
                <c:pt idx="3">
                  <c:v>714.19120189200009</c:v>
                </c:pt>
                <c:pt idx="4">
                  <c:v>588.15921260250013</c:v>
                </c:pt>
                <c:pt idx="5">
                  <c:v>543.92439717000013</c:v>
                </c:pt>
                <c:pt idx="6">
                  <c:v>543.8499277837501</c:v>
                </c:pt>
                <c:pt idx="7">
                  <c:v>672.51813334650001</c:v>
                </c:pt>
                <c:pt idx="8">
                  <c:v>683.09278619400015</c:v>
                </c:pt>
                <c:pt idx="9">
                  <c:v>764.17505394299997</c:v>
                </c:pt>
                <c:pt idx="10">
                  <c:v>769.68578852550002</c:v>
                </c:pt>
                <c:pt idx="11">
                  <c:v>883.05798215250002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4A-4BEF-BF15-DD71A31CB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712000"/>
        <c:axId val="159713536"/>
      </c:barChart>
      <c:lineChart>
        <c:grouping val="standard"/>
        <c:varyColors val="0"/>
        <c:ser>
          <c:idx val="1"/>
          <c:order val="1"/>
          <c:tx>
            <c:v>Geração Média Ideal</c:v>
          </c:tx>
          <c:spPr>
            <a:ln w="31750">
              <a:solidFill>
                <a:srgbClr val="FFCC00"/>
              </a:solidFill>
              <a:prstDash val="dash"/>
            </a:ln>
          </c:spPr>
          <c:marker>
            <c:symbol val="none"/>
          </c:marker>
          <c:val>
            <c:numRef>
              <c:f>'Análise Técnica'!$I$10:$T$10</c:f>
              <c:numCache>
                <c:formatCode>_-* #,##0_-;\-* #,##0_-;_-* "-"??_-;_-@_-</c:formatCode>
                <c:ptCount val="12"/>
                <c:pt idx="0">
                  <c:v>650</c:v>
                </c:pt>
                <c:pt idx="1">
                  <c:v>650</c:v>
                </c:pt>
                <c:pt idx="2">
                  <c:v>650</c:v>
                </c:pt>
                <c:pt idx="3">
                  <c:v>650</c:v>
                </c:pt>
                <c:pt idx="4">
                  <c:v>650</c:v>
                </c:pt>
                <c:pt idx="5">
                  <c:v>650</c:v>
                </c:pt>
                <c:pt idx="6">
                  <c:v>650</c:v>
                </c:pt>
                <c:pt idx="7">
                  <c:v>650</c:v>
                </c:pt>
                <c:pt idx="8">
                  <c:v>650</c:v>
                </c:pt>
                <c:pt idx="9">
                  <c:v>650</c:v>
                </c:pt>
                <c:pt idx="10">
                  <c:v>650</c:v>
                </c:pt>
                <c:pt idx="11">
                  <c:v>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4A-4BEF-BF15-DD71A31CB831}"/>
            </c:ext>
          </c:extLst>
        </c:ser>
        <c:ser>
          <c:idx val="2"/>
          <c:order val="2"/>
          <c:tx>
            <c:v>Consumo</c:v>
          </c:tx>
          <c:spPr>
            <a:ln>
              <a:solidFill>
                <a:schemeClr val="tx1">
                  <a:lumMod val="65000"/>
                  <a:lumOff val="35000"/>
                </a:schemeClr>
              </a:solidFill>
            </a:ln>
          </c:spPr>
          <c:marker>
            <c:symbol val="none"/>
          </c:marker>
          <c:val>
            <c:numRef>
              <c:f>'Análise Técnica'!$I$7:$T$7</c:f>
              <c:numCache>
                <c:formatCode>_-* #,##0_-;\-* #,##0_-;_-* "-"??_-;_-@_-</c:formatCode>
                <c:ptCount val="12"/>
                <c:pt idx="0">
                  <c:v>750</c:v>
                </c:pt>
                <c:pt idx="1">
                  <c:v>750</c:v>
                </c:pt>
                <c:pt idx="2">
                  <c:v>750</c:v>
                </c:pt>
                <c:pt idx="3">
                  <c:v>750</c:v>
                </c:pt>
                <c:pt idx="4">
                  <c:v>750</c:v>
                </c:pt>
                <c:pt idx="5">
                  <c:v>750</c:v>
                </c:pt>
                <c:pt idx="6">
                  <c:v>750</c:v>
                </c:pt>
                <c:pt idx="7">
                  <c:v>750</c:v>
                </c:pt>
                <c:pt idx="8">
                  <c:v>750</c:v>
                </c:pt>
                <c:pt idx="9">
                  <c:v>750</c:v>
                </c:pt>
                <c:pt idx="10">
                  <c:v>750</c:v>
                </c:pt>
                <c:pt idx="11">
                  <c:v>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4A-4BEF-BF15-DD71A31CB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12000"/>
        <c:axId val="159713536"/>
      </c:lineChart>
      <c:catAx>
        <c:axId val="1597120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59713536"/>
        <c:crosses val="autoZero"/>
        <c:auto val="1"/>
        <c:lblAlgn val="ctr"/>
        <c:lblOffset val="100"/>
        <c:noMultiLvlLbl val="0"/>
      </c:catAx>
      <c:valAx>
        <c:axId val="159713536"/>
        <c:scaling>
          <c:orientation val="minMax"/>
          <c:min val="0"/>
        </c:scaling>
        <c:delete val="0"/>
        <c:axPos val="l"/>
        <c:numFmt formatCode="_(* #,##0_);_(* \(#,##0\);_(* &quot;-&quot;_);_(@_)" sourceLinked="0"/>
        <c:majorTickMark val="out"/>
        <c:minorTickMark val="none"/>
        <c:tickLblPos val="nextTo"/>
        <c:crossAx val="159712000"/>
        <c:crosses val="autoZero"/>
        <c:crossBetween val="between"/>
      </c:valAx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31670934555891256"/>
          <c:y val="0.89216422121896166"/>
          <c:w val="0.6437557864479676"/>
          <c:h val="7.2000564334085776E-2"/>
        </c:manualLayout>
      </c:layout>
      <c:overlay val="0"/>
      <c:txPr>
        <a:bodyPr/>
        <a:lstStyle/>
        <a:p>
          <a:pPr>
            <a:defRPr>
              <a:latin typeface="Trebuchet MS" panose="020B0603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pt-BR" sz="1200"/>
              <a:t>Energia</a:t>
            </a:r>
            <a:r>
              <a:rPr lang="pt-BR" sz="1200" baseline="0"/>
              <a:t> Solar x Poupança</a:t>
            </a:r>
            <a:endParaRPr lang="pt-BR" sz="1200"/>
          </a:p>
        </c:rich>
      </c:tx>
      <c:layout>
        <c:manualLayout>
          <c:xMode val="edge"/>
          <c:yMode val="edge"/>
          <c:x val="0.34718011811023625"/>
          <c:y val="2.6845637583892617E-2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Poupança e Conta de Energia</c:v>
          </c:tx>
          <c:spPr>
            <a:ln>
              <a:solidFill>
                <a:srgbClr val="FFCC29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6777974976312427E-3"/>
                  <c:y val="-2.57648953301127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41B-450F-9410-58A7B3186839}"/>
                </c:ext>
              </c:extLst>
            </c:dLbl>
            <c:dLbl>
              <c:idx val="298"/>
              <c:layout>
                <c:manualLayout>
                  <c:x val="-3.1163054988945702E-2"/>
                  <c:y val="-3.864734299516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1B-450F-9410-58A7B31868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'Análise Financeira'!$AO$3:$AO$303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xVal>
          <c:yVal>
            <c:numRef>
              <c:f>'Análise Financeira'!$AP$3:$AP$303</c:f>
              <c:numCache>
                <c:formatCode>_("R$"* #,##0.00_);_("R$"* \(#,##0.00\);_("R$"* "-"??_);_(@_)</c:formatCode>
                <c:ptCount val="301"/>
                <c:pt idx="0">
                  <c:v>14234.494244800002</c:v>
                </c:pt>
                <c:pt idx="1">
                  <c:v>13337.325311826935</c:v>
                </c:pt>
                <c:pt idx="2">
                  <c:v>13377.770650210443</c:v>
                </c:pt>
                <c:pt idx="3">
                  <c:v>13418.330583719373</c:v>
                </c:pt>
                <c:pt idx="4">
                  <c:v>13459.00543703991</c:v>
                </c:pt>
                <c:pt idx="5">
                  <c:v>13499.79553577819</c:v>
                </c:pt>
                <c:pt idx="6">
                  <c:v>13540.701206462894</c:v>
                </c:pt>
                <c:pt idx="7">
                  <c:v>13581.722776547871</c:v>
                </c:pt>
                <c:pt idx="8">
                  <c:v>13622.860574414757</c:v>
                </c:pt>
                <c:pt idx="9">
                  <c:v>13664.114929375599</c:v>
                </c:pt>
                <c:pt idx="10">
                  <c:v>13705.486171675497</c:v>
                </c:pt>
                <c:pt idx="11">
                  <c:v>13746.974632495241</c:v>
                </c:pt>
                <c:pt idx="12">
                  <c:v>13788.580643953977</c:v>
                </c:pt>
                <c:pt idx="13">
                  <c:v>13755.304539111845</c:v>
                </c:pt>
                <c:pt idx="14">
                  <c:v>13797.146651972664</c:v>
                </c:pt>
                <c:pt idx="15">
                  <c:v>13839.107317486583</c:v>
                </c:pt>
                <c:pt idx="16">
                  <c:v>13881.186871552798</c:v>
                </c:pt>
                <c:pt idx="17">
                  <c:v>13923.385651022196</c:v>
                </c:pt>
                <c:pt idx="18">
                  <c:v>13965.703993700092</c:v>
                </c:pt>
                <c:pt idx="19">
                  <c:v>14008.142238348908</c:v>
                </c:pt>
                <c:pt idx="20">
                  <c:v>14050.700724690898</c:v>
                </c:pt>
                <c:pt idx="21">
                  <c:v>14093.379793410853</c:v>
                </c:pt>
                <c:pt idx="22">
                  <c:v>14136.179786158849</c:v>
                </c:pt>
                <c:pt idx="23">
                  <c:v>14179.101045552967</c:v>
                </c:pt>
                <c:pt idx="24">
                  <c:v>14222.143915182034</c:v>
                </c:pt>
                <c:pt idx="25">
                  <c:v>14184.308739608383</c:v>
                </c:pt>
                <c:pt idx="26">
                  <c:v>14227.595864370607</c:v>
                </c:pt>
                <c:pt idx="27">
                  <c:v>14271.005635986319</c:v>
                </c:pt>
                <c:pt idx="28">
                  <c:v>14314.538401954946</c:v>
                </c:pt>
                <c:pt idx="29">
                  <c:v>14358.194510760486</c:v>
                </c:pt>
                <c:pt idx="30">
                  <c:v>14401.974311874306</c:v>
                </c:pt>
                <c:pt idx="31">
                  <c:v>14445.878155757951</c:v>
                </c:pt>
                <c:pt idx="32">
                  <c:v>14489.906393865931</c:v>
                </c:pt>
                <c:pt idx="33">
                  <c:v>14534.05937864855</c:v>
                </c:pt>
                <c:pt idx="34">
                  <c:v>14578.337463554722</c:v>
                </c:pt>
                <c:pt idx="35">
                  <c:v>14622.741003034791</c:v>
                </c:pt>
                <c:pt idx="36">
                  <c:v>14667.270352543388</c:v>
                </c:pt>
                <c:pt idx="37">
                  <c:v>14624.445868542261</c:v>
                </c:pt>
                <c:pt idx="38">
                  <c:v>14669.227908503131</c:v>
                </c:pt>
                <c:pt idx="39">
                  <c:v>14714.136830910558</c:v>
                </c:pt>
                <c:pt idx="40">
                  <c:v>14759.172995264802</c:v>
                </c:pt>
                <c:pt idx="41">
                  <c:v>14804.336762084717</c:v>
                </c:pt>
                <c:pt idx="42">
                  <c:v>14849.628492910628</c:v>
                </c:pt>
                <c:pt idx="43">
                  <c:v>14895.048550307205</c:v>
                </c:pt>
                <c:pt idx="44">
                  <c:v>14940.597297866405</c:v>
                </c:pt>
                <c:pt idx="45">
                  <c:v>14986.27510021036</c:v>
                </c:pt>
                <c:pt idx="46">
                  <c:v>15032.082322994293</c:v>
                </c:pt>
                <c:pt idx="47">
                  <c:v>15078.01933290944</c:v>
                </c:pt>
                <c:pt idx="48">
                  <c:v>15124.086497686018</c:v>
                </c:pt>
                <c:pt idx="49">
                  <c:v>15075.805786096125</c:v>
                </c:pt>
                <c:pt idx="50">
                  <c:v>15122.134367956733</c:v>
                </c:pt>
                <c:pt idx="51">
                  <c:v>15168.594214132612</c:v>
                </c:pt>
                <c:pt idx="52">
                  <c:v>15215.185696539316</c:v>
                </c:pt>
                <c:pt idx="53">
                  <c:v>15261.909188146179</c:v>
                </c:pt>
                <c:pt idx="54">
                  <c:v>15308.765062979259</c:v>
                </c:pt>
                <c:pt idx="55">
                  <c:v>15355.753696124368</c:v>
                </c:pt>
                <c:pt idx="56">
                  <c:v>15402.875463730055</c:v>
                </c:pt>
                <c:pt idx="57">
                  <c:v>15450.130743010621</c:v>
                </c:pt>
                <c:pt idx="58">
                  <c:v>15497.51991224915</c:v>
                </c:pt>
                <c:pt idx="59">
                  <c:v>15545.043350800519</c:v>
                </c:pt>
                <c:pt idx="60">
                  <c:v>15592.701439094453</c:v>
                </c:pt>
                <c:pt idx="61">
                  <c:v>15538.457886638555</c:v>
                </c:pt>
                <c:pt idx="62">
                  <c:v>15586.386420021363</c:v>
                </c:pt>
                <c:pt idx="63">
                  <c:v>15634.450750915423</c:v>
                </c:pt>
                <c:pt idx="64">
                  <c:v>15682.65126408035</c:v>
                </c:pt>
                <c:pt idx="65">
                  <c:v>15730.988345365908</c:v>
                </c:pt>
                <c:pt idx="66">
                  <c:v>15779.462381715113</c:v>
                </c:pt>
                <c:pt idx="67">
                  <c:v>15828.073761167305</c:v>
                </c:pt>
                <c:pt idx="68">
                  <c:v>15876.822872861279</c:v>
                </c:pt>
                <c:pt idx="69">
                  <c:v>15925.710107038381</c:v>
                </c:pt>
                <c:pt idx="70">
                  <c:v>15974.735855045661</c:v>
                </c:pt>
                <c:pt idx="71">
                  <c:v>16023.900509338955</c:v>
                </c:pt>
                <c:pt idx="72">
                  <c:v>16073.204463486081</c:v>
                </c:pt>
                <c:pt idx="73">
                  <c:v>16012.448506409955</c:v>
                </c:pt>
                <c:pt idx="74">
                  <c:v>16062.032245431774</c:v>
                </c:pt>
                <c:pt idx="75">
                  <c:v>16111.756471714145</c:v>
                </c:pt>
                <c:pt idx="76">
                  <c:v>16161.621583304322</c:v>
                </c:pt>
                <c:pt idx="77">
                  <c:v>16211.627979377334</c:v>
                </c:pt>
                <c:pt idx="78">
                  <c:v>16261.776060239225</c:v>
                </c:pt>
                <c:pt idx="79">
                  <c:v>16312.066227330224</c:v>
                </c:pt>
                <c:pt idx="80">
                  <c:v>16362.498883227983</c:v>
                </c:pt>
                <c:pt idx="81">
                  <c:v>16413.074431650777</c:v>
                </c:pt>
                <c:pt idx="82">
                  <c:v>16463.793277460776</c:v>
                </c:pt>
                <c:pt idx="83">
                  <c:v>16514.655826667229</c:v>
                </c:pt>
                <c:pt idx="84">
                  <c:v>16565.662486429777</c:v>
                </c:pt>
                <c:pt idx="85">
                  <c:v>16497.798090840846</c:v>
                </c:pt>
                <c:pt idx="86">
                  <c:v>16549.094197812174</c:v>
                </c:pt>
                <c:pt idx="87">
                  <c:v>16600.535643753257</c:v>
                </c:pt>
                <c:pt idx="88">
                  <c:v>16652.122840457836</c:v>
                </c:pt>
                <c:pt idx="89">
                  <c:v>16703.85620088641</c:v>
                </c:pt>
                <c:pt idx="90">
                  <c:v>16755.736139169534</c:v>
                </c:pt>
                <c:pt idx="91">
                  <c:v>16807.763070611123</c:v>
                </c:pt>
                <c:pt idx="92">
                  <c:v>16859.937411691801</c:v>
                </c:pt>
                <c:pt idx="93">
                  <c:v>16912.259580072205</c:v>
                </c:pt>
                <c:pt idx="94">
                  <c:v>16964.729994596353</c:v>
                </c:pt>
                <c:pt idx="95">
                  <c:v>17017.349075294991</c:v>
                </c:pt>
                <c:pt idx="96">
                  <c:v>17070.117243388937</c:v>
                </c:pt>
                <c:pt idx="97">
                  <c:v>16994.498101134021</c:v>
                </c:pt>
                <c:pt idx="98">
                  <c:v>17047.565712458294</c:v>
                </c:pt>
                <c:pt idx="99">
                  <c:v>17100.783682014651</c:v>
                </c:pt>
                <c:pt idx="100">
                  <c:v>17154.152435818087</c:v>
                </c:pt>
                <c:pt idx="101">
                  <c:v>17207.672401090629</c:v>
                </c:pt>
                <c:pt idx="102">
                  <c:v>17261.344006264782</c:v>
                </c:pt>
                <c:pt idx="103">
                  <c:v>17315.167680986928</c:v>
                </c:pt>
                <c:pt idx="104">
                  <c:v>17369.143856120783</c:v>
                </c:pt>
                <c:pt idx="105">
                  <c:v>17423.272963750853</c:v>
                </c:pt>
                <c:pt idx="106">
                  <c:v>17477.555437185878</c:v>
                </c:pt>
                <c:pt idx="107">
                  <c:v>17531.991710962295</c:v>
                </c:pt>
                <c:pt idx="108">
                  <c:v>17586.582220847744</c:v>
                </c:pt>
                <c:pt idx="109">
                  <c:v>17502.507638073399</c:v>
                </c:pt>
                <c:pt idx="110">
                  <c:v>17557.407932422022</c:v>
                </c:pt>
                <c:pt idx="111">
                  <c:v>17612.463777604629</c:v>
                </c:pt>
                <c:pt idx="112">
                  <c:v>17667.675614348591</c:v>
                </c:pt>
                <c:pt idx="113">
                  <c:v>17723.043884629988</c:v>
                </c:pt>
                <c:pt idx="114">
                  <c:v>17778.569031677187</c:v>
                </c:pt>
                <c:pt idx="115">
                  <c:v>17834.251499974354</c:v>
                </c:pt>
                <c:pt idx="116">
                  <c:v>17890.091735265025</c:v>
                </c:pt>
                <c:pt idx="117">
                  <c:v>17946.090184555687</c:v>
                </c:pt>
                <c:pt idx="118">
                  <c:v>18002.247296119338</c:v>
                </c:pt>
                <c:pt idx="119">
                  <c:v>18058.563519499094</c:v>
                </c:pt>
                <c:pt idx="120">
                  <c:v>18115.039305511753</c:v>
                </c:pt>
                <c:pt idx="121">
                  <c:v>18021.749759218612</c:v>
                </c:pt>
                <c:pt idx="122">
                  <c:v>18078.546028060402</c:v>
                </c:pt>
                <c:pt idx="123">
                  <c:v>18135.503219663908</c:v>
                </c:pt>
                <c:pt idx="124">
                  <c:v>18192.621789976962</c:v>
                </c:pt>
                <c:pt idx="125">
                  <c:v>18249.90219623924</c:v>
                </c:pt>
                <c:pt idx="126">
                  <c:v>18307.34489698592</c:v>
                </c:pt>
                <c:pt idx="127">
                  <c:v>18364.950352051386</c:v>
                </c:pt>
                <c:pt idx="128">
                  <c:v>18422.71902257287</c:v>
                </c:pt>
                <c:pt idx="129">
                  <c:v>18480.651370994165</c:v>
                </c:pt>
                <c:pt idx="130">
                  <c:v>18538.747861069322</c:v>
                </c:pt>
                <c:pt idx="131">
                  <c:v>18597.008957866357</c:v>
                </c:pt>
                <c:pt idx="132">
                  <c:v>18655.435127770979</c:v>
                </c:pt>
                <c:pt idx="133">
                  <c:v>18552.10746369488</c:v>
                </c:pt>
                <c:pt idx="134">
                  <c:v>18610.865184261271</c:v>
                </c:pt>
                <c:pt idx="135">
                  <c:v>18669.78938503594</c:v>
                </c:pt>
                <c:pt idx="136">
                  <c:v>18728.880537712801</c:v>
                </c:pt>
                <c:pt idx="137">
                  <c:v>18788.139115322247</c:v>
                </c:pt>
                <c:pt idx="138">
                  <c:v>18847.565592234918</c:v>
                </c:pt>
                <c:pt idx="139">
                  <c:v>18907.160444165507</c:v>
                </c:pt>
                <c:pt idx="140">
                  <c:v>18966.924148176568</c:v>
                </c:pt>
                <c:pt idx="141">
                  <c:v>19026.857182682328</c:v>
                </c:pt>
                <c:pt idx="142">
                  <c:v>19086.960027452518</c:v>
                </c:pt>
                <c:pt idx="143">
                  <c:v>19147.233163616227</c:v>
                </c:pt>
                <c:pt idx="144">
                  <c:v>19207.677073665734</c:v>
                </c:pt>
                <c:pt idx="145">
                  <c:v>19093.419316681284</c:v>
                </c:pt>
                <c:pt idx="146">
                  <c:v>19154.206227451348</c:v>
                </c:pt>
                <c:pt idx="147">
                  <c:v>19215.165367801925</c:v>
                </c:pt>
                <c:pt idx="148">
                  <c:v>19276.297225716829</c:v>
                </c:pt>
                <c:pt idx="149">
                  <c:v>19337.602290562496</c:v>
                </c:pt>
                <c:pt idx="150">
                  <c:v>19399.081053091886</c:v>
                </c:pt>
                <c:pt idx="151">
                  <c:v>19460.734005448448</c:v>
                </c:pt>
                <c:pt idx="152">
                  <c:v>19522.561641170021</c:v>
                </c:pt>
                <c:pt idx="153">
                  <c:v>19584.564455192802</c:v>
                </c:pt>
                <c:pt idx="154">
                  <c:v>19646.742943855315</c:v>
                </c:pt>
                <c:pt idx="155">
                  <c:v>19709.097604902367</c:v>
                </c:pt>
                <c:pt idx="156">
                  <c:v>19771.628937489055</c:v>
                </c:pt>
                <c:pt idx="157">
                  <c:v>19645.474683423319</c:v>
                </c:pt>
                <c:pt idx="158">
                  <c:v>19708.360862215639</c:v>
                </c:pt>
                <c:pt idx="159">
                  <c:v>19771.425218514545</c:v>
                </c:pt>
                <c:pt idx="160">
                  <c:v>19834.668257156292</c:v>
                </c:pt>
                <c:pt idx="161">
                  <c:v>19898.090484407523</c:v>
                </c:pt>
                <c:pt idx="162">
                  <c:v>19961.692407969305</c:v>
                </c:pt>
                <c:pt idx="163">
                  <c:v>20025.474536981172</c:v>
                </c:pt>
                <c:pt idx="164">
                  <c:v>20089.43738202524</c:v>
                </c:pt>
                <c:pt idx="165">
                  <c:v>20153.581455130272</c:v>
                </c:pt>
                <c:pt idx="166">
                  <c:v>20217.907269775766</c:v>
                </c:pt>
                <c:pt idx="167">
                  <c:v>20282.415340896088</c:v>
                </c:pt>
                <c:pt idx="168">
                  <c:v>20347.106184884582</c:v>
                </c:pt>
                <c:pt idx="169">
                  <c:v>20208.008540135375</c:v>
                </c:pt>
                <c:pt idx="170">
                  <c:v>20273.066484896863</c:v>
                </c:pt>
                <c:pt idx="171">
                  <c:v>20338.308760501834</c:v>
                </c:pt>
                <c:pt idx="172">
                  <c:v>20403.735889221021</c:v>
                </c:pt>
                <c:pt idx="173">
                  <c:v>20469.348394804914</c:v>
                </c:pt>
                <c:pt idx="174">
                  <c:v>20535.146802487965</c:v>
                </c:pt>
                <c:pt idx="175">
                  <c:v>20601.131638992782</c:v>
                </c:pt>
                <c:pt idx="176">
                  <c:v>20667.303432534358</c:v>
                </c:pt>
                <c:pt idx="177">
                  <c:v>20733.662712824309</c:v>
                </c:pt>
                <c:pt idx="178">
                  <c:v>20800.210011075076</c:v>
                </c:pt>
                <c:pt idx="179">
                  <c:v>20866.945860004227</c:v>
                </c:pt>
                <c:pt idx="180">
                  <c:v>20933.870793838669</c:v>
                </c:pt>
                <c:pt idx="181">
                  <c:v>20780.695826499657</c:v>
                </c:pt>
                <c:pt idx="182">
                  <c:v>20848.000538884324</c:v>
                </c:pt>
                <c:pt idx="183">
                  <c:v>20915.495947954085</c:v>
                </c:pt>
                <c:pt idx="184">
                  <c:v>20983.182594016213</c:v>
                </c:pt>
                <c:pt idx="185">
                  <c:v>21051.061018908844</c:v>
                </c:pt>
                <c:pt idx="186">
                  <c:v>21119.131766005343</c:v>
                </c:pt>
                <c:pt idx="187">
                  <c:v>21187.395380218608</c:v>
                </c:pt>
                <c:pt idx="188">
                  <c:v>21255.852408005481</c:v>
                </c:pt>
                <c:pt idx="189">
                  <c:v>21324.503397371089</c:v>
                </c:pt>
                <c:pt idx="190">
                  <c:v>21393.348897873228</c:v>
                </c:pt>
                <c:pt idx="191">
                  <c:v>21462.38946062679</c:v>
                </c:pt>
                <c:pt idx="192">
                  <c:v>21531.625638308156</c:v>
                </c:pt>
                <c:pt idx="193">
                  <c:v>21363.145301594745</c:v>
                </c:pt>
                <c:pt idx="194">
                  <c:v>21432.774373428951</c:v>
                </c:pt>
                <c:pt idx="195">
                  <c:v>21502.600727633355</c:v>
                </c:pt>
                <c:pt idx="196">
                  <c:v>21572.624923174673</c:v>
                </c:pt>
                <c:pt idx="197">
                  <c:v>21642.847520603354</c:v>
                </c:pt>
                <c:pt idx="198">
                  <c:v>21713.269082058086</c:v>
                </c:pt>
                <c:pt idx="199">
                  <c:v>21783.890171270272</c:v>
                </c:pt>
                <c:pt idx="200">
                  <c:v>21854.71135356856</c:v>
                </c:pt>
                <c:pt idx="201">
                  <c:v>21925.73319588336</c:v>
                </c:pt>
                <c:pt idx="202">
                  <c:v>21996.956266751389</c:v>
                </c:pt>
                <c:pt idx="203">
                  <c:v>22068.3811363202</c:v>
                </c:pt>
                <c:pt idx="204">
                  <c:v>22140.008376352798</c:v>
                </c:pt>
                <c:pt idx="205">
                  <c:v>21954.892861982091</c:v>
                </c:pt>
                <c:pt idx="206">
                  <c:v>22026.926564715774</c:v>
                </c:pt>
                <c:pt idx="207">
                  <c:v>22099.164362940533</c:v>
                </c:pt>
                <c:pt idx="208">
                  <c:v>22171.606834926934</c:v>
                </c:pt>
                <c:pt idx="209">
                  <c:v>22244.254560583955</c:v>
                </c:pt>
                <c:pt idx="210">
                  <c:v>22317.108121463672</c:v>
                </c:pt>
                <c:pt idx="211">
                  <c:v>22390.168100765881</c:v>
                </c:pt>
                <c:pt idx="212">
                  <c:v>22463.435083342785</c:v>
                </c:pt>
                <c:pt idx="213">
                  <c:v>22536.90965570365</c:v>
                </c:pt>
                <c:pt idx="214">
                  <c:v>22610.592406019543</c:v>
                </c:pt>
                <c:pt idx="215">
                  <c:v>22684.483924127999</c:v>
                </c:pt>
                <c:pt idx="216">
                  <c:v>22758.58480153776</c:v>
                </c:pt>
                <c:pt idx="217">
                  <c:v>22555.394277323452</c:v>
                </c:pt>
                <c:pt idx="218">
                  <c:v>22629.915654570574</c:v>
                </c:pt>
                <c:pt idx="219">
                  <c:v>22704.648175719896</c:v>
                </c:pt>
                <c:pt idx="220">
                  <c:v>22779.592439012475</c:v>
                </c:pt>
                <c:pt idx="221">
                  <c:v>22854.749044384389</c:v>
                </c:pt>
                <c:pt idx="222">
                  <c:v>22930.118593471521</c:v>
                </c:pt>
                <c:pt idx="223">
                  <c:v>23005.701689614401</c:v>
                </c:pt>
                <c:pt idx="224">
                  <c:v>23081.498937863016</c:v>
                </c:pt>
                <c:pt idx="225">
                  <c:v>23157.51094498167</c:v>
                </c:pt>
                <c:pt idx="226">
                  <c:v>23233.738319453831</c:v>
                </c:pt>
                <c:pt idx="227">
                  <c:v>23310.181671486986</c:v>
                </c:pt>
                <c:pt idx="228">
                  <c:v>23386.841613017576</c:v>
                </c:pt>
                <c:pt idx="229">
                  <c:v>23164.017295276961</c:v>
                </c:pt>
                <c:pt idx="230">
                  <c:v>23241.112258551868</c:v>
                </c:pt>
                <c:pt idx="231">
                  <c:v>23318.425657556054</c:v>
                </c:pt>
                <c:pt idx="232">
                  <c:v>23395.958111190743</c:v>
                </c:pt>
                <c:pt idx="233">
                  <c:v>23473.710240110733</c:v>
                </c:pt>
                <c:pt idx="234">
                  <c:v>23551.682666729343</c:v>
                </c:pt>
                <c:pt idx="235">
                  <c:v>23629.876015223359</c:v>
                </c:pt>
                <c:pt idx="236">
                  <c:v>23708.290911538104</c:v>
                </c:pt>
                <c:pt idx="237">
                  <c:v>23786.927983392416</c:v>
                </c:pt>
                <c:pt idx="238">
                  <c:v>23865.78786028365</c:v>
                </c:pt>
                <c:pt idx="239">
                  <c:v>23944.871173492738</c:v>
                </c:pt>
                <c:pt idx="240">
                  <c:v>24024.178556089257</c:v>
                </c:pt>
                <c:pt idx="241">
                  <c:v>23780.03306350248</c:v>
                </c:pt>
                <c:pt idx="242">
                  <c:v>23859.790491262422</c:v>
                </c:pt>
                <c:pt idx="243">
                  <c:v>23939.773898401018</c:v>
                </c:pt>
                <c:pt idx="244">
                  <c:v>24019.983925193166</c:v>
                </c:pt>
                <c:pt idx="245">
                  <c:v>24100.421213727899</c:v>
                </c:pt>
                <c:pt idx="246">
                  <c:v>24181.08640791347</c:v>
                </c:pt>
                <c:pt idx="247">
                  <c:v>24261.980153482578</c:v>
                </c:pt>
                <c:pt idx="248">
                  <c:v>24343.103097997464</c:v>
                </c:pt>
                <c:pt idx="249">
                  <c:v>24424.455890855137</c:v>
                </c:pt>
                <c:pt idx="250">
                  <c:v>24506.039183292571</c:v>
                </c:pt>
                <c:pt idx="251">
                  <c:v>24587.853628391913</c:v>
                </c:pt>
                <c:pt idx="252">
                  <c:v>24669.899881085705</c:v>
                </c:pt>
                <c:pt idx="253">
                  <c:v>24402.606812373437</c:v>
                </c:pt>
                <c:pt idx="254">
                  <c:v>24485.118652481578</c:v>
                </c:pt>
                <c:pt idx="255">
                  <c:v>24567.864276136694</c:v>
                </c:pt>
                <c:pt idx="256">
                  <c:v>24650.844345725498</c:v>
                </c:pt>
                <c:pt idx="257">
                  <c:v>24734.059525511468</c:v>
                </c:pt>
                <c:pt idx="258">
                  <c:v>24817.510481640165</c:v>
                </c:pt>
                <c:pt idx="259">
                  <c:v>24901.197882144566</c:v>
                </c:pt>
                <c:pt idx="260">
                  <c:v>24985.122396950392</c:v>
                </c:pt>
                <c:pt idx="261">
                  <c:v>25069.2846978815</c:v>
                </c:pt>
                <c:pt idx="262">
                  <c:v>25153.685458665248</c:v>
                </c:pt>
                <c:pt idx="263">
                  <c:v>25238.325354937882</c:v>
                </c:pt>
                <c:pt idx="264">
                  <c:v>25323.205064249953</c:v>
                </c:pt>
                <c:pt idx="265">
                  <c:v>25030.787737419952</c:v>
                </c:pt>
                <c:pt idx="266">
                  <c:v>25116.149113146908</c:v>
                </c:pt>
                <c:pt idx="267">
                  <c:v>25201.752346105084</c:v>
                </c:pt>
                <c:pt idx="268">
                  <c:v>25287.598121556643</c:v>
                </c:pt>
                <c:pt idx="269">
                  <c:v>25373.687126705317</c:v>
                </c:pt>
                <c:pt idx="270">
                  <c:v>25460.020050701911</c:v>
                </c:pt>
                <c:pt idx="271">
                  <c:v>25546.59758464983</c:v>
                </c:pt>
                <c:pt idx="272">
                  <c:v>25633.420421610608</c:v>
                </c:pt>
                <c:pt idx="273">
                  <c:v>25720.489256609431</c:v>
                </c:pt>
                <c:pt idx="274">
                  <c:v>25807.804786640758</c:v>
                </c:pt>
                <c:pt idx="275">
                  <c:v>25895.367710673836</c:v>
                </c:pt>
                <c:pt idx="276">
                  <c:v>25983.178729658342</c:v>
                </c:pt>
                <c:pt idx="277">
                  <c:v>25663.498015586032</c:v>
                </c:pt>
                <c:pt idx="278">
                  <c:v>25751.807335272126</c:v>
                </c:pt>
                <c:pt idx="279">
                  <c:v>25840.366864697338</c:v>
                </c:pt>
                <c:pt idx="280">
                  <c:v>25929.177312789259</c:v>
                </c:pt>
                <c:pt idx="281">
                  <c:v>26018.239390484094</c:v>
                </c:pt>
                <c:pt idx="282">
                  <c:v>26107.55381073241</c:v>
                </c:pt>
                <c:pt idx="283">
                  <c:v>26197.12128850475</c:v>
                </c:pt>
                <c:pt idx="284">
                  <c:v>26286.942540797449</c:v>
                </c:pt>
                <c:pt idx="285">
                  <c:v>26377.018286638318</c:v>
                </c:pt>
                <c:pt idx="286">
                  <c:v>26467.349247092388</c:v>
                </c:pt>
                <c:pt idx="287">
                  <c:v>26557.936145267762</c:v>
                </c:pt>
                <c:pt idx="288">
                  <c:v>26648.779706321293</c:v>
                </c:pt>
                <c:pt idx="289">
                  <c:v>26299.520884045014</c:v>
                </c:pt>
                <c:pt idx="290">
                  <c:v>26390.879954549779</c:v>
                </c:pt>
                <c:pt idx="291">
                  <c:v>26482.497875754289</c:v>
                </c:pt>
                <c:pt idx="292">
                  <c:v>26574.375381068883</c:v>
                </c:pt>
                <c:pt idx="293">
                  <c:v>26666.513205981872</c:v>
                </c:pt>
                <c:pt idx="294">
                  <c:v>26758.912088065448</c:v>
                </c:pt>
                <c:pt idx="295">
                  <c:v>26851.572766981597</c:v>
                </c:pt>
                <c:pt idx="296">
                  <c:v>26944.495984488</c:v>
                </c:pt>
                <c:pt idx="297">
                  <c:v>27037.682484444005</c:v>
                </c:pt>
                <c:pt idx="298">
                  <c:v>27131.133012816565</c:v>
                </c:pt>
                <c:pt idx="299">
                  <c:v>27224.848317686163</c:v>
                </c:pt>
                <c:pt idx="300">
                  <c:v>27318.829149252902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41B-450F-9410-58A7B3186839}"/>
            </c:ext>
          </c:extLst>
        </c:ser>
        <c:ser>
          <c:idx val="1"/>
          <c:order val="1"/>
          <c:tx>
            <c:v>Energia Solar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7.1143732656550841E-3"/>
                  <c:y val="5.3112939677509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1B-450F-9410-58A7B3186839}"/>
                </c:ext>
              </c:extLst>
            </c:dLbl>
            <c:dLbl>
              <c:idx val="300"/>
              <c:layout>
                <c:manualLayout>
                  <c:x val="-3.7872468890284033E-2"/>
                  <c:y val="-2.89855072463768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41B-450F-9410-58A7B31868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'Análise Financeira'!$AO$3:$AO$303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xVal>
          <c:yVal>
            <c:numRef>
              <c:f>'Análise Financeira'!$AQ$3:$AQ$303</c:f>
              <c:numCache>
                <c:formatCode>_("R$"* #,##0.00_);_("R$"* \(#,##0.00\);_("R$"* "-"??_);_(@_)</c:formatCode>
                <c:ptCount val="301"/>
                <c:pt idx="0">
                  <c:v>-14234.494244800002</c:v>
                </c:pt>
                <c:pt idx="1">
                  <c:v>-13421.994244800002</c:v>
                </c:pt>
                <c:pt idx="2">
                  <c:v>-12609.494244800002</c:v>
                </c:pt>
                <c:pt idx="3">
                  <c:v>-11796.994244800002</c:v>
                </c:pt>
                <c:pt idx="4">
                  <c:v>-10984.494244800002</c:v>
                </c:pt>
                <c:pt idx="5">
                  <c:v>-10171.994244800002</c:v>
                </c:pt>
                <c:pt idx="6">
                  <c:v>-9359.494244800002</c:v>
                </c:pt>
                <c:pt idx="7">
                  <c:v>-8546.994244800002</c:v>
                </c:pt>
                <c:pt idx="8">
                  <c:v>-7734.494244800002</c:v>
                </c:pt>
                <c:pt idx="9">
                  <c:v>-6921.994244800002</c:v>
                </c:pt>
                <c:pt idx="10">
                  <c:v>-6109.494244800002</c:v>
                </c:pt>
                <c:pt idx="11">
                  <c:v>-5296.994244800002</c:v>
                </c:pt>
                <c:pt idx="12">
                  <c:v>-4484.494244800002</c:v>
                </c:pt>
                <c:pt idx="13">
                  <c:v>-3606.994244800002</c:v>
                </c:pt>
                <c:pt idx="14">
                  <c:v>-2729.494244800002</c:v>
                </c:pt>
                <c:pt idx="15">
                  <c:v>-1851.994244800002</c:v>
                </c:pt>
                <c:pt idx="16">
                  <c:v>-974.49424480000187</c:v>
                </c:pt>
                <c:pt idx="17">
                  <c:v>-96.994244800001752</c:v>
                </c:pt>
                <c:pt idx="18">
                  <c:v>780.50575519999836</c:v>
                </c:pt>
                <c:pt idx="19">
                  <c:v>1658.0057551999985</c:v>
                </c:pt>
                <c:pt idx="20">
                  <c:v>2535.5057551999985</c:v>
                </c:pt>
                <c:pt idx="21">
                  <c:v>3413.0057551999985</c:v>
                </c:pt>
                <c:pt idx="22">
                  <c:v>4290.5057551999989</c:v>
                </c:pt>
                <c:pt idx="23">
                  <c:v>5168.0057551999989</c:v>
                </c:pt>
                <c:pt idx="24">
                  <c:v>6045.5057551999989</c:v>
                </c:pt>
                <c:pt idx="25">
                  <c:v>6993.2057551999987</c:v>
                </c:pt>
                <c:pt idx="26">
                  <c:v>7940.9057551999986</c:v>
                </c:pt>
                <c:pt idx="27">
                  <c:v>8888.6057551999984</c:v>
                </c:pt>
                <c:pt idx="28">
                  <c:v>9836.3057551999991</c:v>
                </c:pt>
                <c:pt idx="29">
                  <c:v>10784.0057552</c:v>
                </c:pt>
                <c:pt idx="30">
                  <c:v>11731.705755200001</c:v>
                </c:pt>
                <c:pt idx="31">
                  <c:v>12679.405755200001</c:v>
                </c:pt>
                <c:pt idx="32">
                  <c:v>13627.105755200002</c:v>
                </c:pt>
                <c:pt idx="33">
                  <c:v>14574.805755200003</c:v>
                </c:pt>
                <c:pt idx="34">
                  <c:v>15522.505755200003</c:v>
                </c:pt>
                <c:pt idx="35">
                  <c:v>16470.205755200004</c:v>
                </c:pt>
                <c:pt idx="36">
                  <c:v>17417.905755200005</c:v>
                </c:pt>
                <c:pt idx="37">
                  <c:v>18441.421755200005</c:v>
                </c:pt>
                <c:pt idx="38">
                  <c:v>19464.937755200004</c:v>
                </c:pt>
                <c:pt idx="39">
                  <c:v>20488.453755200004</c:v>
                </c:pt>
                <c:pt idx="40">
                  <c:v>21511.969755200003</c:v>
                </c:pt>
                <c:pt idx="41">
                  <c:v>22535.485755200003</c:v>
                </c:pt>
                <c:pt idx="42">
                  <c:v>23559.001755200003</c:v>
                </c:pt>
                <c:pt idx="43">
                  <c:v>24582.517755200002</c:v>
                </c:pt>
                <c:pt idx="44">
                  <c:v>25606.033755200002</c:v>
                </c:pt>
                <c:pt idx="45">
                  <c:v>26629.549755200002</c:v>
                </c:pt>
                <c:pt idx="46">
                  <c:v>27653.065755200001</c:v>
                </c:pt>
                <c:pt idx="47">
                  <c:v>28676.581755200001</c:v>
                </c:pt>
                <c:pt idx="48">
                  <c:v>29700.0977552</c:v>
                </c:pt>
                <c:pt idx="49">
                  <c:v>30805.495035200001</c:v>
                </c:pt>
                <c:pt idx="50">
                  <c:v>31910.892315200002</c:v>
                </c:pt>
                <c:pt idx="51">
                  <c:v>33016.289595200004</c:v>
                </c:pt>
                <c:pt idx="52">
                  <c:v>34121.686875200001</c:v>
                </c:pt>
                <c:pt idx="53">
                  <c:v>35227.084155199998</c:v>
                </c:pt>
                <c:pt idx="54">
                  <c:v>36332.481435199996</c:v>
                </c:pt>
                <c:pt idx="55">
                  <c:v>37437.878715199993</c:v>
                </c:pt>
                <c:pt idx="56">
                  <c:v>38543.275995199991</c:v>
                </c:pt>
                <c:pt idx="57">
                  <c:v>39648.673275199988</c:v>
                </c:pt>
                <c:pt idx="58">
                  <c:v>40754.070555199985</c:v>
                </c:pt>
                <c:pt idx="59">
                  <c:v>41859.467835199983</c:v>
                </c:pt>
                <c:pt idx="60">
                  <c:v>42964.86511519998</c:v>
                </c:pt>
                <c:pt idx="61">
                  <c:v>44158.69417759998</c:v>
                </c:pt>
                <c:pt idx="62">
                  <c:v>45352.52323999998</c:v>
                </c:pt>
                <c:pt idx="63">
                  <c:v>46546.352302399981</c:v>
                </c:pt>
                <c:pt idx="64">
                  <c:v>47740.181364799981</c:v>
                </c:pt>
                <c:pt idx="65">
                  <c:v>48934.010427199981</c:v>
                </c:pt>
                <c:pt idx="66">
                  <c:v>50127.839489599981</c:v>
                </c:pt>
                <c:pt idx="67">
                  <c:v>51321.668551999981</c:v>
                </c:pt>
                <c:pt idx="68">
                  <c:v>52515.497614399981</c:v>
                </c:pt>
                <c:pt idx="69">
                  <c:v>53709.326676799981</c:v>
                </c:pt>
                <c:pt idx="70">
                  <c:v>54903.155739199981</c:v>
                </c:pt>
                <c:pt idx="71">
                  <c:v>56096.984801599981</c:v>
                </c:pt>
                <c:pt idx="72">
                  <c:v>57290.813863999982</c:v>
                </c:pt>
                <c:pt idx="73">
                  <c:v>58580.14925139198</c:v>
                </c:pt>
                <c:pt idx="74">
                  <c:v>59869.484638783979</c:v>
                </c:pt>
                <c:pt idx="75">
                  <c:v>61158.820026175978</c:v>
                </c:pt>
                <c:pt idx="76">
                  <c:v>62448.155413567976</c:v>
                </c:pt>
                <c:pt idx="77">
                  <c:v>63737.490800959975</c:v>
                </c:pt>
                <c:pt idx="78">
                  <c:v>65026.826188351974</c:v>
                </c:pt>
                <c:pt idx="79">
                  <c:v>66316.161575743972</c:v>
                </c:pt>
                <c:pt idx="80">
                  <c:v>67605.496963135971</c:v>
                </c:pt>
                <c:pt idx="81">
                  <c:v>68894.83235052797</c:v>
                </c:pt>
                <c:pt idx="82">
                  <c:v>70184.167737919968</c:v>
                </c:pt>
                <c:pt idx="83">
                  <c:v>71473.503125311967</c:v>
                </c:pt>
                <c:pt idx="84">
                  <c:v>72762.838512703966</c:v>
                </c:pt>
                <c:pt idx="85">
                  <c:v>74155.320731087326</c:v>
                </c:pt>
                <c:pt idx="86">
                  <c:v>75547.802949470686</c:v>
                </c:pt>
                <c:pt idx="87">
                  <c:v>76940.285167854046</c:v>
                </c:pt>
                <c:pt idx="88">
                  <c:v>78332.767386237407</c:v>
                </c:pt>
                <c:pt idx="89">
                  <c:v>79725.249604620767</c:v>
                </c:pt>
                <c:pt idx="90">
                  <c:v>81117.731823004127</c:v>
                </c:pt>
                <c:pt idx="91">
                  <c:v>82510.214041387488</c:v>
                </c:pt>
                <c:pt idx="92">
                  <c:v>83902.696259770848</c:v>
                </c:pt>
                <c:pt idx="93">
                  <c:v>85295.178478154208</c:v>
                </c:pt>
                <c:pt idx="94">
                  <c:v>86687.660696537569</c:v>
                </c:pt>
                <c:pt idx="95">
                  <c:v>88080.142914920929</c:v>
                </c:pt>
                <c:pt idx="96">
                  <c:v>89472.625133304289</c:v>
                </c:pt>
                <c:pt idx="97">
                  <c:v>90976.505929158317</c:v>
                </c:pt>
                <c:pt idx="98">
                  <c:v>92480.386725012344</c:v>
                </c:pt>
                <c:pt idx="99">
                  <c:v>93984.267520866371</c:v>
                </c:pt>
                <c:pt idx="100">
                  <c:v>95488.148316720399</c:v>
                </c:pt>
                <c:pt idx="101">
                  <c:v>96992.029112574426</c:v>
                </c:pt>
                <c:pt idx="102">
                  <c:v>98495.909908428453</c:v>
                </c:pt>
                <c:pt idx="103">
                  <c:v>99999.790704282481</c:v>
                </c:pt>
                <c:pt idx="104">
                  <c:v>101503.67150013651</c:v>
                </c:pt>
                <c:pt idx="105">
                  <c:v>103007.55229599054</c:v>
                </c:pt>
                <c:pt idx="106">
                  <c:v>104511.43309184456</c:v>
                </c:pt>
                <c:pt idx="107">
                  <c:v>106015.31388769859</c:v>
                </c:pt>
                <c:pt idx="108">
                  <c:v>107519.19468355262</c:v>
                </c:pt>
                <c:pt idx="109">
                  <c:v>109143.38594307497</c:v>
                </c:pt>
                <c:pt idx="110">
                  <c:v>110767.57720259733</c:v>
                </c:pt>
                <c:pt idx="111">
                  <c:v>112391.76846211968</c:v>
                </c:pt>
                <c:pt idx="112">
                  <c:v>114015.95972164204</c:v>
                </c:pt>
                <c:pt idx="113">
                  <c:v>115640.15098116439</c:v>
                </c:pt>
                <c:pt idx="114">
                  <c:v>117264.34224068675</c:v>
                </c:pt>
                <c:pt idx="115">
                  <c:v>118888.5335002091</c:v>
                </c:pt>
                <c:pt idx="116">
                  <c:v>120512.72475973146</c:v>
                </c:pt>
                <c:pt idx="117">
                  <c:v>122136.91601925381</c:v>
                </c:pt>
                <c:pt idx="118">
                  <c:v>123761.10727877617</c:v>
                </c:pt>
                <c:pt idx="119">
                  <c:v>125385.29853829852</c:v>
                </c:pt>
                <c:pt idx="120">
                  <c:v>127009.48979782088</c:v>
                </c:pt>
                <c:pt idx="121">
                  <c:v>128763.61635810502</c:v>
                </c:pt>
                <c:pt idx="122">
                  <c:v>130517.74291838917</c:v>
                </c:pt>
                <c:pt idx="123">
                  <c:v>132271.8694786733</c:v>
                </c:pt>
                <c:pt idx="124">
                  <c:v>134025.99603895744</c:v>
                </c:pt>
                <c:pt idx="125">
                  <c:v>135780.12259924159</c:v>
                </c:pt>
                <c:pt idx="126">
                  <c:v>137534.24915952573</c:v>
                </c:pt>
                <c:pt idx="127">
                  <c:v>139288.37571980988</c:v>
                </c:pt>
                <c:pt idx="128">
                  <c:v>141042.50228009402</c:v>
                </c:pt>
                <c:pt idx="129">
                  <c:v>142796.62884037817</c:v>
                </c:pt>
                <c:pt idx="130">
                  <c:v>144550.75540066231</c:v>
                </c:pt>
                <c:pt idx="131">
                  <c:v>146304.88196094646</c:v>
                </c:pt>
                <c:pt idx="132">
                  <c:v>148059.0085212306</c:v>
                </c:pt>
                <c:pt idx="133">
                  <c:v>149953.46520633748</c:v>
                </c:pt>
                <c:pt idx="134">
                  <c:v>151847.92189144436</c:v>
                </c:pt>
                <c:pt idx="135">
                  <c:v>153742.37857655124</c:v>
                </c:pt>
                <c:pt idx="136">
                  <c:v>155636.83526165813</c:v>
                </c:pt>
                <c:pt idx="137">
                  <c:v>157531.29194676501</c:v>
                </c:pt>
                <c:pt idx="138">
                  <c:v>159425.74863187189</c:v>
                </c:pt>
                <c:pt idx="139">
                  <c:v>161320.20531697877</c:v>
                </c:pt>
                <c:pt idx="140">
                  <c:v>163214.66200208565</c:v>
                </c:pt>
                <c:pt idx="141">
                  <c:v>165109.11868719253</c:v>
                </c:pt>
                <c:pt idx="142">
                  <c:v>167003.57537229941</c:v>
                </c:pt>
                <c:pt idx="143">
                  <c:v>168898.03205740629</c:v>
                </c:pt>
                <c:pt idx="144">
                  <c:v>170792.48874251317</c:v>
                </c:pt>
                <c:pt idx="145">
                  <c:v>172838.50196242859</c:v>
                </c:pt>
                <c:pt idx="146">
                  <c:v>174884.51518234401</c:v>
                </c:pt>
                <c:pt idx="147">
                  <c:v>176930.52840225943</c:v>
                </c:pt>
                <c:pt idx="148">
                  <c:v>178976.54162217485</c:v>
                </c:pt>
                <c:pt idx="149">
                  <c:v>181022.55484209026</c:v>
                </c:pt>
                <c:pt idx="150">
                  <c:v>183068.56806200568</c:v>
                </c:pt>
                <c:pt idx="151">
                  <c:v>185114.5812819211</c:v>
                </c:pt>
                <c:pt idx="152">
                  <c:v>187160.59450183652</c:v>
                </c:pt>
                <c:pt idx="153">
                  <c:v>189206.60772175193</c:v>
                </c:pt>
                <c:pt idx="154">
                  <c:v>191252.62094166735</c:v>
                </c:pt>
                <c:pt idx="155">
                  <c:v>193298.63416158277</c:v>
                </c:pt>
                <c:pt idx="156">
                  <c:v>195344.64738149819</c:v>
                </c:pt>
                <c:pt idx="157">
                  <c:v>197554.34165900684</c:v>
                </c:pt>
                <c:pt idx="158">
                  <c:v>199764.03593651549</c:v>
                </c:pt>
                <c:pt idx="159">
                  <c:v>201973.73021402414</c:v>
                </c:pt>
                <c:pt idx="160">
                  <c:v>204183.42449153279</c:v>
                </c:pt>
                <c:pt idx="161">
                  <c:v>206393.11876904144</c:v>
                </c:pt>
                <c:pt idx="162">
                  <c:v>208602.81304655009</c:v>
                </c:pt>
                <c:pt idx="163">
                  <c:v>210812.50732405874</c:v>
                </c:pt>
                <c:pt idx="164">
                  <c:v>213022.20160156739</c:v>
                </c:pt>
                <c:pt idx="165">
                  <c:v>215231.89587907604</c:v>
                </c:pt>
                <c:pt idx="166">
                  <c:v>217441.59015658469</c:v>
                </c:pt>
                <c:pt idx="167">
                  <c:v>219651.28443409334</c:v>
                </c:pt>
                <c:pt idx="168">
                  <c:v>221860.97871160199</c:v>
                </c:pt>
                <c:pt idx="169">
                  <c:v>224247.44853131133</c:v>
                </c:pt>
                <c:pt idx="170">
                  <c:v>226633.91835102066</c:v>
                </c:pt>
                <c:pt idx="171">
                  <c:v>229020.38817073</c:v>
                </c:pt>
                <c:pt idx="172">
                  <c:v>231406.85799043934</c:v>
                </c:pt>
                <c:pt idx="173">
                  <c:v>233793.32781014868</c:v>
                </c:pt>
                <c:pt idx="174">
                  <c:v>236179.79762985802</c:v>
                </c:pt>
                <c:pt idx="175">
                  <c:v>238566.26744956736</c:v>
                </c:pt>
                <c:pt idx="176">
                  <c:v>240952.73726927669</c:v>
                </c:pt>
                <c:pt idx="177">
                  <c:v>243339.20708898603</c:v>
                </c:pt>
                <c:pt idx="178">
                  <c:v>245725.67690869537</c:v>
                </c:pt>
                <c:pt idx="179">
                  <c:v>248112.14672840471</c:v>
                </c:pt>
                <c:pt idx="180">
                  <c:v>250498.61654811405</c:v>
                </c:pt>
                <c:pt idx="181">
                  <c:v>252898.07277534014</c:v>
                </c:pt>
                <c:pt idx="182">
                  <c:v>255297.52900256624</c:v>
                </c:pt>
                <c:pt idx="183">
                  <c:v>257696.98522979234</c:v>
                </c:pt>
                <c:pt idx="184">
                  <c:v>260096.44145701843</c:v>
                </c:pt>
                <c:pt idx="185">
                  <c:v>262495.89768424456</c:v>
                </c:pt>
                <c:pt idx="186">
                  <c:v>264788.4187412585</c:v>
                </c:pt>
                <c:pt idx="187">
                  <c:v>266545.43910883943</c:v>
                </c:pt>
                <c:pt idx="188">
                  <c:v>268760.24521934224</c:v>
                </c:pt>
                <c:pt idx="189">
                  <c:v>271012.67465169646</c:v>
                </c:pt>
                <c:pt idx="190">
                  <c:v>273412.13087892253</c:v>
                </c:pt>
                <c:pt idx="191">
                  <c:v>275811.5871061486</c:v>
                </c:pt>
                <c:pt idx="192">
                  <c:v>278211.04333337466</c:v>
                </c:pt>
                <c:pt idx="193">
                  <c:v>280994.62173108367</c:v>
                </c:pt>
                <c:pt idx="194">
                  <c:v>283778.20012879267</c:v>
                </c:pt>
                <c:pt idx="195">
                  <c:v>286561.77852650167</c:v>
                </c:pt>
                <c:pt idx="196">
                  <c:v>289345.35692421068</c:v>
                </c:pt>
                <c:pt idx="197">
                  <c:v>292128.93532191968</c:v>
                </c:pt>
                <c:pt idx="198">
                  <c:v>294503.02573600475</c:v>
                </c:pt>
                <c:pt idx="199">
                  <c:v>296578.14517161192</c:v>
                </c:pt>
                <c:pt idx="200">
                  <c:v>299144.21234935819</c:v>
                </c:pt>
                <c:pt idx="201">
                  <c:v>301750.62828239083</c:v>
                </c:pt>
                <c:pt idx="202">
                  <c:v>304534.20668009983</c:v>
                </c:pt>
                <c:pt idx="203">
                  <c:v>307317.78507780883</c:v>
                </c:pt>
                <c:pt idx="204">
                  <c:v>310101.36347551784</c:v>
                </c:pt>
                <c:pt idx="205">
                  <c:v>313107.62814504356</c:v>
                </c:pt>
                <c:pt idx="206">
                  <c:v>316113.89281456929</c:v>
                </c:pt>
                <c:pt idx="207">
                  <c:v>319120.15748409502</c:v>
                </c:pt>
                <c:pt idx="208">
                  <c:v>322126.42215362075</c:v>
                </c:pt>
                <c:pt idx="209">
                  <c:v>325132.68682314648</c:v>
                </c:pt>
                <c:pt idx="210">
                  <c:v>327563.82453600061</c:v>
                </c:pt>
                <c:pt idx="211">
                  <c:v>329789.26562352316</c:v>
                </c:pt>
                <c:pt idx="212">
                  <c:v>332541.21870762535</c:v>
                </c:pt>
                <c:pt idx="213">
                  <c:v>335336.44341084687</c:v>
                </c:pt>
                <c:pt idx="214">
                  <c:v>338342.7080803726</c:v>
                </c:pt>
                <c:pt idx="215">
                  <c:v>341348.97274989833</c:v>
                </c:pt>
                <c:pt idx="216">
                  <c:v>344355.23741942405</c:v>
                </c:pt>
                <c:pt idx="217">
                  <c:v>347602.0032625118</c:v>
                </c:pt>
                <c:pt idx="218">
                  <c:v>350848.76910559955</c:v>
                </c:pt>
                <c:pt idx="219">
                  <c:v>354095.5349486873</c:v>
                </c:pt>
                <c:pt idx="220">
                  <c:v>357342.30079177505</c:v>
                </c:pt>
                <c:pt idx="221">
                  <c:v>360589.0666348628</c:v>
                </c:pt>
                <c:pt idx="222">
                  <c:v>363072.18960794265</c:v>
                </c:pt>
                <c:pt idx="223">
                  <c:v>365458.84164784534</c:v>
                </c:pt>
                <c:pt idx="224">
                  <c:v>368410.14621335996</c:v>
                </c:pt>
                <c:pt idx="225">
                  <c:v>371407.85699408286</c:v>
                </c:pt>
                <c:pt idx="226">
                  <c:v>374654.62283717061</c:v>
                </c:pt>
                <c:pt idx="227">
                  <c:v>377901.38868025836</c:v>
                </c:pt>
                <c:pt idx="228">
                  <c:v>381148.15452334611</c:v>
                </c:pt>
                <c:pt idx="229">
                  <c:v>384654.66163388087</c:v>
                </c:pt>
                <c:pt idx="230">
                  <c:v>388161.16874441563</c:v>
                </c:pt>
                <c:pt idx="231">
                  <c:v>391667.67585495039</c:v>
                </c:pt>
                <c:pt idx="232">
                  <c:v>395174.18296548515</c:v>
                </c:pt>
                <c:pt idx="233">
                  <c:v>398649.74242140929</c:v>
                </c:pt>
                <c:pt idx="234">
                  <c:v>401209.63401312078</c:v>
                </c:pt>
                <c:pt idx="235">
                  <c:v>403769.17512679403</c:v>
                </c:pt>
                <c:pt idx="236">
                  <c:v>406934.27219503449</c:v>
                </c:pt>
                <c:pt idx="237">
                  <c:v>410149.13714471291</c:v>
                </c:pt>
                <c:pt idx="238">
                  <c:v>413655.64425524767</c:v>
                </c:pt>
                <c:pt idx="239">
                  <c:v>417162.15136578243</c:v>
                </c:pt>
                <c:pt idx="240">
                  <c:v>420668.65847631718</c:v>
                </c:pt>
                <c:pt idx="241">
                  <c:v>424455.68615569477</c:v>
                </c:pt>
                <c:pt idx="242">
                  <c:v>428242.71383507235</c:v>
                </c:pt>
                <c:pt idx="243">
                  <c:v>432029.74151444994</c:v>
                </c:pt>
                <c:pt idx="244">
                  <c:v>435816.76919382752</c:v>
                </c:pt>
                <c:pt idx="245">
                  <c:v>439425.82638921362</c:v>
                </c:pt>
                <c:pt idx="246">
                  <c:v>442171.15652782872</c:v>
                </c:pt>
                <c:pt idx="247">
                  <c:v>444916.11079977645</c:v>
                </c:pt>
                <c:pt idx="248">
                  <c:v>448310.48749964027</c:v>
                </c:pt>
                <c:pt idx="249">
                  <c:v>451758.23726627341</c:v>
                </c:pt>
                <c:pt idx="250">
                  <c:v>455545.264945651</c:v>
                </c:pt>
                <c:pt idx="251">
                  <c:v>459332.29262502858</c:v>
                </c:pt>
                <c:pt idx="252">
                  <c:v>463119.32030440617</c:v>
                </c:pt>
                <c:pt idx="253">
                  <c:v>467209.31019813393</c:v>
                </c:pt>
                <c:pt idx="254">
                  <c:v>471299.30009186169</c:v>
                </c:pt>
                <c:pt idx="255">
                  <c:v>475389.28998558945</c:v>
                </c:pt>
                <c:pt idx="256">
                  <c:v>479479.27987931721</c:v>
                </c:pt>
                <c:pt idx="257">
                  <c:v>483222.04364740988</c:v>
                </c:pt>
                <c:pt idx="258">
                  <c:v>486166.24550126627</c:v>
                </c:pt>
                <c:pt idx="259">
                  <c:v>489110.04426067387</c:v>
                </c:pt>
                <c:pt idx="260">
                  <c:v>492750.30960867577</c:v>
                </c:pt>
                <c:pt idx="261">
                  <c:v>496447.81436840381</c:v>
                </c:pt>
                <c:pt idx="262">
                  <c:v>500537.80426213157</c:v>
                </c:pt>
                <c:pt idx="263">
                  <c:v>504627.79415585933</c:v>
                </c:pt>
                <c:pt idx="264">
                  <c:v>508717.78404958709</c:v>
                </c:pt>
                <c:pt idx="265">
                  <c:v>513134.97313481307</c:v>
                </c:pt>
                <c:pt idx="266">
                  <c:v>517552.16222003906</c:v>
                </c:pt>
                <c:pt idx="267">
                  <c:v>521969.35130526504</c:v>
                </c:pt>
                <c:pt idx="268">
                  <c:v>526386.54039049102</c:v>
                </c:pt>
                <c:pt idx="269">
                  <c:v>530262.47775297496</c:v>
                </c:pt>
                <c:pt idx="270">
                  <c:v>533419.95758912468</c:v>
                </c:pt>
                <c:pt idx="271">
                  <c:v>536577.00513066375</c:v>
                </c:pt>
                <c:pt idx="272">
                  <c:v>540480.97130047495</c:v>
                </c:pt>
                <c:pt idx="273">
                  <c:v>544446.32330499776</c:v>
                </c:pt>
                <c:pt idx="274">
                  <c:v>548863.5123902238</c:v>
                </c:pt>
                <c:pt idx="275">
                  <c:v>553280.70147544984</c:v>
                </c:pt>
                <c:pt idx="276">
                  <c:v>557697.89056067588</c:v>
                </c:pt>
                <c:pt idx="277">
                  <c:v>562468.45477272</c:v>
                </c:pt>
                <c:pt idx="278">
                  <c:v>567239.01898476412</c:v>
                </c:pt>
                <c:pt idx="279">
                  <c:v>572009.58319680823</c:v>
                </c:pt>
                <c:pt idx="280">
                  <c:v>576780.14740885235</c:v>
                </c:pt>
                <c:pt idx="281">
                  <c:v>580787.86928386777</c:v>
                </c:pt>
                <c:pt idx="282">
                  <c:v>584174.07695934817</c:v>
                </c:pt>
                <c:pt idx="283">
                  <c:v>587559.82102479634</c:v>
                </c:pt>
                <c:pt idx="284">
                  <c:v>591746.59050394862</c:v>
                </c:pt>
                <c:pt idx="285">
                  <c:v>595999.19260767906</c:v>
                </c:pt>
                <c:pt idx="286">
                  <c:v>600756.57331451226</c:v>
                </c:pt>
                <c:pt idx="287">
                  <c:v>605527.13752655638</c:v>
                </c:pt>
                <c:pt idx="288">
                  <c:v>610297.7017386005</c:v>
                </c:pt>
                <c:pt idx="289">
                  <c:v>615449.91108760808</c:v>
                </c:pt>
                <c:pt idx="290">
                  <c:v>620602.12043661566</c:v>
                </c:pt>
                <c:pt idx="291">
                  <c:v>625754.32978562324</c:v>
                </c:pt>
                <c:pt idx="292">
                  <c:v>630906.53913463082</c:v>
                </c:pt>
                <c:pt idx="293">
                  <c:v>635051.24307894229</c:v>
                </c:pt>
                <c:pt idx="294">
                  <c:v>638682.74763843452</c:v>
                </c:pt>
                <c:pt idx="295">
                  <c:v>642313.75500398374</c:v>
                </c:pt>
                <c:pt idx="296">
                  <c:v>646803.81406420586</c:v>
                </c:pt>
                <c:pt idx="297">
                  <c:v>651364.47466433048</c:v>
                </c:pt>
                <c:pt idx="298">
                  <c:v>656466.48002956668</c:v>
                </c:pt>
                <c:pt idx="299">
                  <c:v>661605.2777465831</c:v>
                </c:pt>
                <c:pt idx="300">
                  <c:v>666757.48709559068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41B-450F-9410-58A7B3186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256064"/>
        <c:axId val="231257600"/>
      </c:scatterChart>
      <c:valAx>
        <c:axId val="231256064"/>
        <c:scaling>
          <c:orientation val="minMax"/>
          <c:max val="30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pt-BR"/>
          </a:p>
        </c:txPr>
        <c:crossAx val="231257600"/>
        <c:crosses val="autoZero"/>
        <c:crossBetween val="midCat"/>
        <c:majorUnit val="60"/>
      </c:valAx>
      <c:valAx>
        <c:axId val="23125760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pt-BR"/>
          </a:p>
        </c:txPr>
        <c:crossAx val="23125606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1.9005202474690668E-2"/>
          <c:y val="0.92243828217125035"/>
          <c:w val="0.92002694975628041"/>
          <c:h val="5.8238046331165125E-2"/>
        </c:manualLayout>
      </c:layout>
      <c:overlay val="0"/>
      <c:txPr>
        <a:bodyPr/>
        <a:lstStyle/>
        <a:p>
          <a:pPr>
            <a:defRPr>
              <a:solidFill>
                <a:sysClr val="windowText" lastClr="000000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00">
                <a:solidFill>
                  <a:sysClr val="windowText" lastClr="000000"/>
                </a:solidFill>
              </a:defRPr>
            </a:pPr>
            <a:r>
              <a:rPr lang="pt-BR" sz="1050">
                <a:solidFill>
                  <a:sysClr val="windowText" lastClr="000000"/>
                </a:solidFill>
              </a:rPr>
              <a:t>Previsão de Geração de Energia</a:t>
            </a:r>
          </a:p>
          <a:p>
            <a:pPr>
              <a:defRPr sz="1000">
                <a:solidFill>
                  <a:sysClr val="windowText" lastClr="000000"/>
                </a:solidFill>
              </a:defRPr>
            </a:pPr>
            <a:r>
              <a:rPr lang="pt-BR" sz="1000">
                <a:solidFill>
                  <a:sysClr val="windowText" lastClr="000000"/>
                </a:solidFill>
              </a:rPr>
              <a:t>(kWh/mês)</a:t>
            </a:r>
          </a:p>
        </c:rich>
      </c:tx>
      <c:layout>
        <c:manualLayout>
          <c:xMode val="edge"/>
          <c:yMode val="edge"/>
          <c:x val="0.32977041901382881"/>
          <c:y val="1.531744342767964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Geração</c:v>
          </c:tx>
          <c:spPr>
            <a:solidFill>
              <a:sysClr val="windowText" lastClr="000000"/>
            </a:solidFill>
            <a:ln>
              <a:noFill/>
            </a:ln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dLbl>
              <c:idx val="12"/>
              <c:numFmt formatCode="#,##0" sourceLinked="0"/>
              <c:spPr/>
              <c:txPr>
                <a:bodyPr/>
                <a:lstStyle/>
                <a:p>
                  <a:pPr>
                    <a:defRPr sz="800"/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48FD-407B-8C66-42883E2BFD2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'Análise Técnica'!$I$3:$T$3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'Análise Técnica'!$I$9:$T$9</c:f>
              <c:numCache>
                <c:formatCode>_-* #,##0_-;\-* #,##0_-;_-* "-"??_-;_-@_-</c:formatCode>
                <c:ptCount val="12"/>
                <c:pt idx="0">
                  <c:v>911.23719790949986</c:v>
                </c:pt>
                <c:pt idx="1">
                  <c:v>959.73166223549981</c:v>
                </c:pt>
                <c:pt idx="2">
                  <c:v>805.38641229375025</c:v>
                </c:pt>
                <c:pt idx="3">
                  <c:v>714.19120189200009</c:v>
                </c:pt>
                <c:pt idx="4">
                  <c:v>588.15921260250013</c:v>
                </c:pt>
                <c:pt idx="5">
                  <c:v>543.92439717000013</c:v>
                </c:pt>
                <c:pt idx="6">
                  <c:v>543.8499277837501</c:v>
                </c:pt>
                <c:pt idx="7">
                  <c:v>672.51813334650001</c:v>
                </c:pt>
                <c:pt idx="8">
                  <c:v>683.09278619400015</c:v>
                </c:pt>
                <c:pt idx="9">
                  <c:v>764.17505394299997</c:v>
                </c:pt>
                <c:pt idx="10">
                  <c:v>769.68578852550002</c:v>
                </c:pt>
                <c:pt idx="11">
                  <c:v>883.05798215250002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FD-407B-8C66-42883E2BF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8862976"/>
        <c:axId val="248872960"/>
      </c:barChart>
      <c:catAx>
        <c:axId val="248862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8872960"/>
        <c:crosses val="autoZero"/>
        <c:auto val="1"/>
        <c:lblAlgn val="ctr"/>
        <c:lblOffset val="100"/>
        <c:noMultiLvlLbl val="0"/>
      </c:catAx>
      <c:valAx>
        <c:axId val="248872960"/>
        <c:scaling>
          <c:orientation val="minMax"/>
          <c:min val="0"/>
        </c:scaling>
        <c:delete val="0"/>
        <c:axPos val="l"/>
        <c:numFmt formatCode="_(* #,##0_);_(* \(#,##0\);_(* &quot;-&quot;_);_(@_)" sourceLinked="0"/>
        <c:majorTickMark val="out"/>
        <c:minorTickMark val="none"/>
        <c:tickLblPos val="nextTo"/>
        <c:crossAx val="248862976"/>
        <c:crosses val="autoZero"/>
        <c:crossBetween val="between"/>
      </c:valAx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25284275405892964"/>
          <c:y val="0.89216422121896166"/>
          <c:w val="0.4741788601590165"/>
          <c:h val="7.2000564334085776E-2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217886962106616"/>
          <c:y val="9.8340688423089628E-2"/>
          <c:w val="0.8186748671341455"/>
          <c:h val="0.82031745235637255"/>
        </c:manualLayout>
      </c:layout>
      <c:barChart>
        <c:barDir val="col"/>
        <c:grouping val="stacked"/>
        <c:varyColors val="0"/>
        <c:ser>
          <c:idx val="0"/>
          <c:order val="0"/>
          <c:tx>
            <c:v>Fluxo de Caixa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4"/>
              <c:layout>
                <c:manualLayout>
                  <c:x val="-1.9931519923645908E-2"/>
                  <c:y val="-0.352482939632545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07A-4C6E-A63F-AC475533C2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Lit>
              <c:formatCode>General</c:formatCode>
              <c:ptCount val="2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  <c:pt idx="24">
                <c:v>24</c:v>
              </c:pt>
            </c:numLit>
          </c:cat>
          <c:val>
            <c:numRef>
              <c:f>'Análise Financeira'!$N$22:$N$46</c:f>
              <c:numCache>
                <c:formatCode>_("R$"* #,##0.00_);_("R$"* \(#,##0.00\);_("R$"* "-"??_);_(@_)</c:formatCode>
                <c:ptCount val="25"/>
                <c:pt idx="0">
                  <c:v>-4484.494244800002</c:v>
                </c:pt>
                <c:pt idx="1">
                  <c:v>6045.5057551999998</c:v>
                </c:pt>
                <c:pt idx="2">
                  <c:v>17417.905755200001</c:v>
                </c:pt>
                <c:pt idx="3">
                  <c:v>29700.097755200004</c:v>
                </c:pt>
                <c:pt idx="4">
                  <c:v>42964.865115200009</c:v>
                </c:pt>
                <c:pt idx="5">
                  <c:v>57290.813864000011</c:v>
                </c:pt>
                <c:pt idx="6">
                  <c:v>72762.838512704009</c:v>
                </c:pt>
                <c:pt idx="7">
                  <c:v>89472.625133304333</c:v>
                </c:pt>
                <c:pt idx="8">
                  <c:v>107519.19468355269</c:v>
                </c:pt>
                <c:pt idx="9">
                  <c:v>127009.48979782092</c:v>
                </c:pt>
                <c:pt idx="10">
                  <c:v>148059.0085212306</c:v>
                </c:pt>
                <c:pt idx="11">
                  <c:v>170792.48874251306</c:v>
                </c:pt>
                <c:pt idx="12">
                  <c:v>195344.64738149813</c:v>
                </c:pt>
                <c:pt idx="13">
                  <c:v>221860.97871160199</c:v>
                </c:pt>
                <c:pt idx="14">
                  <c:v>250498.61654811417</c:v>
                </c:pt>
                <c:pt idx="15">
                  <c:v>278211.04333337484</c:v>
                </c:pt>
                <c:pt idx="16">
                  <c:v>310101.36347551784</c:v>
                </c:pt>
                <c:pt idx="17">
                  <c:v>344355.23741942388</c:v>
                </c:pt>
                <c:pt idx="18">
                  <c:v>381148.15452334593</c:v>
                </c:pt>
                <c:pt idx="19">
                  <c:v>420668.65847631713</c:v>
                </c:pt>
                <c:pt idx="20">
                  <c:v>463119.32030440588</c:v>
                </c:pt>
                <c:pt idx="21">
                  <c:v>508717.78404958686</c:v>
                </c:pt>
                <c:pt idx="22">
                  <c:v>557697.89056067553</c:v>
                </c:pt>
                <c:pt idx="23">
                  <c:v>610297.7017385998</c:v>
                </c:pt>
                <c:pt idx="24">
                  <c:v>666757.4870955901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7A-4C6E-A63F-AC475533C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8898688"/>
        <c:axId val="248900608"/>
      </c:barChart>
      <c:catAx>
        <c:axId val="248898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Anos</a:t>
                </a:r>
              </a:p>
            </c:rich>
          </c:tx>
          <c:layout>
            <c:manualLayout>
              <c:xMode val="edge"/>
              <c:yMode val="edge"/>
              <c:x val="0.5086163289625637"/>
              <c:y val="0.921862738000434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8900608"/>
        <c:crosses val="autoZero"/>
        <c:auto val="0"/>
        <c:lblAlgn val="ctr"/>
        <c:lblOffset val="300"/>
        <c:tickLblSkip val="4"/>
        <c:tickMarkSkip val="5"/>
        <c:noMultiLvlLbl val="0"/>
      </c:catAx>
      <c:valAx>
        <c:axId val="24890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889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190499</xdr:colOff>
      <xdr:row>0</xdr:row>
      <xdr:rowOff>0</xdr:rowOff>
    </xdr:from>
    <xdr:to>
      <xdr:col>16</xdr:col>
      <xdr:colOff>683276</xdr:colOff>
      <xdr:row>10</xdr:row>
      <xdr:rowOff>170089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12"/>
        <a:stretch/>
      </xdr:blipFill>
      <xdr:spPr>
        <a:xfrm>
          <a:off x="18478499" y="0"/>
          <a:ext cx="2654951" cy="2066925"/>
        </a:xfrm>
        <a:prstGeom prst="rect">
          <a:avLst/>
        </a:prstGeom>
      </xdr:spPr>
    </xdr:pic>
    <xdr:clientData/>
  </xdr:twoCellAnchor>
  <xdr:twoCellAnchor editAs="oneCell">
    <xdr:from>
      <xdr:col>7</xdr:col>
      <xdr:colOff>801460</xdr:colOff>
      <xdr:row>17</xdr:row>
      <xdr:rowOff>48985</xdr:rowOff>
    </xdr:from>
    <xdr:to>
      <xdr:col>15</xdr:col>
      <xdr:colOff>526</xdr:colOff>
      <xdr:row>42</xdr:row>
      <xdr:rowOff>19810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849" t="1389"/>
        <a:stretch/>
      </xdr:blipFill>
      <xdr:spPr>
        <a:xfrm>
          <a:off x="5876924" y="3287485"/>
          <a:ext cx="6601352" cy="4733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244928</xdr:colOff>
      <xdr:row>0</xdr:row>
      <xdr:rowOff>0</xdr:rowOff>
    </xdr:from>
    <xdr:to>
      <xdr:col>31</xdr:col>
      <xdr:colOff>149479</xdr:colOff>
      <xdr:row>30</xdr:row>
      <xdr:rowOff>122464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7428" y="0"/>
          <a:ext cx="10926337" cy="5837464"/>
        </a:xfrm>
        <a:prstGeom prst="rect">
          <a:avLst/>
        </a:prstGeom>
      </xdr:spPr>
    </xdr:pic>
    <xdr:clientData/>
  </xdr:twoCellAnchor>
  <xdr:twoCellAnchor>
    <xdr:from>
      <xdr:col>21</xdr:col>
      <xdr:colOff>408215</xdr:colOff>
      <xdr:row>1</xdr:row>
      <xdr:rowOff>27214</xdr:rowOff>
    </xdr:from>
    <xdr:to>
      <xdr:col>24</xdr:col>
      <xdr:colOff>136072</xdr:colOff>
      <xdr:row>3</xdr:row>
      <xdr:rowOff>122464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3947322" y="217714"/>
          <a:ext cx="1564821" cy="4762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149677</xdr:colOff>
      <xdr:row>31</xdr:row>
      <xdr:rowOff>163286</xdr:rowOff>
    </xdr:from>
    <xdr:to>
      <xdr:col>32</xdr:col>
      <xdr:colOff>190499</xdr:colOff>
      <xdr:row>71</xdr:row>
      <xdr:rowOff>170743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/>
      </xdr:nvGrpSpPr>
      <xdr:grpSpPr>
        <a:xfrm>
          <a:off x="8273141" y="6068786"/>
          <a:ext cx="11674929" cy="7627457"/>
          <a:chOff x="7116535" y="6014357"/>
          <a:chExt cx="11674929" cy="7627457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116535" y="6014357"/>
            <a:ext cx="11674929" cy="7627457"/>
          </a:xfrm>
          <a:prstGeom prst="rect">
            <a:avLst/>
          </a:prstGeom>
        </xdr:spPr>
      </xdr:pic>
      <xdr:sp macro="" textlink="">
        <xdr:nvSpPr>
          <xdr:cNvPr id="5" name="Elipse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7146471" y="6340929"/>
            <a:ext cx="1167493" cy="35378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Elipse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9040586" y="6330044"/>
            <a:ext cx="1167493" cy="35378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Elipse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7369628" y="7380516"/>
            <a:ext cx="672193" cy="35378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" name="Elipse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13305065" y="9075964"/>
            <a:ext cx="4561114" cy="348344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11205</xdr:colOff>
      <xdr:row>36</xdr:row>
      <xdr:rowOff>134471</xdr:rowOff>
    </xdr:from>
    <xdr:to>
      <xdr:col>1</xdr:col>
      <xdr:colOff>3537706</xdr:colOff>
      <xdr:row>51</xdr:row>
      <xdr:rowOff>22412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12"/>
        <a:stretch/>
      </xdr:blipFill>
      <xdr:spPr>
        <a:xfrm>
          <a:off x="201705" y="7026089"/>
          <a:ext cx="3526501" cy="2745441"/>
        </a:xfrm>
        <a:prstGeom prst="rect">
          <a:avLst/>
        </a:prstGeom>
      </xdr:spPr>
    </xdr:pic>
    <xdr:clientData/>
  </xdr:twoCellAnchor>
  <xdr:twoCellAnchor>
    <xdr:from>
      <xdr:col>10</xdr:col>
      <xdr:colOff>409896</xdr:colOff>
      <xdr:row>11</xdr:row>
      <xdr:rowOff>36659</xdr:rowOff>
    </xdr:from>
    <xdr:to>
      <xdr:col>20</xdr:col>
      <xdr:colOff>521554</xdr:colOff>
      <xdr:row>27</xdr:row>
      <xdr:rowOff>185319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10696896" y="2132159"/>
          <a:ext cx="6297305" cy="3230278"/>
          <a:chOff x="12227117" y="2154721"/>
          <a:chExt cx="6365341" cy="3237481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>
            <a:graphicFrameLocks/>
          </xdr:cNvGraphicFramePr>
        </xdr:nvGraphicFramePr>
        <xdr:xfrm>
          <a:off x="12227117" y="2154721"/>
          <a:ext cx="6365341" cy="32374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/>
        </xdr:nvSpPr>
        <xdr:spPr>
          <a:xfrm>
            <a:off x="13115924" y="4976131"/>
            <a:ext cx="658257" cy="2412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000">
                <a:latin typeface="Trebuchet MS" panose="020B0603020202020204" pitchFamily="34" charset="0"/>
              </a:rPr>
              <a:t>Geração</a:t>
            </a:r>
          </a:p>
        </xdr:txBody>
      </xdr:sp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0.17508</cdr:x>
      <cdr:y>0.93054</cdr:y>
    </cdr:from>
    <cdr:to>
      <cdr:x>0.23124</cdr:x>
      <cdr:y>0.93054</cdr:y>
    </cdr:to>
    <cdr:cxnSp macro="">
      <cdr:nvCxnSpPr>
        <cdr:cNvPr id="3" name="Conector reto 2">
          <a:extLst xmlns:a="http://schemas.openxmlformats.org/drawingml/2006/main">
            <a:ext uri="{FF2B5EF4-FFF2-40B4-BE49-F238E27FC236}">
              <a16:creationId xmlns:a16="http://schemas.microsoft.com/office/drawing/2014/main" id="{6023B8C8-DABB-47B7-8FDF-B2532B4D175F}"/>
            </a:ext>
          </a:extLst>
        </cdr:cNvPr>
        <cdr:cNvCxnSpPr/>
      </cdr:nvCxnSpPr>
      <cdr:spPr>
        <a:xfrm xmlns:a="http://schemas.openxmlformats.org/drawingml/2006/main">
          <a:off x="1009650" y="2981326"/>
          <a:ext cx="323850" cy="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C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571500</xdr:colOff>
      <xdr:row>0</xdr:row>
      <xdr:rowOff>9525</xdr:rowOff>
    </xdr:from>
    <xdr:to>
      <xdr:col>14</xdr:col>
      <xdr:colOff>542925</xdr:colOff>
      <xdr:row>3</xdr:row>
      <xdr:rowOff>9525</xdr:rowOff>
    </xdr:to>
    <xdr:pic>
      <xdr:nvPicPr>
        <xdr:cNvPr id="2" name="Imagem 1" descr="logo_inmet.gif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8925" y="9525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571500</xdr:colOff>
      <xdr:row>0</xdr:row>
      <xdr:rowOff>9525</xdr:rowOff>
    </xdr:from>
    <xdr:to>
      <xdr:col>14</xdr:col>
      <xdr:colOff>542925</xdr:colOff>
      <xdr:row>3</xdr:row>
      <xdr:rowOff>9525</xdr:rowOff>
    </xdr:to>
    <xdr:pic>
      <xdr:nvPicPr>
        <xdr:cNvPr id="3" name="Imagem 2" descr="logo_inmet.gif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4575" y="9525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571500</xdr:colOff>
      <xdr:row>0</xdr:row>
      <xdr:rowOff>9525</xdr:rowOff>
    </xdr:from>
    <xdr:to>
      <xdr:col>14</xdr:col>
      <xdr:colOff>542925</xdr:colOff>
      <xdr:row>3</xdr:row>
      <xdr:rowOff>9525</xdr:rowOff>
    </xdr:to>
    <xdr:pic>
      <xdr:nvPicPr>
        <xdr:cNvPr id="4" name="Imagem 3" descr="logo_inmet.gif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4575" y="9525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19051</xdr:rowOff>
    </xdr:from>
    <xdr:to>
      <xdr:col>7</xdr:col>
      <xdr:colOff>0</xdr:colOff>
      <xdr:row>15</xdr:row>
      <xdr:rowOff>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685799</xdr:colOff>
      <xdr:row>15</xdr:row>
      <xdr:rowOff>20171</xdr:rowOff>
    </xdr:from>
    <xdr:to>
      <xdr:col>14</xdr:col>
      <xdr:colOff>146796</xdr:colOff>
      <xdr:row>29</xdr:row>
      <xdr:rowOff>172571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106456</xdr:colOff>
      <xdr:row>15</xdr:row>
      <xdr:rowOff>60512</xdr:rowOff>
    </xdr:from>
    <xdr:to>
      <xdr:col>7</xdr:col>
      <xdr:colOff>30256</xdr:colOff>
      <xdr:row>31</xdr:row>
      <xdr:rowOff>12887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-sol%20Engenharia/Google%20Drive/Projetos/Financiamento%20Santander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93;rlei/Desktop/Financiamento%20Santander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93;rlei/AppData/Local/Microsoft/Windows/INetCache/Content.Outlook/GXAVCGT8/Planilha%20Analise%20Financeira%20para%20Pr&#233;-dimensionamen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ilha1"/>
    </sheetNames>
    <sheetDataSet>
      <sheetData sheetId="0" refreshError="1"/>
      <sheetData sheetId="1">
        <row r="2">
          <cell r="E2">
            <v>30</v>
          </cell>
        </row>
        <row r="3">
          <cell r="E3">
            <v>35</v>
          </cell>
        </row>
        <row r="4">
          <cell r="E4">
            <v>40</v>
          </cell>
        </row>
        <row r="5">
          <cell r="E5">
            <v>45</v>
          </cell>
        </row>
        <row r="6">
          <cell r="E6">
            <v>50</v>
          </cell>
        </row>
        <row r="7">
          <cell r="E7">
            <v>55</v>
          </cell>
        </row>
        <row r="8">
          <cell r="E8">
            <v>60</v>
          </cell>
        </row>
        <row r="9">
          <cell r="E9">
            <v>70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ilha1"/>
    </sheetNames>
    <sheetDataSet>
      <sheetData sheetId="0" refreshError="1"/>
      <sheetData sheetId="1">
        <row r="2">
          <cell r="E2">
            <v>30</v>
          </cell>
        </row>
        <row r="3">
          <cell r="E3">
            <v>35</v>
          </cell>
        </row>
        <row r="4">
          <cell r="E4">
            <v>40</v>
          </cell>
        </row>
        <row r="5">
          <cell r="E5">
            <v>45</v>
          </cell>
        </row>
        <row r="6">
          <cell r="E6">
            <v>50</v>
          </cell>
        </row>
        <row r="7">
          <cell r="E7">
            <v>55</v>
          </cell>
        </row>
        <row r="8">
          <cell r="E8">
            <v>60</v>
          </cell>
        </row>
        <row r="9">
          <cell r="E9">
            <v>70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dora (2)"/>
      <sheetName val="Dados"/>
      <sheetName val="Inputs"/>
    </sheetNames>
    <sheetDataSet>
      <sheetData sheetId="0"/>
      <sheetData sheetId="1">
        <row r="4">
          <cell r="B4" t="str">
            <v>Água Branca</v>
          </cell>
        </row>
        <row r="5">
          <cell r="B5" t="str">
            <v>Aimorés</v>
          </cell>
        </row>
        <row r="6">
          <cell r="B6" t="str">
            <v>Alegre</v>
          </cell>
        </row>
        <row r="7">
          <cell r="B7" t="str">
            <v>Alegrete</v>
          </cell>
        </row>
        <row r="8">
          <cell r="B8" t="str">
            <v>Algoinhas</v>
          </cell>
        </row>
        <row r="9">
          <cell r="B9" t="str">
            <v>Almenara</v>
          </cell>
        </row>
        <row r="10">
          <cell r="B10" t="str">
            <v>Altamira</v>
          </cell>
        </row>
        <row r="11">
          <cell r="B11" t="str">
            <v>Alto Parnaíba</v>
          </cell>
        </row>
        <row r="12">
          <cell r="B12" t="str">
            <v>Angicos</v>
          </cell>
        </row>
        <row r="13">
          <cell r="B13" t="str">
            <v>Angra dos Reis</v>
          </cell>
        </row>
        <row r="14">
          <cell r="B14" t="str">
            <v>Apodi</v>
          </cell>
        </row>
        <row r="15">
          <cell r="B15" t="str">
            <v>Aquidauana</v>
          </cell>
        </row>
        <row r="16">
          <cell r="B16" t="str">
            <v>Aracaju</v>
          </cell>
        </row>
        <row r="17">
          <cell r="B17" t="str">
            <v>Aracati</v>
          </cell>
        </row>
        <row r="18">
          <cell r="B18" t="str">
            <v>Araçatuba</v>
          </cell>
        </row>
        <row r="19">
          <cell r="B19" t="str">
            <v>Aracaú</v>
          </cell>
        </row>
        <row r="20">
          <cell r="B20" t="str">
            <v>Aracruz</v>
          </cell>
        </row>
        <row r="21">
          <cell r="B21" t="str">
            <v>Araçuaí</v>
          </cell>
        </row>
        <row r="22">
          <cell r="B22" t="str">
            <v>Aragarças</v>
          </cell>
        </row>
        <row r="23">
          <cell r="B23" t="str">
            <v>Araxá</v>
          </cell>
        </row>
        <row r="24">
          <cell r="B24" t="str">
            <v>Arinos</v>
          </cell>
        </row>
        <row r="25">
          <cell r="B25" t="str">
            <v>Artigas</v>
          </cell>
        </row>
        <row r="26">
          <cell r="B26" t="str">
            <v>Astorga</v>
          </cell>
        </row>
        <row r="27">
          <cell r="B27" t="str">
            <v>Avaré</v>
          </cell>
        </row>
        <row r="28">
          <cell r="B28" t="str">
            <v>Bacabal</v>
          </cell>
        </row>
        <row r="29">
          <cell r="B29" t="str">
            <v>Bajé</v>
          </cell>
        </row>
        <row r="30">
          <cell r="B30" t="str">
            <v>Balsas</v>
          </cell>
        </row>
        <row r="31">
          <cell r="B31" t="str">
            <v>Bambuí</v>
          </cell>
        </row>
        <row r="32">
          <cell r="B32" t="str">
            <v>Barbacena</v>
          </cell>
        </row>
        <row r="33">
          <cell r="B33" t="str">
            <v>Barbalha</v>
          </cell>
        </row>
        <row r="34">
          <cell r="B34" t="str">
            <v>Barcelos</v>
          </cell>
        </row>
        <row r="35">
          <cell r="B35" t="str">
            <v>Barra</v>
          </cell>
        </row>
        <row r="36">
          <cell r="B36" t="str">
            <v>Barra do Corda</v>
          </cell>
        </row>
        <row r="37">
          <cell r="B37" t="str">
            <v>Barra do Rio Grande</v>
          </cell>
        </row>
        <row r="38">
          <cell r="B38" t="str">
            <v>Barreiras</v>
          </cell>
        </row>
        <row r="39">
          <cell r="B39" t="str">
            <v>Barretos</v>
          </cell>
        </row>
        <row r="40">
          <cell r="B40" t="str">
            <v>Bauru</v>
          </cell>
        </row>
        <row r="41">
          <cell r="B41" t="str">
            <v>Belém</v>
          </cell>
        </row>
        <row r="42">
          <cell r="B42" t="str">
            <v>Belo Horizonte</v>
          </cell>
        </row>
        <row r="43">
          <cell r="B43" t="str">
            <v>Belterra</v>
          </cell>
        </row>
        <row r="44">
          <cell r="B44" t="str">
            <v>Benjamin Constant</v>
          </cell>
        </row>
        <row r="45">
          <cell r="B45" t="str">
            <v>Bento Gonçalves</v>
          </cell>
        </row>
        <row r="46">
          <cell r="B46" t="str">
            <v>Blumenau</v>
          </cell>
        </row>
        <row r="47">
          <cell r="B47" t="str">
            <v>Boa Vista</v>
          </cell>
        </row>
        <row r="48">
          <cell r="B48" t="str">
            <v>Bom Jesus</v>
          </cell>
        </row>
        <row r="49">
          <cell r="B49" t="str">
            <v>Bom Jesus da Lapa</v>
          </cell>
        </row>
        <row r="50">
          <cell r="B50" t="str">
            <v>Brasília</v>
          </cell>
        </row>
        <row r="51">
          <cell r="B51" t="str">
            <v>Breves</v>
          </cell>
        </row>
        <row r="52">
          <cell r="B52" t="str">
            <v>Cabo Frio</v>
          </cell>
        </row>
        <row r="53">
          <cell r="B53" t="str">
            <v>Cabrobró</v>
          </cell>
        </row>
        <row r="54">
          <cell r="B54" t="str">
            <v>Caceres</v>
          </cell>
        </row>
        <row r="55">
          <cell r="B55" t="str">
            <v>Cachimbo</v>
          </cell>
        </row>
        <row r="56">
          <cell r="B56" t="str">
            <v>Cachoeiro do Itapemirin</v>
          </cell>
        </row>
        <row r="57">
          <cell r="B57" t="str">
            <v>Caitité</v>
          </cell>
        </row>
        <row r="58">
          <cell r="B58" t="str">
            <v>Cambiriú</v>
          </cell>
        </row>
        <row r="59">
          <cell r="B59" t="str">
            <v>Cambuquira</v>
          </cell>
        </row>
        <row r="60">
          <cell r="B60" t="str">
            <v>Cametá</v>
          </cell>
        </row>
        <row r="61">
          <cell r="B61" t="str">
            <v>Campina Grande</v>
          </cell>
        </row>
        <row r="62">
          <cell r="B62" t="str">
            <v>Campinas</v>
          </cell>
        </row>
        <row r="63">
          <cell r="B63" t="str">
            <v>Campo Grande</v>
          </cell>
        </row>
        <row r="64">
          <cell r="B64" t="str">
            <v>Campo Largo</v>
          </cell>
        </row>
        <row r="65">
          <cell r="B65" t="str">
            <v>Campo Mourão</v>
          </cell>
        </row>
        <row r="66">
          <cell r="B66" t="str">
            <v>Campos</v>
          </cell>
        </row>
        <row r="67">
          <cell r="B67" t="str">
            <v>Campos do Jordão</v>
          </cell>
        </row>
        <row r="68">
          <cell r="B68" t="str">
            <v>Campos Novos</v>
          </cell>
        </row>
        <row r="69">
          <cell r="B69" t="str">
            <v>Campos Sales</v>
          </cell>
        </row>
        <row r="70">
          <cell r="B70" t="str">
            <v>Cananéia</v>
          </cell>
        </row>
        <row r="71">
          <cell r="B71" t="str">
            <v>Canavieiras</v>
          </cell>
        </row>
        <row r="72">
          <cell r="B72" t="str">
            <v>Caparaó</v>
          </cell>
        </row>
        <row r="73">
          <cell r="B73" t="str">
            <v>Capinópolis</v>
          </cell>
        </row>
        <row r="74">
          <cell r="B74" t="str">
            <v>Caracol</v>
          </cell>
        </row>
        <row r="75">
          <cell r="B75" t="str">
            <v>Caratinga</v>
          </cell>
        </row>
        <row r="76">
          <cell r="B76" t="str">
            <v>Carauari</v>
          </cell>
        </row>
        <row r="77">
          <cell r="B77" t="str">
            <v>Caravelas</v>
          </cell>
        </row>
        <row r="78">
          <cell r="B78" t="str">
            <v>Carinhanha</v>
          </cell>
        </row>
        <row r="79">
          <cell r="B79" t="str">
            <v>Carolina</v>
          </cell>
        </row>
        <row r="80">
          <cell r="B80" t="str">
            <v>Caruaru</v>
          </cell>
        </row>
        <row r="81">
          <cell r="B81" t="str">
            <v>Castro</v>
          </cell>
        </row>
        <row r="82">
          <cell r="B82" t="str">
            <v>Cataguases</v>
          </cell>
        </row>
        <row r="83">
          <cell r="B83" t="str">
            <v>Catalão</v>
          </cell>
        </row>
        <row r="84">
          <cell r="B84" t="str">
            <v>Catanduva</v>
          </cell>
        </row>
        <row r="85">
          <cell r="B85" t="str">
            <v>Caxambu</v>
          </cell>
        </row>
        <row r="86">
          <cell r="B86" t="str">
            <v>Caxias</v>
          </cell>
        </row>
        <row r="87">
          <cell r="B87" t="str">
            <v>Caxias do Sul</v>
          </cell>
        </row>
        <row r="88">
          <cell r="B88" t="str">
            <v>Ceará Mirin</v>
          </cell>
        </row>
        <row r="89">
          <cell r="B89" t="str">
            <v>Chapadinha</v>
          </cell>
        </row>
        <row r="90">
          <cell r="B90" t="str">
            <v>Cipó</v>
          </cell>
        </row>
        <row r="91">
          <cell r="B91" t="str">
            <v>Coari</v>
          </cell>
        </row>
        <row r="92">
          <cell r="B92" t="str">
            <v>Codajás</v>
          </cell>
        </row>
        <row r="93">
          <cell r="B93" t="str">
            <v>Colina</v>
          </cell>
        </row>
        <row r="94">
          <cell r="B94" t="str">
            <v>Colombo</v>
          </cell>
        </row>
        <row r="95">
          <cell r="B95" t="str">
            <v>Conceição do Araguaia</v>
          </cell>
        </row>
        <row r="96">
          <cell r="B96" t="str">
            <v>Conceição do Mato Dentro</v>
          </cell>
        </row>
        <row r="97">
          <cell r="B97" t="str">
            <v>Concórdia</v>
          </cell>
        </row>
        <row r="98">
          <cell r="B98" t="str">
            <v>Cordeiro</v>
          </cell>
        </row>
        <row r="99">
          <cell r="B99" t="str">
            <v>Correntina</v>
          </cell>
        </row>
        <row r="100">
          <cell r="B100" t="str">
            <v>Corrientes</v>
          </cell>
        </row>
        <row r="101">
          <cell r="B101" t="str">
            <v>Corumbá</v>
          </cell>
        </row>
        <row r="102">
          <cell r="B102" t="str">
            <v>Couripe</v>
          </cell>
        </row>
        <row r="103">
          <cell r="B103" t="str">
            <v>Coxim</v>
          </cell>
        </row>
        <row r="104">
          <cell r="B104" t="str">
            <v>Coxipó da Ponte</v>
          </cell>
        </row>
        <row r="105">
          <cell r="B105" t="str">
            <v>Cretéus</v>
          </cell>
        </row>
        <row r="106">
          <cell r="B106" t="str">
            <v>Cruz Alta</v>
          </cell>
        </row>
        <row r="107">
          <cell r="B107" t="str">
            <v>Cruz das almas</v>
          </cell>
        </row>
        <row r="108">
          <cell r="B108" t="str">
            <v>Cruzeiro da Sul</v>
          </cell>
        </row>
        <row r="109">
          <cell r="B109" t="str">
            <v>Cruzeta</v>
          </cell>
        </row>
        <row r="110">
          <cell r="B110" t="str">
            <v>Cuiabá</v>
          </cell>
        </row>
        <row r="111">
          <cell r="B111" t="str">
            <v>Cupixi</v>
          </cell>
        </row>
        <row r="112">
          <cell r="B112" t="str">
            <v>Curitiba</v>
          </cell>
        </row>
        <row r="113">
          <cell r="B113" t="str">
            <v>Curvelo</v>
          </cell>
        </row>
        <row r="114">
          <cell r="B114" t="str">
            <v>Diamantina</v>
          </cell>
        </row>
        <row r="115">
          <cell r="B115" t="str">
            <v>Diamantino</v>
          </cell>
        </row>
        <row r="116">
          <cell r="B116" t="str">
            <v>Dourados</v>
          </cell>
        </row>
        <row r="117">
          <cell r="B117" t="str">
            <v>Eirunepé</v>
          </cell>
        </row>
        <row r="118">
          <cell r="B118" t="str">
            <v>Encruzilhada do Sul</v>
          </cell>
        </row>
        <row r="119">
          <cell r="B119" t="str">
            <v>Espinosa</v>
          </cell>
        </row>
        <row r="120">
          <cell r="B120" t="str">
            <v>Fernando de Noranha</v>
          </cell>
        </row>
        <row r="121">
          <cell r="B121" t="str">
            <v>Florânia</v>
          </cell>
        </row>
        <row r="122">
          <cell r="B122" t="str">
            <v>Floresta</v>
          </cell>
        </row>
        <row r="123">
          <cell r="B123" t="str">
            <v>Florestal</v>
          </cell>
        </row>
        <row r="124">
          <cell r="B124" t="str">
            <v>Floriano</v>
          </cell>
        </row>
        <row r="125">
          <cell r="B125" t="str">
            <v>Florianópolis</v>
          </cell>
        </row>
        <row r="126">
          <cell r="B126" t="str">
            <v>Fonte Boa</v>
          </cell>
        </row>
        <row r="127">
          <cell r="B127" t="str">
            <v>Formosa</v>
          </cell>
        </row>
        <row r="128">
          <cell r="B128" t="str">
            <v>Formoso</v>
          </cell>
        </row>
        <row r="129">
          <cell r="B129" t="str">
            <v>Fortaleza</v>
          </cell>
        </row>
        <row r="130">
          <cell r="B130" t="str">
            <v>Foz do Iguaçu</v>
          </cell>
        </row>
        <row r="131">
          <cell r="B131" t="str">
            <v>Franca</v>
          </cell>
        </row>
        <row r="132">
          <cell r="B132" t="str">
            <v>Garanhuns</v>
          </cell>
        </row>
        <row r="133">
          <cell r="B133" t="str">
            <v>Gleba Celeste</v>
          </cell>
        </row>
        <row r="134">
          <cell r="B134" t="str">
            <v>Goiânia</v>
          </cell>
        </row>
        <row r="135">
          <cell r="B135" t="str">
            <v>Goiás</v>
          </cell>
        </row>
        <row r="136">
          <cell r="B136" t="str">
            <v>Governador Valadares</v>
          </cell>
        </row>
        <row r="137">
          <cell r="B137" t="str">
            <v>Grajaú</v>
          </cell>
        </row>
        <row r="138">
          <cell r="B138" t="str">
            <v>Guaíra</v>
          </cell>
        </row>
        <row r="139">
          <cell r="B139" t="str">
            <v>Guarapuava</v>
          </cell>
        </row>
        <row r="140">
          <cell r="B140" t="str">
            <v>Guaratinga</v>
          </cell>
        </row>
        <row r="141">
          <cell r="B141" t="str">
            <v>Huanuco</v>
          </cell>
        </row>
        <row r="142">
          <cell r="B142" t="str">
            <v>Humaitá</v>
          </cell>
        </row>
        <row r="143">
          <cell r="B143" t="str">
            <v>Iauaretê</v>
          </cell>
        </row>
        <row r="144">
          <cell r="B144" t="str">
            <v>Ibiritê</v>
          </cell>
        </row>
        <row r="145">
          <cell r="B145" t="str">
            <v>Iguape</v>
          </cell>
        </row>
        <row r="146">
          <cell r="B146" t="str">
            <v>Iguatu</v>
          </cell>
        </row>
        <row r="147">
          <cell r="B147" t="str">
            <v>Iguitos</v>
          </cell>
        </row>
        <row r="148">
          <cell r="B148" t="str">
            <v>Ilha Guaiba</v>
          </cell>
        </row>
        <row r="149">
          <cell r="B149" t="str">
            <v>Ilhéus</v>
          </cell>
        </row>
        <row r="150">
          <cell r="B150" t="str">
            <v>Imperatriz</v>
          </cell>
        </row>
        <row r="151">
          <cell r="B151" t="str">
            <v>Indiaial</v>
          </cell>
        </row>
        <row r="152">
          <cell r="B152" t="str">
            <v>Ipameri</v>
          </cell>
        </row>
        <row r="153">
          <cell r="B153" t="str">
            <v>Iraí</v>
          </cell>
        </row>
        <row r="154">
          <cell r="B154" t="str">
            <v>Irati</v>
          </cell>
        </row>
        <row r="155">
          <cell r="B155" t="str">
            <v>Itabaianinha</v>
          </cell>
        </row>
        <row r="156">
          <cell r="B156" t="str">
            <v>Itaberaba</v>
          </cell>
        </row>
        <row r="157">
          <cell r="B157" t="str">
            <v>Itabira</v>
          </cell>
        </row>
        <row r="158">
          <cell r="B158" t="str">
            <v>Itaituba</v>
          </cell>
        </row>
        <row r="159">
          <cell r="B159" t="str">
            <v>Itamarandiba</v>
          </cell>
        </row>
        <row r="160">
          <cell r="B160" t="str">
            <v>Itaperuna</v>
          </cell>
        </row>
        <row r="161">
          <cell r="B161" t="str">
            <v>Itapetininga</v>
          </cell>
        </row>
        <row r="162">
          <cell r="B162" t="str">
            <v>Itapeva</v>
          </cell>
        </row>
        <row r="163">
          <cell r="B163" t="str">
            <v>Itapevi</v>
          </cell>
        </row>
        <row r="164">
          <cell r="B164" t="str">
            <v>Itaquatiara</v>
          </cell>
        </row>
        <row r="165">
          <cell r="B165" t="str">
            <v>Ituaçu</v>
          </cell>
        </row>
        <row r="166">
          <cell r="B166" t="str">
            <v>Ivinhema</v>
          </cell>
        </row>
        <row r="167">
          <cell r="B167" t="str">
            <v>Jacarezinho</v>
          </cell>
        </row>
        <row r="168">
          <cell r="B168" t="str">
            <v>Jacobina</v>
          </cell>
        </row>
        <row r="169">
          <cell r="B169" t="str">
            <v>Jaguaquara</v>
          </cell>
        </row>
        <row r="170">
          <cell r="B170" t="str">
            <v>Jaguariaíva</v>
          </cell>
        </row>
        <row r="171">
          <cell r="B171" t="str">
            <v>Janaúba</v>
          </cell>
        </row>
        <row r="172">
          <cell r="B172" t="str">
            <v>Januária</v>
          </cell>
        </row>
        <row r="173">
          <cell r="B173" t="str">
            <v>João Monlevade</v>
          </cell>
        </row>
        <row r="174">
          <cell r="B174" t="str">
            <v>João Pessoa</v>
          </cell>
        </row>
        <row r="175">
          <cell r="B175" t="str">
            <v>Juazeiro do Norte</v>
          </cell>
        </row>
        <row r="176">
          <cell r="B176" t="str">
            <v>Juíz de Fora</v>
          </cell>
        </row>
        <row r="177">
          <cell r="B177" t="str">
            <v>Lábrea</v>
          </cell>
        </row>
        <row r="178">
          <cell r="B178" t="str">
            <v>Lages</v>
          </cell>
        </row>
        <row r="179">
          <cell r="B179" t="str">
            <v>Lagoa Santa</v>
          </cell>
        </row>
        <row r="180">
          <cell r="B180" t="str">
            <v>Lagoa Vermelha</v>
          </cell>
        </row>
        <row r="181">
          <cell r="B181" t="str">
            <v>Laguna</v>
          </cell>
        </row>
        <row r="182">
          <cell r="B182" t="str">
            <v>Las Lomitas</v>
          </cell>
        </row>
        <row r="183">
          <cell r="B183" t="str">
            <v>Lavras</v>
          </cell>
        </row>
        <row r="184">
          <cell r="B184" t="str">
            <v>Leoplodina</v>
          </cell>
        </row>
        <row r="185">
          <cell r="B185" t="str">
            <v>Lethem</v>
          </cell>
        </row>
        <row r="186">
          <cell r="B186" t="str">
            <v>Linhares</v>
          </cell>
        </row>
        <row r="187">
          <cell r="B187" t="str">
            <v>Lins</v>
          </cell>
        </row>
        <row r="188">
          <cell r="B188" t="str">
            <v>Londrina</v>
          </cell>
        </row>
        <row r="189">
          <cell r="B189" t="str">
            <v>Lorena</v>
          </cell>
        </row>
        <row r="190">
          <cell r="B190" t="str">
            <v>Macaé</v>
          </cell>
        </row>
        <row r="191">
          <cell r="B191" t="str">
            <v>Macapá</v>
          </cell>
        </row>
        <row r="192">
          <cell r="B192" t="str">
            <v>Macau</v>
          </cell>
        </row>
        <row r="193">
          <cell r="B193" t="str">
            <v>Maceió</v>
          </cell>
        </row>
        <row r="194">
          <cell r="B194" t="str">
            <v>Machado</v>
          </cell>
        </row>
        <row r="195">
          <cell r="B195" t="str">
            <v>Manaus</v>
          </cell>
        </row>
        <row r="196">
          <cell r="B196" t="str">
            <v>Manicoré</v>
          </cell>
        </row>
        <row r="197">
          <cell r="B197" t="str">
            <v>Marabá</v>
          </cell>
        </row>
        <row r="198">
          <cell r="B198" t="str">
            <v>Maringá</v>
          </cell>
        </row>
        <row r="199">
          <cell r="B199" t="str">
            <v>Mercedes</v>
          </cell>
        </row>
        <row r="200">
          <cell r="B200" t="str">
            <v>Mineiros</v>
          </cell>
        </row>
        <row r="201">
          <cell r="B201" t="str">
            <v>Moçoró</v>
          </cell>
        </row>
        <row r="202">
          <cell r="B202" t="str">
            <v>Monte Alegre</v>
          </cell>
        </row>
        <row r="203">
          <cell r="B203" t="str">
            <v>Monte Alegre de Minas</v>
          </cell>
        </row>
        <row r="204">
          <cell r="B204" t="str">
            <v>Monte Alegre do Sul</v>
          </cell>
        </row>
        <row r="205">
          <cell r="B205" t="str">
            <v>Monte Azul</v>
          </cell>
        </row>
        <row r="206">
          <cell r="B206" t="str">
            <v>Monte Caseros</v>
          </cell>
        </row>
        <row r="207">
          <cell r="B207" t="str">
            <v>Monte Santo</v>
          </cell>
        </row>
        <row r="208">
          <cell r="B208" t="str">
            <v>Monteiro</v>
          </cell>
        </row>
        <row r="209">
          <cell r="B209" t="str">
            <v>Montes Claros</v>
          </cell>
        </row>
        <row r="210">
          <cell r="B210" t="str">
            <v>Morada Nova</v>
          </cell>
        </row>
        <row r="211">
          <cell r="B211" t="str">
            <v>Morro do Chapéu</v>
          </cell>
        </row>
        <row r="212">
          <cell r="B212" t="str">
            <v>Natal</v>
          </cell>
        </row>
        <row r="213">
          <cell r="B213" t="str">
            <v>Nazaré da Mata</v>
          </cell>
        </row>
        <row r="214">
          <cell r="B214" t="str">
            <v>Niterói</v>
          </cell>
        </row>
        <row r="215">
          <cell r="B215" t="str">
            <v>Nova Friburgo</v>
          </cell>
        </row>
        <row r="216">
          <cell r="B216" t="str">
            <v>Óbidos</v>
          </cell>
        </row>
        <row r="217">
          <cell r="B217" t="str">
            <v>Oiapoque</v>
          </cell>
        </row>
        <row r="218">
          <cell r="B218" t="str">
            <v>Olinda</v>
          </cell>
        </row>
        <row r="219">
          <cell r="B219" t="str">
            <v>Oliveira</v>
          </cell>
        </row>
        <row r="220">
          <cell r="B220" t="str">
            <v>Ouricuri</v>
          </cell>
        </row>
        <row r="221">
          <cell r="B221" t="str">
            <v>Ouro fino</v>
          </cell>
        </row>
        <row r="222">
          <cell r="B222" t="str">
            <v>Palmas</v>
          </cell>
        </row>
        <row r="223">
          <cell r="B223" t="str">
            <v>Palmeiras dos Índios</v>
          </cell>
        </row>
        <row r="224">
          <cell r="B224" t="str">
            <v>Panambi</v>
          </cell>
        </row>
        <row r="225">
          <cell r="B225" t="str">
            <v>Pão de Açucar</v>
          </cell>
        </row>
        <row r="226">
          <cell r="B226" t="str">
            <v>Paracatu</v>
          </cell>
        </row>
        <row r="227">
          <cell r="B227" t="str">
            <v>Paranã</v>
          </cell>
        </row>
        <row r="228">
          <cell r="B228" t="str">
            <v>Paranaguá</v>
          </cell>
        </row>
        <row r="229">
          <cell r="B229" t="str">
            <v>Paranaíba</v>
          </cell>
        </row>
        <row r="230">
          <cell r="B230" t="str">
            <v>Paritins</v>
          </cell>
        </row>
        <row r="231">
          <cell r="B231" t="str">
            <v>Parnaíba</v>
          </cell>
        </row>
        <row r="232">
          <cell r="B232" t="str">
            <v>Paso Barreto</v>
          </cell>
        </row>
        <row r="233">
          <cell r="B233" t="str">
            <v>Passa Quatro</v>
          </cell>
        </row>
        <row r="234">
          <cell r="B234" t="str">
            <v>Passo de Los Libres</v>
          </cell>
        </row>
        <row r="235">
          <cell r="B235" t="str">
            <v>Passo Fundo</v>
          </cell>
        </row>
        <row r="236">
          <cell r="B236" t="str">
            <v>Patos</v>
          </cell>
        </row>
        <row r="237">
          <cell r="B237" t="str">
            <v>Patos de Minas</v>
          </cell>
        </row>
        <row r="238">
          <cell r="B238" t="str">
            <v>Paulistana</v>
          </cell>
        </row>
        <row r="239">
          <cell r="B239" t="str">
            <v>Paulo Afonso</v>
          </cell>
        </row>
        <row r="240">
          <cell r="B240" t="str">
            <v>Pedra Azul</v>
          </cell>
        </row>
        <row r="241">
          <cell r="B241" t="str">
            <v>Pedro Afonso</v>
          </cell>
        </row>
        <row r="242">
          <cell r="B242" t="str">
            <v>Peixe</v>
          </cell>
        </row>
        <row r="243">
          <cell r="B243" t="str">
            <v>Pelotas</v>
          </cell>
        </row>
        <row r="244">
          <cell r="B244" t="str">
            <v>Petrolândia</v>
          </cell>
        </row>
        <row r="245">
          <cell r="B245" t="str">
            <v>Petrolina</v>
          </cell>
        </row>
        <row r="246">
          <cell r="B246" t="str">
            <v>Petrópolis</v>
          </cell>
        </row>
        <row r="247">
          <cell r="B247" t="str">
            <v>Picos</v>
          </cell>
        </row>
        <row r="248">
          <cell r="B248" t="str">
            <v>Pindamonhamgaba</v>
          </cell>
        </row>
        <row r="249">
          <cell r="B249" t="str">
            <v>Pinheral</v>
          </cell>
        </row>
        <row r="250">
          <cell r="B250" t="str">
            <v>Piracicaba</v>
          </cell>
        </row>
        <row r="251">
          <cell r="B251" t="str">
            <v>Piraí</v>
          </cell>
        </row>
        <row r="252">
          <cell r="B252" t="str">
            <v>Pirapora</v>
          </cell>
        </row>
        <row r="253">
          <cell r="B253" t="str">
            <v>Piripiri</v>
          </cell>
        </row>
        <row r="254">
          <cell r="B254" t="str">
            <v>Poços de Caldas</v>
          </cell>
        </row>
        <row r="255">
          <cell r="B255" t="str">
            <v>Pompeu</v>
          </cell>
        </row>
        <row r="256">
          <cell r="B256" t="str">
            <v>Ponta Grossa</v>
          </cell>
        </row>
        <row r="257">
          <cell r="B257" t="str">
            <v>Ponta Porã</v>
          </cell>
        </row>
        <row r="258">
          <cell r="B258" t="str">
            <v>Porto</v>
          </cell>
        </row>
        <row r="259">
          <cell r="B259" t="str">
            <v>Porto Alegre</v>
          </cell>
        </row>
        <row r="260">
          <cell r="B260" t="str">
            <v>Porto das Pedras</v>
          </cell>
        </row>
        <row r="261">
          <cell r="B261" t="str">
            <v>Porto de Mós</v>
          </cell>
        </row>
        <row r="262">
          <cell r="B262" t="str">
            <v>Porto Nacional</v>
          </cell>
        </row>
        <row r="263">
          <cell r="B263" t="str">
            <v>Porto Platon</v>
          </cell>
        </row>
        <row r="264">
          <cell r="B264" t="str">
            <v>Porto União</v>
          </cell>
        </row>
        <row r="265">
          <cell r="B265" t="str">
            <v>Porto Velho</v>
          </cell>
        </row>
        <row r="266">
          <cell r="B266" t="str">
            <v>Posadas</v>
          </cell>
        </row>
        <row r="267">
          <cell r="B267" t="str">
            <v>Posse</v>
          </cell>
        </row>
        <row r="268">
          <cell r="B268" t="str">
            <v>Potaro</v>
          </cell>
        </row>
        <row r="269">
          <cell r="B269" t="str">
            <v>Presidente Prudente</v>
          </cell>
        </row>
        <row r="270">
          <cell r="B270" t="str">
            <v>Propriá</v>
          </cell>
        </row>
        <row r="271">
          <cell r="B271" t="str">
            <v>Puerto Casado</v>
          </cell>
        </row>
        <row r="272">
          <cell r="B272" t="str">
            <v>Quixeramobin</v>
          </cell>
        </row>
        <row r="273">
          <cell r="B273" t="str">
            <v>Recife</v>
          </cell>
        </row>
        <row r="274">
          <cell r="B274" t="str">
            <v>Resende</v>
          </cell>
        </row>
        <row r="275">
          <cell r="B275" t="str">
            <v>Resistencia</v>
          </cell>
        </row>
        <row r="276">
          <cell r="B276" t="str">
            <v>Ribeirão Preto</v>
          </cell>
        </row>
        <row r="277">
          <cell r="B277" t="str">
            <v>Riberalta</v>
          </cell>
        </row>
        <row r="278">
          <cell r="B278" t="str">
            <v>Rio Branco</v>
          </cell>
        </row>
        <row r="279">
          <cell r="B279" t="str">
            <v>Rio de Janeiro</v>
          </cell>
        </row>
        <row r="280">
          <cell r="B280" t="str">
            <v>Rio de Janeiro (J.Botânico)</v>
          </cell>
        </row>
        <row r="281">
          <cell r="B281" t="str">
            <v>Rio Grande</v>
          </cell>
        </row>
        <row r="282">
          <cell r="B282" t="str">
            <v>Rio Negro</v>
          </cell>
        </row>
        <row r="283">
          <cell r="B283" t="str">
            <v>Rio Verde</v>
          </cell>
        </row>
        <row r="284">
          <cell r="B284" t="str">
            <v>Rivera</v>
          </cell>
        </row>
        <row r="285">
          <cell r="B285" t="str">
            <v>Rondônia</v>
          </cell>
        </row>
        <row r="286">
          <cell r="B286" t="str">
            <v>Salinas</v>
          </cell>
        </row>
        <row r="287">
          <cell r="B287" t="str">
            <v>Salvador</v>
          </cell>
        </row>
        <row r="288">
          <cell r="B288" t="str">
            <v>San Juan</v>
          </cell>
        </row>
        <row r="289">
          <cell r="B289" t="str">
            <v>San Lorenzo</v>
          </cell>
        </row>
        <row r="290">
          <cell r="B290" t="str">
            <v>San Miguel</v>
          </cell>
        </row>
        <row r="291">
          <cell r="B291" t="str">
            <v>Santa Cruz</v>
          </cell>
        </row>
        <row r="292">
          <cell r="B292" t="str">
            <v>Santa Elena</v>
          </cell>
        </row>
        <row r="293">
          <cell r="B293" t="str">
            <v>Santa Isabel do Riogro</v>
          </cell>
        </row>
        <row r="294">
          <cell r="B294" t="str">
            <v>Santa Maria</v>
          </cell>
        </row>
        <row r="295">
          <cell r="B295" t="str">
            <v>Santa Maria Madalena</v>
          </cell>
        </row>
        <row r="296">
          <cell r="B296" t="str">
            <v>Santa Vitória do Palmar</v>
          </cell>
        </row>
        <row r="297">
          <cell r="B297" t="str">
            <v>Santana do Livramento</v>
          </cell>
        </row>
        <row r="298">
          <cell r="B298" t="str">
            <v>Santarém</v>
          </cell>
        </row>
        <row r="299">
          <cell r="B299" t="str">
            <v>Santos</v>
          </cell>
        </row>
        <row r="300">
          <cell r="B300" t="str">
            <v>Santos Dumont</v>
          </cell>
        </row>
        <row r="301">
          <cell r="B301" t="str">
            <v>São  Francisco</v>
          </cell>
        </row>
        <row r="302">
          <cell r="B302" t="str">
            <v>São Bernardo do Campo</v>
          </cell>
        </row>
        <row r="303">
          <cell r="B303" t="str">
            <v>São Carlos</v>
          </cell>
        </row>
        <row r="304">
          <cell r="B304" t="str">
            <v>São Félix do Piauí</v>
          </cell>
        </row>
        <row r="305">
          <cell r="B305" t="str">
            <v>São Félix do Xingu</v>
          </cell>
        </row>
        <row r="306">
          <cell r="B306" t="str">
            <v>São Fransisco do Sul</v>
          </cell>
        </row>
        <row r="307">
          <cell r="B307" t="str">
            <v>São Gabriel da Cachoeira</v>
          </cell>
        </row>
        <row r="308">
          <cell r="B308" t="str">
            <v>São Gabriel da Palha</v>
          </cell>
        </row>
        <row r="309">
          <cell r="B309" t="str">
            <v>São Gabriel da Palha</v>
          </cell>
        </row>
        <row r="310">
          <cell r="B310" t="str">
            <v>São Gonçalo dos Campos</v>
          </cell>
        </row>
        <row r="311">
          <cell r="B311" t="str">
            <v>São João da Piauí</v>
          </cell>
        </row>
        <row r="312">
          <cell r="B312" t="str">
            <v>São Joaquim</v>
          </cell>
        </row>
        <row r="313">
          <cell r="B313" t="str">
            <v>São José dos Campos</v>
          </cell>
        </row>
        <row r="314">
          <cell r="B314" t="str">
            <v>São Lourenço</v>
          </cell>
        </row>
        <row r="315">
          <cell r="B315" t="str">
            <v>São Luiz</v>
          </cell>
        </row>
        <row r="316">
          <cell r="B316" t="str">
            <v>São Luiz Gonzaga</v>
          </cell>
        </row>
        <row r="317">
          <cell r="B317" t="str">
            <v>São Mateus do Sul</v>
          </cell>
        </row>
        <row r="318">
          <cell r="B318" t="str">
            <v>São Miguel do Oeste</v>
          </cell>
        </row>
        <row r="319">
          <cell r="B319" t="str">
            <v>São Paulo</v>
          </cell>
        </row>
        <row r="320">
          <cell r="B320" t="str">
            <v>São Simão</v>
          </cell>
        </row>
        <row r="321">
          <cell r="B321" t="str">
            <v>Sena Madureira</v>
          </cell>
        </row>
        <row r="322">
          <cell r="B322" t="str">
            <v>Senhor do Bonfim</v>
          </cell>
        </row>
        <row r="323">
          <cell r="B323" t="str">
            <v>Serrinha</v>
          </cell>
        </row>
        <row r="324">
          <cell r="B324" t="str">
            <v>Sete Lagoas</v>
          </cell>
        </row>
        <row r="325">
          <cell r="B325" t="str">
            <v>Sobral</v>
          </cell>
        </row>
        <row r="326">
          <cell r="B326" t="str">
            <v>Soure</v>
          </cell>
        </row>
        <row r="327">
          <cell r="B327" t="str">
            <v>Surubim</v>
          </cell>
        </row>
        <row r="328">
          <cell r="B328" t="str">
            <v>Taguatinga</v>
          </cell>
        </row>
        <row r="329">
          <cell r="B329" t="str">
            <v>Taperinha</v>
          </cell>
        </row>
        <row r="330">
          <cell r="B330" t="str">
            <v>Tarapoto</v>
          </cell>
        </row>
        <row r="331">
          <cell r="B331" t="str">
            <v>Tarauacá</v>
          </cell>
        </row>
        <row r="332">
          <cell r="B332" t="str">
            <v>Tauá</v>
          </cell>
        </row>
        <row r="333">
          <cell r="B333" t="str">
            <v>Taubaté</v>
          </cell>
        </row>
        <row r="334">
          <cell r="B334" t="str">
            <v>Tefé</v>
          </cell>
        </row>
        <row r="335">
          <cell r="B335" t="str">
            <v>Teófilo Otoni</v>
          </cell>
        </row>
        <row r="336">
          <cell r="B336" t="str">
            <v>Teresina</v>
          </cell>
        </row>
        <row r="337">
          <cell r="B337" t="str">
            <v>Teresópolis</v>
          </cell>
        </row>
        <row r="338">
          <cell r="B338" t="str">
            <v>Toledo</v>
          </cell>
        </row>
        <row r="339">
          <cell r="B339" t="str">
            <v>Torres</v>
          </cell>
        </row>
        <row r="340">
          <cell r="B340" t="str">
            <v>Tracuateua</v>
          </cell>
        </row>
        <row r="341">
          <cell r="B341" t="str">
            <v>Tremembé</v>
          </cell>
        </row>
        <row r="342">
          <cell r="B342" t="str">
            <v>Três Corações</v>
          </cell>
        </row>
        <row r="343">
          <cell r="B343" t="str">
            <v>Três Lagoas</v>
          </cell>
        </row>
        <row r="344">
          <cell r="B344" t="str">
            <v>Triunfo</v>
          </cell>
        </row>
        <row r="345">
          <cell r="B345" t="str">
            <v>Tucuruí</v>
          </cell>
        </row>
        <row r="346">
          <cell r="B346" t="str">
            <v>Turiaçu</v>
          </cell>
        </row>
        <row r="347">
          <cell r="B347" t="str">
            <v>Uapes</v>
          </cell>
        </row>
        <row r="348">
          <cell r="B348" t="str">
            <v>Ubatuba</v>
          </cell>
        </row>
        <row r="349">
          <cell r="B349" t="str">
            <v>Uberaba</v>
          </cell>
        </row>
        <row r="350">
          <cell r="B350" t="str">
            <v>Urimãn</v>
          </cell>
        </row>
        <row r="351">
          <cell r="B351" t="str">
            <v>Uruçuí</v>
          </cell>
        </row>
        <row r="352">
          <cell r="B352" t="str">
            <v>Uruguaiana</v>
          </cell>
        </row>
        <row r="353">
          <cell r="B353" t="str">
            <v>Utiariti</v>
          </cell>
        </row>
        <row r="354">
          <cell r="B354" t="str">
            <v>Vassouras</v>
          </cell>
        </row>
        <row r="355">
          <cell r="B355" t="str">
            <v>Venda Nova</v>
          </cell>
        </row>
        <row r="356">
          <cell r="B356" t="str">
            <v>Viçosa</v>
          </cell>
        </row>
        <row r="357">
          <cell r="B357" t="str">
            <v>Vitória</v>
          </cell>
        </row>
        <row r="358">
          <cell r="B358" t="str">
            <v>Vitória da Conquista</v>
          </cell>
        </row>
        <row r="359">
          <cell r="B359" t="str">
            <v>Volta Redonda</v>
          </cell>
        </row>
        <row r="360">
          <cell r="B360" t="str">
            <v>Votuporanga</v>
          </cell>
        </row>
        <row r="361">
          <cell r="B361" t="str">
            <v>Xanxerê</v>
          </cell>
        </row>
        <row r="362">
          <cell r="B362" t="str">
            <v>Xapecó</v>
          </cell>
        </row>
      </sheetData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133" displayName="Tabela133" ref="A4:O330" totalsRowShown="0" headerRowDxfId="23" dataDxfId="22">
  <autoFilter ref="A4:O330" xr:uid="{00000000-0009-0000-0100-000002000000}"/>
  <tableColumns count="15">
    <tableColumn id="2" xr3:uid="{00000000-0010-0000-0000-000002000000}" name="Nome da Estação" dataDxfId="21"/>
    <tableColumn id="3" xr3:uid="{00000000-0010-0000-0000-000003000000}" name="UF" dataDxfId="20"/>
    <tableColumn id="4" xr3:uid="{00000000-0010-0000-0000-000004000000}" name="Janeiro" dataDxfId="19"/>
    <tableColumn id="5" xr3:uid="{00000000-0010-0000-0000-000005000000}" name="Fevereiro" dataDxfId="18"/>
    <tableColumn id="6" xr3:uid="{00000000-0010-0000-0000-000006000000}" name="Março" dataDxfId="17"/>
    <tableColumn id="7" xr3:uid="{00000000-0010-0000-0000-000007000000}" name="Abril" dataDxfId="16"/>
    <tableColumn id="8" xr3:uid="{00000000-0010-0000-0000-000008000000}" name="Maio" dataDxfId="15"/>
    <tableColumn id="9" xr3:uid="{00000000-0010-0000-0000-000009000000}" name="Junho" dataDxfId="14"/>
    <tableColumn id="10" xr3:uid="{00000000-0010-0000-0000-00000A000000}" name="Julho" dataDxfId="13"/>
    <tableColumn id="11" xr3:uid="{00000000-0010-0000-0000-00000B000000}" name="Agosto" dataDxfId="12"/>
    <tableColumn id="12" xr3:uid="{00000000-0010-0000-0000-00000C000000}" name="Setembro" dataDxfId="11"/>
    <tableColumn id="13" xr3:uid="{00000000-0010-0000-0000-00000D000000}" name="Outubro" dataDxfId="10"/>
    <tableColumn id="14" xr3:uid="{00000000-0010-0000-0000-00000E000000}" name="Novembro" dataDxfId="9"/>
    <tableColumn id="15" xr3:uid="{00000000-0010-0000-0000-00000F000000}" name="Dezembro" dataDxfId="8"/>
    <tableColumn id="16" xr3:uid="{00000000-0010-0000-0000-000010000000}" name="Ano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maps.google.com/" TargetMode="External"/><Relationship Id="rId1" Type="http://schemas.openxmlformats.org/officeDocument/2006/relationships/hyperlink" Target="http://www.cresesb.cepel.br/index.php?section=sundata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microsoft.com/office/2006/relationships/xlExternalLinkPath/xlPathMissing" Target="Planilha%20de%20Dimensionamento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R67"/>
  <sheetViews>
    <sheetView zoomScaleNormal="100" workbookViewId="0">
      <selection activeCell="D8" sqref="D8"/>
    </sheetView>
  </sheetViews>
  <sheetFormatPr defaultColWidth="9.140625" defaultRowHeight="15" x14ac:dyDescent="0.25"/>
  <cols>
    <col min="1" max="1" width="11.42578125" style="9" bestFit="1" customWidth="1"/>
    <col min="2" max="2" width="11.42578125" style="9" customWidth="1"/>
    <col min="3" max="3" width="12.140625" style="9" bestFit="1" customWidth="1"/>
    <col min="4" max="4" width="12.42578125" style="9" customWidth="1"/>
    <col min="5" max="5" width="3.5703125" style="9" customWidth="1"/>
    <col min="6" max="8" width="12.42578125" style="9" customWidth="1"/>
    <col min="9" max="9" width="20.7109375" style="9" bestFit="1" customWidth="1"/>
    <col min="10" max="10" width="21.42578125" style="9" bestFit="1" customWidth="1"/>
    <col min="11" max="11" width="10.5703125" style="9" bestFit="1" customWidth="1"/>
    <col min="12" max="12" width="2.140625" style="9" bestFit="1" customWidth="1"/>
    <col min="13" max="13" width="18.7109375" style="9" customWidth="1"/>
    <col min="14" max="14" width="11.85546875" style="9" bestFit="1" customWidth="1"/>
    <col min="15" max="15" width="12.85546875" style="9" customWidth="1"/>
    <col min="16" max="16" width="19.5703125" style="9" bestFit="1" customWidth="1"/>
    <col min="17" max="17" width="11.85546875" style="9" bestFit="1" customWidth="1"/>
    <col min="18" max="18" width="5" style="9" customWidth="1"/>
    <col min="19" max="16384" width="9.140625" style="9"/>
  </cols>
  <sheetData>
    <row r="1" spans="1:18" x14ac:dyDescent="0.25">
      <c r="A1" s="137" t="s">
        <v>472</v>
      </c>
      <c r="B1" s="160"/>
      <c r="C1" s="161"/>
      <c r="I1" s="233" t="s">
        <v>545</v>
      </c>
      <c r="J1" s="233"/>
      <c r="L1" s="233" t="s">
        <v>411</v>
      </c>
      <c r="M1" s="233"/>
      <c r="N1" s="143" t="s">
        <v>408</v>
      </c>
      <c r="O1" s="234"/>
      <c r="P1" s="234"/>
      <c r="Q1" s="234"/>
      <c r="R1" s="234"/>
    </row>
    <row r="2" spans="1:18" x14ac:dyDescent="0.25">
      <c r="A2" s="85" t="s">
        <v>475</v>
      </c>
      <c r="B2" s="65"/>
      <c r="C2" s="189">
        <v>1.25</v>
      </c>
      <c r="F2" s="81"/>
      <c r="I2" s="59" t="s">
        <v>18</v>
      </c>
      <c r="J2" s="21">
        <v>30</v>
      </c>
      <c r="L2" s="3" t="s">
        <v>390</v>
      </c>
      <c r="M2" s="3" t="s">
        <v>391</v>
      </c>
      <c r="N2" s="53">
        <v>-3</v>
      </c>
      <c r="O2" s="234"/>
      <c r="P2" s="234"/>
      <c r="Q2" s="234"/>
      <c r="R2" s="234"/>
    </row>
    <row r="3" spans="1:18" x14ac:dyDescent="0.25">
      <c r="A3" s="85" t="s">
        <v>22</v>
      </c>
      <c r="B3" s="193"/>
      <c r="C3" s="194" t="s">
        <v>20</v>
      </c>
      <c r="E3" s="136"/>
      <c r="F3" s="9" t="s">
        <v>502</v>
      </c>
      <c r="I3" s="59" t="s">
        <v>19</v>
      </c>
      <c r="J3" s="21">
        <v>50</v>
      </c>
      <c r="L3" s="3" t="s">
        <v>392</v>
      </c>
      <c r="M3" s="3" t="s">
        <v>393</v>
      </c>
      <c r="N3" s="53">
        <v>3</v>
      </c>
      <c r="O3" s="234"/>
      <c r="P3" s="234"/>
      <c r="Q3" s="234"/>
      <c r="R3" s="234"/>
    </row>
    <row r="4" spans="1:18" ht="15" customHeight="1" x14ac:dyDescent="0.25">
      <c r="A4" s="233" t="s">
        <v>446</v>
      </c>
      <c r="B4" s="233"/>
      <c r="C4" s="233"/>
      <c r="E4" s="131"/>
      <c r="F4" s="9" t="s">
        <v>503</v>
      </c>
      <c r="I4" s="59" t="s">
        <v>20</v>
      </c>
      <c r="J4" s="21">
        <v>100</v>
      </c>
      <c r="L4" s="3" t="s">
        <v>394</v>
      </c>
      <c r="M4" s="3" t="s">
        <v>395</v>
      </c>
      <c r="N4" s="53">
        <v>4</v>
      </c>
      <c r="O4" s="234"/>
      <c r="P4" s="234"/>
      <c r="Q4" s="234"/>
      <c r="R4" s="234"/>
    </row>
    <row r="5" spans="1:18" x14ac:dyDescent="0.25">
      <c r="A5" s="112" t="s">
        <v>435</v>
      </c>
      <c r="B5" s="112" t="s">
        <v>428</v>
      </c>
      <c r="C5" s="112" t="s">
        <v>454</v>
      </c>
      <c r="I5" s="48"/>
      <c r="J5" s="175"/>
      <c r="L5" s="3" t="s">
        <v>396</v>
      </c>
      <c r="M5" s="3" t="s">
        <v>397</v>
      </c>
      <c r="N5" s="53">
        <v>7</v>
      </c>
      <c r="O5" s="234"/>
      <c r="P5" s="234"/>
      <c r="Q5" s="234"/>
      <c r="R5" s="234"/>
    </row>
    <row r="6" spans="1:18" x14ac:dyDescent="0.25">
      <c r="A6" s="113" t="s">
        <v>50</v>
      </c>
      <c r="B6" s="141">
        <v>750</v>
      </c>
      <c r="C6" s="114">
        <f t="shared" ref="C6:C17" si="0">B6*$C$2</f>
        <v>937.5</v>
      </c>
      <c r="I6" s="186" t="s">
        <v>399</v>
      </c>
      <c r="J6" s="161"/>
      <c r="O6" s="234"/>
      <c r="P6" s="234"/>
      <c r="Q6" s="234"/>
      <c r="R6" s="234"/>
    </row>
    <row r="7" spans="1:18" x14ac:dyDescent="0.25">
      <c r="A7" s="113" t="s">
        <v>51</v>
      </c>
      <c r="B7" s="141">
        <v>750</v>
      </c>
      <c r="C7" s="114">
        <f t="shared" si="0"/>
        <v>937.5</v>
      </c>
      <c r="I7" s="3" t="s">
        <v>401</v>
      </c>
      <c r="J7" s="197">
        <v>0</v>
      </c>
      <c r="O7" s="234"/>
      <c r="P7" s="234"/>
      <c r="Q7" s="234"/>
      <c r="R7" s="234"/>
    </row>
    <row r="8" spans="1:18" x14ac:dyDescent="0.25">
      <c r="A8" s="113" t="s">
        <v>52</v>
      </c>
      <c r="B8" s="141">
        <v>750</v>
      </c>
      <c r="C8" s="114">
        <f t="shared" si="0"/>
        <v>937.5</v>
      </c>
      <c r="I8" s="3" t="s">
        <v>434</v>
      </c>
      <c r="J8" s="197">
        <v>0.02</v>
      </c>
      <c r="O8" s="234"/>
      <c r="P8" s="234"/>
      <c r="Q8" s="234"/>
      <c r="R8" s="234"/>
    </row>
    <row r="9" spans="1:18" x14ac:dyDescent="0.25">
      <c r="A9" s="113" t="s">
        <v>53</v>
      </c>
      <c r="B9" s="141">
        <v>750</v>
      </c>
      <c r="C9" s="114">
        <f t="shared" si="0"/>
        <v>937.5</v>
      </c>
      <c r="I9" s="3" t="s">
        <v>400</v>
      </c>
      <c r="J9" s="197">
        <v>0</v>
      </c>
      <c r="O9" s="234"/>
      <c r="P9" s="234"/>
      <c r="Q9" s="234"/>
      <c r="R9" s="234"/>
    </row>
    <row r="10" spans="1:18" x14ac:dyDescent="0.25">
      <c r="A10" s="113" t="s">
        <v>54</v>
      </c>
      <c r="B10" s="141">
        <v>750</v>
      </c>
      <c r="C10" s="114">
        <f t="shared" si="0"/>
        <v>937.5</v>
      </c>
      <c r="I10" s="3" t="s">
        <v>402</v>
      </c>
      <c r="J10" s="197">
        <v>0</v>
      </c>
      <c r="O10" s="234"/>
      <c r="P10" s="234"/>
      <c r="Q10" s="234"/>
      <c r="R10" s="234"/>
    </row>
    <row r="11" spans="1:18" x14ac:dyDescent="0.25">
      <c r="A11" s="113" t="s">
        <v>55</v>
      </c>
      <c r="B11" s="141">
        <v>750</v>
      </c>
      <c r="C11" s="114">
        <f t="shared" si="0"/>
        <v>937.5</v>
      </c>
      <c r="I11" s="3" t="s">
        <v>403</v>
      </c>
      <c r="J11" s="92" t="s">
        <v>90</v>
      </c>
      <c r="K11" s="26" t="s">
        <v>540</v>
      </c>
      <c r="O11" s="234"/>
      <c r="P11" s="234"/>
      <c r="Q11" s="234"/>
      <c r="R11" s="234"/>
    </row>
    <row r="12" spans="1:18" x14ac:dyDescent="0.25">
      <c r="A12" s="113" t="s">
        <v>56</v>
      </c>
      <c r="B12" s="141">
        <v>750</v>
      </c>
      <c r="C12" s="114">
        <f t="shared" si="0"/>
        <v>937.5</v>
      </c>
      <c r="I12" s="3" t="s">
        <v>404</v>
      </c>
      <c r="J12" s="197">
        <v>0.01</v>
      </c>
    </row>
    <row r="13" spans="1:18" x14ac:dyDescent="0.25">
      <c r="A13" s="113" t="s">
        <v>57</v>
      </c>
      <c r="B13" s="141">
        <v>750</v>
      </c>
      <c r="C13" s="114">
        <f t="shared" si="0"/>
        <v>937.5</v>
      </c>
      <c r="I13" s="3" t="s">
        <v>407</v>
      </c>
      <c r="J13" s="197">
        <v>0.02</v>
      </c>
    </row>
    <row r="14" spans="1:18" x14ac:dyDescent="0.25">
      <c r="A14" s="113" t="s">
        <v>58</v>
      </c>
      <c r="B14" s="141">
        <v>750</v>
      </c>
      <c r="C14" s="114">
        <f t="shared" si="0"/>
        <v>937.5</v>
      </c>
      <c r="I14" s="3" t="s">
        <v>405</v>
      </c>
      <c r="J14" s="197">
        <v>0.04</v>
      </c>
    </row>
    <row r="15" spans="1:18" x14ac:dyDescent="0.25">
      <c r="A15" s="113" t="s">
        <v>59</v>
      </c>
      <c r="B15" s="141">
        <v>750</v>
      </c>
      <c r="C15" s="114">
        <f t="shared" si="0"/>
        <v>937.5</v>
      </c>
      <c r="I15" s="3" t="s">
        <v>406</v>
      </c>
      <c r="J15" s="197">
        <v>0.01</v>
      </c>
    </row>
    <row r="16" spans="1:18" x14ac:dyDescent="0.25">
      <c r="A16" s="113" t="s">
        <v>60</v>
      </c>
      <c r="B16" s="141">
        <v>750</v>
      </c>
      <c r="C16" s="114">
        <f t="shared" si="0"/>
        <v>937.5</v>
      </c>
      <c r="I16" s="1" t="s">
        <v>0</v>
      </c>
      <c r="J16" s="22">
        <f>SUM(J7:J15)</f>
        <v>9.9999999999999992E-2</v>
      </c>
    </row>
    <row r="17" spans="1:6" x14ac:dyDescent="0.25">
      <c r="A17" s="113" t="s">
        <v>61</v>
      </c>
      <c r="B17" s="141">
        <v>750</v>
      </c>
      <c r="C17" s="114">
        <f t="shared" si="0"/>
        <v>937.5</v>
      </c>
    </row>
    <row r="18" spans="1:6" x14ac:dyDescent="0.25">
      <c r="A18" s="113" t="s">
        <v>40</v>
      </c>
      <c r="B18" s="115">
        <f>AVERAGE(B6:B17)</f>
        <v>750</v>
      </c>
      <c r="C18" s="116">
        <f>AVERAGE(C6:C17)</f>
        <v>937.5</v>
      </c>
    </row>
    <row r="19" spans="1:6" x14ac:dyDescent="0.25">
      <c r="D19" s="121"/>
    </row>
    <row r="21" spans="1:6" x14ac:dyDescent="0.25">
      <c r="B21" s="9">
        <v>450</v>
      </c>
    </row>
    <row r="31" spans="1:6" x14ac:dyDescent="0.25">
      <c r="F31" s="9">
        <v>590</v>
      </c>
    </row>
    <row r="48" spans="15:15" x14ac:dyDescent="0.25">
      <c r="O48" s="162" t="s">
        <v>488</v>
      </c>
    </row>
    <row r="49" spans="15:15" x14ac:dyDescent="0.25">
      <c r="O49" s="59">
        <v>0</v>
      </c>
    </row>
    <row r="50" spans="15:15" x14ac:dyDescent="0.25">
      <c r="O50" s="59">
        <v>5</v>
      </c>
    </row>
    <row r="51" spans="15:15" x14ac:dyDescent="0.25">
      <c r="O51" s="59">
        <v>10</v>
      </c>
    </row>
    <row r="52" spans="15:15" x14ac:dyDescent="0.25">
      <c r="O52" s="59">
        <v>15</v>
      </c>
    </row>
    <row r="53" spans="15:15" x14ac:dyDescent="0.25">
      <c r="O53" s="59">
        <v>20</v>
      </c>
    </row>
    <row r="54" spans="15:15" x14ac:dyDescent="0.25">
      <c r="O54" s="59">
        <v>25</v>
      </c>
    </row>
    <row r="55" spans="15:15" x14ac:dyDescent="0.25">
      <c r="O55" s="59">
        <v>30</v>
      </c>
    </row>
    <row r="56" spans="15:15" x14ac:dyDescent="0.25">
      <c r="O56" s="59">
        <v>35</v>
      </c>
    </row>
    <row r="57" spans="15:15" x14ac:dyDescent="0.25">
      <c r="O57" s="59">
        <v>40</v>
      </c>
    </row>
    <row r="58" spans="15:15" x14ac:dyDescent="0.25">
      <c r="O58" s="59">
        <v>45</v>
      </c>
    </row>
    <row r="59" spans="15:15" x14ac:dyDescent="0.25">
      <c r="O59" s="59">
        <v>50</v>
      </c>
    </row>
    <row r="60" spans="15:15" x14ac:dyDescent="0.25">
      <c r="O60" s="59">
        <v>55</v>
      </c>
    </row>
    <row r="61" spans="15:15" x14ac:dyDescent="0.25">
      <c r="O61" s="59">
        <v>60</v>
      </c>
    </row>
    <row r="62" spans="15:15" x14ac:dyDescent="0.25">
      <c r="O62" s="59">
        <v>65</v>
      </c>
    </row>
    <row r="63" spans="15:15" x14ac:dyDescent="0.25">
      <c r="O63" s="59">
        <v>70</v>
      </c>
    </row>
    <row r="64" spans="15:15" x14ac:dyDescent="0.25">
      <c r="O64" s="59">
        <v>75</v>
      </c>
    </row>
    <row r="65" spans="15:15" x14ac:dyDescent="0.25">
      <c r="O65" s="59">
        <v>80</v>
      </c>
    </row>
    <row r="66" spans="15:15" x14ac:dyDescent="0.25">
      <c r="O66" s="59">
        <v>85</v>
      </c>
    </row>
    <row r="67" spans="15:15" x14ac:dyDescent="0.25">
      <c r="O67" s="59">
        <v>90</v>
      </c>
    </row>
  </sheetData>
  <mergeCells count="4">
    <mergeCell ref="A4:C4"/>
    <mergeCell ref="O1:R11"/>
    <mergeCell ref="L1:M1"/>
    <mergeCell ref="I1:J1"/>
  </mergeCells>
  <dataValidations count="1">
    <dataValidation type="list" allowBlank="1" showInputMessage="1" showErrorMessage="1" sqref="C3" xr:uid="{00000000-0002-0000-0000-000000000000}">
      <formula1>$I$2:$I$4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15"/>
  <sheetViews>
    <sheetView zoomScale="70" zoomScaleNormal="70" workbookViewId="0">
      <selection activeCell="K17" sqref="K17"/>
    </sheetView>
  </sheetViews>
  <sheetFormatPr defaultRowHeight="15" x14ac:dyDescent="0.25"/>
  <cols>
    <col min="1" max="2" width="9.140625" style="9"/>
    <col min="3" max="3" width="10.140625" style="9" customWidth="1"/>
    <col min="4" max="4" width="9.140625" style="9"/>
    <col min="5" max="5" width="10.5703125" style="9" bestFit="1" customWidth="1"/>
    <col min="6" max="10" width="9.140625" style="9"/>
    <col min="11" max="12" width="9.140625" style="9" customWidth="1"/>
    <col min="13" max="16384" width="9.140625" style="9"/>
  </cols>
  <sheetData>
    <row r="2" spans="1:13" x14ac:dyDescent="0.25">
      <c r="A2" s="188" t="s">
        <v>523</v>
      </c>
      <c r="B2" s="9" t="s">
        <v>524</v>
      </c>
    </row>
    <row r="3" spans="1:13" x14ac:dyDescent="0.25">
      <c r="B3" s="123" t="s">
        <v>539</v>
      </c>
    </row>
    <row r="4" spans="1:13" x14ac:dyDescent="0.25">
      <c r="A4" s="188" t="s">
        <v>484</v>
      </c>
      <c r="B4" s="9" t="s">
        <v>525</v>
      </c>
    </row>
    <row r="5" spans="1:13" x14ac:dyDescent="0.25">
      <c r="A5" s="188"/>
      <c r="B5" s="9" t="s">
        <v>526</v>
      </c>
    </row>
    <row r="6" spans="1:13" x14ac:dyDescent="0.25">
      <c r="A6" s="188" t="s">
        <v>485</v>
      </c>
      <c r="B6" s="9" t="s">
        <v>527</v>
      </c>
    </row>
    <row r="7" spans="1:13" x14ac:dyDescent="0.25">
      <c r="A7" s="188"/>
      <c r="B7" s="123" t="s">
        <v>522</v>
      </c>
      <c r="H7" s="9" t="s">
        <v>529</v>
      </c>
    </row>
    <row r="8" spans="1:13" x14ac:dyDescent="0.25">
      <c r="A8" s="188"/>
      <c r="B8" s="9" t="s">
        <v>528</v>
      </c>
    </row>
    <row r="9" spans="1:13" x14ac:dyDescent="0.25">
      <c r="A9" s="188" t="s">
        <v>530</v>
      </c>
      <c r="B9" s="9" t="s">
        <v>531</v>
      </c>
    </row>
    <row r="10" spans="1:13" x14ac:dyDescent="0.25">
      <c r="A10" s="188" t="s">
        <v>487</v>
      </c>
      <c r="B10" s="9" t="s">
        <v>532</v>
      </c>
    </row>
    <row r="11" spans="1:13" x14ac:dyDescent="0.25">
      <c r="A11" s="188"/>
    </row>
    <row r="12" spans="1:13" x14ac:dyDescent="0.25">
      <c r="B12" s="1" t="s">
        <v>39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32</v>
      </c>
      <c r="H12" s="1" t="s">
        <v>33</v>
      </c>
      <c r="I12" s="1" t="s">
        <v>34</v>
      </c>
      <c r="J12" s="1" t="s">
        <v>35</v>
      </c>
      <c r="K12" s="1" t="s">
        <v>36</v>
      </c>
      <c r="L12" s="1" t="s">
        <v>37</v>
      </c>
      <c r="M12" s="1" t="s">
        <v>38</v>
      </c>
    </row>
    <row r="13" spans="1:13" x14ac:dyDescent="0.25">
      <c r="B13" s="200">
        <v>6.18</v>
      </c>
      <c r="C13" s="200">
        <v>6.38</v>
      </c>
      <c r="D13" s="200">
        <v>5.15</v>
      </c>
      <c r="E13" s="200">
        <v>4.4400000000000004</v>
      </c>
      <c r="F13" s="200">
        <v>3.59</v>
      </c>
      <c r="G13" s="201">
        <v>3.32</v>
      </c>
      <c r="H13" s="200">
        <v>3.35</v>
      </c>
      <c r="I13" s="200">
        <v>4.22</v>
      </c>
      <c r="J13" s="200">
        <v>4.41</v>
      </c>
      <c r="K13" s="200">
        <v>5.08</v>
      </c>
      <c r="L13" s="200">
        <v>5.22</v>
      </c>
      <c r="M13" s="202">
        <v>6.05</v>
      </c>
    </row>
    <row r="15" spans="1:13" x14ac:dyDescent="0.25">
      <c r="A15" s="188" t="s">
        <v>533</v>
      </c>
      <c r="B15" s="9" t="s">
        <v>534</v>
      </c>
      <c r="E15" s="187">
        <v>22.916321</v>
      </c>
    </row>
  </sheetData>
  <hyperlinks>
    <hyperlink ref="B7" r:id="rId1" xr:uid="{00000000-0004-0000-0100-000000000000}"/>
    <hyperlink ref="B3" r:id="rId2" xr:uid="{00000000-0004-0000-0100-000001000000}"/>
  </hyperlinks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2"/>
  <dimension ref="A1:Z71"/>
  <sheetViews>
    <sheetView topLeftCell="A13" zoomScale="85" zoomScaleNormal="85" workbookViewId="0">
      <selection activeCell="H21" sqref="H21"/>
    </sheetView>
  </sheetViews>
  <sheetFormatPr defaultColWidth="9.140625" defaultRowHeight="15" x14ac:dyDescent="0.25"/>
  <cols>
    <col min="1" max="1" width="2.85546875" style="9" customWidth="1"/>
    <col min="2" max="2" width="57.85546875" style="9" bestFit="1" customWidth="1"/>
    <col min="3" max="3" width="20.7109375" style="9" bestFit="1" customWidth="1"/>
    <col min="4" max="4" width="12.42578125" style="9" bestFit="1" customWidth="1"/>
    <col min="5" max="5" width="9.5703125" style="9" bestFit="1" customWidth="1"/>
    <col min="6" max="6" width="3" style="9" customWidth="1"/>
    <col min="7" max="7" width="7.140625" style="9" customWidth="1"/>
    <col min="8" max="8" width="20" style="9" customWidth="1"/>
    <col min="9" max="9" width="10.42578125" style="9" customWidth="1"/>
    <col min="10" max="10" width="10.28515625" style="9" bestFit="1" customWidth="1"/>
    <col min="11" max="14" width="9.28515625" style="9" bestFit="1" customWidth="1"/>
    <col min="15" max="15" width="9.5703125" style="9" customWidth="1"/>
    <col min="16" max="20" width="9.28515625" style="9" bestFit="1" customWidth="1"/>
    <col min="21" max="21" width="10.28515625" style="9" bestFit="1" customWidth="1"/>
    <col min="22" max="22" width="9.7109375" style="9" bestFit="1" customWidth="1"/>
    <col min="23" max="23" width="11.85546875" style="9" bestFit="1" customWidth="1"/>
    <col min="24" max="24" width="7.42578125" style="9" bestFit="1" customWidth="1"/>
    <col min="25" max="16384" width="9.140625" style="9"/>
  </cols>
  <sheetData>
    <row r="1" spans="1:26" x14ac:dyDescent="0.25">
      <c r="Y1" s="235">
        <f>ROUNDUP(U9/C22,0)</f>
        <v>117</v>
      </c>
      <c r="Z1" s="235"/>
    </row>
    <row r="2" spans="1:26" ht="15" customHeight="1" x14ac:dyDescent="0.25">
      <c r="B2" s="137" t="s">
        <v>425</v>
      </c>
      <c r="C2" s="138"/>
      <c r="D2" s="139"/>
      <c r="H2" s="137" t="s">
        <v>448</v>
      </c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1"/>
    </row>
    <row r="3" spans="1:26" ht="15" customHeight="1" x14ac:dyDescent="0.25">
      <c r="B3" s="29" t="s">
        <v>24</v>
      </c>
      <c r="C3" s="39">
        <f>Inputs!B18</f>
        <v>750</v>
      </c>
      <c r="D3" s="29" t="s">
        <v>416</v>
      </c>
      <c r="H3" s="75"/>
      <c r="I3" s="76" t="s">
        <v>50</v>
      </c>
      <c r="J3" s="76" t="s">
        <v>51</v>
      </c>
      <c r="K3" s="76" t="s">
        <v>52</v>
      </c>
      <c r="L3" s="76" t="s">
        <v>53</v>
      </c>
      <c r="M3" s="76" t="s">
        <v>54</v>
      </c>
      <c r="N3" s="76" t="s">
        <v>55</v>
      </c>
      <c r="O3" s="76" t="s">
        <v>56</v>
      </c>
      <c r="P3" s="76" t="s">
        <v>57</v>
      </c>
      <c r="Q3" s="76" t="s">
        <v>58</v>
      </c>
      <c r="R3" s="76" t="s">
        <v>59</v>
      </c>
      <c r="S3" s="76" t="s">
        <v>60</v>
      </c>
      <c r="T3" s="76" t="s">
        <v>61</v>
      </c>
      <c r="U3" s="77" t="s">
        <v>40</v>
      </c>
      <c r="V3" s="78" t="s">
        <v>0</v>
      </c>
    </row>
    <row r="4" spans="1:26" x14ac:dyDescent="0.25">
      <c r="A4" s="49"/>
      <c r="B4" s="29" t="s">
        <v>22</v>
      </c>
      <c r="C4" s="118" t="str">
        <f>Inputs!C3</f>
        <v>Trifásica</v>
      </c>
      <c r="D4" s="59"/>
      <c r="E4" s="49"/>
      <c r="F4" s="49"/>
      <c r="H4" s="45" t="s">
        <v>27</v>
      </c>
      <c r="I4" s="33">
        <f>'Irradiação Solar'!B13</f>
        <v>6.18</v>
      </c>
      <c r="J4" s="33">
        <f>'Irradiação Solar'!C13</f>
        <v>6.38</v>
      </c>
      <c r="K4" s="33">
        <f>'Irradiação Solar'!D13</f>
        <v>5.15</v>
      </c>
      <c r="L4" s="33">
        <f>'Irradiação Solar'!E13</f>
        <v>4.4400000000000004</v>
      </c>
      <c r="M4" s="33">
        <f>'Irradiação Solar'!F13</f>
        <v>3.59</v>
      </c>
      <c r="N4" s="33">
        <f>'Irradiação Solar'!G13</f>
        <v>3.32</v>
      </c>
      <c r="O4" s="33">
        <f>'Irradiação Solar'!H13</f>
        <v>3.35</v>
      </c>
      <c r="P4" s="33">
        <f>'Irradiação Solar'!I13</f>
        <v>4.22</v>
      </c>
      <c r="Q4" s="33">
        <f>'Irradiação Solar'!J13</f>
        <v>4.41</v>
      </c>
      <c r="R4" s="33">
        <f>'Irradiação Solar'!K13</f>
        <v>5.08</v>
      </c>
      <c r="S4" s="33">
        <f>'Irradiação Solar'!L13</f>
        <v>5.22</v>
      </c>
      <c r="T4" s="33">
        <f>'Irradiação Solar'!M13</f>
        <v>6.05</v>
      </c>
      <c r="U4" s="62">
        <f t="shared" ref="U4:U10" si="0">AVERAGE(I4:T4)</f>
        <v>4.7824999999999998</v>
      </c>
      <c r="V4" s="59" t="s">
        <v>90</v>
      </c>
    </row>
    <row r="5" spans="1:26" x14ac:dyDescent="0.25">
      <c r="A5" s="49"/>
      <c r="B5" s="29" t="s">
        <v>23</v>
      </c>
      <c r="C5" s="28">
        <f>VLOOKUP(C4,Inputs!I2:J4,2,FALSE)</f>
        <v>100</v>
      </c>
      <c r="D5" s="29" t="s">
        <v>16</v>
      </c>
      <c r="E5" s="57"/>
      <c r="F5" s="57"/>
      <c r="G5" s="49"/>
      <c r="H5" s="45" t="s">
        <v>44</v>
      </c>
      <c r="I5" s="33">
        <f>'Correção K'!T4</f>
        <v>0.99</v>
      </c>
      <c r="J5" s="33">
        <f>'Correção K'!U4</f>
        <v>1.01</v>
      </c>
      <c r="K5" s="33">
        <f>'Correção K'!V4</f>
        <v>1.05</v>
      </c>
      <c r="L5" s="33">
        <f>'Correção K'!W4</f>
        <v>1.08</v>
      </c>
      <c r="M5" s="33">
        <f>'Correção K'!X4</f>
        <v>1.1000000000000001</v>
      </c>
      <c r="N5" s="33">
        <f>'Correção K'!Y4</f>
        <v>1.1000000000000001</v>
      </c>
      <c r="O5" s="33">
        <f>'Correção K'!Z4</f>
        <v>1.0900000000000001</v>
      </c>
      <c r="P5" s="33">
        <f>'Correção K'!AA4</f>
        <v>1.07</v>
      </c>
      <c r="Q5" s="33">
        <f>'Correção K'!AB4</f>
        <v>1.04</v>
      </c>
      <c r="R5" s="33">
        <f>'Correção K'!AC4</f>
        <v>1.01</v>
      </c>
      <c r="S5" s="33">
        <f>'Correção K'!AD4</f>
        <v>0.99</v>
      </c>
      <c r="T5" s="33">
        <f>'Correção K'!AE4</f>
        <v>0.98</v>
      </c>
      <c r="U5" s="62">
        <f t="shared" si="0"/>
        <v>1.0425000000000002</v>
      </c>
      <c r="V5" s="59" t="s">
        <v>90</v>
      </c>
    </row>
    <row r="6" spans="1:26" x14ac:dyDescent="0.25">
      <c r="A6" s="49"/>
      <c r="B6" s="29" t="s">
        <v>25</v>
      </c>
      <c r="C6" s="107">
        <f>C3-C5</f>
        <v>650</v>
      </c>
      <c r="D6" s="29" t="s">
        <v>416</v>
      </c>
      <c r="E6" s="49"/>
      <c r="F6" s="49"/>
      <c r="G6" s="50"/>
      <c r="H6" s="45" t="s">
        <v>45</v>
      </c>
      <c r="I6" s="61">
        <f t="shared" ref="I6:T6" si="1">I4*I5</f>
        <v>6.1181999999999999</v>
      </c>
      <c r="J6" s="61">
        <f t="shared" si="1"/>
        <v>6.4437999999999995</v>
      </c>
      <c r="K6" s="61">
        <f t="shared" si="1"/>
        <v>5.4075000000000006</v>
      </c>
      <c r="L6" s="61">
        <f t="shared" si="1"/>
        <v>4.7952000000000004</v>
      </c>
      <c r="M6" s="61">
        <f t="shared" si="1"/>
        <v>3.9490000000000003</v>
      </c>
      <c r="N6" s="61">
        <f t="shared" si="1"/>
        <v>3.6520000000000001</v>
      </c>
      <c r="O6" s="61">
        <f t="shared" si="1"/>
        <v>3.6515000000000004</v>
      </c>
      <c r="P6" s="61">
        <f t="shared" si="1"/>
        <v>4.5153999999999996</v>
      </c>
      <c r="Q6" s="61">
        <f t="shared" si="1"/>
        <v>4.5864000000000003</v>
      </c>
      <c r="R6" s="61">
        <f t="shared" si="1"/>
        <v>5.1307999999999998</v>
      </c>
      <c r="S6" s="61">
        <f t="shared" si="1"/>
        <v>5.1677999999999997</v>
      </c>
      <c r="T6" s="61">
        <f t="shared" si="1"/>
        <v>5.9289999999999994</v>
      </c>
      <c r="U6" s="60">
        <f t="shared" si="0"/>
        <v>4.9455499999999999</v>
      </c>
      <c r="V6" s="59" t="s">
        <v>90</v>
      </c>
    </row>
    <row r="7" spans="1:26" x14ac:dyDescent="0.25">
      <c r="A7" s="49"/>
      <c r="B7" s="29" t="s">
        <v>26</v>
      </c>
      <c r="C7" s="37">
        <f>C6/30</f>
        <v>21.666666666666668</v>
      </c>
      <c r="D7" s="29" t="s">
        <v>415</v>
      </c>
      <c r="E7" s="49"/>
      <c r="F7" s="49"/>
      <c r="G7" s="50"/>
      <c r="H7" s="3" t="s">
        <v>428</v>
      </c>
      <c r="I7" s="74">
        <f>Inputs!B6</f>
        <v>750</v>
      </c>
      <c r="J7" s="74">
        <f>Inputs!B7</f>
        <v>750</v>
      </c>
      <c r="K7" s="74">
        <f>Inputs!B8</f>
        <v>750</v>
      </c>
      <c r="L7" s="74">
        <f>Inputs!B9</f>
        <v>750</v>
      </c>
      <c r="M7" s="74">
        <f>Inputs!B10</f>
        <v>750</v>
      </c>
      <c r="N7" s="74">
        <f>Inputs!B11</f>
        <v>750</v>
      </c>
      <c r="O7" s="74">
        <f>Inputs!B12</f>
        <v>750</v>
      </c>
      <c r="P7" s="74">
        <f>Inputs!B13</f>
        <v>750</v>
      </c>
      <c r="Q7" s="74">
        <f>Inputs!B14</f>
        <v>750</v>
      </c>
      <c r="R7" s="74">
        <f>Inputs!B15</f>
        <v>750</v>
      </c>
      <c r="S7" s="74">
        <f>Inputs!B16</f>
        <v>750</v>
      </c>
      <c r="T7" s="74">
        <f>Inputs!B17</f>
        <v>750</v>
      </c>
      <c r="U7" s="74">
        <f t="shared" si="0"/>
        <v>750</v>
      </c>
      <c r="V7" s="74">
        <f>SUM(I7:T7)</f>
        <v>9000</v>
      </c>
    </row>
    <row r="8" spans="1:26" x14ac:dyDescent="0.25">
      <c r="A8" s="49"/>
      <c r="B8" s="29" t="s">
        <v>493</v>
      </c>
      <c r="C8" s="170">
        <f>ROUNDUP('Irradiação Solar'!E15,0)</f>
        <v>23</v>
      </c>
      <c r="D8" s="42" t="s">
        <v>414</v>
      </c>
      <c r="F8" s="57"/>
      <c r="G8" s="50"/>
      <c r="H8" s="3" t="s">
        <v>433</v>
      </c>
      <c r="I8" s="74">
        <f t="shared" ref="I8:T8" si="2">$U$7</f>
        <v>750</v>
      </c>
      <c r="J8" s="74">
        <f t="shared" si="2"/>
        <v>750</v>
      </c>
      <c r="K8" s="74">
        <f t="shared" si="2"/>
        <v>750</v>
      </c>
      <c r="L8" s="74">
        <f t="shared" si="2"/>
        <v>750</v>
      </c>
      <c r="M8" s="74">
        <f t="shared" si="2"/>
        <v>750</v>
      </c>
      <c r="N8" s="74">
        <f t="shared" si="2"/>
        <v>750</v>
      </c>
      <c r="O8" s="74">
        <f t="shared" si="2"/>
        <v>750</v>
      </c>
      <c r="P8" s="74">
        <f t="shared" si="2"/>
        <v>750</v>
      </c>
      <c r="Q8" s="74">
        <f t="shared" si="2"/>
        <v>750</v>
      </c>
      <c r="R8" s="74">
        <f t="shared" si="2"/>
        <v>750</v>
      </c>
      <c r="S8" s="74">
        <f t="shared" si="2"/>
        <v>750</v>
      </c>
      <c r="T8" s="74">
        <f t="shared" si="2"/>
        <v>750</v>
      </c>
      <c r="U8" s="74">
        <f t="shared" si="0"/>
        <v>750</v>
      </c>
      <c r="V8" s="74">
        <f>SUM(I8:T8)</f>
        <v>9000</v>
      </c>
    </row>
    <row r="9" spans="1:26" x14ac:dyDescent="0.25">
      <c r="A9" s="49"/>
      <c r="B9" s="29" t="s">
        <v>41</v>
      </c>
      <c r="C9" s="30">
        <f>U6</f>
        <v>4.9455499999999999</v>
      </c>
      <c r="D9" s="29" t="s">
        <v>415</v>
      </c>
      <c r="G9" s="50"/>
      <c r="H9" s="3" t="s">
        <v>447</v>
      </c>
      <c r="I9" s="105">
        <f t="shared" ref="I9:T9" si="3">I$6*$C$28/1000*30*(1-$C$33)</f>
        <v>911.23719790949986</v>
      </c>
      <c r="J9" s="105">
        <f t="shared" si="3"/>
        <v>959.73166223549981</v>
      </c>
      <c r="K9" s="105">
        <f t="shared" si="3"/>
        <v>805.38641229375025</v>
      </c>
      <c r="L9" s="105">
        <f t="shared" si="3"/>
        <v>714.19120189200009</v>
      </c>
      <c r="M9" s="105">
        <f t="shared" si="3"/>
        <v>588.15921260250013</v>
      </c>
      <c r="N9" s="105">
        <f t="shared" si="3"/>
        <v>543.92439717000013</v>
      </c>
      <c r="O9" s="105">
        <f t="shared" si="3"/>
        <v>543.8499277837501</v>
      </c>
      <c r="P9" s="105">
        <f t="shared" si="3"/>
        <v>672.51813334650001</v>
      </c>
      <c r="Q9" s="105">
        <f t="shared" si="3"/>
        <v>683.09278619400015</v>
      </c>
      <c r="R9" s="105">
        <f t="shared" si="3"/>
        <v>764.17505394299997</v>
      </c>
      <c r="S9" s="105">
        <f t="shared" si="3"/>
        <v>769.68578852550002</v>
      </c>
      <c r="T9" s="105">
        <f t="shared" si="3"/>
        <v>883.05798215250002</v>
      </c>
      <c r="U9" s="105">
        <f t="shared" si="0"/>
        <v>736.58414633737505</v>
      </c>
      <c r="V9" s="58">
        <f>SUM(I9:T9)</f>
        <v>8839.009756048501</v>
      </c>
    </row>
    <row r="10" spans="1:26" x14ac:dyDescent="0.25">
      <c r="A10" s="49"/>
      <c r="B10" s="29" t="s">
        <v>42</v>
      </c>
      <c r="C10" s="38">
        <f>C9*365</f>
        <v>1805.1257499999999</v>
      </c>
      <c r="D10" s="29"/>
      <c r="E10" s="57"/>
      <c r="F10" s="57"/>
      <c r="G10" s="50"/>
      <c r="H10" s="3" t="s">
        <v>483</v>
      </c>
      <c r="I10" s="54">
        <f>I8-$C$5</f>
        <v>650</v>
      </c>
      <c r="J10" s="54">
        <f t="shared" ref="J10:T10" si="4">J8-$C$5</f>
        <v>650</v>
      </c>
      <c r="K10" s="54">
        <f t="shared" si="4"/>
        <v>650</v>
      </c>
      <c r="L10" s="54">
        <f t="shared" si="4"/>
        <v>650</v>
      </c>
      <c r="M10" s="54">
        <f t="shared" si="4"/>
        <v>650</v>
      </c>
      <c r="N10" s="54">
        <f t="shared" si="4"/>
        <v>650</v>
      </c>
      <c r="O10" s="54">
        <f t="shared" si="4"/>
        <v>650</v>
      </c>
      <c r="P10" s="54">
        <f t="shared" si="4"/>
        <v>650</v>
      </c>
      <c r="Q10" s="54">
        <f t="shared" si="4"/>
        <v>650</v>
      </c>
      <c r="R10" s="54">
        <f t="shared" si="4"/>
        <v>650</v>
      </c>
      <c r="S10" s="54">
        <f t="shared" si="4"/>
        <v>650</v>
      </c>
      <c r="T10" s="54">
        <f t="shared" si="4"/>
        <v>650</v>
      </c>
      <c r="U10" s="105">
        <f t="shared" si="0"/>
        <v>650</v>
      </c>
      <c r="V10" s="3"/>
    </row>
    <row r="11" spans="1:26" x14ac:dyDescent="0.25">
      <c r="A11" s="49"/>
      <c r="B11" s="29" t="s">
        <v>512</v>
      </c>
      <c r="C11" s="39">
        <f>3.7+(0.69*C8)</f>
        <v>19.57</v>
      </c>
      <c r="D11" s="42" t="s">
        <v>414</v>
      </c>
      <c r="F11" s="57"/>
      <c r="G11" s="50"/>
    </row>
    <row r="12" spans="1:26" x14ac:dyDescent="0.25">
      <c r="B12" s="3" t="s">
        <v>542</v>
      </c>
      <c r="C12" s="167">
        <v>10</v>
      </c>
      <c r="D12" s="42" t="s">
        <v>414</v>
      </c>
      <c r="E12" s="57"/>
      <c r="F12" s="57"/>
      <c r="G12" s="50"/>
    </row>
    <row r="13" spans="1:26" x14ac:dyDescent="0.25">
      <c r="B13" s="29" t="s">
        <v>43</v>
      </c>
      <c r="C13" s="31">
        <f>C7/C9</f>
        <v>4.3810428904098977</v>
      </c>
      <c r="D13" s="29" t="s">
        <v>413</v>
      </c>
      <c r="E13" s="57"/>
      <c r="F13" s="136"/>
      <c r="G13" s="9" t="s">
        <v>502</v>
      </c>
    </row>
    <row r="14" spans="1:26" x14ac:dyDescent="0.25">
      <c r="B14" s="29" t="s">
        <v>505</v>
      </c>
      <c r="C14" s="40">
        <f>C33</f>
        <v>0.21196416666666665</v>
      </c>
      <c r="D14" s="29"/>
      <c r="E14" s="57"/>
      <c r="F14" s="131"/>
      <c r="G14" s="9" t="s">
        <v>503</v>
      </c>
    </row>
    <row r="15" spans="1:26" x14ac:dyDescent="0.25">
      <c r="B15" s="1" t="s">
        <v>471</v>
      </c>
      <c r="C15" s="176">
        <v>1</v>
      </c>
      <c r="D15" s="1"/>
      <c r="E15" s="49"/>
      <c r="F15" s="49"/>
      <c r="G15" s="51"/>
    </row>
    <row r="16" spans="1:26" x14ac:dyDescent="0.25">
      <c r="B16" s="82" t="s">
        <v>477</v>
      </c>
      <c r="C16" s="120">
        <f>(1+C14)*C13*C15</f>
        <v>5.3096669958065563</v>
      </c>
      <c r="D16" s="29" t="s">
        <v>445</v>
      </c>
      <c r="E16" s="49"/>
      <c r="F16" s="49"/>
    </row>
    <row r="17" spans="1:12" x14ac:dyDescent="0.25">
      <c r="E17" s="49"/>
      <c r="F17" s="46"/>
    </row>
    <row r="18" spans="1:12" x14ac:dyDescent="0.25">
      <c r="A18" s="49"/>
      <c r="B18" s="137" t="s">
        <v>2</v>
      </c>
      <c r="C18" s="138"/>
      <c r="D18" s="139"/>
      <c r="E18" s="49"/>
    </row>
    <row r="19" spans="1:12" x14ac:dyDescent="0.25">
      <c r="B19" s="3" t="s">
        <v>535</v>
      </c>
      <c r="C19" s="190">
        <v>700</v>
      </c>
      <c r="D19" s="122" t="s">
        <v>439</v>
      </c>
      <c r="E19" s="46"/>
      <c r="L19" s="51"/>
    </row>
    <row r="20" spans="1:12" x14ac:dyDescent="0.25">
      <c r="B20" s="3" t="s">
        <v>536</v>
      </c>
      <c r="C20" s="119">
        <f>ROUNDUP(C15*(C16*1000/C19),0)+C21</f>
        <v>9</v>
      </c>
      <c r="D20" s="33" t="s">
        <v>443</v>
      </c>
      <c r="L20" s="51"/>
    </row>
    <row r="21" spans="1:12" x14ac:dyDescent="0.25">
      <c r="B21" s="3" t="s">
        <v>541</v>
      </c>
      <c r="C21" s="198">
        <v>1</v>
      </c>
      <c r="D21" s="33" t="s">
        <v>443</v>
      </c>
    </row>
    <row r="22" spans="1:12" ht="15.75" x14ac:dyDescent="0.25">
      <c r="B22" s="3" t="s">
        <v>449</v>
      </c>
      <c r="C22" s="130">
        <f>C20*C19/1000</f>
        <v>6.3</v>
      </c>
      <c r="D22" s="33" t="s">
        <v>412</v>
      </c>
    </row>
    <row r="23" spans="1:12" ht="15" customHeight="1" x14ac:dyDescent="0.25">
      <c r="B23" s="3" t="s">
        <v>504</v>
      </c>
      <c r="C23" s="140">
        <v>6</v>
      </c>
      <c r="D23" s="33" t="s">
        <v>444</v>
      </c>
      <c r="G23" s="71"/>
    </row>
    <row r="24" spans="1:12" ht="15.75" customHeight="1" x14ac:dyDescent="0.25">
      <c r="B24" s="3" t="s">
        <v>520</v>
      </c>
      <c r="C24" s="177">
        <v>1</v>
      </c>
      <c r="D24" s="59" t="s">
        <v>443</v>
      </c>
      <c r="E24" s="195" t="str">
        <f>IF(D25="OK","","O ideal é que o fator de dimensionamento Global fique entre 0,75 e 1,25")</f>
        <v/>
      </c>
      <c r="G24" s="72"/>
      <c r="H24" s="219"/>
    </row>
    <row r="25" spans="1:12" ht="15.75" customHeight="1" x14ac:dyDescent="0.25">
      <c r="B25" s="3" t="s">
        <v>518</v>
      </c>
      <c r="C25" s="120">
        <f>C22/(C23*C24)</f>
        <v>1.05</v>
      </c>
      <c r="D25" s="78" t="str">
        <f>IF(C25&lt;0.75,"Atenção",IF(C25&gt;1.3,"Atenção","OK"))</f>
        <v>OK</v>
      </c>
      <c r="G25" s="72"/>
    </row>
    <row r="26" spans="1:12" ht="15" customHeight="1" x14ac:dyDescent="0.25">
      <c r="F26" s="9">
        <v>8</v>
      </c>
      <c r="G26" s="73"/>
    </row>
    <row r="27" spans="1:12" ht="15" customHeight="1" x14ac:dyDescent="0.25">
      <c r="B27" s="137" t="s">
        <v>478</v>
      </c>
      <c r="C27" s="138"/>
      <c r="D27" s="139"/>
    </row>
    <row r="28" spans="1:12" x14ac:dyDescent="0.25">
      <c r="B28" s="3" t="s">
        <v>424</v>
      </c>
      <c r="C28" s="39">
        <f>C22*1000</f>
        <v>6300</v>
      </c>
      <c r="D28" s="63" t="s">
        <v>450</v>
      </c>
      <c r="F28" s="11"/>
    </row>
    <row r="29" spans="1:12" ht="15" customHeight="1" x14ac:dyDescent="0.25">
      <c r="B29" s="82" t="s">
        <v>440</v>
      </c>
      <c r="C29" s="191">
        <v>-4.1000000000000003E-3</v>
      </c>
      <c r="D29" s="33" t="s">
        <v>441</v>
      </c>
      <c r="F29" s="27"/>
    </row>
    <row r="30" spans="1:12" ht="15" customHeight="1" x14ac:dyDescent="0.25">
      <c r="B30" s="3" t="s">
        <v>519</v>
      </c>
      <c r="C30" s="40">
        <f>Inputs!J16</f>
        <v>9.9999999999999992E-2</v>
      </c>
      <c r="D30" s="63" t="s">
        <v>442</v>
      </c>
      <c r="F30" s="25"/>
    </row>
    <row r="31" spans="1:12" ht="15" customHeight="1" x14ac:dyDescent="0.25">
      <c r="B31" s="3" t="s">
        <v>398</v>
      </c>
      <c r="C31" s="126">
        <f>E69</f>
        <v>0.11196416666666666</v>
      </c>
      <c r="D31" s="63" t="s">
        <v>442</v>
      </c>
      <c r="F31" s="25"/>
    </row>
    <row r="32" spans="1:12" ht="15" customHeight="1" x14ac:dyDescent="0.25">
      <c r="B32" s="1" t="s">
        <v>521</v>
      </c>
      <c r="C32" s="185">
        <v>0</v>
      </c>
      <c r="D32" s="63" t="s">
        <v>442</v>
      </c>
    </row>
    <row r="33" spans="2:12" ht="15" customHeight="1" x14ac:dyDescent="0.25">
      <c r="B33" s="3" t="s">
        <v>3</v>
      </c>
      <c r="C33" s="79">
        <f>C30+C31+C32</f>
        <v>0.21196416666666665</v>
      </c>
      <c r="D33" s="63" t="s">
        <v>442</v>
      </c>
    </row>
    <row r="34" spans="2:12" ht="15" customHeight="1" x14ac:dyDescent="0.25">
      <c r="B34" s="3" t="s">
        <v>538</v>
      </c>
      <c r="C34" s="178" t="s">
        <v>395</v>
      </c>
      <c r="D34" s="84" t="s">
        <v>90</v>
      </c>
      <c r="F34" s="26"/>
    </row>
    <row r="35" spans="2:12" ht="15" customHeight="1" x14ac:dyDescent="0.25">
      <c r="B35" s="3" t="s">
        <v>410</v>
      </c>
      <c r="C35" s="80">
        <f>VLOOKUP($C34,Inputs!M2:N5,2,FALSE)</f>
        <v>4</v>
      </c>
      <c r="D35" s="84" t="s">
        <v>451</v>
      </c>
      <c r="F35" s="26"/>
    </row>
    <row r="36" spans="2:12" ht="15" customHeight="1" x14ac:dyDescent="0.25">
      <c r="B36" s="20" t="s">
        <v>409</v>
      </c>
      <c r="C36" s="80">
        <f>25+C35</f>
        <v>29</v>
      </c>
      <c r="D36" s="84" t="s">
        <v>452</v>
      </c>
    </row>
    <row r="37" spans="2:12" ht="15" customHeight="1" x14ac:dyDescent="0.25"/>
    <row r="40" spans="2:12" ht="15" customHeight="1" x14ac:dyDescent="0.25">
      <c r="F40" s="68"/>
    </row>
    <row r="41" spans="2:12" x14ac:dyDescent="0.25">
      <c r="E41" s="11"/>
      <c r="F41" s="68"/>
      <c r="L41" s="117"/>
    </row>
    <row r="42" spans="2:12" x14ac:dyDescent="0.25">
      <c r="E42" s="27"/>
      <c r="F42" s="68"/>
      <c r="L42" s="117"/>
    </row>
    <row r="43" spans="2:12" x14ac:dyDescent="0.25">
      <c r="H43" s="117"/>
      <c r="I43" s="117"/>
      <c r="J43" s="117"/>
      <c r="K43" s="117"/>
      <c r="L43" s="117"/>
    </row>
    <row r="44" spans="2:12" ht="15" customHeight="1" x14ac:dyDescent="0.25">
      <c r="E44" s="25"/>
      <c r="F44" s="25"/>
      <c r="H44" s="117"/>
      <c r="I44" s="117"/>
      <c r="J44" s="117"/>
      <c r="K44" s="117"/>
      <c r="L44" s="117"/>
    </row>
    <row r="45" spans="2:12" x14ac:dyDescent="0.25">
      <c r="H45" s="117"/>
      <c r="I45" s="117"/>
      <c r="J45" s="117"/>
      <c r="K45" s="117"/>
      <c r="L45" s="117"/>
    </row>
    <row r="47" spans="2:12" x14ac:dyDescent="0.25">
      <c r="E47" s="25"/>
      <c r="F47" s="25"/>
    </row>
    <row r="49" spans="2:6" x14ac:dyDescent="0.25">
      <c r="F49" s="68"/>
    </row>
    <row r="50" spans="2:6" x14ac:dyDescent="0.25">
      <c r="F50" s="68"/>
    </row>
    <row r="51" spans="2:6" x14ac:dyDescent="0.25">
      <c r="F51" s="68"/>
    </row>
    <row r="52" spans="2:6" x14ac:dyDescent="0.25">
      <c r="F52" s="70"/>
    </row>
    <row r="55" spans="2:6" x14ac:dyDescent="0.25">
      <c r="B55" s="196" t="s">
        <v>537</v>
      </c>
      <c r="C55" s="138"/>
      <c r="D55" s="138"/>
      <c r="E55" s="139"/>
    </row>
    <row r="56" spans="2:6" x14ac:dyDescent="0.25">
      <c r="B56" s="156" t="s">
        <v>288</v>
      </c>
      <c r="C56" s="78" t="s">
        <v>510</v>
      </c>
      <c r="D56" s="78" t="s">
        <v>423</v>
      </c>
      <c r="E56" s="78" t="s">
        <v>403</v>
      </c>
    </row>
    <row r="57" spans="2:6" x14ac:dyDescent="0.25">
      <c r="B57" s="56" t="s">
        <v>50</v>
      </c>
      <c r="C57" s="43">
        <f>VLOOKUP($B56,'Temp. Média'!$A:$N,6,FALSE)</f>
        <v>24.4</v>
      </c>
      <c r="D57" s="44">
        <f t="shared" ref="D57:D68" si="5">C57+($C$36-25)</f>
        <v>28.4</v>
      </c>
      <c r="E57" s="41">
        <f t="shared" ref="E57:E68" si="6">-$C$29*D57</f>
        <v>0.11644</v>
      </c>
    </row>
    <row r="58" spans="2:6" x14ac:dyDescent="0.25">
      <c r="B58" s="56" t="s">
        <v>51</v>
      </c>
      <c r="C58" s="43">
        <f>VLOOKUP($B56,'Temp. Média'!$A:$N,6,FALSE)</f>
        <v>24.4</v>
      </c>
      <c r="D58" s="44">
        <f t="shared" si="5"/>
        <v>28.4</v>
      </c>
      <c r="E58" s="41">
        <f t="shared" si="6"/>
        <v>0.11644</v>
      </c>
    </row>
    <row r="59" spans="2:6" x14ac:dyDescent="0.25">
      <c r="B59" s="56" t="s">
        <v>52</v>
      </c>
      <c r="C59" s="43">
        <f>VLOOKUP($B56,'Temp. Média'!$A:$N,6,FALSE)</f>
        <v>24.4</v>
      </c>
      <c r="D59" s="44">
        <f t="shared" si="5"/>
        <v>28.4</v>
      </c>
      <c r="E59" s="41">
        <f t="shared" si="6"/>
        <v>0.11644</v>
      </c>
    </row>
    <row r="60" spans="2:6" x14ac:dyDescent="0.25">
      <c r="B60" s="56" t="s">
        <v>53</v>
      </c>
      <c r="C60" s="43">
        <f>VLOOKUP($B56,'Temp. Média'!$A:$N,6,FALSE)</f>
        <v>24.4</v>
      </c>
      <c r="D60" s="44">
        <f t="shared" si="5"/>
        <v>28.4</v>
      </c>
      <c r="E60" s="41">
        <f t="shared" si="6"/>
        <v>0.11644</v>
      </c>
    </row>
    <row r="61" spans="2:6" x14ac:dyDescent="0.25">
      <c r="B61" s="56" t="s">
        <v>54</v>
      </c>
      <c r="C61" s="43">
        <f>VLOOKUP($B56,'Temp. Média'!$A:$N,7,FALSE)</f>
        <v>22.8</v>
      </c>
      <c r="D61" s="44">
        <f t="shared" si="5"/>
        <v>26.8</v>
      </c>
      <c r="E61" s="41">
        <f t="shared" si="6"/>
        <v>0.10988000000000001</v>
      </c>
    </row>
    <row r="62" spans="2:6" x14ac:dyDescent="0.25">
      <c r="B62" s="56" t="s">
        <v>55</v>
      </c>
      <c r="C62" s="43">
        <f>VLOOKUP($B56,'Temp. Média'!$A:$N,8,FALSE)</f>
        <v>21.8</v>
      </c>
      <c r="D62" s="44">
        <f t="shared" si="5"/>
        <v>25.8</v>
      </c>
      <c r="E62" s="41">
        <f t="shared" si="6"/>
        <v>0.10578000000000001</v>
      </c>
    </row>
    <row r="63" spans="2:6" x14ac:dyDescent="0.25">
      <c r="B63" s="56" t="s">
        <v>56</v>
      </c>
      <c r="C63" s="43">
        <f>VLOOKUP($B56,'Temp. Média'!$A:$N,9,FALSE)</f>
        <v>21.3</v>
      </c>
      <c r="D63" s="44">
        <f t="shared" si="5"/>
        <v>25.3</v>
      </c>
      <c r="E63" s="41">
        <f t="shared" si="6"/>
        <v>0.10373000000000002</v>
      </c>
    </row>
    <row r="64" spans="2:6" x14ac:dyDescent="0.25">
      <c r="B64" s="56" t="s">
        <v>57</v>
      </c>
      <c r="C64" s="43">
        <f>VLOOKUP($B56,'Temp. Média'!$A:$N,10,FALSE)</f>
        <v>21.8</v>
      </c>
      <c r="D64" s="44">
        <f t="shared" si="5"/>
        <v>25.8</v>
      </c>
      <c r="E64" s="41">
        <f t="shared" si="6"/>
        <v>0.10578000000000001</v>
      </c>
    </row>
    <row r="65" spans="2:5" x14ac:dyDescent="0.25">
      <c r="B65" s="56" t="s">
        <v>58</v>
      </c>
      <c r="C65" s="43">
        <f>VLOOKUP($B56,'Temp. Média'!$A:$N,11,FALSE)</f>
        <v>22.2</v>
      </c>
      <c r="D65" s="44">
        <f t="shared" si="5"/>
        <v>26.2</v>
      </c>
      <c r="E65" s="41">
        <f t="shared" si="6"/>
        <v>0.10742</v>
      </c>
    </row>
    <row r="66" spans="2:5" x14ac:dyDescent="0.25">
      <c r="B66" s="56" t="s">
        <v>59</v>
      </c>
      <c r="C66" s="43">
        <f>VLOOKUP($B56,'Temp. Média'!$A:$N,12,FALSE)</f>
        <v>22.9</v>
      </c>
      <c r="D66" s="44">
        <f t="shared" si="5"/>
        <v>26.9</v>
      </c>
      <c r="E66" s="41">
        <f t="shared" si="6"/>
        <v>0.11029</v>
      </c>
    </row>
    <row r="67" spans="2:5" x14ac:dyDescent="0.25">
      <c r="B67" s="56" t="s">
        <v>60</v>
      </c>
      <c r="C67" s="43">
        <f>VLOOKUP($B56,'Temp. Média'!$A:$N,13,FALSE)</f>
        <v>24</v>
      </c>
      <c r="D67" s="44">
        <f t="shared" si="5"/>
        <v>28</v>
      </c>
      <c r="E67" s="41">
        <f t="shared" si="6"/>
        <v>0.11480000000000001</v>
      </c>
    </row>
    <row r="68" spans="2:5" x14ac:dyDescent="0.25">
      <c r="B68" s="56" t="s">
        <v>61</v>
      </c>
      <c r="C68" s="43">
        <f>VLOOKUP($B56,'Temp. Média'!$A:$N,14,FALSE)</f>
        <v>25.3</v>
      </c>
      <c r="D68" s="44">
        <f t="shared" si="5"/>
        <v>29.3</v>
      </c>
      <c r="E68" s="41">
        <f t="shared" si="6"/>
        <v>0.12013000000000001</v>
      </c>
    </row>
    <row r="69" spans="2:5" x14ac:dyDescent="0.25">
      <c r="B69" s="56" t="s">
        <v>40</v>
      </c>
      <c r="C69" s="67">
        <f>AVERAGE(C57:C68)</f>
        <v>23.308333333333334</v>
      </c>
      <c r="D69" s="67">
        <f>AVERAGE(D57:D68)</f>
        <v>27.308333333333337</v>
      </c>
      <c r="E69" s="69">
        <f>AVERAGE(E57:E68)</f>
        <v>0.11196416666666666</v>
      </c>
    </row>
    <row r="71" spans="2:5" x14ac:dyDescent="0.25">
      <c r="D71" s="81"/>
    </row>
  </sheetData>
  <dataConsolidate function="count">
    <dataRefs count="1">
      <dataRef ref="P49:P69" sheet="Inputs" r:id="rId1"/>
    </dataRefs>
  </dataConsolidate>
  <mergeCells count="1">
    <mergeCell ref="Y1:Z1"/>
  </mergeCells>
  <conditionalFormatting sqref="C25">
    <cfRule type="cellIs" dxfId="6" priority="1" operator="equal">
      <formula>$D$25</formula>
    </cfRule>
  </conditionalFormatting>
  <conditionalFormatting sqref="C57:C68">
    <cfRule type="containsText" dxfId="5" priority="28" stopIfTrue="1" operator="containsText" text="VERF">
      <formula>NOT(ISERROR(SEARCH("VERF",C57)))</formula>
    </cfRule>
  </conditionalFormatting>
  <conditionalFormatting sqref="D25">
    <cfRule type="containsText" dxfId="4" priority="14" operator="containsText" text="Atenção">
      <formula>NOT(ISERROR(SEARCH("Atenção",D25)))</formula>
    </cfRule>
    <cfRule type="containsText" dxfId="3" priority="15" operator="containsText" text="OK">
      <formula>NOT(ISERROR(SEARCH("OK",D25)))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ignoredErrors>
    <ignoredError sqref="C8 C4" unlockedFormula="1"/>
    <ignoredError sqref="W9:X12 W26:X26 W23:X23 W24:X24 W25:X25 W29:X35 W27:X27 W28:X28 W19:X22 W18:X18 W38:X58 W37:X37 W61:X62 W59:X59 W60:X60 H70:X75 W63:X63 W14:X17 W13:X13 W64:X65 W66:X67 W68:X69 C28 W36:X36 C14 I9:R9" evalError="1"/>
  </ignoredErrors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200-000000000000}">
          <x14:formula1>
            <xm:f>'Temp. Média'!$A$5:$A$330</xm:f>
          </x14:formula1>
          <xm:sqref>B56</xm:sqref>
        </x14:dataValidation>
        <x14:dataValidation type="list" allowBlank="1" showInputMessage="1" showErrorMessage="1" xr:uid="{00000000-0002-0000-0200-000001000000}">
          <x14:formula1>
            <xm:f>Inputs!$M$2:$M$5</xm:f>
          </x14:formula1>
          <xm:sqref>C34</xm:sqref>
        </x14:dataValidation>
        <x14:dataValidation type="list" allowBlank="1" showInputMessage="1" showErrorMessage="1" xr:uid="{00000000-0002-0000-0200-000002000000}">
          <x14:formula1>
            <xm:f>Inputs!$O$49:$O$67</xm:f>
          </x14:formula1>
          <xm:sqref>C12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/>
  <dimension ref="A1:AQ304"/>
  <sheetViews>
    <sheetView topLeftCell="A7" zoomScale="85" zoomScaleNormal="85" workbookViewId="0">
      <selection activeCell="P17" sqref="P17"/>
    </sheetView>
  </sheetViews>
  <sheetFormatPr defaultColWidth="9.140625" defaultRowHeight="15" x14ac:dyDescent="0.25"/>
  <cols>
    <col min="1" max="1" width="5.42578125" style="9" customWidth="1"/>
    <col min="2" max="2" width="43.28515625" style="9" customWidth="1"/>
    <col min="3" max="3" width="18.5703125" style="9" customWidth="1"/>
    <col min="4" max="4" width="11.7109375" style="106" customWidth="1"/>
    <col min="5" max="5" width="10.42578125" style="48" bestFit="1" customWidth="1"/>
    <col min="6" max="7" width="12.5703125" style="48" customWidth="1"/>
    <col min="8" max="8" width="16.85546875" style="48" bestFit="1" customWidth="1"/>
    <col min="9" max="9" width="17" style="48" bestFit="1" customWidth="1"/>
    <col min="10" max="10" width="16" style="48" bestFit="1" customWidth="1"/>
    <col min="11" max="12" width="14.42578125" style="48" bestFit="1" customWidth="1"/>
    <col min="13" max="13" width="16" style="48" bestFit="1" customWidth="1"/>
    <col min="14" max="14" width="17.28515625" style="48" customWidth="1"/>
    <col min="15" max="15" width="18" style="48" bestFit="1" customWidth="1"/>
    <col min="16" max="16" width="15.7109375" style="48" customWidth="1"/>
    <col min="17" max="17" width="18.85546875" style="48" bestFit="1" customWidth="1"/>
    <col min="18" max="18" width="20.7109375" style="9" bestFit="1" customWidth="1"/>
    <col min="19" max="19" width="9.42578125" style="9" customWidth="1"/>
    <col min="20" max="21" width="9.140625" style="9"/>
    <col min="22" max="22" width="10.42578125" style="9" bestFit="1" customWidth="1"/>
    <col min="23" max="25" width="9.140625" style="9"/>
    <col min="26" max="26" width="11.7109375" style="9" bestFit="1" customWidth="1"/>
    <col min="27" max="30" width="9.140625" style="9"/>
    <col min="31" max="32" width="14.42578125" style="9" bestFit="1" customWidth="1"/>
    <col min="33" max="33" width="13.42578125" style="9" bestFit="1" customWidth="1"/>
    <col min="34" max="34" width="16.42578125" style="9" bestFit="1" customWidth="1"/>
    <col min="35" max="35" width="14.42578125" style="9" bestFit="1" customWidth="1"/>
    <col min="36" max="36" width="16" style="9" bestFit="1" customWidth="1"/>
    <col min="37" max="37" width="9.140625" style="64"/>
    <col min="38" max="38" width="17.5703125" style="9" bestFit="1" customWidth="1"/>
    <col min="39" max="39" width="11.85546875" style="9" bestFit="1" customWidth="1"/>
    <col min="40" max="40" width="5.28515625" style="9" customWidth="1"/>
    <col min="41" max="41" width="9.140625" style="9"/>
    <col min="42" max="42" width="17.140625" style="9" customWidth="1"/>
    <col min="43" max="43" width="14.42578125" style="9" bestFit="1" customWidth="1"/>
    <col min="44" max="44" width="9.140625" style="9"/>
    <col min="45" max="45" width="9.5703125" style="9" bestFit="1" customWidth="1"/>
    <col min="46" max="16384" width="9.140625" style="9"/>
  </cols>
  <sheetData>
    <row r="1" spans="1:43" x14ac:dyDescent="0.25">
      <c r="B1" s="87"/>
      <c r="C1" s="88"/>
      <c r="AK1" s="9"/>
    </row>
    <row r="2" spans="1:43" x14ac:dyDescent="0.25">
      <c r="A2" s="49"/>
      <c r="B2" s="236" t="s">
        <v>1</v>
      </c>
      <c r="C2" s="236"/>
      <c r="E2" s="237" t="s">
        <v>463</v>
      </c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AK2" s="9"/>
      <c r="AO2" s="78" t="s">
        <v>435</v>
      </c>
      <c r="AP2" s="78" t="s">
        <v>492</v>
      </c>
      <c r="AQ2" s="78" t="s">
        <v>490</v>
      </c>
    </row>
    <row r="3" spans="1:43" x14ac:dyDescent="0.25">
      <c r="A3" s="49"/>
      <c r="B3" s="164" t="s">
        <v>17</v>
      </c>
      <c r="C3" s="111">
        <f>'Análise Técnica'!C22</f>
        <v>6.3</v>
      </c>
      <c r="E3" s="56" t="s">
        <v>435</v>
      </c>
      <c r="F3" s="56" t="s">
        <v>428</v>
      </c>
      <c r="G3" s="56" t="s">
        <v>489</v>
      </c>
      <c r="H3" s="56" t="s">
        <v>429</v>
      </c>
      <c r="I3" s="56" t="s">
        <v>430</v>
      </c>
      <c r="J3" s="56" t="s">
        <v>21</v>
      </c>
      <c r="K3" s="56" t="s">
        <v>469</v>
      </c>
      <c r="L3" s="56" t="s">
        <v>460</v>
      </c>
      <c r="M3" s="56" t="s">
        <v>432</v>
      </c>
      <c r="N3" s="56" t="s">
        <v>461</v>
      </c>
      <c r="O3" s="56" t="s">
        <v>462</v>
      </c>
      <c r="P3" s="56" t="s">
        <v>464</v>
      </c>
      <c r="Q3" s="78" t="s">
        <v>465</v>
      </c>
      <c r="R3" s="78" t="s">
        <v>500</v>
      </c>
      <c r="T3" s="78" t="s">
        <v>62</v>
      </c>
      <c r="U3" s="241" t="s">
        <v>435</v>
      </c>
      <c r="V3" s="242"/>
      <c r="W3" s="1" t="s">
        <v>428</v>
      </c>
      <c r="X3" s="1" t="s">
        <v>489</v>
      </c>
      <c r="Y3" s="1" t="s">
        <v>429</v>
      </c>
      <c r="Z3" s="1" t="s">
        <v>501</v>
      </c>
      <c r="AA3" s="1" t="s">
        <v>431</v>
      </c>
      <c r="AB3" s="1" t="s">
        <v>457</v>
      </c>
      <c r="AC3" s="1" t="s">
        <v>460</v>
      </c>
      <c r="AD3" s="1" t="s">
        <v>436</v>
      </c>
      <c r="AE3" s="1" t="s">
        <v>461</v>
      </c>
      <c r="AF3" s="1" t="s">
        <v>462</v>
      </c>
      <c r="AG3" s="1" t="s">
        <v>427</v>
      </c>
      <c r="AH3" s="1" t="s">
        <v>438</v>
      </c>
      <c r="AI3" s="1" t="s">
        <v>437</v>
      </c>
      <c r="AJ3" s="1" t="s">
        <v>466</v>
      </c>
      <c r="AK3" s="56" t="s">
        <v>427</v>
      </c>
      <c r="AL3" s="1" t="s">
        <v>473</v>
      </c>
      <c r="AM3" s="78" t="s">
        <v>506</v>
      </c>
      <c r="AO3" s="59">
        <v>0</v>
      </c>
      <c r="AP3" s="125">
        <f>C4</f>
        <v>14234.494244800002</v>
      </c>
      <c r="AQ3" s="125">
        <f>-AP3</f>
        <v>-14234.494244800002</v>
      </c>
    </row>
    <row r="4" spans="1:43" x14ac:dyDescent="0.25">
      <c r="A4" s="49"/>
      <c r="B4" s="1" t="s">
        <v>426</v>
      </c>
      <c r="C4" s="192">
        <f>Custos!D24</f>
        <v>14234.494244800002</v>
      </c>
      <c r="E4" s="29" t="s">
        <v>50</v>
      </c>
      <c r="F4" s="94">
        <f>Inputs!B6</f>
        <v>750</v>
      </c>
      <c r="G4" s="95">
        <f>'Análise Técnica'!I9</f>
        <v>911.23719790949986</v>
      </c>
      <c r="H4" s="95">
        <f t="shared" ref="H4:H15" si="0">IF(G4-F4&lt;0,F4-G4,0)</f>
        <v>0</v>
      </c>
      <c r="I4" s="95">
        <f t="shared" ref="I4:I15" si="1">IF(G4-F4&gt;0,G4-F4,0)</f>
        <v>161.23719790949986</v>
      </c>
      <c r="J4" s="95">
        <f t="shared" ref="J4:J15" si="2">$C$7</f>
        <v>100</v>
      </c>
      <c r="K4" s="95">
        <f t="shared" ref="K4:K15" si="3">IF(H4-$C$7&gt;0,H4-$C$7,0)</f>
        <v>0</v>
      </c>
      <c r="L4" s="95">
        <f>I4</f>
        <v>161.23719790949986</v>
      </c>
      <c r="M4" s="95">
        <f>K4</f>
        <v>0</v>
      </c>
      <c r="N4" s="96">
        <f>Inputs!C6</f>
        <v>937.5</v>
      </c>
      <c r="O4" s="96">
        <f>IF(I4&gt;0, (J4*$C$8),(J4+M4)*$C$8)</f>
        <v>125</v>
      </c>
      <c r="P4" s="96">
        <f t="shared" ref="P4:P15" si="4">N4-O4</f>
        <v>812.5</v>
      </c>
      <c r="Q4" s="86">
        <f>1-(O4/N4)</f>
        <v>0.8666666666666667</v>
      </c>
      <c r="R4" s="124">
        <f t="shared" ref="R4:R15" si="5">P4/$C$4</f>
        <v>5.7079653553326212E-2</v>
      </c>
      <c r="T4" s="59">
        <v>0</v>
      </c>
      <c r="U4" s="59">
        <v>1</v>
      </c>
      <c r="V4" s="3" t="s">
        <v>50</v>
      </c>
      <c r="W4" s="23">
        <f>'Análise Técnica'!$C$3</f>
        <v>750</v>
      </c>
      <c r="X4" s="23">
        <f t="shared" ref="X4:X15" si="6">G4</f>
        <v>911.23719790949986</v>
      </c>
      <c r="Y4" s="54">
        <f>IF(X4-W4&lt;0,W4-X4,0)</f>
        <v>0</v>
      </c>
      <c r="Z4" s="54">
        <f>IF(X4-W4&gt;0,X4-W4,0)</f>
        <v>161.23719790949986</v>
      </c>
      <c r="AA4" s="54">
        <f t="shared" ref="AA4:AA67" si="7">$C$7</f>
        <v>100</v>
      </c>
      <c r="AB4" s="54">
        <f t="shared" ref="AB4:AB67" si="8">IF(Y4-$C$7&gt;0,Y4-$C$7,0)</f>
        <v>0</v>
      </c>
      <c r="AC4" s="54">
        <f>Z4</f>
        <v>161.23719790949986</v>
      </c>
      <c r="AD4" s="54">
        <f>AB4</f>
        <v>0</v>
      </c>
      <c r="AE4" s="2">
        <f t="shared" ref="AE4:AE67" si="9">($C$10*(1+$C$30)^T4)</f>
        <v>937.5</v>
      </c>
      <c r="AF4" s="2">
        <f t="shared" ref="AF4:AF67" si="10">IF(Z4&gt;0,((AA4*$C$8)*((1+$C$30)^T4)),((AA4+AD4)*$C$8)*(1+$C$30)^T4)</f>
        <v>125</v>
      </c>
      <c r="AG4" s="12">
        <f>AE4-AF4</f>
        <v>812.5</v>
      </c>
      <c r="AH4" s="12">
        <f>$C$4</f>
        <v>14234.494244800002</v>
      </c>
      <c r="AI4" s="12">
        <f t="shared" ref="AI4:AI67" si="11">AG4-AH4</f>
        <v>-13421.994244800002</v>
      </c>
      <c r="AJ4" s="12"/>
      <c r="AK4" s="86">
        <f t="shared" ref="AK4:AK67" si="12">1-(AF4/AE4)</f>
        <v>0.8666666666666667</v>
      </c>
      <c r="AL4" s="12">
        <f>AE4</f>
        <v>937.5</v>
      </c>
      <c r="AM4" s="124">
        <f t="shared" ref="AM4:AM67" si="13">AG4/$C$4</f>
        <v>5.7079653553326212E-2</v>
      </c>
      <c r="AN4" s="72"/>
      <c r="AO4" s="59">
        <v>1</v>
      </c>
      <c r="AP4" s="125">
        <f t="shared" ref="AP4:AP67" si="14">($C$4*(1+($C$36-$C$39))^AO4)-AE4</f>
        <v>13337.325311826935</v>
      </c>
      <c r="AQ4" s="125">
        <f>AI4</f>
        <v>-13421.994244800002</v>
      </c>
    </row>
    <row r="5" spans="1:43" x14ac:dyDescent="0.25">
      <c r="A5" s="49"/>
      <c r="B5" s="3" t="s">
        <v>456</v>
      </c>
      <c r="C5" s="24">
        <f>Inputs!B18</f>
        <v>750</v>
      </c>
      <c r="E5" s="29" t="s">
        <v>51</v>
      </c>
      <c r="F5" s="94">
        <f>Inputs!B7</f>
        <v>750</v>
      </c>
      <c r="G5" s="95">
        <f>'Análise Técnica'!J9</f>
        <v>959.73166223549981</v>
      </c>
      <c r="H5" s="95">
        <f t="shared" si="0"/>
        <v>0</v>
      </c>
      <c r="I5" s="95">
        <f t="shared" si="1"/>
        <v>209.73166223549981</v>
      </c>
      <c r="J5" s="95">
        <f t="shared" si="2"/>
        <v>100</v>
      </c>
      <c r="K5" s="95">
        <f t="shared" si="3"/>
        <v>0</v>
      </c>
      <c r="L5" s="95">
        <f t="shared" ref="L5:L15" si="15">IF(L4-(H5-$C$7)&gt;0,IF(H5&gt;0,IF(H5&lt;$C$7,L4,L4-(H5-$C$7)),I5+L4),0)</f>
        <v>370.96886014499967</v>
      </c>
      <c r="M5" s="95">
        <f t="shared" ref="M5:M15" si="16">K5</f>
        <v>0</v>
      </c>
      <c r="N5" s="96">
        <f>Inputs!C7</f>
        <v>937.5</v>
      </c>
      <c r="O5" s="96">
        <f t="shared" ref="O5:O15" si="17">IF(I5&gt;0, (J5*$C$8),(J5+M5)*$C$8)</f>
        <v>125</v>
      </c>
      <c r="P5" s="96">
        <f t="shared" si="4"/>
        <v>812.5</v>
      </c>
      <c r="Q5" s="86">
        <f t="shared" ref="Q5:Q15" si="18">1-(O5/N5)</f>
        <v>0.8666666666666667</v>
      </c>
      <c r="R5" s="124">
        <f t="shared" si="5"/>
        <v>5.7079653553326212E-2</v>
      </c>
      <c r="T5" s="59">
        <v>0</v>
      </c>
      <c r="U5" s="59">
        <v>2</v>
      </c>
      <c r="V5" s="3" t="s">
        <v>51</v>
      </c>
      <c r="W5" s="23">
        <f>'Análise Técnica'!$C$3</f>
        <v>750</v>
      </c>
      <c r="X5" s="23">
        <f t="shared" si="6"/>
        <v>959.73166223549981</v>
      </c>
      <c r="Y5" s="54">
        <f t="shared" ref="Y5:Y68" si="19">IF(X5-W5&lt;0,W5-X5,0)</f>
        <v>0</v>
      </c>
      <c r="Z5" s="54">
        <f t="shared" ref="Z5:Z68" si="20">IF(X5-W5&gt;0,X5-W5,0)</f>
        <v>209.73166223549981</v>
      </c>
      <c r="AA5" s="54">
        <f t="shared" si="7"/>
        <v>100</v>
      </c>
      <c r="AB5" s="54">
        <f t="shared" si="8"/>
        <v>0</v>
      </c>
      <c r="AC5" s="54">
        <f t="shared" ref="AC5:AC68" si="21">IF(AC4-(Y5-$C$7)&gt;0,IF(Y5&gt;0,IF(Y5&lt;$C$7,AC4,AC4-(Y5-$C$7)),Z5+AC4),0)</f>
        <v>370.96886014499967</v>
      </c>
      <c r="AD5" s="58">
        <f t="shared" ref="AD5:AD68" si="22">IF(AB5-AC4&lt;0,0,AB5-AC4)</f>
        <v>0</v>
      </c>
      <c r="AE5" s="2">
        <f t="shared" si="9"/>
        <v>937.5</v>
      </c>
      <c r="AF5" s="2">
        <f t="shared" si="10"/>
        <v>125</v>
      </c>
      <c r="AG5" s="12">
        <f t="shared" ref="AG5:AG68" si="23">AE5-AF5</f>
        <v>812.5</v>
      </c>
      <c r="AH5" s="2">
        <f t="shared" ref="AH5:AH68" si="24">$C$28/12*($C$4*((1+$C$29)^T5))+IF($C$31=T5,$C$33/12,0)</f>
        <v>0</v>
      </c>
      <c r="AI5" s="12">
        <f>AG5-AH5</f>
        <v>812.5</v>
      </c>
      <c r="AJ5" s="12">
        <f>AI4+AI5</f>
        <v>-12609.494244800002</v>
      </c>
      <c r="AK5" s="86">
        <f t="shared" si="12"/>
        <v>0.8666666666666667</v>
      </c>
      <c r="AL5" s="12">
        <f t="shared" ref="AL5:AL68" si="25">AL4+AE5</f>
        <v>1875</v>
      </c>
      <c r="AM5" s="124">
        <f t="shared" si="13"/>
        <v>5.7079653553326212E-2</v>
      </c>
      <c r="AN5" s="72"/>
      <c r="AO5" s="59">
        <v>2</v>
      </c>
      <c r="AP5" s="125">
        <f t="shared" si="14"/>
        <v>13377.770650210443</v>
      </c>
      <c r="AQ5" s="125">
        <f t="shared" ref="AQ5:AQ68" si="26">AJ5</f>
        <v>-12609.494244800002</v>
      </c>
    </row>
    <row r="6" spans="1:43" x14ac:dyDescent="0.25">
      <c r="A6" s="49"/>
      <c r="B6" s="56" t="s">
        <v>468</v>
      </c>
      <c r="C6" s="52">
        <f>G47/F47</f>
        <v>0.90126451497244942</v>
      </c>
      <c r="E6" s="29" t="s">
        <v>52</v>
      </c>
      <c r="F6" s="94">
        <f>Inputs!B8</f>
        <v>750</v>
      </c>
      <c r="G6" s="95">
        <f>'Análise Técnica'!K9</f>
        <v>805.38641229375025</v>
      </c>
      <c r="H6" s="95">
        <f t="shared" si="0"/>
        <v>0</v>
      </c>
      <c r="I6" s="95">
        <f>IF(G6-F6&gt;0,G6-F6,0)</f>
        <v>55.386412293750254</v>
      </c>
      <c r="J6" s="95">
        <f t="shared" si="2"/>
        <v>100</v>
      </c>
      <c r="K6" s="95">
        <f t="shared" si="3"/>
        <v>0</v>
      </c>
      <c r="L6" s="95">
        <f t="shared" si="15"/>
        <v>426.35527243874992</v>
      </c>
      <c r="M6" s="95">
        <f t="shared" si="16"/>
        <v>0</v>
      </c>
      <c r="N6" s="96">
        <f>Inputs!C8</f>
        <v>937.5</v>
      </c>
      <c r="O6" s="96">
        <f t="shared" si="17"/>
        <v>125</v>
      </c>
      <c r="P6" s="96">
        <f t="shared" si="4"/>
        <v>812.5</v>
      </c>
      <c r="Q6" s="86">
        <f t="shared" si="18"/>
        <v>0.8666666666666667</v>
      </c>
      <c r="R6" s="124">
        <f t="shared" si="5"/>
        <v>5.7079653553326212E-2</v>
      </c>
      <c r="T6" s="59">
        <v>0</v>
      </c>
      <c r="U6" s="59">
        <v>3</v>
      </c>
      <c r="V6" s="3" t="s">
        <v>52</v>
      </c>
      <c r="W6" s="23">
        <f>'Análise Técnica'!$C$3</f>
        <v>750</v>
      </c>
      <c r="X6" s="23">
        <f t="shared" si="6"/>
        <v>805.38641229375025</v>
      </c>
      <c r="Y6" s="54">
        <f t="shared" si="19"/>
        <v>0</v>
      </c>
      <c r="Z6" s="54">
        <f t="shared" si="20"/>
        <v>55.386412293750254</v>
      </c>
      <c r="AA6" s="54">
        <f t="shared" si="7"/>
        <v>100</v>
      </c>
      <c r="AB6" s="54">
        <f t="shared" si="8"/>
        <v>0</v>
      </c>
      <c r="AC6" s="54">
        <f t="shared" si="21"/>
        <v>426.35527243874992</v>
      </c>
      <c r="AD6" s="58">
        <f>IF(AB6-AC5&lt;0,0,AB6-AC5)</f>
        <v>0</v>
      </c>
      <c r="AE6" s="2">
        <f t="shared" si="9"/>
        <v>937.5</v>
      </c>
      <c r="AF6" s="2">
        <f t="shared" si="10"/>
        <v>125</v>
      </c>
      <c r="AG6" s="12">
        <f t="shared" si="23"/>
        <v>812.5</v>
      </c>
      <c r="AH6" s="2">
        <f t="shared" si="24"/>
        <v>0</v>
      </c>
      <c r="AI6" s="12">
        <f t="shared" si="11"/>
        <v>812.5</v>
      </c>
      <c r="AJ6" s="12">
        <f>AJ5+AI6</f>
        <v>-11796.994244800002</v>
      </c>
      <c r="AK6" s="86">
        <f t="shared" si="12"/>
        <v>0.8666666666666667</v>
      </c>
      <c r="AL6" s="12">
        <f t="shared" si="25"/>
        <v>2812.5</v>
      </c>
      <c r="AM6" s="124">
        <f t="shared" si="13"/>
        <v>5.7079653553326212E-2</v>
      </c>
      <c r="AN6" s="72"/>
      <c r="AO6" s="59">
        <v>3</v>
      </c>
      <c r="AP6" s="125">
        <f t="shared" si="14"/>
        <v>13418.330583719373</v>
      </c>
      <c r="AQ6" s="125">
        <f t="shared" si="26"/>
        <v>-11796.994244800002</v>
      </c>
    </row>
    <row r="7" spans="1:43" x14ac:dyDescent="0.25">
      <c r="A7" s="49"/>
      <c r="B7" s="3" t="s">
        <v>453</v>
      </c>
      <c r="C7" s="3">
        <f>'Análise Técnica'!C5</f>
        <v>100</v>
      </c>
      <c r="E7" s="29" t="s">
        <v>53</v>
      </c>
      <c r="F7" s="94">
        <f>Inputs!B9</f>
        <v>750</v>
      </c>
      <c r="G7" s="95">
        <f>'Análise Técnica'!L9</f>
        <v>714.19120189200009</v>
      </c>
      <c r="H7" s="95">
        <f t="shared" si="0"/>
        <v>35.808798107999905</v>
      </c>
      <c r="I7" s="95">
        <f t="shared" si="1"/>
        <v>0</v>
      </c>
      <c r="J7" s="95">
        <f t="shared" si="2"/>
        <v>100</v>
      </c>
      <c r="K7" s="95">
        <f t="shared" si="3"/>
        <v>0</v>
      </c>
      <c r="L7" s="95">
        <f t="shared" si="15"/>
        <v>426.35527243874992</v>
      </c>
      <c r="M7" s="95">
        <f t="shared" si="16"/>
        <v>0</v>
      </c>
      <c r="N7" s="96">
        <f>Inputs!C9</f>
        <v>937.5</v>
      </c>
      <c r="O7" s="96">
        <f t="shared" si="17"/>
        <v>125</v>
      </c>
      <c r="P7" s="96">
        <f t="shared" si="4"/>
        <v>812.5</v>
      </c>
      <c r="Q7" s="86">
        <f t="shared" si="18"/>
        <v>0.8666666666666667</v>
      </c>
      <c r="R7" s="124">
        <f t="shared" si="5"/>
        <v>5.7079653553326212E-2</v>
      </c>
      <c r="T7" s="59">
        <v>0</v>
      </c>
      <c r="U7" s="59">
        <v>4</v>
      </c>
      <c r="V7" s="3" t="s">
        <v>53</v>
      </c>
      <c r="W7" s="23">
        <f>'Análise Técnica'!$C$3</f>
        <v>750</v>
      </c>
      <c r="X7" s="23">
        <f t="shared" si="6"/>
        <v>714.19120189200009</v>
      </c>
      <c r="Y7" s="54">
        <f t="shared" si="19"/>
        <v>35.808798107999905</v>
      </c>
      <c r="Z7" s="54">
        <f t="shared" si="20"/>
        <v>0</v>
      </c>
      <c r="AA7" s="54">
        <f t="shared" si="7"/>
        <v>100</v>
      </c>
      <c r="AB7" s="54">
        <f t="shared" si="8"/>
        <v>0</v>
      </c>
      <c r="AC7" s="54">
        <f t="shared" si="21"/>
        <v>426.35527243874992</v>
      </c>
      <c r="AD7" s="58">
        <f t="shared" si="22"/>
        <v>0</v>
      </c>
      <c r="AE7" s="2">
        <f t="shared" si="9"/>
        <v>937.5</v>
      </c>
      <c r="AF7" s="2">
        <f t="shared" si="10"/>
        <v>125</v>
      </c>
      <c r="AG7" s="12">
        <f t="shared" si="23"/>
        <v>812.5</v>
      </c>
      <c r="AH7" s="2">
        <f t="shared" si="24"/>
        <v>0</v>
      </c>
      <c r="AI7" s="12">
        <f t="shared" si="11"/>
        <v>812.5</v>
      </c>
      <c r="AJ7" s="12">
        <f t="shared" ref="AJ7:AJ70" si="27">AJ6+AI7</f>
        <v>-10984.494244800002</v>
      </c>
      <c r="AK7" s="86">
        <f t="shared" si="12"/>
        <v>0.8666666666666667</v>
      </c>
      <c r="AL7" s="12">
        <f t="shared" si="25"/>
        <v>3750</v>
      </c>
      <c r="AM7" s="124">
        <f t="shared" si="13"/>
        <v>5.7079653553326212E-2</v>
      </c>
      <c r="AN7" s="72"/>
      <c r="AO7" s="59">
        <v>4</v>
      </c>
      <c r="AP7" s="125">
        <f t="shared" si="14"/>
        <v>13459.00543703991</v>
      </c>
      <c r="AQ7" s="125">
        <f t="shared" si="26"/>
        <v>-10984.494244800002</v>
      </c>
    </row>
    <row r="8" spans="1:43" x14ac:dyDescent="0.25">
      <c r="A8" s="49"/>
      <c r="B8" s="3" t="s">
        <v>455</v>
      </c>
      <c r="C8" s="93">
        <f>Inputs!C2</f>
        <v>1.25</v>
      </c>
      <c r="E8" s="29" t="s">
        <v>54</v>
      </c>
      <c r="F8" s="94">
        <f>Inputs!B10</f>
        <v>750</v>
      </c>
      <c r="G8" s="95">
        <f>'Análise Técnica'!M9</f>
        <v>588.15921260250013</v>
      </c>
      <c r="H8" s="95">
        <f t="shared" si="0"/>
        <v>161.84078739749987</v>
      </c>
      <c r="I8" s="95">
        <f t="shared" si="1"/>
        <v>0</v>
      </c>
      <c r="J8" s="95">
        <f t="shared" si="2"/>
        <v>100</v>
      </c>
      <c r="K8" s="95">
        <f t="shared" si="3"/>
        <v>61.840787397499867</v>
      </c>
      <c r="L8" s="95">
        <f t="shared" si="15"/>
        <v>364.51448504125005</v>
      </c>
      <c r="M8" s="95">
        <f t="shared" si="16"/>
        <v>61.840787397499867</v>
      </c>
      <c r="N8" s="96">
        <f>Inputs!C10</f>
        <v>937.5</v>
      </c>
      <c r="O8" s="96">
        <f t="shared" si="17"/>
        <v>202.30098424687483</v>
      </c>
      <c r="P8" s="96">
        <f t="shared" si="4"/>
        <v>735.1990157531252</v>
      </c>
      <c r="Q8" s="86">
        <f t="shared" si="18"/>
        <v>0.78421228347000016</v>
      </c>
      <c r="R8" s="124">
        <f t="shared" si="5"/>
        <v>5.1649113983919762E-2</v>
      </c>
      <c r="T8" s="59">
        <v>0</v>
      </c>
      <c r="U8" s="59">
        <v>5</v>
      </c>
      <c r="V8" s="3" t="s">
        <v>54</v>
      </c>
      <c r="W8" s="23">
        <f>'Análise Técnica'!$C$3</f>
        <v>750</v>
      </c>
      <c r="X8" s="23">
        <f t="shared" si="6"/>
        <v>588.15921260250013</v>
      </c>
      <c r="Y8" s="54">
        <f t="shared" si="19"/>
        <v>161.84078739749987</v>
      </c>
      <c r="Z8" s="54">
        <f t="shared" si="20"/>
        <v>0</v>
      </c>
      <c r="AA8" s="54">
        <f t="shared" si="7"/>
        <v>100</v>
      </c>
      <c r="AB8" s="54">
        <f t="shared" si="8"/>
        <v>61.840787397499867</v>
      </c>
      <c r="AC8" s="54">
        <f t="shared" si="21"/>
        <v>364.51448504125005</v>
      </c>
      <c r="AD8" s="58">
        <f t="shared" si="22"/>
        <v>0</v>
      </c>
      <c r="AE8" s="2">
        <f t="shared" si="9"/>
        <v>937.5</v>
      </c>
      <c r="AF8" s="2">
        <f t="shared" si="10"/>
        <v>125</v>
      </c>
      <c r="AG8" s="12">
        <f t="shared" si="23"/>
        <v>812.5</v>
      </c>
      <c r="AH8" s="2">
        <f t="shared" si="24"/>
        <v>0</v>
      </c>
      <c r="AI8" s="12">
        <f t="shared" si="11"/>
        <v>812.5</v>
      </c>
      <c r="AJ8" s="12">
        <f t="shared" si="27"/>
        <v>-10171.994244800002</v>
      </c>
      <c r="AK8" s="86">
        <f t="shared" si="12"/>
        <v>0.8666666666666667</v>
      </c>
      <c r="AL8" s="12">
        <f t="shared" si="25"/>
        <v>4687.5</v>
      </c>
      <c r="AM8" s="124">
        <f t="shared" si="13"/>
        <v>5.7079653553326212E-2</v>
      </c>
      <c r="AN8" s="72"/>
      <c r="AO8" s="59">
        <v>5</v>
      </c>
      <c r="AP8" s="125">
        <f t="shared" si="14"/>
        <v>13499.79553577819</v>
      </c>
      <c r="AQ8" s="125">
        <f t="shared" si="26"/>
        <v>-10171.994244800002</v>
      </c>
    </row>
    <row r="9" spans="1:43" x14ac:dyDescent="0.25">
      <c r="A9" s="49"/>
      <c r="B9" s="3" t="s">
        <v>22</v>
      </c>
      <c r="C9" s="203" t="str">
        <f>Inputs!C3</f>
        <v>Trifásica</v>
      </c>
      <c r="E9" s="29" t="s">
        <v>55</v>
      </c>
      <c r="F9" s="94">
        <f>Inputs!B11</f>
        <v>750</v>
      </c>
      <c r="G9" s="95">
        <f>'Análise Técnica'!N9</f>
        <v>543.92439717000013</v>
      </c>
      <c r="H9" s="95">
        <f t="shared" si="0"/>
        <v>206.07560282999987</v>
      </c>
      <c r="I9" s="95">
        <f t="shared" si="1"/>
        <v>0</v>
      </c>
      <c r="J9" s="95">
        <f t="shared" si="2"/>
        <v>100</v>
      </c>
      <c r="K9" s="95">
        <f t="shared" si="3"/>
        <v>106.07560282999987</v>
      </c>
      <c r="L9" s="95">
        <f t="shared" si="15"/>
        <v>258.43888221125019</v>
      </c>
      <c r="M9" s="95">
        <f t="shared" si="16"/>
        <v>106.07560282999987</v>
      </c>
      <c r="N9" s="96">
        <f>Inputs!C11</f>
        <v>937.5</v>
      </c>
      <c r="O9" s="96">
        <f t="shared" si="17"/>
        <v>257.5945035374998</v>
      </c>
      <c r="P9" s="96">
        <f t="shared" si="4"/>
        <v>679.9054964625002</v>
      </c>
      <c r="Q9" s="86">
        <f t="shared" si="18"/>
        <v>0.72523252956000017</v>
      </c>
      <c r="R9" s="124">
        <f t="shared" si="5"/>
        <v>4.7764640230254493E-2</v>
      </c>
      <c r="T9" s="59">
        <v>0</v>
      </c>
      <c r="U9" s="59">
        <v>6</v>
      </c>
      <c r="V9" s="3" t="s">
        <v>55</v>
      </c>
      <c r="W9" s="23">
        <f>'Análise Técnica'!$C$3</f>
        <v>750</v>
      </c>
      <c r="X9" s="23">
        <f t="shared" si="6"/>
        <v>543.92439717000013</v>
      </c>
      <c r="Y9" s="54">
        <f t="shared" si="19"/>
        <v>206.07560282999987</v>
      </c>
      <c r="Z9" s="54">
        <f t="shared" si="20"/>
        <v>0</v>
      </c>
      <c r="AA9" s="54">
        <f t="shared" si="7"/>
        <v>100</v>
      </c>
      <c r="AB9" s="54">
        <f t="shared" si="8"/>
        <v>106.07560282999987</v>
      </c>
      <c r="AC9" s="54">
        <f t="shared" si="21"/>
        <v>258.43888221125019</v>
      </c>
      <c r="AD9" s="58">
        <f t="shared" si="22"/>
        <v>0</v>
      </c>
      <c r="AE9" s="2">
        <f t="shared" si="9"/>
        <v>937.5</v>
      </c>
      <c r="AF9" s="2">
        <f t="shared" si="10"/>
        <v>125</v>
      </c>
      <c r="AG9" s="12">
        <f t="shared" si="23"/>
        <v>812.5</v>
      </c>
      <c r="AH9" s="2">
        <f t="shared" si="24"/>
        <v>0</v>
      </c>
      <c r="AI9" s="12">
        <f t="shared" si="11"/>
        <v>812.5</v>
      </c>
      <c r="AJ9" s="12">
        <f t="shared" si="27"/>
        <v>-9359.494244800002</v>
      </c>
      <c r="AK9" s="86">
        <f t="shared" si="12"/>
        <v>0.8666666666666667</v>
      </c>
      <c r="AL9" s="12">
        <f t="shared" si="25"/>
        <v>5625</v>
      </c>
      <c r="AM9" s="124">
        <f t="shared" si="13"/>
        <v>5.7079653553326212E-2</v>
      </c>
      <c r="AN9" s="72"/>
      <c r="AO9" s="59">
        <v>6</v>
      </c>
      <c r="AP9" s="125">
        <f t="shared" si="14"/>
        <v>13540.701206462894</v>
      </c>
      <c r="AQ9" s="125">
        <f t="shared" si="26"/>
        <v>-9359.494244800002</v>
      </c>
    </row>
    <row r="10" spans="1:43" x14ac:dyDescent="0.25">
      <c r="B10" s="3" t="s">
        <v>476</v>
      </c>
      <c r="C10" s="93">
        <f>Inputs!C18</f>
        <v>937.5</v>
      </c>
      <c r="E10" s="29" t="s">
        <v>56</v>
      </c>
      <c r="F10" s="94">
        <f>Inputs!B12</f>
        <v>750</v>
      </c>
      <c r="G10" s="95">
        <f>'Análise Técnica'!O9</f>
        <v>543.8499277837501</v>
      </c>
      <c r="H10" s="95">
        <f t="shared" si="0"/>
        <v>206.1500722162499</v>
      </c>
      <c r="I10" s="95">
        <f t="shared" si="1"/>
        <v>0</v>
      </c>
      <c r="J10" s="95">
        <f t="shared" si="2"/>
        <v>100</v>
      </c>
      <c r="K10" s="95">
        <f t="shared" si="3"/>
        <v>106.1500722162499</v>
      </c>
      <c r="L10" s="95">
        <f t="shared" si="15"/>
        <v>152.28880999500029</v>
      </c>
      <c r="M10" s="95">
        <f t="shared" si="16"/>
        <v>106.1500722162499</v>
      </c>
      <c r="N10" s="96">
        <f>Inputs!C12</f>
        <v>937.5</v>
      </c>
      <c r="O10" s="96">
        <f t="shared" si="17"/>
        <v>257.6875902703124</v>
      </c>
      <c r="P10" s="96">
        <f t="shared" si="4"/>
        <v>679.8124097296876</v>
      </c>
      <c r="Q10" s="86">
        <f t="shared" si="18"/>
        <v>0.7251332370450001</v>
      </c>
      <c r="R10" s="124">
        <f t="shared" si="5"/>
        <v>4.775810071215067E-2</v>
      </c>
      <c r="T10" s="59">
        <v>0</v>
      </c>
      <c r="U10" s="59">
        <v>7</v>
      </c>
      <c r="V10" s="3" t="s">
        <v>56</v>
      </c>
      <c r="W10" s="23">
        <f>'Análise Técnica'!$C$3</f>
        <v>750</v>
      </c>
      <c r="X10" s="23">
        <f t="shared" si="6"/>
        <v>543.8499277837501</v>
      </c>
      <c r="Y10" s="54">
        <f t="shared" si="19"/>
        <v>206.1500722162499</v>
      </c>
      <c r="Z10" s="54">
        <f t="shared" si="20"/>
        <v>0</v>
      </c>
      <c r="AA10" s="54">
        <f t="shared" si="7"/>
        <v>100</v>
      </c>
      <c r="AB10" s="54">
        <f t="shared" si="8"/>
        <v>106.1500722162499</v>
      </c>
      <c r="AC10" s="54">
        <f t="shared" si="21"/>
        <v>152.28880999500029</v>
      </c>
      <c r="AD10" s="58">
        <f>IF(AB10-AC9&lt;0,0,AB10-AC9)</f>
        <v>0</v>
      </c>
      <c r="AE10" s="2">
        <f t="shared" si="9"/>
        <v>937.5</v>
      </c>
      <c r="AF10" s="2">
        <f t="shared" si="10"/>
        <v>125</v>
      </c>
      <c r="AG10" s="12">
        <f t="shared" si="23"/>
        <v>812.5</v>
      </c>
      <c r="AH10" s="2">
        <f t="shared" si="24"/>
        <v>0</v>
      </c>
      <c r="AI10" s="12">
        <f t="shared" si="11"/>
        <v>812.5</v>
      </c>
      <c r="AJ10" s="12">
        <f t="shared" si="27"/>
        <v>-8546.994244800002</v>
      </c>
      <c r="AK10" s="86">
        <f t="shared" si="12"/>
        <v>0.8666666666666667</v>
      </c>
      <c r="AL10" s="12">
        <f t="shared" si="25"/>
        <v>6562.5</v>
      </c>
      <c r="AM10" s="124">
        <f t="shared" si="13"/>
        <v>5.7079653553326212E-2</v>
      </c>
      <c r="AN10" s="72"/>
      <c r="AO10" s="59">
        <v>7</v>
      </c>
      <c r="AP10" s="125">
        <f t="shared" si="14"/>
        <v>13581.722776547871</v>
      </c>
      <c r="AQ10" s="125">
        <f t="shared" si="26"/>
        <v>-8546.994244800002</v>
      </c>
    </row>
    <row r="11" spans="1:43" x14ac:dyDescent="0.25">
      <c r="B11" s="158" t="s">
        <v>9</v>
      </c>
      <c r="C11" s="159"/>
      <c r="E11" s="29" t="s">
        <v>57</v>
      </c>
      <c r="F11" s="94">
        <f>Inputs!B13</f>
        <v>750</v>
      </c>
      <c r="G11" s="95">
        <f>'Análise Técnica'!P9</f>
        <v>672.51813334650001</v>
      </c>
      <c r="H11" s="95">
        <f t="shared" si="0"/>
        <v>77.481866653499992</v>
      </c>
      <c r="I11" s="95">
        <f t="shared" si="1"/>
        <v>0</v>
      </c>
      <c r="J11" s="95">
        <f t="shared" si="2"/>
        <v>100</v>
      </c>
      <c r="K11" s="95">
        <f t="shared" si="3"/>
        <v>0</v>
      </c>
      <c r="L11" s="95">
        <f t="shared" si="15"/>
        <v>152.28880999500029</v>
      </c>
      <c r="M11" s="95">
        <f t="shared" si="16"/>
        <v>0</v>
      </c>
      <c r="N11" s="96">
        <f>Inputs!C13</f>
        <v>937.5</v>
      </c>
      <c r="O11" s="96">
        <f t="shared" si="17"/>
        <v>125</v>
      </c>
      <c r="P11" s="96">
        <f t="shared" si="4"/>
        <v>812.5</v>
      </c>
      <c r="Q11" s="86">
        <f t="shared" si="18"/>
        <v>0.8666666666666667</v>
      </c>
      <c r="R11" s="124">
        <f t="shared" si="5"/>
        <v>5.7079653553326212E-2</v>
      </c>
      <c r="T11" s="59">
        <v>0</v>
      </c>
      <c r="U11" s="59">
        <v>8</v>
      </c>
      <c r="V11" s="3" t="s">
        <v>57</v>
      </c>
      <c r="W11" s="23">
        <f>'Análise Técnica'!$C$3</f>
        <v>750</v>
      </c>
      <c r="X11" s="23">
        <f t="shared" si="6"/>
        <v>672.51813334650001</v>
      </c>
      <c r="Y11" s="54">
        <f t="shared" si="19"/>
        <v>77.481866653499992</v>
      </c>
      <c r="Z11" s="54">
        <f t="shared" si="20"/>
        <v>0</v>
      </c>
      <c r="AA11" s="54">
        <f t="shared" si="7"/>
        <v>100</v>
      </c>
      <c r="AB11" s="54">
        <f t="shared" si="8"/>
        <v>0</v>
      </c>
      <c r="AC11" s="54">
        <f t="shared" si="21"/>
        <v>152.28880999500029</v>
      </c>
      <c r="AD11" s="58">
        <f t="shared" si="22"/>
        <v>0</v>
      </c>
      <c r="AE11" s="2">
        <f t="shared" si="9"/>
        <v>937.5</v>
      </c>
      <c r="AF11" s="2">
        <f t="shared" si="10"/>
        <v>125</v>
      </c>
      <c r="AG11" s="12">
        <f t="shared" si="23"/>
        <v>812.5</v>
      </c>
      <c r="AH11" s="2">
        <f t="shared" si="24"/>
        <v>0</v>
      </c>
      <c r="AI11" s="12">
        <f t="shared" si="11"/>
        <v>812.5</v>
      </c>
      <c r="AJ11" s="12">
        <f t="shared" si="27"/>
        <v>-7734.494244800002</v>
      </c>
      <c r="AK11" s="86">
        <f t="shared" si="12"/>
        <v>0.8666666666666667</v>
      </c>
      <c r="AL11" s="12">
        <f t="shared" si="25"/>
        <v>7500</v>
      </c>
      <c r="AM11" s="124">
        <f t="shared" si="13"/>
        <v>5.7079653553326212E-2</v>
      </c>
      <c r="AN11" s="72"/>
      <c r="AO11" s="59">
        <v>8</v>
      </c>
      <c r="AP11" s="125">
        <f t="shared" si="14"/>
        <v>13622.860574414757</v>
      </c>
      <c r="AQ11" s="125">
        <f t="shared" si="26"/>
        <v>-7734.494244800002</v>
      </c>
    </row>
    <row r="12" spans="1:43" x14ac:dyDescent="0.25">
      <c r="B12" s="7" t="s">
        <v>10</v>
      </c>
      <c r="C12" s="90">
        <f>VLOOKUP("Payback",S4:T303,2,0)</f>
        <v>1</v>
      </c>
      <c r="D12" s="109"/>
      <c r="E12" s="29" t="s">
        <v>58</v>
      </c>
      <c r="F12" s="94">
        <f>Inputs!B14</f>
        <v>750</v>
      </c>
      <c r="G12" s="95">
        <f>'Análise Técnica'!Q9</f>
        <v>683.09278619400015</v>
      </c>
      <c r="H12" s="95">
        <f t="shared" si="0"/>
        <v>66.907213805999845</v>
      </c>
      <c r="I12" s="95">
        <f t="shared" si="1"/>
        <v>0</v>
      </c>
      <c r="J12" s="95">
        <f t="shared" si="2"/>
        <v>100</v>
      </c>
      <c r="K12" s="95">
        <f t="shared" si="3"/>
        <v>0</v>
      </c>
      <c r="L12" s="95">
        <f t="shared" si="15"/>
        <v>152.28880999500029</v>
      </c>
      <c r="M12" s="95">
        <f t="shared" si="16"/>
        <v>0</v>
      </c>
      <c r="N12" s="96">
        <f>Inputs!C14</f>
        <v>937.5</v>
      </c>
      <c r="O12" s="96">
        <f t="shared" si="17"/>
        <v>125</v>
      </c>
      <c r="P12" s="96">
        <f t="shared" si="4"/>
        <v>812.5</v>
      </c>
      <c r="Q12" s="86">
        <f t="shared" si="18"/>
        <v>0.8666666666666667</v>
      </c>
      <c r="R12" s="124">
        <f t="shared" si="5"/>
        <v>5.7079653553326212E-2</v>
      </c>
      <c r="T12" s="59">
        <v>0</v>
      </c>
      <c r="U12" s="59">
        <v>9</v>
      </c>
      <c r="V12" s="3" t="s">
        <v>58</v>
      </c>
      <c r="W12" s="23">
        <f>'Análise Técnica'!$C$3</f>
        <v>750</v>
      </c>
      <c r="X12" s="23">
        <f t="shared" si="6"/>
        <v>683.09278619400015</v>
      </c>
      <c r="Y12" s="54">
        <f t="shared" si="19"/>
        <v>66.907213805999845</v>
      </c>
      <c r="Z12" s="54">
        <f t="shared" si="20"/>
        <v>0</v>
      </c>
      <c r="AA12" s="54">
        <f t="shared" si="7"/>
        <v>100</v>
      </c>
      <c r="AB12" s="54">
        <f t="shared" si="8"/>
        <v>0</v>
      </c>
      <c r="AC12" s="54">
        <f t="shared" si="21"/>
        <v>152.28880999500029</v>
      </c>
      <c r="AD12" s="58">
        <f t="shared" si="22"/>
        <v>0</v>
      </c>
      <c r="AE12" s="2">
        <f t="shared" si="9"/>
        <v>937.5</v>
      </c>
      <c r="AF12" s="2">
        <f t="shared" si="10"/>
        <v>125</v>
      </c>
      <c r="AG12" s="12">
        <f t="shared" si="23"/>
        <v>812.5</v>
      </c>
      <c r="AH12" s="2">
        <f t="shared" si="24"/>
        <v>0</v>
      </c>
      <c r="AI12" s="12">
        <f t="shared" si="11"/>
        <v>812.5</v>
      </c>
      <c r="AJ12" s="12">
        <f t="shared" si="27"/>
        <v>-6921.994244800002</v>
      </c>
      <c r="AK12" s="86">
        <f t="shared" si="12"/>
        <v>0.8666666666666667</v>
      </c>
      <c r="AL12" s="12">
        <f t="shared" si="25"/>
        <v>8437.5</v>
      </c>
      <c r="AM12" s="124">
        <f t="shared" si="13"/>
        <v>5.7079653553326212E-2</v>
      </c>
      <c r="AN12" s="72"/>
      <c r="AO12" s="59">
        <v>9</v>
      </c>
      <c r="AP12" s="125">
        <f t="shared" si="14"/>
        <v>13664.114929375599</v>
      </c>
      <c r="AQ12" s="125">
        <f t="shared" si="26"/>
        <v>-6921.994244800002</v>
      </c>
    </row>
    <row r="13" spans="1:43" x14ac:dyDescent="0.25">
      <c r="B13" s="3" t="s">
        <v>480</v>
      </c>
      <c r="C13" s="90">
        <f>VLOOKUP("Payback",S4:V303,3,0)</f>
        <v>6</v>
      </c>
      <c r="D13" s="109"/>
      <c r="E13" s="29" t="s">
        <v>59</v>
      </c>
      <c r="F13" s="94">
        <f>Inputs!B15</f>
        <v>750</v>
      </c>
      <c r="G13" s="95">
        <f>'Análise Técnica'!R9</f>
        <v>764.17505394299997</v>
      </c>
      <c r="H13" s="95">
        <f t="shared" si="0"/>
        <v>0</v>
      </c>
      <c r="I13" s="95">
        <f t="shared" si="1"/>
        <v>14.175053942999966</v>
      </c>
      <c r="J13" s="95">
        <f t="shared" si="2"/>
        <v>100</v>
      </c>
      <c r="K13" s="95">
        <f t="shared" si="3"/>
        <v>0</v>
      </c>
      <c r="L13" s="95">
        <f t="shared" si="15"/>
        <v>166.46386393800026</v>
      </c>
      <c r="M13" s="95">
        <f t="shared" si="16"/>
        <v>0</v>
      </c>
      <c r="N13" s="96">
        <f>Inputs!C15</f>
        <v>937.5</v>
      </c>
      <c r="O13" s="96">
        <f t="shared" si="17"/>
        <v>125</v>
      </c>
      <c r="P13" s="96">
        <f t="shared" si="4"/>
        <v>812.5</v>
      </c>
      <c r="Q13" s="86">
        <f t="shared" si="18"/>
        <v>0.8666666666666667</v>
      </c>
      <c r="R13" s="124">
        <f t="shared" si="5"/>
        <v>5.7079653553326212E-2</v>
      </c>
      <c r="T13" s="59">
        <v>0</v>
      </c>
      <c r="U13" s="59">
        <v>10</v>
      </c>
      <c r="V13" s="3" t="s">
        <v>59</v>
      </c>
      <c r="W13" s="23">
        <f>'Análise Técnica'!$C$3</f>
        <v>750</v>
      </c>
      <c r="X13" s="23">
        <f t="shared" si="6"/>
        <v>764.17505394299997</v>
      </c>
      <c r="Y13" s="54">
        <f t="shared" si="19"/>
        <v>0</v>
      </c>
      <c r="Z13" s="54">
        <f t="shared" si="20"/>
        <v>14.175053942999966</v>
      </c>
      <c r="AA13" s="54">
        <f t="shared" si="7"/>
        <v>100</v>
      </c>
      <c r="AB13" s="54">
        <f t="shared" si="8"/>
        <v>0</v>
      </c>
      <c r="AC13" s="54">
        <f t="shared" si="21"/>
        <v>166.46386393800026</v>
      </c>
      <c r="AD13" s="58">
        <f t="shared" si="22"/>
        <v>0</v>
      </c>
      <c r="AE13" s="2">
        <f t="shared" si="9"/>
        <v>937.5</v>
      </c>
      <c r="AF13" s="2">
        <f t="shared" si="10"/>
        <v>125</v>
      </c>
      <c r="AG13" s="12">
        <f t="shared" si="23"/>
        <v>812.5</v>
      </c>
      <c r="AH13" s="2">
        <f t="shared" si="24"/>
        <v>0</v>
      </c>
      <c r="AI13" s="12">
        <f t="shared" si="11"/>
        <v>812.5</v>
      </c>
      <c r="AJ13" s="12">
        <f t="shared" si="27"/>
        <v>-6109.494244800002</v>
      </c>
      <c r="AK13" s="86">
        <f t="shared" si="12"/>
        <v>0.8666666666666667</v>
      </c>
      <c r="AL13" s="12">
        <f t="shared" si="25"/>
        <v>9375</v>
      </c>
      <c r="AM13" s="124">
        <f t="shared" si="13"/>
        <v>5.7079653553326212E-2</v>
      </c>
      <c r="AN13" s="72"/>
      <c r="AO13" s="59">
        <v>10</v>
      </c>
      <c r="AP13" s="125">
        <f t="shared" si="14"/>
        <v>13705.486171675497</v>
      </c>
      <c r="AQ13" s="125">
        <f t="shared" si="26"/>
        <v>-6109.494244800002</v>
      </c>
    </row>
    <row r="14" spans="1:43" x14ac:dyDescent="0.25">
      <c r="B14" s="3" t="s">
        <v>11</v>
      </c>
      <c r="C14" s="91">
        <f>J22/C4</f>
        <v>0.6849558426399146</v>
      </c>
      <c r="E14" s="29" t="s">
        <v>60</v>
      </c>
      <c r="F14" s="94">
        <f>Inputs!B16</f>
        <v>750</v>
      </c>
      <c r="G14" s="95">
        <f>'Análise Técnica'!S9</f>
        <v>769.68578852550002</v>
      </c>
      <c r="H14" s="95">
        <f t="shared" si="0"/>
        <v>0</v>
      </c>
      <c r="I14" s="95">
        <f t="shared" si="1"/>
        <v>19.685788525500016</v>
      </c>
      <c r="J14" s="95">
        <f t="shared" si="2"/>
        <v>100</v>
      </c>
      <c r="K14" s="95">
        <f t="shared" si="3"/>
        <v>0</v>
      </c>
      <c r="L14" s="95">
        <f t="shared" si="15"/>
        <v>186.14965246350027</v>
      </c>
      <c r="M14" s="95">
        <f t="shared" si="16"/>
        <v>0</v>
      </c>
      <c r="N14" s="96">
        <f>Inputs!C16</f>
        <v>937.5</v>
      </c>
      <c r="O14" s="96">
        <f t="shared" si="17"/>
        <v>125</v>
      </c>
      <c r="P14" s="96">
        <f t="shared" si="4"/>
        <v>812.5</v>
      </c>
      <c r="Q14" s="86">
        <f t="shared" si="18"/>
        <v>0.8666666666666667</v>
      </c>
      <c r="R14" s="124">
        <f t="shared" si="5"/>
        <v>5.7079653553326212E-2</v>
      </c>
      <c r="T14" s="59">
        <v>0</v>
      </c>
      <c r="U14" s="59">
        <v>11</v>
      </c>
      <c r="V14" s="3" t="s">
        <v>60</v>
      </c>
      <c r="W14" s="23">
        <f>'Análise Técnica'!$C$3</f>
        <v>750</v>
      </c>
      <c r="X14" s="23">
        <f t="shared" si="6"/>
        <v>769.68578852550002</v>
      </c>
      <c r="Y14" s="54">
        <f t="shared" si="19"/>
        <v>0</v>
      </c>
      <c r="Z14" s="54">
        <f t="shared" si="20"/>
        <v>19.685788525500016</v>
      </c>
      <c r="AA14" s="54">
        <f t="shared" si="7"/>
        <v>100</v>
      </c>
      <c r="AB14" s="54">
        <f t="shared" si="8"/>
        <v>0</v>
      </c>
      <c r="AC14" s="54">
        <f t="shared" si="21"/>
        <v>186.14965246350027</v>
      </c>
      <c r="AD14" s="58">
        <f t="shared" si="22"/>
        <v>0</v>
      </c>
      <c r="AE14" s="2">
        <f t="shared" si="9"/>
        <v>937.5</v>
      </c>
      <c r="AF14" s="2">
        <f t="shared" si="10"/>
        <v>125</v>
      </c>
      <c r="AG14" s="12">
        <f t="shared" si="23"/>
        <v>812.5</v>
      </c>
      <c r="AH14" s="2">
        <f t="shared" si="24"/>
        <v>0</v>
      </c>
      <c r="AI14" s="12">
        <f t="shared" si="11"/>
        <v>812.5</v>
      </c>
      <c r="AJ14" s="12">
        <f t="shared" si="27"/>
        <v>-5296.994244800002</v>
      </c>
      <c r="AK14" s="86">
        <f t="shared" si="12"/>
        <v>0.8666666666666667</v>
      </c>
      <c r="AL14" s="12">
        <f t="shared" si="25"/>
        <v>10312.5</v>
      </c>
      <c r="AM14" s="124">
        <f t="shared" si="13"/>
        <v>5.7079653553326212E-2</v>
      </c>
      <c r="AN14" s="72"/>
      <c r="AO14" s="59">
        <v>11</v>
      </c>
      <c r="AP14" s="125">
        <f t="shared" si="14"/>
        <v>13746.974632495241</v>
      </c>
      <c r="AQ14" s="125">
        <f t="shared" si="26"/>
        <v>-5296.994244800002</v>
      </c>
    </row>
    <row r="15" spans="1:43" x14ac:dyDescent="0.25">
      <c r="B15" s="3" t="s">
        <v>12</v>
      </c>
      <c r="C15" s="5">
        <f>J22</f>
        <v>9750</v>
      </c>
      <c r="E15" s="29" t="s">
        <v>61</v>
      </c>
      <c r="F15" s="94">
        <f>Inputs!B17</f>
        <v>750</v>
      </c>
      <c r="G15" s="95">
        <f>'Análise Técnica'!T9</f>
        <v>883.05798215250002</v>
      </c>
      <c r="H15" s="95">
        <f t="shared" si="0"/>
        <v>0</v>
      </c>
      <c r="I15" s="95">
        <f t="shared" si="1"/>
        <v>133.05798215250002</v>
      </c>
      <c r="J15" s="95">
        <f t="shared" si="2"/>
        <v>100</v>
      </c>
      <c r="K15" s="95">
        <f t="shared" si="3"/>
        <v>0</v>
      </c>
      <c r="L15" s="95">
        <f t="shared" si="15"/>
        <v>319.20763461600029</v>
      </c>
      <c r="M15" s="95">
        <f t="shared" si="16"/>
        <v>0</v>
      </c>
      <c r="N15" s="96">
        <f>Inputs!C17</f>
        <v>937.5</v>
      </c>
      <c r="O15" s="96">
        <f t="shared" si="17"/>
        <v>125</v>
      </c>
      <c r="P15" s="96">
        <f t="shared" si="4"/>
        <v>812.5</v>
      </c>
      <c r="Q15" s="86">
        <f t="shared" si="18"/>
        <v>0.8666666666666667</v>
      </c>
      <c r="R15" s="124">
        <f t="shared" si="5"/>
        <v>5.7079653553326212E-2</v>
      </c>
      <c r="T15" s="59">
        <v>0</v>
      </c>
      <c r="U15" s="59">
        <v>12</v>
      </c>
      <c r="V15" s="3" t="s">
        <v>61</v>
      </c>
      <c r="W15" s="23">
        <f>'Análise Técnica'!$C$3</f>
        <v>750</v>
      </c>
      <c r="X15" s="23">
        <f t="shared" si="6"/>
        <v>883.05798215250002</v>
      </c>
      <c r="Y15" s="54">
        <f t="shared" si="19"/>
        <v>0</v>
      </c>
      <c r="Z15" s="54">
        <f t="shared" si="20"/>
        <v>133.05798215250002</v>
      </c>
      <c r="AA15" s="54">
        <f t="shared" si="7"/>
        <v>100</v>
      </c>
      <c r="AB15" s="54">
        <f t="shared" si="8"/>
        <v>0</v>
      </c>
      <c r="AC15" s="54">
        <f t="shared" si="21"/>
        <v>319.20763461600029</v>
      </c>
      <c r="AD15" s="58">
        <f t="shared" si="22"/>
        <v>0</v>
      </c>
      <c r="AE15" s="2">
        <f t="shared" si="9"/>
        <v>937.5</v>
      </c>
      <c r="AF15" s="2">
        <f t="shared" si="10"/>
        <v>125</v>
      </c>
      <c r="AG15" s="12">
        <f t="shared" si="23"/>
        <v>812.5</v>
      </c>
      <c r="AH15" s="2">
        <f t="shared" si="24"/>
        <v>0</v>
      </c>
      <c r="AI15" s="12">
        <f t="shared" si="11"/>
        <v>812.5</v>
      </c>
      <c r="AJ15" s="12">
        <f t="shared" si="27"/>
        <v>-4484.494244800002</v>
      </c>
      <c r="AK15" s="86">
        <f t="shared" si="12"/>
        <v>0.8666666666666667</v>
      </c>
      <c r="AL15" s="12">
        <f t="shared" si="25"/>
        <v>11250</v>
      </c>
      <c r="AM15" s="124">
        <f t="shared" si="13"/>
        <v>5.7079653553326212E-2</v>
      </c>
      <c r="AN15" s="72"/>
      <c r="AO15" s="59">
        <v>12</v>
      </c>
      <c r="AP15" s="125">
        <f t="shared" si="14"/>
        <v>13788.580643953977</v>
      </c>
      <c r="AQ15" s="125">
        <f t="shared" si="26"/>
        <v>-4484.494244800002</v>
      </c>
    </row>
    <row r="16" spans="1:43" x14ac:dyDescent="0.25">
      <c r="A16" s="49"/>
      <c r="B16" s="3" t="s">
        <v>13</v>
      </c>
      <c r="C16" s="6">
        <f>C4/C3/1000</f>
        <v>2.2594435309206351</v>
      </c>
      <c r="D16" s="109"/>
      <c r="E16" s="56" t="s">
        <v>40</v>
      </c>
      <c r="F16" s="104">
        <f>AVERAGE(F4:F15)</f>
        <v>750</v>
      </c>
      <c r="G16" s="97">
        <f>AVERAGE(G4:G15)</f>
        <v>736.58414633737505</v>
      </c>
      <c r="H16" s="97">
        <f t="shared" ref="H16:M16" si="28">AVERAGE(H4:H15)</f>
        <v>62.855361750937448</v>
      </c>
      <c r="I16" s="97">
        <f t="shared" si="28"/>
        <v>49.439508088312493</v>
      </c>
      <c r="J16" s="97">
        <f t="shared" si="28"/>
        <v>100</v>
      </c>
      <c r="K16" s="97">
        <f t="shared" si="28"/>
        <v>22.83887187031247</v>
      </c>
      <c r="L16" s="97">
        <f t="shared" si="28"/>
        <v>261.37979593225015</v>
      </c>
      <c r="M16" s="97">
        <f t="shared" si="28"/>
        <v>22.83887187031247</v>
      </c>
      <c r="N16" s="98">
        <f>AVERAGE(N4:N15)</f>
        <v>937.5</v>
      </c>
      <c r="O16" s="99">
        <f>O17/12</f>
        <v>153.5485898378906</v>
      </c>
      <c r="P16" s="99">
        <f>P17/12</f>
        <v>783.95141016210948</v>
      </c>
      <c r="Q16" s="108">
        <f>AVERAGE(Q4:Q15)</f>
        <v>0.83621483750625025</v>
      </c>
      <c r="R16" s="134">
        <f>AVERAGE(R4:R15)</f>
        <v>5.5074061408855075E-2</v>
      </c>
      <c r="S16" s="9" t="str">
        <f t="shared" ref="S16:S59" si="29">IF(AND(AJ16&gt;0,AJ15&lt;0),"Payback","")</f>
        <v/>
      </c>
      <c r="T16" s="59">
        <v>1</v>
      </c>
      <c r="U16" s="59">
        <v>1</v>
      </c>
      <c r="V16" s="3" t="s">
        <v>50</v>
      </c>
      <c r="W16" s="23">
        <f>'Análise Técnica'!$C$3</f>
        <v>750</v>
      </c>
      <c r="X16" s="23">
        <f t="shared" ref="X16:X27" si="30">X4*(1-$C$26)</f>
        <v>902.12482593040488</v>
      </c>
      <c r="Y16" s="54">
        <f t="shared" si="19"/>
        <v>0</v>
      </c>
      <c r="Z16" s="54">
        <f t="shared" si="20"/>
        <v>152.12482593040488</v>
      </c>
      <c r="AA16" s="54">
        <f t="shared" si="7"/>
        <v>100</v>
      </c>
      <c r="AB16" s="54">
        <f t="shared" si="8"/>
        <v>0</v>
      </c>
      <c r="AC16" s="54">
        <f t="shared" si="21"/>
        <v>471.33246054640517</v>
      </c>
      <c r="AD16" s="58">
        <f t="shared" si="22"/>
        <v>0</v>
      </c>
      <c r="AE16" s="2">
        <f t="shared" si="9"/>
        <v>1012.5000000000001</v>
      </c>
      <c r="AF16" s="2">
        <f t="shared" si="10"/>
        <v>135</v>
      </c>
      <c r="AG16" s="12">
        <f t="shared" si="23"/>
        <v>877.50000000000011</v>
      </c>
      <c r="AH16" s="2">
        <f t="shared" si="24"/>
        <v>0</v>
      </c>
      <c r="AI16" s="12">
        <f t="shared" si="11"/>
        <v>877.50000000000011</v>
      </c>
      <c r="AJ16" s="12">
        <f t="shared" si="27"/>
        <v>-3606.994244800002</v>
      </c>
      <c r="AK16" s="86">
        <f t="shared" si="12"/>
        <v>0.8666666666666667</v>
      </c>
      <c r="AL16" s="12">
        <f t="shared" si="25"/>
        <v>12262.5</v>
      </c>
      <c r="AM16" s="124">
        <f t="shared" si="13"/>
        <v>6.1646025837592322E-2</v>
      </c>
      <c r="AN16" s="72"/>
      <c r="AO16" s="59">
        <v>13</v>
      </c>
      <c r="AP16" s="125">
        <f t="shared" si="14"/>
        <v>13755.304539111845</v>
      </c>
      <c r="AQ16" s="125">
        <f t="shared" si="26"/>
        <v>-3606.994244800002</v>
      </c>
    </row>
    <row r="17" spans="2:43" x14ac:dyDescent="0.25">
      <c r="B17" s="1" t="s">
        <v>14</v>
      </c>
      <c r="C17" s="4">
        <f>NPV($C$34,M22:M46)</f>
        <v>162106.76502059386</v>
      </c>
      <c r="E17" s="56" t="s">
        <v>0</v>
      </c>
      <c r="F17" s="97">
        <f>SUM(F4:F15)</f>
        <v>9000</v>
      </c>
      <c r="G17" s="97">
        <f>SUM(G4:G15)</f>
        <v>8839.009756048501</v>
      </c>
      <c r="H17" s="97">
        <f t="shared" ref="H17:M17" si="31">SUM(H4:H15)</f>
        <v>754.26434101124937</v>
      </c>
      <c r="I17" s="97">
        <f t="shared" si="31"/>
        <v>593.27409705974992</v>
      </c>
      <c r="J17" s="97">
        <f t="shared" si="31"/>
        <v>1200</v>
      </c>
      <c r="K17" s="97">
        <f t="shared" si="31"/>
        <v>274.06646244374963</v>
      </c>
      <c r="L17" s="97">
        <f t="shared" si="31"/>
        <v>3136.557551187002</v>
      </c>
      <c r="M17" s="97">
        <f t="shared" si="31"/>
        <v>274.06646244374963</v>
      </c>
      <c r="N17" s="100">
        <f>SUM(N4:N15)</f>
        <v>11250</v>
      </c>
      <c r="O17" s="100">
        <f>SUM(O4:O15)</f>
        <v>1842.5830780546871</v>
      </c>
      <c r="P17" s="100">
        <f>SUM(P4:P15)</f>
        <v>9407.4169219453142</v>
      </c>
      <c r="Q17" s="100"/>
      <c r="R17" s="135">
        <f>SUM(R4:R15)</f>
        <v>0.66088873690626093</v>
      </c>
      <c r="S17" s="9" t="str">
        <f t="shared" si="29"/>
        <v/>
      </c>
      <c r="T17" s="59">
        <v>1</v>
      </c>
      <c r="U17" s="59">
        <v>2</v>
      </c>
      <c r="V17" s="3" t="s">
        <v>51</v>
      </c>
      <c r="W17" s="23">
        <f>'Análise Técnica'!$C$3</f>
        <v>750</v>
      </c>
      <c r="X17" s="23">
        <f t="shared" si="30"/>
        <v>950.13434561314477</v>
      </c>
      <c r="Y17" s="54">
        <f t="shared" si="19"/>
        <v>0</v>
      </c>
      <c r="Z17" s="54">
        <f t="shared" si="20"/>
        <v>200.13434561314477</v>
      </c>
      <c r="AA17" s="54">
        <f t="shared" si="7"/>
        <v>100</v>
      </c>
      <c r="AB17" s="54">
        <f t="shared" si="8"/>
        <v>0</v>
      </c>
      <c r="AC17" s="54">
        <f t="shared" si="21"/>
        <v>671.46680615954995</v>
      </c>
      <c r="AD17" s="58">
        <f t="shared" si="22"/>
        <v>0</v>
      </c>
      <c r="AE17" s="2">
        <f t="shared" si="9"/>
        <v>1012.5000000000001</v>
      </c>
      <c r="AF17" s="2">
        <f t="shared" si="10"/>
        <v>135</v>
      </c>
      <c r="AG17" s="12">
        <f t="shared" si="23"/>
        <v>877.50000000000011</v>
      </c>
      <c r="AH17" s="2">
        <f t="shared" si="24"/>
        <v>0</v>
      </c>
      <c r="AI17" s="12">
        <f t="shared" si="11"/>
        <v>877.50000000000011</v>
      </c>
      <c r="AJ17" s="12">
        <f t="shared" si="27"/>
        <v>-2729.494244800002</v>
      </c>
      <c r="AK17" s="86">
        <f t="shared" si="12"/>
        <v>0.8666666666666667</v>
      </c>
      <c r="AL17" s="12">
        <f t="shared" si="25"/>
        <v>13275</v>
      </c>
      <c r="AM17" s="124">
        <f t="shared" si="13"/>
        <v>6.1646025837592322E-2</v>
      </c>
      <c r="AN17" s="72"/>
      <c r="AO17" s="59">
        <v>14</v>
      </c>
      <c r="AP17" s="125">
        <f t="shared" si="14"/>
        <v>13797.146651972664</v>
      </c>
      <c r="AQ17" s="125">
        <f t="shared" si="26"/>
        <v>-2729.494244800002</v>
      </c>
    </row>
    <row r="18" spans="2:43" x14ac:dyDescent="0.25">
      <c r="B18" s="1" t="s">
        <v>15</v>
      </c>
      <c r="C18" s="8">
        <f>IRR(M22:M46)</f>
        <v>2.428090852392033</v>
      </c>
      <c r="S18" s="9" t="str">
        <f t="shared" si="29"/>
        <v/>
      </c>
      <c r="T18" s="59">
        <v>1</v>
      </c>
      <c r="U18" s="59">
        <v>3</v>
      </c>
      <c r="V18" s="3" t="s">
        <v>52</v>
      </c>
      <c r="W18" s="23">
        <f>'Análise Técnica'!$C$3</f>
        <v>750</v>
      </c>
      <c r="X18" s="23">
        <f t="shared" si="30"/>
        <v>797.33254817081274</v>
      </c>
      <c r="Y18" s="54">
        <f t="shared" si="19"/>
        <v>0</v>
      </c>
      <c r="Z18" s="54">
        <f t="shared" si="20"/>
        <v>47.332548170812743</v>
      </c>
      <c r="AA18" s="54">
        <f t="shared" si="7"/>
        <v>100</v>
      </c>
      <c r="AB18" s="54">
        <f t="shared" si="8"/>
        <v>0</v>
      </c>
      <c r="AC18" s="54">
        <f t="shared" si="21"/>
        <v>718.79935433036269</v>
      </c>
      <c r="AD18" s="58">
        <f t="shared" si="22"/>
        <v>0</v>
      </c>
      <c r="AE18" s="2">
        <f t="shared" si="9"/>
        <v>1012.5000000000001</v>
      </c>
      <c r="AF18" s="2">
        <f t="shared" si="10"/>
        <v>135</v>
      </c>
      <c r="AG18" s="12">
        <f t="shared" si="23"/>
        <v>877.50000000000011</v>
      </c>
      <c r="AH18" s="2">
        <f t="shared" si="24"/>
        <v>0</v>
      </c>
      <c r="AI18" s="12">
        <f t="shared" si="11"/>
        <v>877.50000000000011</v>
      </c>
      <c r="AJ18" s="12">
        <f t="shared" si="27"/>
        <v>-1851.994244800002</v>
      </c>
      <c r="AK18" s="86">
        <f t="shared" si="12"/>
        <v>0.8666666666666667</v>
      </c>
      <c r="AL18" s="12">
        <f t="shared" si="25"/>
        <v>14287.5</v>
      </c>
      <c r="AM18" s="124">
        <f t="shared" si="13"/>
        <v>6.1646025837592322E-2</v>
      </c>
      <c r="AN18" s="72"/>
      <c r="AO18" s="59">
        <v>15</v>
      </c>
      <c r="AP18" s="125">
        <f t="shared" si="14"/>
        <v>13839.107317486583</v>
      </c>
      <c r="AQ18" s="125">
        <f t="shared" si="26"/>
        <v>-1851.994244800002</v>
      </c>
    </row>
    <row r="19" spans="2:43" x14ac:dyDescent="0.25">
      <c r="B19" s="1" t="s">
        <v>544</v>
      </c>
      <c r="C19" s="199">
        <f>N46</f>
        <v>666757.4870955901</v>
      </c>
      <c r="S19" s="9" t="str">
        <f t="shared" si="29"/>
        <v/>
      </c>
      <c r="T19" s="59">
        <v>1</v>
      </c>
      <c r="U19" s="59">
        <v>4</v>
      </c>
      <c r="V19" s="3" t="s">
        <v>53</v>
      </c>
      <c r="W19" s="23">
        <f>'Análise Técnica'!$C$3</f>
        <v>750</v>
      </c>
      <c r="X19" s="23">
        <f t="shared" si="30"/>
        <v>707.04928987308006</v>
      </c>
      <c r="Y19" s="54">
        <f t="shared" si="19"/>
        <v>42.950710126919944</v>
      </c>
      <c r="Z19" s="54">
        <f t="shared" si="20"/>
        <v>0</v>
      </c>
      <c r="AA19" s="54">
        <f t="shared" si="7"/>
        <v>100</v>
      </c>
      <c r="AB19" s="54">
        <f t="shared" si="8"/>
        <v>0</v>
      </c>
      <c r="AC19" s="54">
        <f t="shared" si="21"/>
        <v>718.79935433036269</v>
      </c>
      <c r="AD19" s="58">
        <f t="shared" si="22"/>
        <v>0</v>
      </c>
      <c r="AE19" s="2">
        <f t="shared" si="9"/>
        <v>1012.5000000000001</v>
      </c>
      <c r="AF19" s="2">
        <f t="shared" si="10"/>
        <v>135</v>
      </c>
      <c r="AG19" s="12">
        <f t="shared" si="23"/>
        <v>877.50000000000011</v>
      </c>
      <c r="AH19" s="2">
        <f t="shared" si="24"/>
        <v>0</v>
      </c>
      <c r="AI19" s="12">
        <f t="shared" si="11"/>
        <v>877.50000000000011</v>
      </c>
      <c r="AJ19" s="12">
        <f t="shared" si="27"/>
        <v>-974.49424480000187</v>
      </c>
      <c r="AK19" s="86">
        <f t="shared" si="12"/>
        <v>0.8666666666666667</v>
      </c>
      <c r="AL19" s="12">
        <f t="shared" si="25"/>
        <v>15300</v>
      </c>
      <c r="AM19" s="124">
        <f t="shared" si="13"/>
        <v>6.1646025837592322E-2</v>
      </c>
      <c r="AN19" s="72"/>
      <c r="AO19" s="59">
        <v>16</v>
      </c>
      <c r="AP19" s="125">
        <f t="shared" si="14"/>
        <v>13881.186871552798</v>
      </c>
      <c r="AQ19" s="125">
        <f t="shared" si="26"/>
        <v>-974.49424480000187</v>
      </c>
    </row>
    <row r="20" spans="2:43" x14ac:dyDescent="0.25">
      <c r="B20" s="1" t="s">
        <v>486</v>
      </c>
      <c r="C20" s="8">
        <f>(N46-C4)/C4</f>
        <v>45.840967836926353</v>
      </c>
      <c r="E20" s="238" t="s">
        <v>494</v>
      </c>
      <c r="F20" s="239"/>
      <c r="G20" s="239"/>
      <c r="H20" s="239"/>
      <c r="I20" s="239"/>
      <c r="J20" s="239"/>
      <c r="K20" s="239"/>
      <c r="L20" s="239"/>
      <c r="M20" s="239"/>
      <c r="N20" s="239"/>
      <c r="O20" s="239"/>
      <c r="P20" s="240"/>
      <c r="Q20" s="9"/>
      <c r="S20" s="9" t="str">
        <f t="shared" si="29"/>
        <v/>
      </c>
      <c r="T20" s="59">
        <v>1</v>
      </c>
      <c r="U20" s="59">
        <v>5</v>
      </c>
      <c r="V20" s="3" t="s">
        <v>54</v>
      </c>
      <c r="W20" s="23">
        <f>'Análise Técnica'!$C$3</f>
        <v>750</v>
      </c>
      <c r="X20" s="23">
        <f t="shared" si="30"/>
        <v>582.27762047647514</v>
      </c>
      <c r="Y20" s="54">
        <f t="shared" si="19"/>
        <v>167.72237952352486</v>
      </c>
      <c r="Z20" s="54">
        <f t="shared" si="20"/>
        <v>0</v>
      </c>
      <c r="AA20" s="54">
        <f t="shared" si="7"/>
        <v>100</v>
      </c>
      <c r="AB20" s="54">
        <f t="shared" si="8"/>
        <v>67.722379523524864</v>
      </c>
      <c r="AC20" s="54">
        <f t="shared" si="21"/>
        <v>651.07697480683782</v>
      </c>
      <c r="AD20" s="58">
        <f t="shared" si="22"/>
        <v>0</v>
      </c>
      <c r="AE20" s="2">
        <f t="shared" si="9"/>
        <v>1012.5000000000001</v>
      </c>
      <c r="AF20" s="2">
        <f t="shared" si="10"/>
        <v>135</v>
      </c>
      <c r="AG20" s="12">
        <f t="shared" si="23"/>
        <v>877.50000000000011</v>
      </c>
      <c r="AH20" s="2">
        <f t="shared" si="24"/>
        <v>0</v>
      </c>
      <c r="AI20" s="12">
        <f t="shared" si="11"/>
        <v>877.50000000000011</v>
      </c>
      <c r="AJ20" s="12">
        <f t="shared" si="27"/>
        <v>-96.994244800001752</v>
      </c>
      <c r="AK20" s="86">
        <f t="shared" si="12"/>
        <v>0.8666666666666667</v>
      </c>
      <c r="AL20" s="12">
        <f t="shared" si="25"/>
        <v>16312.5</v>
      </c>
      <c r="AM20" s="124">
        <f t="shared" si="13"/>
        <v>6.1646025837592322E-2</v>
      </c>
      <c r="AN20" s="72"/>
      <c r="AO20" s="59">
        <v>17</v>
      </c>
      <c r="AP20" s="125">
        <f t="shared" si="14"/>
        <v>13923.385651022196</v>
      </c>
      <c r="AQ20" s="125">
        <f t="shared" si="26"/>
        <v>-96.994244800001752</v>
      </c>
    </row>
    <row r="21" spans="2:43" x14ac:dyDescent="0.25">
      <c r="B21" s="3" t="s">
        <v>470</v>
      </c>
      <c r="C21" s="89">
        <f>C23/365</f>
        <v>22.222960643156288</v>
      </c>
      <c r="D21" s="110"/>
      <c r="E21" s="145" t="s">
        <v>62</v>
      </c>
      <c r="F21" s="145" t="s">
        <v>428</v>
      </c>
      <c r="G21" s="145" t="s">
        <v>489</v>
      </c>
      <c r="H21" s="145" t="s">
        <v>461</v>
      </c>
      <c r="I21" s="145" t="s">
        <v>462</v>
      </c>
      <c r="J21" s="145" t="s">
        <v>427</v>
      </c>
      <c r="K21" s="122" t="s">
        <v>507</v>
      </c>
      <c r="L21" s="145" t="s">
        <v>467</v>
      </c>
      <c r="M21" s="145" t="s">
        <v>437</v>
      </c>
      <c r="N21" s="145" t="s">
        <v>466</v>
      </c>
      <c r="O21" s="145" t="s">
        <v>474</v>
      </c>
      <c r="P21" s="144" t="s">
        <v>508</v>
      </c>
      <c r="Q21" s="9"/>
      <c r="S21" s="9" t="str">
        <f t="shared" si="29"/>
        <v>Payback</v>
      </c>
      <c r="T21" s="59">
        <v>1</v>
      </c>
      <c r="U21" s="59">
        <v>6</v>
      </c>
      <c r="V21" s="3" t="s">
        <v>55</v>
      </c>
      <c r="W21" s="23">
        <f>'Análise Técnica'!$C$3</f>
        <v>750</v>
      </c>
      <c r="X21" s="23">
        <f t="shared" si="30"/>
        <v>538.48515319830017</v>
      </c>
      <c r="Y21" s="54">
        <f t="shared" si="19"/>
        <v>211.51484680169983</v>
      </c>
      <c r="Z21" s="54">
        <f t="shared" si="20"/>
        <v>0</v>
      </c>
      <c r="AA21" s="54">
        <f t="shared" si="7"/>
        <v>100</v>
      </c>
      <c r="AB21" s="54">
        <f t="shared" si="8"/>
        <v>111.51484680169983</v>
      </c>
      <c r="AC21" s="54">
        <f t="shared" si="21"/>
        <v>539.56212800513799</v>
      </c>
      <c r="AD21" s="58">
        <f t="shared" si="22"/>
        <v>0</v>
      </c>
      <c r="AE21" s="2">
        <f t="shared" si="9"/>
        <v>1012.5000000000001</v>
      </c>
      <c r="AF21" s="2">
        <f t="shared" si="10"/>
        <v>135</v>
      </c>
      <c r="AG21" s="12">
        <f t="shared" si="23"/>
        <v>877.50000000000011</v>
      </c>
      <c r="AH21" s="2">
        <f t="shared" si="24"/>
        <v>0</v>
      </c>
      <c r="AI21" s="12">
        <f t="shared" si="11"/>
        <v>877.50000000000011</v>
      </c>
      <c r="AJ21" s="12">
        <f t="shared" si="27"/>
        <v>780.50575519999836</v>
      </c>
      <c r="AK21" s="86">
        <f t="shared" si="12"/>
        <v>0.8666666666666667</v>
      </c>
      <c r="AL21" s="12">
        <f t="shared" si="25"/>
        <v>17325</v>
      </c>
      <c r="AM21" s="124">
        <f t="shared" si="13"/>
        <v>6.1646025837592322E-2</v>
      </c>
      <c r="AN21" s="72"/>
      <c r="AO21" s="59">
        <v>18</v>
      </c>
      <c r="AP21" s="125">
        <f t="shared" si="14"/>
        <v>13965.703993700092</v>
      </c>
      <c r="AQ21" s="125">
        <f t="shared" si="26"/>
        <v>780.50575519999836</v>
      </c>
    </row>
    <row r="22" spans="2:43" x14ac:dyDescent="0.25">
      <c r="B22" s="3" t="s">
        <v>481</v>
      </c>
      <c r="C22" s="58">
        <f>C23/12</f>
        <v>675.94838622933707</v>
      </c>
      <c r="D22" s="128"/>
      <c r="E22" s="122">
        <v>0</v>
      </c>
      <c r="F22" s="83">
        <f>SUM(W4:W15)</f>
        <v>9000</v>
      </c>
      <c r="G22" s="83">
        <f>SUM(X4:X15)</f>
        <v>8839.009756048501</v>
      </c>
      <c r="H22" s="55">
        <f>SUM(AE4:AE15)</f>
        <v>11250</v>
      </c>
      <c r="I22" s="55">
        <f>SUM(AF4:AF15)</f>
        <v>1500</v>
      </c>
      <c r="J22" s="55">
        <f>SUM(AG4:AG15)</f>
        <v>9750</v>
      </c>
      <c r="K22" s="146">
        <f>J22/H22</f>
        <v>0.8666666666666667</v>
      </c>
      <c r="L22" s="55">
        <f>SUM(AH4:AH15)</f>
        <v>14234.494244800002</v>
      </c>
      <c r="M22" s="55">
        <f>SUM(AI4:AI15)</f>
        <v>-4484.494244800002</v>
      </c>
      <c r="N22" s="55">
        <f>M22</f>
        <v>-4484.494244800002</v>
      </c>
      <c r="O22" s="147">
        <f>-H22</f>
        <v>-11250</v>
      </c>
      <c r="P22" s="41">
        <f t="shared" ref="P22:P46" si="32">J22/$C$4</f>
        <v>0.6849558426399146</v>
      </c>
      <c r="Q22" s="9"/>
      <c r="S22" s="9" t="str">
        <f t="shared" si="29"/>
        <v/>
      </c>
      <c r="T22" s="59">
        <v>1</v>
      </c>
      <c r="U22" s="59">
        <v>7</v>
      </c>
      <c r="V22" s="3" t="s">
        <v>56</v>
      </c>
      <c r="W22" s="23">
        <f>'Análise Técnica'!$C$3</f>
        <v>750</v>
      </c>
      <c r="X22" s="23">
        <f t="shared" si="30"/>
        <v>538.41142850591257</v>
      </c>
      <c r="Y22" s="54">
        <f t="shared" si="19"/>
        <v>211.58857149408743</v>
      </c>
      <c r="Z22" s="54">
        <f t="shared" si="20"/>
        <v>0</v>
      </c>
      <c r="AA22" s="54">
        <f t="shared" si="7"/>
        <v>100</v>
      </c>
      <c r="AB22" s="54">
        <f t="shared" si="8"/>
        <v>111.58857149408743</v>
      </c>
      <c r="AC22" s="54">
        <f t="shared" si="21"/>
        <v>427.97355651105056</v>
      </c>
      <c r="AD22" s="58">
        <f t="shared" si="22"/>
        <v>0</v>
      </c>
      <c r="AE22" s="2">
        <f t="shared" si="9"/>
        <v>1012.5000000000001</v>
      </c>
      <c r="AF22" s="2">
        <f t="shared" si="10"/>
        <v>135</v>
      </c>
      <c r="AG22" s="12">
        <f t="shared" si="23"/>
        <v>877.50000000000011</v>
      </c>
      <c r="AH22" s="2">
        <f t="shared" si="24"/>
        <v>0</v>
      </c>
      <c r="AI22" s="12">
        <f t="shared" si="11"/>
        <v>877.50000000000011</v>
      </c>
      <c r="AJ22" s="12">
        <f t="shared" si="27"/>
        <v>1658.0057551999985</v>
      </c>
      <c r="AK22" s="86">
        <f t="shared" si="12"/>
        <v>0.8666666666666667</v>
      </c>
      <c r="AL22" s="12">
        <f t="shared" si="25"/>
        <v>18337.5</v>
      </c>
      <c r="AM22" s="124">
        <f t="shared" si="13"/>
        <v>6.1646025837592322E-2</v>
      </c>
      <c r="AN22" s="72"/>
      <c r="AO22" s="59">
        <v>19</v>
      </c>
      <c r="AP22" s="125">
        <f t="shared" si="14"/>
        <v>14008.142238348908</v>
      </c>
      <c r="AQ22" s="125">
        <f t="shared" si="26"/>
        <v>1658.0057551999985</v>
      </c>
    </row>
    <row r="23" spans="2:43" ht="15.75" customHeight="1" x14ac:dyDescent="0.25">
      <c r="B23" s="3" t="s">
        <v>482</v>
      </c>
      <c r="C23" s="58">
        <f>AVERAGE(G22:G46)</f>
        <v>8111.3806347520449</v>
      </c>
      <c r="D23" s="106" t="str">
        <f t="shared" ref="D23:D46" si="33">IF(AND(N23&gt;0,N22&lt;0),"Payback","")</f>
        <v>Payback</v>
      </c>
      <c r="E23" s="122">
        <v>1</v>
      </c>
      <c r="F23" s="83">
        <f>SUM(W16:W27)</f>
        <v>9000</v>
      </c>
      <c r="G23" s="83">
        <f>SUM(X16:X27)</f>
        <v>8750.6196584880145</v>
      </c>
      <c r="H23" s="55">
        <f>SUM(AE16:AE27)</f>
        <v>12150.000000000002</v>
      </c>
      <c r="I23" s="55">
        <f>SUM(AF16:AF27)</f>
        <v>1620</v>
      </c>
      <c r="J23" s="55">
        <f>SUM(AG16:AG27)</f>
        <v>10530.000000000002</v>
      </c>
      <c r="K23" s="146">
        <f t="shared" ref="K23:K46" si="34">J23/H23</f>
        <v>0.8666666666666667</v>
      </c>
      <c r="L23" s="55">
        <f>SUM(AH16:AH27)</f>
        <v>0</v>
      </c>
      <c r="M23" s="55">
        <f>SUM(AI16:AI27)</f>
        <v>10530.000000000002</v>
      </c>
      <c r="N23" s="55">
        <f>M22+M23</f>
        <v>6045.5057551999998</v>
      </c>
      <c r="O23" s="147">
        <f t="shared" ref="O23:O46" si="35">O22-H23</f>
        <v>-23400</v>
      </c>
      <c r="P23" s="41">
        <f t="shared" si="32"/>
        <v>0.73975231005110786</v>
      </c>
      <c r="Q23" s="9"/>
      <c r="S23" s="9" t="str">
        <f t="shared" si="29"/>
        <v/>
      </c>
      <c r="T23" s="59">
        <v>1</v>
      </c>
      <c r="U23" s="59">
        <v>8</v>
      </c>
      <c r="V23" s="3" t="s">
        <v>57</v>
      </c>
      <c r="W23" s="23">
        <f>'Análise Técnica'!$C$3</f>
        <v>750</v>
      </c>
      <c r="X23" s="23">
        <f t="shared" si="30"/>
        <v>665.79295201303501</v>
      </c>
      <c r="Y23" s="54">
        <f t="shared" si="19"/>
        <v>84.207047986964994</v>
      </c>
      <c r="Z23" s="54">
        <f t="shared" si="20"/>
        <v>0</v>
      </c>
      <c r="AA23" s="54">
        <f t="shared" si="7"/>
        <v>100</v>
      </c>
      <c r="AB23" s="54">
        <f t="shared" si="8"/>
        <v>0</v>
      </c>
      <c r="AC23" s="54">
        <f t="shared" si="21"/>
        <v>427.97355651105056</v>
      </c>
      <c r="AD23" s="58">
        <f t="shared" si="22"/>
        <v>0</v>
      </c>
      <c r="AE23" s="2">
        <f t="shared" si="9"/>
        <v>1012.5000000000001</v>
      </c>
      <c r="AF23" s="2">
        <f t="shared" si="10"/>
        <v>135</v>
      </c>
      <c r="AG23" s="12">
        <f t="shared" si="23"/>
        <v>877.50000000000011</v>
      </c>
      <c r="AH23" s="2">
        <f t="shared" si="24"/>
        <v>0</v>
      </c>
      <c r="AI23" s="12">
        <f t="shared" si="11"/>
        <v>877.50000000000011</v>
      </c>
      <c r="AJ23" s="12">
        <f t="shared" si="27"/>
        <v>2535.5057551999985</v>
      </c>
      <c r="AK23" s="86">
        <f t="shared" si="12"/>
        <v>0.8666666666666667</v>
      </c>
      <c r="AL23" s="12">
        <f t="shared" si="25"/>
        <v>19350</v>
      </c>
      <c r="AM23" s="124">
        <f t="shared" si="13"/>
        <v>6.1646025837592322E-2</v>
      </c>
      <c r="AN23" s="72"/>
      <c r="AO23" s="59">
        <v>20</v>
      </c>
      <c r="AP23" s="125">
        <f t="shared" si="14"/>
        <v>14050.700724690898</v>
      </c>
      <c r="AQ23" s="125">
        <f t="shared" si="26"/>
        <v>2535.5057551999985</v>
      </c>
    </row>
    <row r="24" spans="2:43" x14ac:dyDescent="0.25">
      <c r="B24" s="3" t="s">
        <v>479</v>
      </c>
      <c r="C24" s="2">
        <f>((I48+L48)/F48)/((1+$C$30)^25)</f>
        <v>0.10103422564855305</v>
      </c>
      <c r="D24" s="106" t="str">
        <f t="shared" si="33"/>
        <v/>
      </c>
      <c r="E24" s="122">
        <v>2</v>
      </c>
      <c r="F24" s="83">
        <f>SUM(W28:W39)</f>
        <v>9000</v>
      </c>
      <c r="G24" s="83">
        <f>SUM(X28:X39)</f>
        <v>8689.3653208786</v>
      </c>
      <c r="H24" s="55">
        <f>SUM(AE28:AE39)</f>
        <v>13122</v>
      </c>
      <c r="I24" s="55">
        <f>SUM(AF28:AF39)</f>
        <v>1749.5999999999997</v>
      </c>
      <c r="J24" s="55">
        <f>SUM(AG28:AG39)</f>
        <v>11372.400000000001</v>
      </c>
      <c r="K24" s="146">
        <f t="shared" si="34"/>
        <v>0.86666666666666681</v>
      </c>
      <c r="L24" s="55">
        <f>SUM(AH28:AH39)</f>
        <v>0</v>
      </c>
      <c r="M24" s="55">
        <f>SUM(AI28:AI39)</f>
        <v>11372.400000000001</v>
      </c>
      <c r="N24" s="55">
        <f>M24+N23</f>
        <v>17417.905755200001</v>
      </c>
      <c r="O24" s="147">
        <f t="shared" si="35"/>
        <v>-36522</v>
      </c>
      <c r="P24" s="41">
        <f t="shared" si="32"/>
        <v>0.79893249485519646</v>
      </c>
      <c r="Q24" s="9"/>
      <c r="S24" s="9" t="str">
        <f t="shared" si="29"/>
        <v/>
      </c>
      <c r="T24" s="59">
        <v>1</v>
      </c>
      <c r="U24" s="59">
        <v>9</v>
      </c>
      <c r="V24" s="3" t="s">
        <v>58</v>
      </c>
      <c r="W24" s="23">
        <f>'Análise Técnica'!$C$3</f>
        <v>750</v>
      </c>
      <c r="X24" s="23">
        <f t="shared" si="30"/>
        <v>676.26185833206011</v>
      </c>
      <c r="Y24" s="54">
        <f t="shared" si="19"/>
        <v>73.738141667939885</v>
      </c>
      <c r="Z24" s="54">
        <f t="shared" si="20"/>
        <v>0</v>
      </c>
      <c r="AA24" s="54">
        <f t="shared" si="7"/>
        <v>100</v>
      </c>
      <c r="AB24" s="54">
        <f t="shared" si="8"/>
        <v>0</v>
      </c>
      <c r="AC24" s="54">
        <f t="shared" si="21"/>
        <v>427.97355651105056</v>
      </c>
      <c r="AD24" s="58">
        <f t="shared" si="22"/>
        <v>0</v>
      </c>
      <c r="AE24" s="2">
        <f t="shared" si="9"/>
        <v>1012.5000000000001</v>
      </c>
      <c r="AF24" s="2">
        <f t="shared" si="10"/>
        <v>135</v>
      </c>
      <c r="AG24" s="12">
        <f t="shared" si="23"/>
        <v>877.50000000000011</v>
      </c>
      <c r="AH24" s="2">
        <f t="shared" si="24"/>
        <v>0</v>
      </c>
      <c r="AI24" s="12">
        <f t="shared" si="11"/>
        <v>877.50000000000011</v>
      </c>
      <c r="AJ24" s="12">
        <f t="shared" si="27"/>
        <v>3413.0057551999985</v>
      </c>
      <c r="AK24" s="86">
        <f t="shared" si="12"/>
        <v>0.8666666666666667</v>
      </c>
      <c r="AL24" s="12">
        <f t="shared" si="25"/>
        <v>20362.5</v>
      </c>
      <c r="AM24" s="124">
        <f t="shared" si="13"/>
        <v>6.1646025837592322E-2</v>
      </c>
      <c r="AN24" s="72"/>
      <c r="AO24" s="59">
        <v>21</v>
      </c>
      <c r="AP24" s="125">
        <f t="shared" si="14"/>
        <v>14093.379793410853</v>
      </c>
      <c r="AQ24" s="125">
        <f t="shared" si="26"/>
        <v>3413.0057551999985</v>
      </c>
    </row>
    <row r="25" spans="2:43" x14ac:dyDescent="0.25">
      <c r="B25" s="142" t="s">
        <v>4</v>
      </c>
      <c r="C25" s="157"/>
      <c r="D25" s="106" t="str">
        <f t="shared" si="33"/>
        <v/>
      </c>
      <c r="E25" s="122">
        <v>3</v>
      </c>
      <c r="F25" s="83">
        <f>SUM(W40:W51)</f>
        <v>9000</v>
      </c>
      <c r="G25" s="83">
        <f>SUM(X40:X51)</f>
        <v>8628.5397636324487</v>
      </c>
      <c r="H25" s="55">
        <f>SUM(AE40:AE51)</f>
        <v>14171.76</v>
      </c>
      <c r="I25" s="55">
        <f>SUM(AF40:AF51)</f>
        <v>1889.568</v>
      </c>
      <c r="J25" s="55">
        <f>SUM(AG40:AG51)</f>
        <v>12282.192000000001</v>
      </c>
      <c r="K25" s="146">
        <f t="shared" si="34"/>
        <v>0.8666666666666667</v>
      </c>
      <c r="L25" s="55">
        <f>SUM(AH40:AH51)</f>
        <v>0</v>
      </c>
      <c r="M25" s="55">
        <f>SUM(AI40:AI51)</f>
        <v>12282.192000000001</v>
      </c>
      <c r="N25" s="55">
        <f t="shared" ref="N25:N46" si="36">M25+N24</f>
        <v>29700.097755200004</v>
      </c>
      <c r="O25" s="147">
        <f t="shared" si="35"/>
        <v>-50693.760000000002</v>
      </c>
      <c r="P25" s="41">
        <f t="shared" si="32"/>
        <v>0.86284709444361218</v>
      </c>
      <c r="Q25" s="9"/>
      <c r="S25" s="9" t="str">
        <f t="shared" si="29"/>
        <v/>
      </c>
      <c r="T25" s="59">
        <v>1</v>
      </c>
      <c r="U25" s="59">
        <v>10</v>
      </c>
      <c r="V25" s="3" t="s">
        <v>59</v>
      </c>
      <c r="W25" s="23">
        <f>'Análise Técnica'!$C$3</f>
        <v>750</v>
      </c>
      <c r="X25" s="23">
        <f t="shared" si="30"/>
        <v>756.53330340357002</v>
      </c>
      <c r="Y25" s="54">
        <f t="shared" si="19"/>
        <v>0</v>
      </c>
      <c r="Z25" s="54">
        <f t="shared" si="20"/>
        <v>6.5333034035700166</v>
      </c>
      <c r="AA25" s="54">
        <f t="shared" si="7"/>
        <v>100</v>
      </c>
      <c r="AB25" s="54">
        <f t="shared" si="8"/>
        <v>0</v>
      </c>
      <c r="AC25" s="54">
        <f t="shared" si="21"/>
        <v>434.50685991462058</v>
      </c>
      <c r="AD25" s="58">
        <f t="shared" si="22"/>
        <v>0</v>
      </c>
      <c r="AE25" s="2">
        <f t="shared" si="9"/>
        <v>1012.5000000000001</v>
      </c>
      <c r="AF25" s="2">
        <f t="shared" si="10"/>
        <v>135</v>
      </c>
      <c r="AG25" s="12">
        <f t="shared" si="23"/>
        <v>877.50000000000011</v>
      </c>
      <c r="AH25" s="2">
        <f t="shared" si="24"/>
        <v>0</v>
      </c>
      <c r="AI25" s="12">
        <f t="shared" si="11"/>
        <v>877.50000000000011</v>
      </c>
      <c r="AJ25" s="12">
        <f t="shared" si="27"/>
        <v>4290.5057551999989</v>
      </c>
      <c r="AK25" s="86">
        <f t="shared" si="12"/>
        <v>0.8666666666666667</v>
      </c>
      <c r="AL25" s="12">
        <f t="shared" si="25"/>
        <v>21375</v>
      </c>
      <c r="AM25" s="124">
        <f t="shared" si="13"/>
        <v>6.1646025837592322E-2</v>
      </c>
      <c r="AN25" s="72"/>
      <c r="AO25" s="59">
        <v>22</v>
      </c>
      <c r="AP25" s="125">
        <f t="shared" si="14"/>
        <v>14136.179786158849</v>
      </c>
      <c r="AQ25" s="125">
        <f t="shared" si="26"/>
        <v>4290.5057551999989</v>
      </c>
    </row>
    <row r="26" spans="2:43" x14ac:dyDescent="0.25">
      <c r="B26" s="3" t="s">
        <v>5</v>
      </c>
      <c r="C26" s="101">
        <v>0.01</v>
      </c>
      <c r="D26" s="106" t="str">
        <f t="shared" si="33"/>
        <v/>
      </c>
      <c r="E26" s="122">
        <v>4</v>
      </c>
      <c r="F26" s="83">
        <f>SUM(W52:W63)</f>
        <v>9000</v>
      </c>
      <c r="G26" s="83">
        <f>SUM(X52:X63)</f>
        <v>8568.13998528702</v>
      </c>
      <c r="H26" s="55">
        <f>SUM(AE52:AE63)</f>
        <v>15305.5008</v>
      </c>
      <c r="I26" s="55">
        <f>SUM(AF52:AF63)</f>
        <v>2040.7334400000007</v>
      </c>
      <c r="J26" s="55">
        <f>SUM(AG52:AG63)</f>
        <v>13264.767360000005</v>
      </c>
      <c r="K26" s="146">
        <f t="shared" si="34"/>
        <v>0.86666666666666703</v>
      </c>
      <c r="L26" s="55">
        <f>SUM(AH52:AH63)</f>
        <v>0</v>
      </c>
      <c r="M26" s="55">
        <f>SUM(AI52:AI63)</f>
        <v>13264.767360000005</v>
      </c>
      <c r="N26" s="55">
        <f t="shared" si="36"/>
        <v>42964.865115200009</v>
      </c>
      <c r="O26" s="147">
        <f t="shared" si="35"/>
        <v>-65999.260800000004</v>
      </c>
      <c r="P26" s="41">
        <f t="shared" si="32"/>
        <v>0.93187486199910141</v>
      </c>
      <c r="Q26" s="9"/>
      <c r="S26" s="9" t="str">
        <f t="shared" si="29"/>
        <v/>
      </c>
      <c r="T26" s="59">
        <v>1</v>
      </c>
      <c r="U26" s="59">
        <v>11</v>
      </c>
      <c r="V26" s="3" t="s">
        <v>60</v>
      </c>
      <c r="W26" s="23">
        <f>'Análise Técnica'!$C$3</f>
        <v>750</v>
      </c>
      <c r="X26" s="23">
        <f t="shared" si="30"/>
        <v>761.98893064024503</v>
      </c>
      <c r="Y26" s="54">
        <f t="shared" si="19"/>
        <v>0</v>
      </c>
      <c r="Z26" s="54">
        <f t="shared" si="20"/>
        <v>11.98893064024503</v>
      </c>
      <c r="AA26" s="54">
        <f t="shared" si="7"/>
        <v>100</v>
      </c>
      <c r="AB26" s="54">
        <f t="shared" si="8"/>
        <v>0</v>
      </c>
      <c r="AC26" s="54">
        <f t="shared" si="21"/>
        <v>446.49579055486561</v>
      </c>
      <c r="AD26" s="58">
        <f t="shared" si="22"/>
        <v>0</v>
      </c>
      <c r="AE26" s="2">
        <f t="shared" si="9"/>
        <v>1012.5000000000001</v>
      </c>
      <c r="AF26" s="2">
        <f t="shared" si="10"/>
        <v>135</v>
      </c>
      <c r="AG26" s="12">
        <f t="shared" si="23"/>
        <v>877.50000000000011</v>
      </c>
      <c r="AH26" s="2">
        <f t="shared" si="24"/>
        <v>0</v>
      </c>
      <c r="AI26" s="12">
        <f t="shared" si="11"/>
        <v>877.50000000000011</v>
      </c>
      <c r="AJ26" s="12">
        <f t="shared" si="27"/>
        <v>5168.0057551999989</v>
      </c>
      <c r="AK26" s="86">
        <f t="shared" si="12"/>
        <v>0.8666666666666667</v>
      </c>
      <c r="AL26" s="12">
        <f t="shared" si="25"/>
        <v>22387.5</v>
      </c>
      <c r="AM26" s="124">
        <f t="shared" si="13"/>
        <v>6.1646025837592322E-2</v>
      </c>
      <c r="AN26" s="72"/>
      <c r="AO26" s="59">
        <v>23</v>
      </c>
      <c r="AP26" s="125">
        <f t="shared" si="14"/>
        <v>14179.101045552967</v>
      </c>
      <c r="AQ26" s="125">
        <f t="shared" si="26"/>
        <v>5168.0057551999989</v>
      </c>
    </row>
    <row r="27" spans="2:43" ht="15" customHeight="1" x14ac:dyDescent="0.25">
      <c r="B27" s="3" t="s">
        <v>6</v>
      </c>
      <c r="C27" s="101">
        <v>7.0000000000000001E-3</v>
      </c>
      <c r="D27" s="106" t="str">
        <f t="shared" si="33"/>
        <v/>
      </c>
      <c r="E27" s="122">
        <v>5</v>
      </c>
      <c r="F27" s="83">
        <f>SUM(W64:W75)</f>
        <v>9000</v>
      </c>
      <c r="G27" s="83">
        <f>SUM(X64:X75)</f>
        <v>8508.1630053900117</v>
      </c>
      <c r="H27" s="55">
        <f>SUM(AE64:AE75)</f>
        <v>16529.940864</v>
      </c>
      <c r="I27" s="55">
        <f>SUM(AF64:AF75)</f>
        <v>2203.9921152000006</v>
      </c>
      <c r="J27" s="55">
        <f>SUM(AG64:AG75)</f>
        <v>14325.948748800003</v>
      </c>
      <c r="K27" s="146">
        <f t="shared" si="34"/>
        <v>0.86666666666666681</v>
      </c>
      <c r="L27" s="55">
        <f>SUM(AH64:AH75)</f>
        <v>0</v>
      </c>
      <c r="M27" s="55">
        <f>SUM(AI64:AI75)</f>
        <v>14325.948748800003</v>
      </c>
      <c r="N27" s="55">
        <f t="shared" si="36"/>
        <v>57290.813864000011</v>
      </c>
      <c r="O27" s="147">
        <f t="shared" si="35"/>
        <v>-82529.201664000007</v>
      </c>
      <c r="P27" s="41">
        <f t="shared" si="32"/>
        <v>1.0064248509590294</v>
      </c>
      <c r="S27" s="9" t="str">
        <f t="shared" si="29"/>
        <v/>
      </c>
      <c r="T27" s="59">
        <v>1</v>
      </c>
      <c r="U27" s="59">
        <v>12</v>
      </c>
      <c r="V27" s="3" t="s">
        <v>61</v>
      </c>
      <c r="W27" s="23">
        <f>'Análise Técnica'!$C$3</f>
        <v>750</v>
      </c>
      <c r="X27" s="23">
        <f t="shared" si="30"/>
        <v>874.227402330975</v>
      </c>
      <c r="Y27" s="54">
        <f t="shared" si="19"/>
        <v>0</v>
      </c>
      <c r="Z27" s="54">
        <f t="shared" si="20"/>
        <v>124.227402330975</v>
      </c>
      <c r="AA27" s="54">
        <f t="shared" si="7"/>
        <v>100</v>
      </c>
      <c r="AB27" s="54">
        <f t="shared" si="8"/>
        <v>0</v>
      </c>
      <c r="AC27" s="54">
        <f t="shared" si="21"/>
        <v>570.7231928858406</v>
      </c>
      <c r="AD27" s="58">
        <f t="shared" si="22"/>
        <v>0</v>
      </c>
      <c r="AE27" s="2">
        <f t="shared" si="9"/>
        <v>1012.5000000000001</v>
      </c>
      <c r="AF27" s="2">
        <f t="shared" si="10"/>
        <v>135</v>
      </c>
      <c r="AG27" s="12">
        <f t="shared" si="23"/>
        <v>877.50000000000011</v>
      </c>
      <c r="AH27" s="2">
        <f t="shared" si="24"/>
        <v>0</v>
      </c>
      <c r="AI27" s="12">
        <f t="shared" si="11"/>
        <v>877.50000000000011</v>
      </c>
      <c r="AJ27" s="12">
        <f t="shared" si="27"/>
        <v>6045.5057551999989</v>
      </c>
      <c r="AK27" s="86">
        <f t="shared" si="12"/>
        <v>0.8666666666666667</v>
      </c>
      <c r="AL27" s="12">
        <f t="shared" si="25"/>
        <v>23400</v>
      </c>
      <c r="AM27" s="124">
        <f t="shared" si="13"/>
        <v>6.1646025837592322E-2</v>
      </c>
      <c r="AN27" s="72"/>
      <c r="AO27" s="59">
        <v>24</v>
      </c>
      <c r="AP27" s="125">
        <f t="shared" si="14"/>
        <v>14222.143915182034</v>
      </c>
      <c r="AQ27" s="125">
        <f t="shared" si="26"/>
        <v>6045.5057551999989</v>
      </c>
    </row>
    <row r="28" spans="2:43" x14ac:dyDescent="0.25">
      <c r="B28" s="3" t="s">
        <v>7</v>
      </c>
      <c r="C28" s="101">
        <v>0</v>
      </c>
      <c r="D28" s="106" t="str">
        <f t="shared" si="33"/>
        <v/>
      </c>
      <c r="E28" s="122">
        <v>6</v>
      </c>
      <c r="F28" s="83">
        <f>SUM(W76:W87)</f>
        <v>9000</v>
      </c>
      <c r="G28" s="83">
        <f>SUM(X76:X87)</f>
        <v>8448.6058643522829</v>
      </c>
      <c r="H28" s="55">
        <f>SUM(AE76:AE87)</f>
        <v>17852.336133120007</v>
      </c>
      <c r="I28" s="55">
        <f>SUM(AF76:AF87)</f>
        <v>2380.3114844160009</v>
      </c>
      <c r="J28" s="55">
        <f>SUM(AG76:AG87)</f>
        <v>15472.024648704006</v>
      </c>
      <c r="K28" s="146">
        <f t="shared" si="34"/>
        <v>0.8666666666666667</v>
      </c>
      <c r="L28" s="55">
        <f>SUM(AH76:AH87)</f>
        <v>0</v>
      </c>
      <c r="M28" s="55">
        <f>SUM(AI76:AI87)</f>
        <v>15472.024648704006</v>
      </c>
      <c r="N28" s="55">
        <f t="shared" si="36"/>
        <v>72762.838512704009</v>
      </c>
      <c r="O28" s="147">
        <f t="shared" si="35"/>
        <v>-100381.53779712002</v>
      </c>
      <c r="P28" s="41">
        <f t="shared" si="32"/>
        <v>1.0869388390357519</v>
      </c>
      <c r="S28" s="9" t="str">
        <f t="shared" si="29"/>
        <v/>
      </c>
      <c r="T28" s="59">
        <v>2</v>
      </c>
      <c r="U28" s="59">
        <v>1</v>
      </c>
      <c r="V28" s="3" t="s">
        <v>50</v>
      </c>
      <c r="W28" s="23">
        <f>'Análise Técnica'!$C$3</f>
        <v>750</v>
      </c>
      <c r="X28" s="23">
        <f t="shared" ref="X28:X91" si="37">X16*((1-$C$27))</f>
        <v>895.80995214889208</v>
      </c>
      <c r="Y28" s="54">
        <f t="shared" si="19"/>
        <v>0</v>
      </c>
      <c r="Z28" s="54">
        <f t="shared" si="20"/>
        <v>145.80995214889208</v>
      </c>
      <c r="AA28" s="54">
        <f t="shared" si="7"/>
        <v>100</v>
      </c>
      <c r="AB28" s="54">
        <f t="shared" si="8"/>
        <v>0</v>
      </c>
      <c r="AC28" s="54">
        <f t="shared" si="21"/>
        <v>716.53314503473268</v>
      </c>
      <c r="AD28" s="58">
        <f t="shared" si="22"/>
        <v>0</v>
      </c>
      <c r="AE28" s="2">
        <f t="shared" si="9"/>
        <v>1093.5</v>
      </c>
      <c r="AF28" s="2">
        <f t="shared" si="10"/>
        <v>145.80000000000001</v>
      </c>
      <c r="AG28" s="12">
        <f t="shared" si="23"/>
        <v>947.7</v>
      </c>
      <c r="AH28" s="2">
        <f t="shared" si="24"/>
        <v>0</v>
      </c>
      <c r="AI28" s="12">
        <f t="shared" si="11"/>
        <v>947.7</v>
      </c>
      <c r="AJ28" s="12">
        <f t="shared" si="27"/>
        <v>6993.2057551999987</v>
      </c>
      <c r="AK28" s="86">
        <f t="shared" si="12"/>
        <v>0.8666666666666667</v>
      </c>
      <c r="AL28" s="12">
        <f t="shared" si="25"/>
        <v>24493.5</v>
      </c>
      <c r="AM28" s="124">
        <f t="shared" si="13"/>
        <v>6.6577707904599701E-2</v>
      </c>
      <c r="AN28" s="72"/>
      <c r="AO28" s="59">
        <v>25</v>
      </c>
      <c r="AP28" s="125">
        <f t="shared" si="14"/>
        <v>14184.308739608383</v>
      </c>
      <c r="AQ28" s="125">
        <f t="shared" si="26"/>
        <v>6993.2057551999987</v>
      </c>
    </row>
    <row r="29" spans="2:43" x14ac:dyDescent="0.25">
      <c r="B29" s="3" t="s">
        <v>458</v>
      </c>
      <c r="C29" s="101">
        <v>0.05</v>
      </c>
      <c r="D29" s="106" t="str">
        <f t="shared" si="33"/>
        <v/>
      </c>
      <c r="E29" s="122">
        <v>7</v>
      </c>
      <c r="F29" s="83">
        <f>SUM(W88:W99)</f>
        <v>9000</v>
      </c>
      <c r="G29" s="83">
        <f>SUM(X88:X99)</f>
        <v>8389.4656233018159</v>
      </c>
      <c r="H29" s="55">
        <f>SUM(AE88:AE99)</f>
        <v>19280.523023769609</v>
      </c>
      <c r="I29" s="55">
        <f>SUM(AF88:AF99)</f>
        <v>2570.7364031692809</v>
      </c>
      <c r="J29" s="55">
        <f>SUM(AG88:AG99)</f>
        <v>16709.786620600327</v>
      </c>
      <c r="K29" s="146">
        <f t="shared" si="34"/>
        <v>0.8666666666666667</v>
      </c>
      <c r="L29" s="55">
        <f>SUM(AH88:AH99)</f>
        <v>0</v>
      </c>
      <c r="M29" s="55">
        <f>SUM(AI88:AI99)</f>
        <v>16709.786620600327</v>
      </c>
      <c r="N29" s="55">
        <f t="shared" si="36"/>
        <v>89472.625133304333</v>
      </c>
      <c r="O29" s="147">
        <f t="shared" si="35"/>
        <v>-119662.06082088963</v>
      </c>
      <c r="P29" s="41">
        <f t="shared" si="32"/>
        <v>1.1738939461586122</v>
      </c>
      <c r="S29" s="9" t="str">
        <f t="shared" si="29"/>
        <v/>
      </c>
      <c r="T29" s="59">
        <v>2</v>
      </c>
      <c r="U29" s="59">
        <v>2</v>
      </c>
      <c r="V29" s="3" t="s">
        <v>51</v>
      </c>
      <c r="W29" s="23">
        <f>'Análise Técnica'!$C$3</f>
        <v>750</v>
      </c>
      <c r="X29" s="23">
        <f t="shared" si="37"/>
        <v>943.48340519385272</v>
      </c>
      <c r="Y29" s="54">
        <f t="shared" si="19"/>
        <v>0</v>
      </c>
      <c r="Z29" s="54">
        <f t="shared" si="20"/>
        <v>193.48340519385272</v>
      </c>
      <c r="AA29" s="54">
        <f t="shared" si="7"/>
        <v>100</v>
      </c>
      <c r="AB29" s="54">
        <f t="shared" si="8"/>
        <v>0</v>
      </c>
      <c r="AC29" s="54">
        <f t="shared" si="21"/>
        <v>910.0165502285854</v>
      </c>
      <c r="AD29" s="58">
        <f t="shared" si="22"/>
        <v>0</v>
      </c>
      <c r="AE29" s="2">
        <f t="shared" si="9"/>
        <v>1093.5</v>
      </c>
      <c r="AF29" s="2">
        <f t="shared" si="10"/>
        <v>145.80000000000001</v>
      </c>
      <c r="AG29" s="12">
        <f t="shared" si="23"/>
        <v>947.7</v>
      </c>
      <c r="AH29" s="2">
        <f t="shared" si="24"/>
        <v>0</v>
      </c>
      <c r="AI29" s="12">
        <f t="shared" si="11"/>
        <v>947.7</v>
      </c>
      <c r="AJ29" s="12">
        <f t="shared" si="27"/>
        <v>7940.9057551999986</v>
      </c>
      <c r="AK29" s="86">
        <f t="shared" si="12"/>
        <v>0.8666666666666667</v>
      </c>
      <c r="AL29" s="12">
        <f t="shared" si="25"/>
        <v>25587</v>
      </c>
      <c r="AM29" s="124">
        <f t="shared" si="13"/>
        <v>6.6577707904599701E-2</v>
      </c>
      <c r="AN29" s="72"/>
      <c r="AO29" s="59">
        <v>26</v>
      </c>
      <c r="AP29" s="125">
        <f t="shared" si="14"/>
        <v>14227.595864370607</v>
      </c>
      <c r="AQ29" s="125">
        <f t="shared" si="26"/>
        <v>7940.9057551999986</v>
      </c>
    </row>
    <row r="30" spans="2:43" x14ac:dyDescent="0.25">
      <c r="B30" s="3" t="s">
        <v>459</v>
      </c>
      <c r="C30" s="101">
        <v>0.08</v>
      </c>
      <c r="D30" s="106" t="str">
        <f t="shared" si="33"/>
        <v/>
      </c>
      <c r="E30" s="122">
        <v>8</v>
      </c>
      <c r="F30" s="83">
        <f>SUM(W100:W111)</f>
        <v>9000</v>
      </c>
      <c r="G30" s="83">
        <f>SUM(X100:X111)</f>
        <v>8330.7393639387046</v>
      </c>
      <c r="H30" s="55">
        <f>SUM(AE100:AE111)</f>
        <v>20822.964865671169</v>
      </c>
      <c r="I30" s="55">
        <f>SUM(AF100:AF111)</f>
        <v>2776.3953154228238</v>
      </c>
      <c r="J30" s="55">
        <f>SUM(AG100:AG111)</f>
        <v>18046.569550248354</v>
      </c>
      <c r="K30" s="146">
        <f t="shared" si="34"/>
        <v>0.86666666666666703</v>
      </c>
      <c r="L30" s="55">
        <f>SUM(AH100:AH111)</f>
        <v>0</v>
      </c>
      <c r="M30" s="55">
        <f>SUM(AI100:AI111)</f>
        <v>18046.569550248354</v>
      </c>
      <c r="N30" s="55">
        <f t="shared" si="36"/>
        <v>107519.19468355269</v>
      </c>
      <c r="O30" s="147">
        <f t="shared" si="35"/>
        <v>-140485.02568656081</v>
      </c>
      <c r="P30" s="41">
        <f t="shared" si="32"/>
        <v>1.2678054618513011</v>
      </c>
      <c r="S30" s="9" t="str">
        <f t="shared" si="29"/>
        <v/>
      </c>
      <c r="T30" s="59">
        <v>2</v>
      </c>
      <c r="U30" s="59">
        <v>3</v>
      </c>
      <c r="V30" s="3" t="s">
        <v>52</v>
      </c>
      <c r="W30" s="23">
        <f>'Análise Técnica'!$C$3</f>
        <v>750</v>
      </c>
      <c r="X30" s="23">
        <f t="shared" si="37"/>
        <v>791.75122033361708</v>
      </c>
      <c r="Y30" s="54">
        <f t="shared" si="19"/>
        <v>0</v>
      </c>
      <c r="Z30" s="54">
        <f t="shared" si="20"/>
        <v>41.751220333617084</v>
      </c>
      <c r="AA30" s="54">
        <f t="shared" si="7"/>
        <v>100</v>
      </c>
      <c r="AB30" s="54">
        <f t="shared" si="8"/>
        <v>0</v>
      </c>
      <c r="AC30" s="54">
        <f t="shared" si="21"/>
        <v>951.76777056220249</v>
      </c>
      <c r="AD30" s="58">
        <f t="shared" si="22"/>
        <v>0</v>
      </c>
      <c r="AE30" s="2">
        <f t="shared" si="9"/>
        <v>1093.5</v>
      </c>
      <c r="AF30" s="2">
        <f t="shared" si="10"/>
        <v>145.80000000000001</v>
      </c>
      <c r="AG30" s="12">
        <f t="shared" si="23"/>
        <v>947.7</v>
      </c>
      <c r="AH30" s="2">
        <f t="shared" si="24"/>
        <v>0</v>
      </c>
      <c r="AI30" s="12">
        <f t="shared" si="11"/>
        <v>947.7</v>
      </c>
      <c r="AJ30" s="12">
        <f t="shared" si="27"/>
        <v>8888.6057551999984</v>
      </c>
      <c r="AK30" s="86">
        <f t="shared" si="12"/>
        <v>0.8666666666666667</v>
      </c>
      <c r="AL30" s="12">
        <f t="shared" si="25"/>
        <v>26680.5</v>
      </c>
      <c r="AM30" s="124">
        <f t="shared" si="13"/>
        <v>6.6577707904599701E-2</v>
      </c>
      <c r="AN30" s="72"/>
      <c r="AO30" s="59">
        <v>27</v>
      </c>
      <c r="AP30" s="125">
        <f t="shared" si="14"/>
        <v>14271.005635986319</v>
      </c>
      <c r="AQ30" s="125">
        <f t="shared" si="26"/>
        <v>8888.6057551999984</v>
      </c>
    </row>
    <row r="31" spans="2:43" x14ac:dyDescent="0.25">
      <c r="B31" s="3" t="s">
        <v>8</v>
      </c>
      <c r="C31" s="102">
        <v>15</v>
      </c>
      <c r="D31" s="106" t="str">
        <f t="shared" si="33"/>
        <v/>
      </c>
      <c r="E31" s="122">
        <v>9</v>
      </c>
      <c r="F31" s="83">
        <f>SUM(W112:W123)</f>
        <v>9000</v>
      </c>
      <c r="G31" s="83">
        <f>SUM(X112:X123)</f>
        <v>8272.4241883911327</v>
      </c>
      <c r="H31" s="55">
        <f>SUM(AE112:AE123)</f>
        <v>22488.802054924872</v>
      </c>
      <c r="I31" s="55">
        <f>SUM(AF112:AF123)</f>
        <v>2998.5069406566504</v>
      </c>
      <c r="J31" s="55">
        <f>SUM(AG112:AG123)</f>
        <v>19490.295114268221</v>
      </c>
      <c r="K31" s="146">
        <f t="shared" si="34"/>
        <v>0.86666666666666659</v>
      </c>
      <c r="L31" s="55">
        <f>SUM(AH112:AH123)</f>
        <v>0</v>
      </c>
      <c r="M31" s="55">
        <f>SUM(AI112:AI123)</f>
        <v>19490.295114268221</v>
      </c>
      <c r="N31" s="55">
        <f t="shared" si="36"/>
        <v>127009.48979782092</v>
      </c>
      <c r="O31" s="147">
        <f t="shared" si="35"/>
        <v>-162973.82774148567</v>
      </c>
      <c r="P31" s="41">
        <f t="shared" si="32"/>
        <v>1.3692298987994052</v>
      </c>
      <c r="S31" s="9" t="str">
        <f t="shared" si="29"/>
        <v/>
      </c>
      <c r="T31" s="59">
        <v>2</v>
      </c>
      <c r="U31" s="59">
        <v>4</v>
      </c>
      <c r="V31" s="3" t="s">
        <v>53</v>
      </c>
      <c r="W31" s="23">
        <f>'Análise Técnica'!$C$3</f>
        <v>750</v>
      </c>
      <c r="X31" s="23">
        <f t="shared" si="37"/>
        <v>702.0999448439685</v>
      </c>
      <c r="Y31" s="54">
        <f t="shared" si="19"/>
        <v>47.900055156031499</v>
      </c>
      <c r="Z31" s="54">
        <f t="shared" si="20"/>
        <v>0</v>
      </c>
      <c r="AA31" s="54">
        <f t="shared" si="7"/>
        <v>100</v>
      </c>
      <c r="AB31" s="54">
        <f t="shared" si="8"/>
        <v>0</v>
      </c>
      <c r="AC31" s="54">
        <f t="shared" si="21"/>
        <v>951.76777056220249</v>
      </c>
      <c r="AD31" s="58">
        <f t="shared" si="22"/>
        <v>0</v>
      </c>
      <c r="AE31" s="2">
        <f t="shared" si="9"/>
        <v>1093.5</v>
      </c>
      <c r="AF31" s="2">
        <f t="shared" si="10"/>
        <v>145.80000000000001</v>
      </c>
      <c r="AG31" s="12">
        <f t="shared" si="23"/>
        <v>947.7</v>
      </c>
      <c r="AH31" s="2">
        <f t="shared" si="24"/>
        <v>0</v>
      </c>
      <c r="AI31" s="12">
        <f t="shared" si="11"/>
        <v>947.7</v>
      </c>
      <c r="AJ31" s="12">
        <f t="shared" si="27"/>
        <v>9836.3057551999991</v>
      </c>
      <c r="AK31" s="86">
        <f t="shared" si="12"/>
        <v>0.8666666666666667</v>
      </c>
      <c r="AL31" s="12">
        <f t="shared" si="25"/>
        <v>27774</v>
      </c>
      <c r="AM31" s="124">
        <f t="shared" si="13"/>
        <v>6.6577707904599701E-2</v>
      </c>
      <c r="AN31" s="72"/>
      <c r="AO31" s="59">
        <v>28</v>
      </c>
      <c r="AP31" s="125">
        <f t="shared" si="14"/>
        <v>14314.538401954946</v>
      </c>
      <c r="AQ31" s="125">
        <f t="shared" si="26"/>
        <v>9836.3057551999991</v>
      </c>
    </row>
    <row r="32" spans="2:43" x14ac:dyDescent="0.25">
      <c r="B32" s="3" t="s">
        <v>491</v>
      </c>
      <c r="C32" s="129">
        <v>0.15</v>
      </c>
      <c r="D32" s="106" t="str">
        <f t="shared" si="33"/>
        <v/>
      </c>
      <c r="E32" s="122">
        <v>10</v>
      </c>
      <c r="F32" s="83">
        <f>SUM(W124:W135)</f>
        <v>9000</v>
      </c>
      <c r="G32" s="83">
        <f>SUM(X124:X135)</f>
        <v>8214.5172190723952</v>
      </c>
      <c r="H32" s="55">
        <f>SUM(AE124:AE135)</f>
        <v>24287.906219318869</v>
      </c>
      <c r="I32" s="55">
        <f>SUM(AF124:AF135)</f>
        <v>3238.3874959091822</v>
      </c>
      <c r="J32" s="55">
        <f>SUM(AG124:AG135)</f>
        <v>21049.518723409681</v>
      </c>
      <c r="K32" s="146">
        <f t="shared" si="34"/>
        <v>0.86666666666666647</v>
      </c>
      <c r="L32" s="55">
        <f>SUM(AH124:AH135)</f>
        <v>0</v>
      </c>
      <c r="M32" s="55">
        <f>SUM(AI124:AI135)</f>
        <v>21049.518723409681</v>
      </c>
      <c r="N32" s="55">
        <f t="shared" si="36"/>
        <v>148059.0085212306</v>
      </c>
      <c r="O32" s="147">
        <f t="shared" si="35"/>
        <v>-187261.73396080453</v>
      </c>
      <c r="P32" s="41">
        <f t="shared" si="32"/>
        <v>1.4787682907033577</v>
      </c>
      <c r="S32" s="9" t="str">
        <f t="shared" si="29"/>
        <v/>
      </c>
      <c r="T32" s="59">
        <v>2</v>
      </c>
      <c r="U32" s="59">
        <v>5</v>
      </c>
      <c r="V32" s="3" t="s">
        <v>54</v>
      </c>
      <c r="W32" s="23">
        <f>'Análise Técnica'!$C$3</f>
        <v>750</v>
      </c>
      <c r="X32" s="23">
        <f t="shared" si="37"/>
        <v>578.20167713313981</v>
      </c>
      <c r="Y32" s="54">
        <f t="shared" si="19"/>
        <v>171.79832286686019</v>
      </c>
      <c r="Z32" s="54">
        <f t="shared" si="20"/>
        <v>0</v>
      </c>
      <c r="AA32" s="54">
        <f t="shared" si="7"/>
        <v>100</v>
      </c>
      <c r="AB32" s="54">
        <f t="shared" si="8"/>
        <v>71.79832286686019</v>
      </c>
      <c r="AC32" s="54">
        <f t="shared" si="21"/>
        <v>879.9694476953423</v>
      </c>
      <c r="AD32" s="58">
        <f t="shared" si="22"/>
        <v>0</v>
      </c>
      <c r="AE32" s="2">
        <f t="shared" si="9"/>
        <v>1093.5</v>
      </c>
      <c r="AF32" s="2">
        <f t="shared" si="10"/>
        <v>145.80000000000001</v>
      </c>
      <c r="AG32" s="12">
        <f t="shared" si="23"/>
        <v>947.7</v>
      </c>
      <c r="AH32" s="2">
        <f t="shared" si="24"/>
        <v>0</v>
      </c>
      <c r="AI32" s="12">
        <f t="shared" si="11"/>
        <v>947.7</v>
      </c>
      <c r="AJ32" s="12">
        <f t="shared" si="27"/>
        <v>10784.0057552</v>
      </c>
      <c r="AK32" s="86">
        <f t="shared" si="12"/>
        <v>0.8666666666666667</v>
      </c>
      <c r="AL32" s="12">
        <f t="shared" si="25"/>
        <v>28867.5</v>
      </c>
      <c r="AM32" s="124">
        <f t="shared" si="13"/>
        <v>6.6577707904599701E-2</v>
      </c>
      <c r="AN32" s="72"/>
      <c r="AO32" s="59">
        <v>29</v>
      </c>
      <c r="AP32" s="125">
        <f t="shared" si="14"/>
        <v>14358.194510760486</v>
      </c>
      <c r="AQ32" s="125">
        <f t="shared" si="26"/>
        <v>10784.0057552</v>
      </c>
    </row>
    <row r="33" spans="2:43" x14ac:dyDescent="0.25">
      <c r="B33" s="3" t="s">
        <v>511</v>
      </c>
      <c r="C33" s="2">
        <f>C32*C4</f>
        <v>2135.1741367200002</v>
      </c>
      <c r="D33" s="106" t="str">
        <f t="shared" si="33"/>
        <v/>
      </c>
      <c r="E33" s="122">
        <v>11</v>
      </c>
      <c r="F33" s="83">
        <f>SUM(W136:W147)</f>
        <v>9000</v>
      </c>
      <c r="G33" s="83">
        <f>SUM(X136:X147)</f>
        <v>8157.0155985388883</v>
      </c>
      <c r="H33" s="55">
        <f>SUM(AE136:AE147)</f>
        <v>26230.938716864377</v>
      </c>
      <c r="I33" s="55">
        <f>SUM(AF136:AF147)</f>
        <v>3497.4584955819168</v>
      </c>
      <c r="J33" s="55">
        <f>SUM(AG136:AG147)</f>
        <v>22733.480221282447</v>
      </c>
      <c r="K33" s="146">
        <f t="shared" si="34"/>
        <v>0.86666666666666614</v>
      </c>
      <c r="L33" s="55">
        <f>SUM(AH136:AH147)</f>
        <v>0</v>
      </c>
      <c r="M33" s="55">
        <f>SUM(AI136:AI147)</f>
        <v>22733.480221282447</v>
      </c>
      <c r="N33" s="55">
        <f t="shared" si="36"/>
        <v>170792.48874251306</v>
      </c>
      <c r="O33" s="147">
        <f t="shared" si="35"/>
        <v>-213492.67267766892</v>
      </c>
      <c r="P33" s="41">
        <f t="shared" si="32"/>
        <v>1.5970697539596257</v>
      </c>
      <c r="S33" s="9" t="str">
        <f t="shared" si="29"/>
        <v/>
      </c>
      <c r="T33" s="59">
        <v>2</v>
      </c>
      <c r="U33" s="59">
        <v>6</v>
      </c>
      <c r="V33" s="3" t="s">
        <v>55</v>
      </c>
      <c r="W33" s="23">
        <f>'Análise Técnica'!$C$3</f>
        <v>750</v>
      </c>
      <c r="X33" s="23">
        <f t="shared" si="37"/>
        <v>534.71575712591209</v>
      </c>
      <c r="Y33" s="54">
        <f t="shared" si="19"/>
        <v>215.28424287408791</v>
      </c>
      <c r="Z33" s="54">
        <f t="shared" si="20"/>
        <v>0</v>
      </c>
      <c r="AA33" s="54">
        <f t="shared" si="7"/>
        <v>100</v>
      </c>
      <c r="AB33" s="54">
        <f t="shared" si="8"/>
        <v>115.28424287408791</v>
      </c>
      <c r="AC33" s="54">
        <f t="shared" si="21"/>
        <v>764.68520482125439</v>
      </c>
      <c r="AD33" s="58">
        <f t="shared" si="22"/>
        <v>0</v>
      </c>
      <c r="AE33" s="2">
        <f t="shared" si="9"/>
        <v>1093.5</v>
      </c>
      <c r="AF33" s="2">
        <f t="shared" si="10"/>
        <v>145.80000000000001</v>
      </c>
      <c r="AG33" s="12">
        <f t="shared" si="23"/>
        <v>947.7</v>
      </c>
      <c r="AH33" s="2">
        <f t="shared" si="24"/>
        <v>0</v>
      </c>
      <c r="AI33" s="12">
        <f t="shared" si="11"/>
        <v>947.7</v>
      </c>
      <c r="AJ33" s="12">
        <f t="shared" si="27"/>
        <v>11731.705755200001</v>
      </c>
      <c r="AK33" s="86">
        <f t="shared" si="12"/>
        <v>0.8666666666666667</v>
      </c>
      <c r="AL33" s="12">
        <f t="shared" si="25"/>
        <v>29961</v>
      </c>
      <c r="AM33" s="124">
        <f t="shared" si="13"/>
        <v>6.6577707904599701E-2</v>
      </c>
      <c r="AN33" s="72"/>
      <c r="AO33" s="59">
        <v>30</v>
      </c>
      <c r="AP33" s="125">
        <f t="shared" si="14"/>
        <v>14401.974311874306</v>
      </c>
      <c r="AQ33" s="125">
        <f t="shared" si="26"/>
        <v>11731.705755200001</v>
      </c>
    </row>
    <row r="34" spans="2:43" x14ac:dyDescent="0.25">
      <c r="B34" s="3" t="s">
        <v>417</v>
      </c>
      <c r="C34" s="103">
        <v>0.1</v>
      </c>
      <c r="D34" s="106" t="str">
        <f t="shared" si="33"/>
        <v/>
      </c>
      <c r="E34" s="122">
        <v>12</v>
      </c>
      <c r="F34" s="83">
        <f>SUM(W148:W159)</f>
        <v>9000</v>
      </c>
      <c r="G34" s="83">
        <f>SUM(X148:X159)</f>
        <v>8099.9164893491161</v>
      </c>
      <c r="H34" s="55">
        <f>SUM(AE148:AE159)</f>
        <v>28329.413814213523</v>
      </c>
      <c r="I34" s="55">
        <f>SUM(AF148:AF159)</f>
        <v>3777.2551752284694</v>
      </c>
      <c r="J34" s="55">
        <f>SUM(AG148:AG159)</f>
        <v>24552.158638985056</v>
      </c>
      <c r="K34" s="146">
        <f t="shared" si="34"/>
        <v>0.86666666666666681</v>
      </c>
      <c r="L34" s="55">
        <f>SUM(AH148:AH159)</f>
        <v>0</v>
      </c>
      <c r="M34" s="55">
        <f>SUM(AI148:AI159)</f>
        <v>24552.158638985056</v>
      </c>
      <c r="N34" s="55">
        <f t="shared" si="36"/>
        <v>195344.64738149813</v>
      </c>
      <c r="O34" s="147">
        <f t="shared" si="35"/>
        <v>-241822.08649188245</v>
      </c>
      <c r="P34" s="41">
        <f t="shared" si="32"/>
        <v>1.7248353342763967</v>
      </c>
      <c r="S34" s="9" t="str">
        <f t="shared" si="29"/>
        <v/>
      </c>
      <c r="T34" s="59">
        <v>2</v>
      </c>
      <c r="U34" s="59">
        <v>7</v>
      </c>
      <c r="V34" s="3" t="s">
        <v>56</v>
      </c>
      <c r="W34" s="23">
        <f>'Análise Técnica'!$C$3</f>
        <v>750</v>
      </c>
      <c r="X34" s="23">
        <f t="shared" si="37"/>
        <v>534.64254850637121</v>
      </c>
      <c r="Y34" s="54">
        <f t="shared" si="19"/>
        <v>215.35745149362879</v>
      </c>
      <c r="Z34" s="54">
        <f t="shared" si="20"/>
        <v>0</v>
      </c>
      <c r="AA34" s="54">
        <f t="shared" si="7"/>
        <v>100</v>
      </c>
      <c r="AB34" s="54">
        <f t="shared" si="8"/>
        <v>115.35745149362879</v>
      </c>
      <c r="AC34" s="54">
        <f t="shared" si="21"/>
        <v>649.3277533276256</v>
      </c>
      <c r="AD34" s="58">
        <f t="shared" si="22"/>
        <v>0</v>
      </c>
      <c r="AE34" s="2">
        <f t="shared" si="9"/>
        <v>1093.5</v>
      </c>
      <c r="AF34" s="2">
        <f t="shared" si="10"/>
        <v>145.80000000000001</v>
      </c>
      <c r="AG34" s="12">
        <f t="shared" si="23"/>
        <v>947.7</v>
      </c>
      <c r="AH34" s="2">
        <f t="shared" si="24"/>
        <v>0</v>
      </c>
      <c r="AI34" s="12">
        <f t="shared" si="11"/>
        <v>947.7</v>
      </c>
      <c r="AJ34" s="12">
        <f t="shared" si="27"/>
        <v>12679.405755200001</v>
      </c>
      <c r="AK34" s="86">
        <f t="shared" si="12"/>
        <v>0.8666666666666667</v>
      </c>
      <c r="AL34" s="12">
        <f t="shared" si="25"/>
        <v>31054.5</v>
      </c>
      <c r="AM34" s="124">
        <f t="shared" si="13"/>
        <v>6.6577707904599701E-2</v>
      </c>
      <c r="AN34" s="72"/>
      <c r="AO34" s="59">
        <v>31</v>
      </c>
      <c r="AP34" s="125">
        <f t="shared" si="14"/>
        <v>14445.878155757951</v>
      </c>
      <c r="AQ34" s="125">
        <f t="shared" si="26"/>
        <v>12679.405755200001</v>
      </c>
    </row>
    <row r="35" spans="2:43" x14ac:dyDescent="0.25">
      <c r="B35" s="158" t="s">
        <v>499</v>
      </c>
      <c r="C35" s="159"/>
      <c r="D35" s="106" t="str">
        <f t="shared" si="33"/>
        <v/>
      </c>
      <c r="E35" s="122">
        <v>13</v>
      </c>
      <c r="F35" s="83">
        <f>SUM(W160:W171)</f>
        <v>9000</v>
      </c>
      <c r="G35" s="83">
        <f>SUM(X160:X171)</f>
        <v>8043.2170739236735</v>
      </c>
      <c r="H35" s="55">
        <f>SUM(AE160:AE171)</f>
        <v>30595.766919350612</v>
      </c>
      <c r="I35" s="55">
        <f>SUM(AF160:AF171)</f>
        <v>4079.4355892467483</v>
      </c>
      <c r="J35" s="55">
        <f>SUM(AG160:AG171)</f>
        <v>26516.331330103847</v>
      </c>
      <c r="K35" s="146">
        <f t="shared" si="34"/>
        <v>0.86666666666666614</v>
      </c>
      <c r="L35" s="55">
        <f>SUM(AH160:AH171)</f>
        <v>0</v>
      </c>
      <c r="M35" s="55">
        <f>SUM(AI160:AI171)</f>
        <v>26516.331330103847</v>
      </c>
      <c r="N35" s="55">
        <f t="shared" si="36"/>
        <v>221860.97871160199</v>
      </c>
      <c r="O35" s="147">
        <f t="shared" si="35"/>
        <v>-272417.85341123305</v>
      </c>
      <c r="P35" s="41">
        <f t="shared" si="32"/>
        <v>1.8628221610185074</v>
      </c>
      <c r="S35" s="9" t="str">
        <f t="shared" si="29"/>
        <v/>
      </c>
      <c r="T35" s="59">
        <v>2</v>
      </c>
      <c r="U35" s="59">
        <v>8</v>
      </c>
      <c r="V35" s="3" t="s">
        <v>57</v>
      </c>
      <c r="W35" s="23">
        <f>'Análise Técnica'!$C$3</f>
        <v>750</v>
      </c>
      <c r="X35" s="23">
        <f t="shared" si="37"/>
        <v>661.13240134894374</v>
      </c>
      <c r="Y35" s="54">
        <f t="shared" si="19"/>
        <v>88.867598651056255</v>
      </c>
      <c r="Z35" s="54">
        <f t="shared" si="20"/>
        <v>0</v>
      </c>
      <c r="AA35" s="54">
        <f t="shared" si="7"/>
        <v>100</v>
      </c>
      <c r="AB35" s="54">
        <f t="shared" si="8"/>
        <v>0</v>
      </c>
      <c r="AC35" s="54">
        <f t="shared" si="21"/>
        <v>649.3277533276256</v>
      </c>
      <c r="AD35" s="58">
        <f t="shared" si="22"/>
        <v>0</v>
      </c>
      <c r="AE35" s="2">
        <f t="shared" si="9"/>
        <v>1093.5</v>
      </c>
      <c r="AF35" s="2">
        <f t="shared" si="10"/>
        <v>145.80000000000001</v>
      </c>
      <c r="AG35" s="12">
        <f t="shared" si="23"/>
        <v>947.7</v>
      </c>
      <c r="AH35" s="2">
        <f t="shared" si="24"/>
        <v>0</v>
      </c>
      <c r="AI35" s="12">
        <f t="shared" si="11"/>
        <v>947.7</v>
      </c>
      <c r="AJ35" s="12">
        <f t="shared" si="27"/>
        <v>13627.105755200002</v>
      </c>
      <c r="AK35" s="86">
        <f t="shared" si="12"/>
        <v>0.8666666666666667</v>
      </c>
      <c r="AL35" s="12">
        <f t="shared" si="25"/>
        <v>32148</v>
      </c>
      <c r="AM35" s="124">
        <f t="shared" si="13"/>
        <v>6.6577707904599701E-2</v>
      </c>
      <c r="AN35" s="72"/>
      <c r="AO35" s="59">
        <v>32</v>
      </c>
      <c r="AP35" s="125">
        <f t="shared" si="14"/>
        <v>14489.906393865931</v>
      </c>
      <c r="AQ35" s="125">
        <f t="shared" si="26"/>
        <v>13627.105755200002</v>
      </c>
    </row>
    <row r="36" spans="2:43" x14ac:dyDescent="0.25">
      <c r="B36" s="29" t="s">
        <v>495</v>
      </c>
      <c r="C36" s="132">
        <v>7.0000000000000001E-3</v>
      </c>
      <c r="D36" s="106" t="str">
        <f t="shared" si="33"/>
        <v/>
      </c>
      <c r="E36" s="122">
        <v>14</v>
      </c>
      <c r="F36" s="83">
        <f>SUM(W172:W183)</f>
        <v>9000</v>
      </c>
      <c r="G36" s="83">
        <f>SUM(X172:X183)</f>
        <v>7986.9145544062067</v>
      </c>
      <c r="H36" s="55">
        <f>SUM(AE172:AE183)</f>
        <v>33043.428272898651</v>
      </c>
      <c r="I36" s="55">
        <f>SUM(AF172:AF183)</f>
        <v>4405.7904363864882</v>
      </c>
      <c r="J36" s="55">
        <f>SUM(AG172:AG183)</f>
        <v>28637.637836512164</v>
      </c>
      <c r="K36" s="146">
        <f t="shared" si="34"/>
        <v>0.8666666666666667</v>
      </c>
      <c r="L36" s="55">
        <f>SUM(AH172:AH183)</f>
        <v>0</v>
      </c>
      <c r="M36" s="55">
        <f>SUM(AI172:AI183)</f>
        <v>28637.637836512164</v>
      </c>
      <c r="N36" s="55">
        <f t="shared" si="36"/>
        <v>250498.61654811417</v>
      </c>
      <c r="O36" s="147">
        <f t="shared" si="35"/>
        <v>-305461.28168413171</v>
      </c>
      <c r="P36" s="41">
        <f t="shared" si="32"/>
        <v>2.0118479338999888</v>
      </c>
      <c r="S36" s="9" t="str">
        <f t="shared" si="29"/>
        <v/>
      </c>
      <c r="T36" s="59">
        <v>2</v>
      </c>
      <c r="U36" s="59">
        <v>9</v>
      </c>
      <c r="V36" s="3" t="s">
        <v>58</v>
      </c>
      <c r="W36" s="23">
        <f>'Análise Técnica'!$C$3</f>
        <v>750</v>
      </c>
      <c r="X36" s="23">
        <f t="shared" si="37"/>
        <v>671.52802532373573</v>
      </c>
      <c r="Y36" s="54">
        <f t="shared" si="19"/>
        <v>78.471974676264267</v>
      </c>
      <c r="Z36" s="54">
        <f t="shared" si="20"/>
        <v>0</v>
      </c>
      <c r="AA36" s="54">
        <f t="shared" si="7"/>
        <v>100</v>
      </c>
      <c r="AB36" s="54">
        <f t="shared" si="8"/>
        <v>0</v>
      </c>
      <c r="AC36" s="54">
        <f t="shared" si="21"/>
        <v>649.3277533276256</v>
      </c>
      <c r="AD36" s="58">
        <f t="shared" si="22"/>
        <v>0</v>
      </c>
      <c r="AE36" s="2">
        <f t="shared" si="9"/>
        <v>1093.5</v>
      </c>
      <c r="AF36" s="2">
        <f t="shared" si="10"/>
        <v>145.80000000000001</v>
      </c>
      <c r="AG36" s="12">
        <f t="shared" si="23"/>
        <v>947.7</v>
      </c>
      <c r="AH36" s="2">
        <f t="shared" si="24"/>
        <v>0</v>
      </c>
      <c r="AI36" s="12">
        <f t="shared" si="11"/>
        <v>947.7</v>
      </c>
      <c r="AJ36" s="12">
        <f t="shared" si="27"/>
        <v>14574.805755200003</v>
      </c>
      <c r="AK36" s="86">
        <f t="shared" si="12"/>
        <v>0.8666666666666667</v>
      </c>
      <c r="AL36" s="12">
        <f t="shared" si="25"/>
        <v>33241.5</v>
      </c>
      <c r="AM36" s="124">
        <f t="shared" si="13"/>
        <v>6.6577707904599701E-2</v>
      </c>
      <c r="AN36" s="72"/>
      <c r="AO36" s="59">
        <v>33</v>
      </c>
      <c r="AP36" s="125">
        <f t="shared" si="14"/>
        <v>14534.05937864855</v>
      </c>
      <c r="AQ36" s="125">
        <f t="shared" si="26"/>
        <v>14574.805755200003</v>
      </c>
    </row>
    <row r="37" spans="2:43" x14ac:dyDescent="0.25">
      <c r="B37" s="29" t="s">
        <v>496</v>
      </c>
      <c r="C37" s="127">
        <f>12*C36</f>
        <v>8.4000000000000005E-2</v>
      </c>
      <c r="D37" s="106" t="str">
        <f t="shared" si="33"/>
        <v/>
      </c>
      <c r="E37" s="122">
        <v>15</v>
      </c>
      <c r="F37" s="83">
        <f>SUM(W184:W195)</f>
        <v>9000</v>
      </c>
      <c r="G37" s="83">
        <f>SUM(X184:X195)</f>
        <v>7931.0061525253623</v>
      </c>
      <c r="H37" s="55">
        <f>SUM(AE184:AE195)</f>
        <v>35686.902534730551</v>
      </c>
      <c r="I37" s="55">
        <f>SUM(AF184:AF195)</f>
        <v>5839.3016127498877</v>
      </c>
      <c r="J37" s="55">
        <f>SUM(AG184:AG195)</f>
        <v>29847.600921980669</v>
      </c>
      <c r="K37" s="146">
        <f t="shared" si="34"/>
        <v>0.83637409811436947</v>
      </c>
      <c r="L37" s="55">
        <f>SUM(AH184:AH195)</f>
        <v>2135.1741367200007</v>
      </c>
      <c r="M37" s="55">
        <f>SUM(AI184:AI195)</f>
        <v>27712.426785260668</v>
      </c>
      <c r="N37" s="55">
        <f t="shared" si="36"/>
        <v>278211.04333337484</v>
      </c>
      <c r="O37" s="147">
        <f t="shared" si="35"/>
        <v>-341148.18421886227</v>
      </c>
      <c r="P37" s="41">
        <f t="shared" si="32"/>
        <v>2.09685011695335</v>
      </c>
      <c r="S37" s="9" t="str">
        <f t="shared" si="29"/>
        <v/>
      </c>
      <c r="T37" s="59">
        <v>2</v>
      </c>
      <c r="U37" s="59">
        <v>10</v>
      </c>
      <c r="V37" s="3" t="s">
        <v>59</v>
      </c>
      <c r="W37" s="23">
        <f>'Análise Técnica'!$C$3</f>
        <v>750</v>
      </c>
      <c r="X37" s="23">
        <f t="shared" si="37"/>
        <v>751.237570279745</v>
      </c>
      <c r="Y37" s="54">
        <f t="shared" si="19"/>
        <v>0</v>
      </c>
      <c r="Z37" s="54">
        <f t="shared" si="20"/>
        <v>1.2375702797450003</v>
      </c>
      <c r="AA37" s="54">
        <f t="shared" si="7"/>
        <v>100</v>
      </c>
      <c r="AB37" s="54">
        <f t="shared" si="8"/>
        <v>0</v>
      </c>
      <c r="AC37" s="54">
        <f t="shared" si="21"/>
        <v>650.5653236073706</v>
      </c>
      <c r="AD37" s="58">
        <f t="shared" si="22"/>
        <v>0</v>
      </c>
      <c r="AE37" s="2">
        <f t="shared" si="9"/>
        <v>1093.5</v>
      </c>
      <c r="AF37" s="2">
        <f t="shared" si="10"/>
        <v>145.80000000000001</v>
      </c>
      <c r="AG37" s="12">
        <f t="shared" si="23"/>
        <v>947.7</v>
      </c>
      <c r="AH37" s="2">
        <f t="shared" si="24"/>
        <v>0</v>
      </c>
      <c r="AI37" s="12">
        <f t="shared" si="11"/>
        <v>947.7</v>
      </c>
      <c r="AJ37" s="12">
        <f t="shared" si="27"/>
        <v>15522.505755200003</v>
      </c>
      <c r="AK37" s="86">
        <f t="shared" si="12"/>
        <v>0.8666666666666667</v>
      </c>
      <c r="AL37" s="12">
        <f t="shared" si="25"/>
        <v>34335</v>
      </c>
      <c r="AM37" s="124">
        <f t="shared" si="13"/>
        <v>6.6577707904599701E-2</v>
      </c>
      <c r="AN37" s="72"/>
      <c r="AO37" s="59">
        <v>34</v>
      </c>
      <c r="AP37" s="125">
        <f t="shared" si="14"/>
        <v>14578.337463554722</v>
      </c>
      <c r="AQ37" s="125">
        <f t="shared" si="26"/>
        <v>15522.505755200003</v>
      </c>
    </row>
    <row r="38" spans="2:43" x14ac:dyDescent="0.25">
      <c r="B38" s="29" t="s">
        <v>497</v>
      </c>
      <c r="C38" s="133">
        <f>C29</f>
        <v>0.05</v>
      </c>
      <c r="D38" s="106" t="str">
        <f t="shared" si="33"/>
        <v/>
      </c>
      <c r="E38" s="122">
        <v>16</v>
      </c>
      <c r="F38" s="83">
        <f>SUM(W196:W207)</f>
        <v>9000</v>
      </c>
      <c r="G38" s="83">
        <f>SUM(X196:X207)</f>
        <v>7875.4891094576851</v>
      </c>
      <c r="H38" s="55">
        <f>SUM(AE196:AE207)</f>
        <v>38541.854737509006</v>
      </c>
      <c r="I38" s="55">
        <f>SUM(AF196:AF207)</f>
        <v>6651.5345953660035</v>
      </c>
      <c r="J38" s="55">
        <f>SUM(AG196:AG207)</f>
        <v>31890.320142142991</v>
      </c>
      <c r="K38" s="146">
        <f t="shared" si="34"/>
        <v>0.82742048506314547</v>
      </c>
      <c r="L38" s="55">
        <f>SUM(AH196:AH207)</f>
        <v>0</v>
      </c>
      <c r="M38" s="55">
        <f>SUM(AI196:AI207)</f>
        <v>31890.320142142991</v>
      </c>
      <c r="N38" s="55">
        <f t="shared" si="36"/>
        <v>310101.36347551784</v>
      </c>
      <c r="O38" s="147">
        <f t="shared" si="35"/>
        <v>-379690.03895637125</v>
      </c>
      <c r="P38" s="41">
        <f t="shared" si="32"/>
        <v>2.2403549851300713</v>
      </c>
      <c r="S38" s="9" t="str">
        <f t="shared" si="29"/>
        <v/>
      </c>
      <c r="T38" s="59">
        <v>2</v>
      </c>
      <c r="U38" s="59">
        <v>11</v>
      </c>
      <c r="V38" s="3" t="s">
        <v>60</v>
      </c>
      <c r="W38" s="23">
        <f>'Análise Técnica'!$C$3</f>
        <v>750</v>
      </c>
      <c r="X38" s="23">
        <f t="shared" si="37"/>
        <v>756.65500812576329</v>
      </c>
      <c r="Y38" s="54">
        <f t="shared" si="19"/>
        <v>0</v>
      </c>
      <c r="Z38" s="54">
        <f t="shared" si="20"/>
        <v>6.6550081257632883</v>
      </c>
      <c r="AA38" s="54">
        <f t="shared" si="7"/>
        <v>100</v>
      </c>
      <c r="AB38" s="54">
        <f t="shared" si="8"/>
        <v>0</v>
      </c>
      <c r="AC38" s="54">
        <f t="shared" si="21"/>
        <v>657.22033173313389</v>
      </c>
      <c r="AD38" s="58">
        <f t="shared" si="22"/>
        <v>0</v>
      </c>
      <c r="AE38" s="2">
        <f t="shared" si="9"/>
        <v>1093.5</v>
      </c>
      <c r="AF38" s="2">
        <f t="shared" si="10"/>
        <v>145.80000000000001</v>
      </c>
      <c r="AG38" s="12">
        <f t="shared" si="23"/>
        <v>947.7</v>
      </c>
      <c r="AH38" s="2">
        <f t="shared" si="24"/>
        <v>0</v>
      </c>
      <c r="AI38" s="12">
        <f t="shared" si="11"/>
        <v>947.7</v>
      </c>
      <c r="AJ38" s="12">
        <f t="shared" si="27"/>
        <v>16470.205755200004</v>
      </c>
      <c r="AK38" s="86">
        <f t="shared" si="12"/>
        <v>0.8666666666666667</v>
      </c>
      <c r="AL38" s="12">
        <f t="shared" si="25"/>
        <v>35428.5</v>
      </c>
      <c r="AM38" s="124">
        <f t="shared" si="13"/>
        <v>6.6577707904599701E-2</v>
      </c>
      <c r="AN38" s="72"/>
      <c r="AO38" s="59">
        <v>35</v>
      </c>
      <c r="AP38" s="125">
        <f t="shared" si="14"/>
        <v>14622.741003034791</v>
      </c>
      <c r="AQ38" s="125">
        <f t="shared" si="26"/>
        <v>16470.205755200004</v>
      </c>
    </row>
    <row r="39" spans="2:43" x14ac:dyDescent="0.25">
      <c r="B39" s="29" t="s">
        <v>498</v>
      </c>
      <c r="C39" s="124">
        <f>C38/12</f>
        <v>4.1666666666666666E-3</v>
      </c>
      <c r="D39" s="106" t="str">
        <f t="shared" si="33"/>
        <v/>
      </c>
      <c r="E39" s="122">
        <v>17</v>
      </c>
      <c r="F39" s="83">
        <f>SUM(W208:W219)</f>
        <v>9000</v>
      </c>
      <c r="G39" s="83">
        <f>SUM(X208:X219)</f>
        <v>7820.3606856914812</v>
      </c>
      <c r="H39" s="55">
        <f>SUM(AE208:AE219)</f>
        <v>41625.203116509714</v>
      </c>
      <c r="I39" s="55">
        <f>SUM(AF208:AF219)</f>
        <v>7371.3291726036978</v>
      </c>
      <c r="J39" s="55">
        <f>SUM(AG208:AG219)</f>
        <v>34253.873943906023</v>
      </c>
      <c r="K39" s="146">
        <f t="shared" si="34"/>
        <v>0.82291187500103713</v>
      </c>
      <c r="L39" s="55">
        <f>SUM(AH208:AH219)</f>
        <v>0</v>
      </c>
      <c r="M39" s="55">
        <f>SUM(AI208:AI219)</f>
        <v>34253.873943906023</v>
      </c>
      <c r="N39" s="55">
        <f t="shared" si="36"/>
        <v>344355.23741942388</v>
      </c>
      <c r="O39" s="147">
        <f t="shared" si="35"/>
        <v>-421315.24207288097</v>
      </c>
      <c r="P39" s="41">
        <f t="shared" si="32"/>
        <v>2.406399086249186</v>
      </c>
      <c r="S39" s="9" t="str">
        <f t="shared" si="29"/>
        <v/>
      </c>
      <c r="T39" s="59">
        <v>2</v>
      </c>
      <c r="U39" s="59">
        <v>12</v>
      </c>
      <c r="V39" s="3" t="s">
        <v>61</v>
      </c>
      <c r="W39" s="23">
        <f>'Análise Técnica'!$C$3</f>
        <v>750</v>
      </c>
      <c r="X39" s="23">
        <f t="shared" si="37"/>
        <v>868.10781051465813</v>
      </c>
      <c r="Y39" s="54">
        <f t="shared" si="19"/>
        <v>0</v>
      </c>
      <c r="Z39" s="54">
        <f t="shared" si="20"/>
        <v>118.10781051465813</v>
      </c>
      <c r="AA39" s="54">
        <f t="shared" si="7"/>
        <v>100</v>
      </c>
      <c r="AB39" s="54">
        <f t="shared" si="8"/>
        <v>0</v>
      </c>
      <c r="AC39" s="54">
        <f t="shared" si="21"/>
        <v>775.32814224779202</v>
      </c>
      <c r="AD39" s="58">
        <f t="shared" si="22"/>
        <v>0</v>
      </c>
      <c r="AE39" s="2">
        <f t="shared" si="9"/>
        <v>1093.5</v>
      </c>
      <c r="AF39" s="2">
        <f t="shared" si="10"/>
        <v>145.80000000000001</v>
      </c>
      <c r="AG39" s="12">
        <f t="shared" si="23"/>
        <v>947.7</v>
      </c>
      <c r="AH39" s="2">
        <f t="shared" si="24"/>
        <v>0</v>
      </c>
      <c r="AI39" s="12">
        <f t="shared" si="11"/>
        <v>947.7</v>
      </c>
      <c r="AJ39" s="12">
        <f t="shared" si="27"/>
        <v>17417.905755200005</v>
      </c>
      <c r="AK39" s="86">
        <f t="shared" si="12"/>
        <v>0.8666666666666667</v>
      </c>
      <c r="AL39" s="12">
        <f t="shared" si="25"/>
        <v>36522</v>
      </c>
      <c r="AM39" s="124">
        <f t="shared" si="13"/>
        <v>6.6577707904599701E-2</v>
      </c>
      <c r="AN39" s="72"/>
      <c r="AO39" s="59">
        <v>36</v>
      </c>
      <c r="AP39" s="125">
        <f t="shared" si="14"/>
        <v>14667.270352543388</v>
      </c>
      <c r="AQ39" s="125">
        <f t="shared" si="26"/>
        <v>17417.905755200005</v>
      </c>
    </row>
    <row r="40" spans="2:43" x14ac:dyDescent="0.25">
      <c r="D40" s="106" t="str">
        <f t="shared" si="33"/>
        <v/>
      </c>
      <c r="E40" s="122">
        <v>18</v>
      </c>
      <c r="F40" s="83">
        <f>SUM(W220:W231)</f>
        <v>9000</v>
      </c>
      <c r="G40" s="83">
        <f>SUM(X220:X231)</f>
        <v>7765.6181608916413</v>
      </c>
      <c r="H40" s="55">
        <f>SUM(AE220:AE231)</f>
        <v>44955.219365830504</v>
      </c>
      <c r="I40" s="55">
        <f>SUM(AF220:AF231)</f>
        <v>8162.3022619084404</v>
      </c>
      <c r="J40" s="55">
        <f>SUM(AG220:AG231)</f>
        <v>36792.917103922053</v>
      </c>
      <c r="K40" s="146">
        <f t="shared" si="34"/>
        <v>0.81843482520936284</v>
      </c>
      <c r="L40" s="55">
        <f>SUM(AH220:AH231)</f>
        <v>0</v>
      </c>
      <c r="M40" s="55">
        <f>SUM(AI220:AI231)</f>
        <v>36792.917103922053</v>
      </c>
      <c r="N40" s="55">
        <f t="shared" si="36"/>
        <v>381148.15452334593</v>
      </c>
      <c r="O40" s="147">
        <f t="shared" si="35"/>
        <v>-466270.4614387115</v>
      </c>
      <c r="P40" s="41">
        <f t="shared" si="32"/>
        <v>2.5847716449330722</v>
      </c>
      <c r="S40" s="9" t="str">
        <f t="shared" si="29"/>
        <v/>
      </c>
      <c r="T40" s="59">
        <v>3</v>
      </c>
      <c r="U40" s="59">
        <v>1</v>
      </c>
      <c r="V40" s="3" t="s">
        <v>50</v>
      </c>
      <c r="W40" s="23">
        <f>'Análise Técnica'!$C$3</f>
        <v>750</v>
      </c>
      <c r="X40" s="23">
        <f t="shared" si="37"/>
        <v>889.53928248384977</v>
      </c>
      <c r="Y40" s="54">
        <f t="shared" si="19"/>
        <v>0</v>
      </c>
      <c r="Z40" s="54">
        <f t="shared" si="20"/>
        <v>139.53928248384977</v>
      </c>
      <c r="AA40" s="54">
        <f t="shared" si="7"/>
        <v>100</v>
      </c>
      <c r="AB40" s="54">
        <f t="shared" si="8"/>
        <v>0</v>
      </c>
      <c r="AC40" s="54">
        <f t="shared" si="21"/>
        <v>914.86742473164179</v>
      </c>
      <c r="AD40" s="58">
        <f t="shared" si="22"/>
        <v>0</v>
      </c>
      <c r="AE40" s="2">
        <f t="shared" si="9"/>
        <v>1180.9800000000002</v>
      </c>
      <c r="AF40" s="2">
        <f t="shared" si="10"/>
        <v>157.46400000000003</v>
      </c>
      <c r="AG40" s="12">
        <f t="shared" si="23"/>
        <v>1023.5160000000002</v>
      </c>
      <c r="AH40" s="2">
        <f t="shared" si="24"/>
        <v>0</v>
      </c>
      <c r="AI40" s="12">
        <f t="shared" si="11"/>
        <v>1023.5160000000002</v>
      </c>
      <c r="AJ40" s="12">
        <f t="shared" si="27"/>
        <v>18441.421755200005</v>
      </c>
      <c r="AK40" s="86">
        <f t="shared" si="12"/>
        <v>0.8666666666666667</v>
      </c>
      <c r="AL40" s="12">
        <f t="shared" si="25"/>
        <v>37702.980000000003</v>
      </c>
      <c r="AM40" s="124">
        <f t="shared" si="13"/>
        <v>7.1903924536967687E-2</v>
      </c>
      <c r="AN40" s="72"/>
      <c r="AO40" s="59">
        <v>37</v>
      </c>
      <c r="AP40" s="125">
        <f t="shared" si="14"/>
        <v>14624.445868542261</v>
      </c>
      <c r="AQ40" s="125">
        <f t="shared" si="26"/>
        <v>18441.421755200005</v>
      </c>
    </row>
    <row r="41" spans="2:43" x14ac:dyDescent="0.25">
      <c r="D41" s="106" t="str">
        <f t="shared" si="33"/>
        <v/>
      </c>
      <c r="E41" s="122">
        <v>19</v>
      </c>
      <c r="F41" s="83">
        <f>SUM(W232:W243)</f>
        <v>9000</v>
      </c>
      <c r="G41" s="83">
        <f>SUM(X232:X243)</f>
        <v>7711.2588337653988</v>
      </c>
      <c r="H41" s="55">
        <f>SUM(AE232:AE243)</f>
        <v>48551.636915096948</v>
      </c>
      <c r="I41" s="55">
        <f>SUM(AF232:AF243)</f>
        <v>9031.1329621257282</v>
      </c>
      <c r="J41" s="55">
        <f>SUM(AG232:AG243)</f>
        <v>39520.503952971216</v>
      </c>
      <c r="K41" s="146">
        <f t="shared" si="34"/>
        <v>0.81398911476623081</v>
      </c>
      <c r="L41" s="55">
        <f>SUM(AH232:AH243)</f>
        <v>0</v>
      </c>
      <c r="M41" s="55">
        <f>SUM(AI232:AI243)</f>
        <v>39520.503952971216</v>
      </c>
      <c r="N41" s="55">
        <f t="shared" si="36"/>
        <v>420668.65847631713</v>
      </c>
      <c r="O41" s="147">
        <f t="shared" si="35"/>
        <v>-514822.09835380845</v>
      </c>
      <c r="P41" s="41">
        <f t="shared" si="32"/>
        <v>2.7763897524780998</v>
      </c>
      <c r="S41" s="9" t="str">
        <f t="shared" si="29"/>
        <v/>
      </c>
      <c r="T41" s="59">
        <v>3</v>
      </c>
      <c r="U41" s="59">
        <v>2</v>
      </c>
      <c r="V41" s="3" t="s">
        <v>51</v>
      </c>
      <c r="W41" s="23">
        <f>'Análise Técnica'!$C$3</f>
        <v>750</v>
      </c>
      <c r="X41" s="23">
        <f t="shared" si="37"/>
        <v>936.87902135749573</v>
      </c>
      <c r="Y41" s="54">
        <f t="shared" si="19"/>
        <v>0</v>
      </c>
      <c r="Z41" s="54">
        <f t="shared" si="20"/>
        <v>186.87902135749573</v>
      </c>
      <c r="AA41" s="54">
        <f t="shared" si="7"/>
        <v>100</v>
      </c>
      <c r="AB41" s="54">
        <f t="shared" si="8"/>
        <v>0</v>
      </c>
      <c r="AC41" s="54">
        <f t="shared" si="21"/>
        <v>1101.7464460891374</v>
      </c>
      <c r="AD41" s="58">
        <f t="shared" si="22"/>
        <v>0</v>
      </c>
      <c r="AE41" s="2">
        <f t="shared" si="9"/>
        <v>1180.9800000000002</v>
      </c>
      <c r="AF41" s="2">
        <f t="shared" si="10"/>
        <v>157.46400000000003</v>
      </c>
      <c r="AG41" s="12">
        <f t="shared" si="23"/>
        <v>1023.5160000000002</v>
      </c>
      <c r="AH41" s="2">
        <f t="shared" si="24"/>
        <v>0</v>
      </c>
      <c r="AI41" s="12">
        <f t="shared" si="11"/>
        <v>1023.5160000000002</v>
      </c>
      <c r="AJ41" s="12">
        <f t="shared" si="27"/>
        <v>19464.937755200004</v>
      </c>
      <c r="AK41" s="86">
        <f t="shared" si="12"/>
        <v>0.8666666666666667</v>
      </c>
      <c r="AL41" s="12">
        <f t="shared" si="25"/>
        <v>38883.960000000006</v>
      </c>
      <c r="AM41" s="124">
        <f t="shared" si="13"/>
        <v>7.1903924536967687E-2</v>
      </c>
      <c r="AN41" s="72"/>
      <c r="AO41" s="59">
        <v>38</v>
      </c>
      <c r="AP41" s="125">
        <f t="shared" si="14"/>
        <v>14669.227908503131</v>
      </c>
      <c r="AQ41" s="125">
        <f t="shared" si="26"/>
        <v>19464.937755200004</v>
      </c>
    </row>
    <row r="42" spans="2:43" x14ac:dyDescent="0.25">
      <c r="D42" s="106" t="str">
        <f t="shared" si="33"/>
        <v/>
      </c>
      <c r="E42" s="122">
        <v>20</v>
      </c>
      <c r="F42" s="83">
        <f>SUM(W244:W255)</f>
        <v>9000</v>
      </c>
      <c r="G42" s="83">
        <f>SUM(X244:X255)</f>
        <v>7657.2800219290421</v>
      </c>
      <c r="H42" s="55">
        <f>SUM(AE244:AE255)</f>
        <v>52435.767868304691</v>
      </c>
      <c r="I42" s="55">
        <f>SUM(AF244:AF255)</f>
        <v>9985.1060402159201</v>
      </c>
      <c r="J42" s="55">
        <f>SUM(AG244:AG255)</f>
        <v>42450.661828088778</v>
      </c>
      <c r="K42" s="146">
        <f t="shared" si="34"/>
        <v>0.80957452429620069</v>
      </c>
      <c r="L42" s="55">
        <f>SUM(AH244:AH255)</f>
        <v>0</v>
      </c>
      <c r="M42" s="55">
        <f>SUM(AI244:AI255)</f>
        <v>42450.661828088778</v>
      </c>
      <c r="N42" s="55">
        <f t="shared" si="36"/>
        <v>463119.32030440588</v>
      </c>
      <c r="O42" s="147">
        <f t="shared" si="35"/>
        <v>-567257.86622211314</v>
      </c>
      <c r="P42" s="41">
        <f t="shared" si="32"/>
        <v>2.982238855700575</v>
      </c>
      <c r="S42" s="9" t="str">
        <f t="shared" si="29"/>
        <v/>
      </c>
      <c r="T42" s="59">
        <v>3</v>
      </c>
      <c r="U42" s="59">
        <v>3</v>
      </c>
      <c r="V42" s="3" t="s">
        <v>52</v>
      </c>
      <c r="W42" s="23">
        <f>'Análise Técnica'!$C$3</f>
        <v>750</v>
      </c>
      <c r="X42" s="23">
        <f t="shared" si="37"/>
        <v>786.20896179128181</v>
      </c>
      <c r="Y42" s="54">
        <f t="shared" si="19"/>
        <v>0</v>
      </c>
      <c r="Z42" s="54">
        <f t="shared" si="20"/>
        <v>36.208961791281808</v>
      </c>
      <c r="AA42" s="54">
        <f t="shared" si="7"/>
        <v>100</v>
      </c>
      <c r="AB42" s="54">
        <f t="shared" si="8"/>
        <v>0</v>
      </c>
      <c r="AC42" s="54">
        <f t="shared" si="21"/>
        <v>1137.9554078804192</v>
      </c>
      <c r="AD42" s="58">
        <f t="shared" si="22"/>
        <v>0</v>
      </c>
      <c r="AE42" s="2">
        <f t="shared" si="9"/>
        <v>1180.9800000000002</v>
      </c>
      <c r="AF42" s="2">
        <f t="shared" si="10"/>
        <v>157.46400000000003</v>
      </c>
      <c r="AG42" s="12">
        <f t="shared" si="23"/>
        <v>1023.5160000000002</v>
      </c>
      <c r="AH42" s="2">
        <f t="shared" si="24"/>
        <v>0</v>
      </c>
      <c r="AI42" s="12">
        <f t="shared" si="11"/>
        <v>1023.5160000000002</v>
      </c>
      <c r="AJ42" s="12">
        <f t="shared" si="27"/>
        <v>20488.453755200004</v>
      </c>
      <c r="AK42" s="86">
        <f t="shared" si="12"/>
        <v>0.8666666666666667</v>
      </c>
      <c r="AL42" s="12">
        <f t="shared" si="25"/>
        <v>40064.94000000001</v>
      </c>
      <c r="AM42" s="124">
        <f t="shared" si="13"/>
        <v>7.1903924536967687E-2</v>
      </c>
      <c r="AN42" s="72"/>
      <c r="AO42" s="59">
        <v>39</v>
      </c>
      <c r="AP42" s="125">
        <f t="shared" si="14"/>
        <v>14714.136830910558</v>
      </c>
      <c r="AQ42" s="125">
        <f t="shared" si="26"/>
        <v>20488.453755200004</v>
      </c>
    </row>
    <row r="43" spans="2:43" x14ac:dyDescent="0.25">
      <c r="D43" s="106" t="str">
        <f t="shared" si="33"/>
        <v/>
      </c>
      <c r="E43" s="122">
        <v>21</v>
      </c>
      <c r="F43" s="83">
        <f>SUM(W256:W267)</f>
        <v>9000</v>
      </c>
      <c r="G43" s="83">
        <f>SUM(X256:X267)</f>
        <v>7603.6790617755378</v>
      </c>
      <c r="H43" s="55">
        <f>SUM(AE256:AE267)</f>
        <v>56630.629297769075</v>
      </c>
      <c r="I43" s="55">
        <f>SUM(AF256:AF267)</f>
        <v>11032.165552588078</v>
      </c>
      <c r="J43" s="55">
        <f>SUM(AG256:AG267)</f>
        <v>45598.463745181005</v>
      </c>
      <c r="K43" s="146">
        <f t="shared" si="34"/>
        <v>0.80519083595946062</v>
      </c>
      <c r="L43" s="55">
        <f>SUM(AH256:AH267)</f>
        <v>0</v>
      </c>
      <c r="M43" s="55">
        <f>SUM(AI256:AI267)</f>
        <v>45598.463745181005</v>
      </c>
      <c r="N43" s="55">
        <f t="shared" si="36"/>
        <v>508717.78404958686</v>
      </c>
      <c r="O43" s="147">
        <f t="shared" si="35"/>
        <v>-623888.49551988218</v>
      </c>
      <c r="P43" s="41">
        <f t="shared" si="32"/>
        <v>3.2033778623247233</v>
      </c>
      <c r="S43" s="9" t="str">
        <f t="shared" si="29"/>
        <v/>
      </c>
      <c r="T43" s="59">
        <v>3</v>
      </c>
      <c r="U43" s="59">
        <v>4</v>
      </c>
      <c r="V43" s="3" t="s">
        <v>53</v>
      </c>
      <c r="W43" s="23">
        <f>'Análise Técnica'!$C$3</f>
        <v>750</v>
      </c>
      <c r="X43" s="23">
        <f t="shared" si="37"/>
        <v>697.18524523006067</v>
      </c>
      <c r="Y43" s="54">
        <f t="shared" si="19"/>
        <v>52.814754769939327</v>
      </c>
      <c r="Z43" s="54">
        <f t="shared" si="20"/>
        <v>0</v>
      </c>
      <c r="AA43" s="54">
        <f t="shared" si="7"/>
        <v>100</v>
      </c>
      <c r="AB43" s="54">
        <f t="shared" si="8"/>
        <v>0</v>
      </c>
      <c r="AC43" s="54">
        <f t="shared" si="21"/>
        <v>1137.9554078804192</v>
      </c>
      <c r="AD43" s="58">
        <f t="shared" si="22"/>
        <v>0</v>
      </c>
      <c r="AE43" s="2">
        <f t="shared" si="9"/>
        <v>1180.9800000000002</v>
      </c>
      <c r="AF43" s="2">
        <f t="shared" si="10"/>
        <v>157.46400000000003</v>
      </c>
      <c r="AG43" s="12">
        <f t="shared" si="23"/>
        <v>1023.5160000000002</v>
      </c>
      <c r="AH43" s="2">
        <f t="shared" si="24"/>
        <v>0</v>
      </c>
      <c r="AI43" s="12">
        <f t="shared" si="11"/>
        <v>1023.5160000000002</v>
      </c>
      <c r="AJ43" s="12">
        <f t="shared" si="27"/>
        <v>21511.969755200003</v>
      </c>
      <c r="AK43" s="86">
        <f t="shared" si="12"/>
        <v>0.8666666666666667</v>
      </c>
      <c r="AL43" s="12">
        <f t="shared" si="25"/>
        <v>41245.920000000013</v>
      </c>
      <c r="AM43" s="124">
        <f t="shared" si="13"/>
        <v>7.1903924536967687E-2</v>
      </c>
      <c r="AN43" s="72"/>
      <c r="AO43" s="59">
        <v>40</v>
      </c>
      <c r="AP43" s="125">
        <f t="shared" si="14"/>
        <v>14759.172995264802</v>
      </c>
      <c r="AQ43" s="125">
        <f t="shared" si="26"/>
        <v>21511.969755200003</v>
      </c>
    </row>
    <row r="44" spans="2:43" x14ac:dyDescent="0.25">
      <c r="D44" s="106" t="str">
        <f t="shared" si="33"/>
        <v/>
      </c>
      <c r="E44" s="122">
        <v>22</v>
      </c>
      <c r="F44" s="83">
        <f>SUM(W268:W279)</f>
        <v>9000</v>
      </c>
      <c r="G44" s="83">
        <f>SUM(X268:X279)</f>
        <v>7550.4533083431088</v>
      </c>
      <c r="H44" s="55">
        <f>SUM(AE268:AE279)</f>
        <v>61161.079641590615</v>
      </c>
      <c r="I44" s="55">
        <f>SUM(AF268:AF279)</f>
        <v>12180.973130501987</v>
      </c>
      <c r="J44" s="55">
        <f>SUM(AG268:AG279)</f>
        <v>48980.106511088627</v>
      </c>
      <c r="K44" s="146">
        <f t="shared" si="34"/>
        <v>0.80083783344107762</v>
      </c>
      <c r="L44" s="55">
        <f>SUM(AH268:AH279)</f>
        <v>0</v>
      </c>
      <c r="M44" s="55">
        <f>SUM(AI268:AI279)</f>
        <v>48980.106511088627</v>
      </c>
      <c r="N44" s="55">
        <f t="shared" si="36"/>
        <v>557697.89056067553</v>
      </c>
      <c r="O44" s="147">
        <f t="shared" si="35"/>
        <v>-685049.57516147278</v>
      </c>
      <c r="P44" s="41">
        <f t="shared" si="32"/>
        <v>3.4409446285021001</v>
      </c>
      <c r="S44" s="9" t="str">
        <f t="shared" si="29"/>
        <v/>
      </c>
      <c r="T44" s="59">
        <v>3</v>
      </c>
      <c r="U44" s="59">
        <v>5</v>
      </c>
      <c r="V44" s="3" t="s">
        <v>54</v>
      </c>
      <c r="W44" s="23">
        <f>'Análise Técnica'!$C$3</f>
        <v>750</v>
      </c>
      <c r="X44" s="23">
        <f t="shared" si="37"/>
        <v>574.15426539320788</v>
      </c>
      <c r="Y44" s="54">
        <f t="shared" si="19"/>
        <v>175.84573460679212</v>
      </c>
      <c r="Z44" s="54">
        <f t="shared" si="20"/>
        <v>0</v>
      </c>
      <c r="AA44" s="54">
        <f t="shared" si="7"/>
        <v>100</v>
      </c>
      <c r="AB44" s="54">
        <f t="shared" si="8"/>
        <v>75.845734606792121</v>
      </c>
      <c r="AC44" s="54">
        <f t="shared" si="21"/>
        <v>1062.1096732736271</v>
      </c>
      <c r="AD44" s="58">
        <f t="shared" si="22"/>
        <v>0</v>
      </c>
      <c r="AE44" s="2">
        <f t="shared" si="9"/>
        <v>1180.9800000000002</v>
      </c>
      <c r="AF44" s="2">
        <f t="shared" si="10"/>
        <v>157.46400000000003</v>
      </c>
      <c r="AG44" s="12">
        <f t="shared" si="23"/>
        <v>1023.5160000000002</v>
      </c>
      <c r="AH44" s="2">
        <f t="shared" si="24"/>
        <v>0</v>
      </c>
      <c r="AI44" s="12">
        <f t="shared" si="11"/>
        <v>1023.5160000000002</v>
      </c>
      <c r="AJ44" s="12">
        <f t="shared" si="27"/>
        <v>22535.485755200003</v>
      </c>
      <c r="AK44" s="86">
        <f t="shared" si="12"/>
        <v>0.8666666666666667</v>
      </c>
      <c r="AL44" s="12">
        <f t="shared" si="25"/>
        <v>42426.900000000016</v>
      </c>
      <c r="AM44" s="124">
        <f t="shared" si="13"/>
        <v>7.1903924536967687E-2</v>
      </c>
      <c r="AN44" s="72"/>
      <c r="AO44" s="59">
        <v>41</v>
      </c>
      <c r="AP44" s="125">
        <f t="shared" si="14"/>
        <v>14804.336762084717</v>
      </c>
      <c r="AQ44" s="125">
        <f t="shared" si="26"/>
        <v>22535.485755200003</v>
      </c>
    </row>
    <row r="45" spans="2:43" x14ac:dyDescent="0.25">
      <c r="D45" s="106" t="str">
        <f t="shared" si="33"/>
        <v/>
      </c>
      <c r="E45" s="122">
        <v>23</v>
      </c>
      <c r="F45" s="83">
        <f>SUM(W280:W291)</f>
        <v>9000</v>
      </c>
      <c r="G45" s="83">
        <f>SUM(X280:X291)</f>
        <v>7497.6001351847071</v>
      </c>
      <c r="H45" s="55">
        <f>SUM(AE280:AE291)</f>
        <v>66053.966012917852</v>
      </c>
      <c r="I45" s="55">
        <f>SUM(AF280:AF291)</f>
        <v>13454.154834993584</v>
      </c>
      <c r="J45" s="55">
        <f>SUM(AG280:AG291)</f>
        <v>52599.811177924275</v>
      </c>
      <c r="K45" s="146">
        <f t="shared" si="34"/>
        <v>0.79631571505695187</v>
      </c>
      <c r="L45" s="55">
        <f>SUM(AH280:AH291)</f>
        <v>0</v>
      </c>
      <c r="M45" s="55">
        <f>SUM(AI280:AI291)</f>
        <v>52599.811177924275</v>
      </c>
      <c r="N45" s="55">
        <f t="shared" si="36"/>
        <v>610297.7017385998</v>
      </c>
      <c r="O45" s="147">
        <f t="shared" si="35"/>
        <v>-751103.54117439059</v>
      </c>
      <c r="P45" s="41">
        <f t="shared" si="32"/>
        <v>3.6952356910846689</v>
      </c>
      <c r="S45" s="9" t="str">
        <f t="shared" si="29"/>
        <v/>
      </c>
      <c r="T45" s="59">
        <v>3</v>
      </c>
      <c r="U45" s="59">
        <v>6</v>
      </c>
      <c r="V45" s="3" t="s">
        <v>55</v>
      </c>
      <c r="W45" s="23">
        <f>'Análise Técnica'!$C$3</f>
        <v>750</v>
      </c>
      <c r="X45" s="23">
        <f t="shared" si="37"/>
        <v>530.97274682603074</v>
      </c>
      <c r="Y45" s="54">
        <f t="shared" si="19"/>
        <v>219.02725317396926</v>
      </c>
      <c r="Z45" s="54">
        <f t="shared" si="20"/>
        <v>0</v>
      </c>
      <c r="AA45" s="54">
        <f t="shared" si="7"/>
        <v>100</v>
      </c>
      <c r="AB45" s="54">
        <f t="shared" si="8"/>
        <v>119.02725317396926</v>
      </c>
      <c r="AC45" s="54">
        <f t="shared" si="21"/>
        <v>943.08242009965784</v>
      </c>
      <c r="AD45" s="58">
        <f t="shared" si="22"/>
        <v>0</v>
      </c>
      <c r="AE45" s="2">
        <f t="shared" si="9"/>
        <v>1180.9800000000002</v>
      </c>
      <c r="AF45" s="2">
        <f t="shared" si="10"/>
        <v>157.46400000000003</v>
      </c>
      <c r="AG45" s="12">
        <f t="shared" si="23"/>
        <v>1023.5160000000002</v>
      </c>
      <c r="AH45" s="2">
        <f t="shared" si="24"/>
        <v>0</v>
      </c>
      <c r="AI45" s="12">
        <f t="shared" si="11"/>
        <v>1023.5160000000002</v>
      </c>
      <c r="AJ45" s="12">
        <f t="shared" si="27"/>
        <v>23559.001755200003</v>
      </c>
      <c r="AK45" s="86">
        <f t="shared" si="12"/>
        <v>0.8666666666666667</v>
      </c>
      <c r="AL45" s="12">
        <f t="shared" si="25"/>
        <v>43607.880000000019</v>
      </c>
      <c r="AM45" s="124">
        <f t="shared" si="13"/>
        <v>7.1903924536967687E-2</v>
      </c>
      <c r="AN45" s="72"/>
      <c r="AO45" s="59">
        <v>42</v>
      </c>
      <c r="AP45" s="125">
        <f t="shared" si="14"/>
        <v>14849.628492910628</v>
      </c>
      <c r="AQ45" s="125">
        <f t="shared" si="26"/>
        <v>23559.001755200003</v>
      </c>
    </row>
    <row r="46" spans="2:43" x14ac:dyDescent="0.25">
      <c r="D46" s="106" t="str">
        <f t="shared" si="33"/>
        <v/>
      </c>
      <c r="E46" s="122">
        <v>24</v>
      </c>
      <c r="F46" s="83">
        <f>SUM(W292:W303)</f>
        <v>9000</v>
      </c>
      <c r="G46" s="83">
        <f>SUM(X292:X303)</f>
        <v>7445.1169342384137</v>
      </c>
      <c r="H46" s="55">
        <f>SUM(AE292:AE303)</f>
        <v>71338.283293951288</v>
      </c>
      <c r="I46" s="55">
        <f>SUM(AF292:AF303)</f>
        <v>14878.497936961036</v>
      </c>
      <c r="J46" s="55">
        <f>SUM(AG292:AG303)</f>
        <v>56459.785356990251</v>
      </c>
      <c r="K46" s="146">
        <f t="shared" si="34"/>
        <v>0.79143739868740892</v>
      </c>
      <c r="L46" s="55">
        <f>SUM(AH292:AH303)</f>
        <v>0</v>
      </c>
      <c r="M46" s="55">
        <f>SUM(AI292:AI303)</f>
        <v>56459.785356990251</v>
      </c>
      <c r="N46" s="55">
        <f t="shared" si="36"/>
        <v>666757.4870955901</v>
      </c>
      <c r="O46" s="147">
        <f t="shared" si="35"/>
        <v>-822441.82446834189</v>
      </c>
      <c r="P46" s="41">
        <f t="shared" si="32"/>
        <v>3.9664061389195866</v>
      </c>
      <c r="S46" s="9" t="str">
        <f t="shared" si="29"/>
        <v/>
      </c>
      <c r="T46" s="59">
        <v>3</v>
      </c>
      <c r="U46" s="59">
        <v>7</v>
      </c>
      <c r="V46" s="3" t="s">
        <v>56</v>
      </c>
      <c r="W46" s="23">
        <f>'Análise Técnica'!$C$3</f>
        <v>750</v>
      </c>
      <c r="X46" s="23">
        <f t="shared" si="37"/>
        <v>530.90005066682659</v>
      </c>
      <c r="Y46" s="54">
        <f t="shared" si="19"/>
        <v>219.09994933317341</v>
      </c>
      <c r="Z46" s="54">
        <f t="shared" si="20"/>
        <v>0</v>
      </c>
      <c r="AA46" s="54">
        <f t="shared" si="7"/>
        <v>100</v>
      </c>
      <c r="AB46" s="54">
        <f t="shared" si="8"/>
        <v>119.09994933317341</v>
      </c>
      <c r="AC46" s="54">
        <f t="shared" si="21"/>
        <v>823.98247076648443</v>
      </c>
      <c r="AD46" s="58">
        <f t="shared" si="22"/>
        <v>0</v>
      </c>
      <c r="AE46" s="2">
        <f t="shared" si="9"/>
        <v>1180.9800000000002</v>
      </c>
      <c r="AF46" s="2">
        <f t="shared" si="10"/>
        <v>157.46400000000003</v>
      </c>
      <c r="AG46" s="12">
        <f t="shared" si="23"/>
        <v>1023.5160000000002</v>
      </c>
      <c r="AH46" s="2">
        <f t="shared" si="24"/>
        <v>0</v>
      </c>
      <c r="AI46" s="12">
        <f t="shared" si="11"/>
        <v>1023.5160000000002</v>
      </c>
      <c r="AJ46" s="12">
        <f t="shared" si="27"/>
        <v>24582.517755200002</v>
      </c>
      <c r="AK46" s="86">
        <f t="shared" si="12"/>
        <v>0.8666666666666667</v>
      </c>
      <c r="AL46" s="12">
        <f t="shared" si="25"/>
        <v>44788.860000000022</v>
      </c>
      <c r="AM46" s="124">
        <f t="shared" si="13"/>
        <v>7.1903924536967687E-2</v>
      </c>
      <c r="AN46" s="72"/>
      <c r="AO46" s="59">
        <v>43</v>
      </c>
      <c r="AP46" s="125">
        <f t="shared" si="14"/>
        <v>14895.048550307205</v>
      </c>
      <c r="AQ46" s="125">
        <f t="shared" si="26"/>
        <v>24582.517755200002</v>
      </c>
    </row>
    <row r="47" spans="2:43" x14ac:dyDescent="0.25">
      <c r="E47" s="144" t="s">
        <v>40</v>
      </c>
      <c r="F47" s="148">
        <f t="shared" ref="F47:L47" si="38">AVERAGE(F22:F46)</f>
        <v>9000</v>
      </c>
      <c r="G47" s="148">
        <f t="shared" si="38"/>
        <v>8111.3806347520449</v>
      </c>
      <c r="H47" s="149">
        <f t="shared" si="38"/>
        <v>32897.672978733674</v>
      </c>
      <c r="I47" s="149">
        <f t="shared" si="38"/>
        <v>5572.5867596492762</v>
      </c>
      <c r="J47" s="149">
        <f t="shared" si="38"/>
        <v>27325.086219084405</v>
      </c>
      <c r="K47" s="150">
        <f t="shared" si="38"/>
        <v>0.8448994682238099</v>
      </c>
      <c r="L47" s="149">
        <f t="shared" si="38"/>
        <v>654.78673526080013</v>
      </c>
      <c r="M47" s="149"/>
      <c r="N47" s="149"/>
      <c r="O47" s="149"/>
      <c r="P47" s="150"/>
      <c r="S47" s="9" t="str">
        <f t="shared" si="29"/>
        <v/>
      </c>
      <c r="T47" s="59">
        <v>3</v>
      </c>
      <c r="U47" s="59">
        <v>8</v>
      </c>
      <c r="V47" s="3" t="s">
        <v>57</v>
      </c>
      <c r="W47" s="23">
        <f>'Análise Técnica'!$C$3</f>
        <v>750</v>
      </c>
      <c r="X47" s="23">
        <f t="shared" si="37"/>
        <v>656.50447453950119</v>
      </c>
      <c r="Y47" s="54">
        <f t="shared" si="19"/>
        <v>93.495525460498811</v>
      </c>
      <c r="Z47" s="54">
        <f t="shared" si="20"/>
        <v>0</v>
      </c>
      <c r="AA47" s="54">
        <f t="shared" si="7"/>
        <v>100</v>
      </c>
      <c r="AB47" s="54">
        <f t="shared" si="8"/>
        <v>0</v>
      </c>
      <c r="AC47" s="54">
        <f t="shared" si="21"/>
        <v>823.98247076648443</v>
      </c>
      <c r="AD47" s="58">
        <f t="shared" si="22"/>
        <v>0</v>
      </c>
      <c r="AE47" s="2">
        <f t="shared" si="9"/>
        <v>1180.9800000000002</v>
      </c>
      <c r="AF47" s="2">
        <f t="shared" si="10"/>
        <v>157.46400000000003</v>
      </c>
      <c r="AG47" s="12">
        <f t="shared" si="23"/>
        <v>1023.5160000000002</v>
      </c>
      <c r="AH47" s="2">
        <f t="shared" si="24"/>
        <v>0</v>
      </c>
      <c r="AI47" s="12">
        <f t="shared" si="11"/>
        <v>1023.5160000000002</v>
      </c>
      <c r="AJ47" s="12">
        <f t="shared" si="27"/>
        <v>25606.033755200002</v>
      </c>
      <c r="AK47" s="86">
        <f t="shared" si="12"/>
        <v>0.8666666666666667</v>
      </c>
      <c r="AL47" s="12">
        <f t="shared" si="25"/>
        <v>45969.840000000026</v>
      </c>
      <c r="AM47" s="124">
        <f t="shared" si="13"/>
        <v>7.1903924536967687E-2</v>
      </c>
      <c r="AN47" s="72"/>
      <c r="AO47" s="59">
        <v>44</v>
      </c>
      <c r="AP47" s="125">
        <f t="shared" si="14"/>
        <v>14940.597297866405</v>
      </c>
      <c r="AQ47" s="125">
        <f t="shared" si="26"/>
        <v>25606.033755200002</v>
      </c>
    </row>
    <row r="48" spans="2:43" x14ac:dyDescent="0.25">
      <c r="E48" s="144" t="s">
        <v>0</v>
      </c>
      <c r="F48" s="148">
        <f>SUM(F22:F46)</f>
        <v>225000</v>
      </c>
      <c r="G48" s="148">
        <f>SUM(G22:G46)</f>
        <v>202784.51586880113</v>
      </c>
      <c r="H48" s="149">
        <f>SUM(H22:H46)</f>
        <v>822441.82446834189</v>
      </c>
      <c r="I48" s="149">
        <f>SUM(I22:I46)</f>
        <v>139314.66899123191</v>
      </c>
      <c r="J48" s="149">
        <f>SUM(J22:J46)</f>
        <v>683127.15547711018</v>
      </c>
      <c r="K48" s="150">
        <f>J48/H48</f>
        <v>0.83060848214852145</v>
      </c>
      <c r="L48" s="149">
        <f>SUM(L22:L46)</f>
        <v>16369.668381520003</v>
      </c>
      <c r="M48" s="151" t="s">
        <v>90</v>
      </c>
      <c r="N48" s="151" t="s">
        <v>90</v>
      </c>
      <c r="O48" s="151" t="s">
        <v>90</v>
      </c>
      <c r="P48" s="122"/>
      <c r="S48" s="9" t="str">
        <f t="shared" si="29"/>
        <v/>
      </c>
      <c r="T48" s="59">
        <v>3</v>
      </c>
      <c r="U48" s="59">
        <v>9</v>
      </c>
      <c r="V48" s="3" t="s">
        <v>58</v>
      </c>
      <c r="W48" s="23">
        <f>'Análise Técnica'!$C$3</f>
        <v>750</v>
      </c>
      <c r="X48" s="23">
        <f t="shared" si="37"/>
        <v>666.82732914646954</v>
      </c>
      <c r="Y48" s="54">
        <f t="shared" si="19"/>
        <v>83.172670853530462</v>
      </c>
      <c r="Z48" s="54">
        <f t="shared" si="20"/>
        <v>0</v>
      </c>
      <c r="AA48" s="54">
        <f t="shared" si="7"/>
        <v>100</v>
      </c>
      <c r="AB48" s="54">
        <f t="shared" si="8"/>
        <v>0</v>
      </c>
      <c r="AC48" s="54">
        <f t="shared" si="21"/>
        <v>823.98247076648443</v>
      </c>
      <c r="AD48" s="58">
        <f t="shared" si="22"/>
        <v>0</v>
      </c>
      <c r="AE48" s="2">
        <f t="shared" si="9"/>
        <v>1180.9800000000002</v>
      </c>
      <c r="AF48" s="2">
        <f t="shared" si="10"/>
        <v>157.46400000000003</v>
      </c>
      <c r="AG48" s="12">
        <f t="shared" si="23"/>
        <v>1023.5160000000002</v>
      </c>
      <c r="AH48" s="2">
        <f t="shared" si="24"/>
        <v>0</v>
      </c>
      <c r="AI48" s="12">
        <f t="shared" si="11"/>
        <v>1023.5160000000002</v>
      </c>
      <c r="AJ48" s="12">
        <f t="shared" si="27"/>
        <v>26629.549755200002</v>
      </c>
      <c r="AK48" s="86">
        <f t="shared" si="12"/>
        <v>0.8666666666666667</v>
      </c>
      <c r="AL48" s="12">
        <f t="shared" si="25"/>
        <v>47150.820000000029</v>
      </c>
      <c r="AM48" s="124">
        <f t="shared" si="13"/>
        <v>7.1903924536967687E-2</v>
      </c>
      <c r="AN48" s="72"/>
      <c r="AO48" s="59">
        <v>45</v>
      </c>
      <c r="AP48" s="125">
        <f t="shared" si="14"/>
        <v>14986.27510021036</v>
      </c>
      <c r="AQ48" s="125">
        <f t="shared" si="26"/>
        <v>26629.549755200002</v>
      </c>
    </row>
    <row r="49" spans="7:43" x14ac:dyDescent="0.25">
      <c r="S49" s="9" t="str">
        <f t="shared" si="29"/>
        <v/>
      </c>
      <c r="T49" s="59">
        <v>3</v>
      </c>
      <c r="U49" s="59">
        <v>10</v>
      </c>
      <c r="V49" s="3" t="s">
        <v>59</v>
      </c>
      <c r="W49" s="23">
        <f>'Análise Técnica'!$C$3</f>
        <v>750</v>
      </c>
      <c r="X49" s="23">
        <f t="shared" si="37"/>
        <v>745.9789072877868</v>
      </c>
      <c r="Y49" s="54">
        <f t="shared" si="19"/>
        <v>4.0210927122132034</v>
      </c>
      <c r="Z49" s="54">
        <f t="shared" si="20"/>
        <v>0</v>
      </c>
      <c r="AA49" s="54">
        <f t="shared" si="7"/>
        <v>100</v>
      </c>
      <c r="AB49" s="54">
        <f t="shared" si="8"/>
        <v>0</v>
      </c>
      <c r="AC49" s="54">
        <f t="shared" si="21"/>
        <v>823.98247076648443</v>
      </c>
      <c r="AD49" s="58">
        <f t="shared" si="22"/>
        <v>0</v>
      </c>
      <c r="AE49" s="2">
        <f t="shared" si="9"/>
        <v>1180.9800000000002</v>
      </c>
      <c r="AF49" s="2">
        <f t="shared" si="10"/>
        <v>157.46400000000003</v>
      </c>
      <c r="AG49" s="12">
        <f t="shared" si="23"/>
        <v>1023.5160000000002</v>
      </c>
      <c r="AH49" s="2">
        <f t="shared" si="24"/>
        <v>0</v>
      </c>
      <c r="AI49" s="12">
        <f t="shared" si="11"/>
        <v>1023.5160000000002</v>
      </c>
      <c r="AJ49" s="12">
        <f t="shared" si="27"/>
        <v>27653.065755200001</v>
      </c>
      <c r="AK49" s="86">
        <f t="shared" si="12"/>
        <v>0.8666666666666667</v>
      </c>
      <c r="AL49" s="12">
        <f t="shared" si="25"/>
        <v>48331.800000000032</v>
      </c>
      <c r="AM49" s="124">
        <f t="shared" si="13"/>
        <v>7.1903924536967687E-2</v>
      </c>
      <c r="AN49" s="72"/>
      <c r="AO49" s="59">
        <v>46</v>
      </c>
      <c r="AP49" s="125">
        <f t="shared" si="14"/>
        <v>15032.082322994293</v>
      </c>
      <c r="AQ49" s="125">
        <f t="shared" si="26"/>
        <v>27653.065755200001</v>
      </c>
    </row>
    <row r="50" spans="7:43" x14ac:dyDescent="0.25">
      <c r="S50" s="9" t="str">
        <f t="shared" si="29"/>
        <v/>
      </c>
      <c r="T50" s="59">
        <v>3</v>
      </c>
      <c r="U50" s="59">
        <v>11</v>
      </c>
      <c r="V50" s="3" t="s">
        <v>60</v>
      </c>
      <c r="W50" s="23">
        <f>'Análise Técnica'!$C$3</f>
        <v>750</v>
      </c>
      <c r="X50" s="23">
        <f t="shared" si="37"/>
        <v>751.35842306888298</v>
      </c>
      <c r="Y50" s="54">
        <f t="shared" si="19"/>
        <v>0</v>
      </c>
      <c r="Z50" s="54">
        <f t="shared" si="20"/>
        <v>1.3584230688829848</v>
      </c>
      <c r="AA50" s="54">
        <f t="shared" si="7"/>
        <v>100</v>
      </c>
      <c r="AB50" s="54">
        <f t="shared" si="8"/>
        <v>0</v>
      </c>
      <c r="AC50" s="54">
        <f t="shared" si="21"/>
        <v>825.34089383536741</v>
      </c>
      <c r="AD50" s="58">
        <f t="shared" si="22"/>
        <v>0</v>
      </c>
      <c r="AE50" s="2">
        <f t="shared" si="9"/>
        <v>1180.9800000000002</v>
      </c>
      <c r="AF50" s="2">
        <f t="shared" si="10"/>
        <v>157.46400000000003</v>
      </c>
      <c r="AG50" s="12">
        <f t="shared" si="23"/>
        <v>1023.5160000000002</v>
      </c>
      <c r="AH50" s="2">
        <f t="shared" si="24"/>
        <v>0</v>
      </c>
      <c r="AI50" s="12">
        <f t="shared" si="11"/>
        <v>1023.5160000000002</v>
      </c>
      <c r="AJ50" s="12">
        <f t="shared" si="27"/>
        <v>28676.581755200001</v>
      </c>
      <c r="AK50" s="86">
        <f t="shared" si="12"/>
        <v>0.8666666666666667</v>
      </c>
      <c r="AL50" s="12">
        <f t="shared" si="25"/>
        <v>49512.780000000035</v>
      </c>
      <c r="AM50" s="124">
        <f t="shared" si="13"/>
        <v>7.1903924536967687E-2</v>
      </c>
      <c r="AN50" s="72"/>
      <c r="AO50" s="59">
        <v>47</v>
      </c>
      <c r="AP50" s="125">
        <f t="shared" si="14"/>
        <v>15078.01933290944</v>
      </c>
      <c r="AQ50" s="125">
        <f t="shared" si="26"/>
        <v>28676.581755200001</v>
      </c>
    </row>
    <row r="51" spans="7:43" x14ac:dyDescent="0.25">
      <c r="G51" s="9"/>
      <c r="H51" s="9"/>
      <c r="I51" s="9"/>
      <c r="S51" s="9" t="str">
        <f t="shared" si="29"/>
        <v/>
      </c>
      <c r="T51" s="59">
        <v>3</v>
      </c>
      <c r="U51" s="59">
        <v>12</v>
      </c>
      <c r="V51" s="3" t="s">
        <v>61</v>
      </c>
      <c r="W51" s="23">
        <f>'Análise Técnica'!$C$3</f>
        <v>750</v>
      </c>
      <c r="X51" s="23">
        <f t="shared" si="37"/>
        <v>862.03105584105549</v>
      </c>
      <c r="Y51" s="54">
        <f t="shared" si="19"/>
        <v>0</v>
      </c>
      <c r="Z51" s="54">
        <f t="shared" si="20"/>
        <v>112.03105584105549</v>
      </c>
      <c r="AA51" s="54">
        <f t="shared" si="7"/>
        <v>100</v>
      </c>
      <c r="AB51" s="54">
        <f t="shared" si="8"/>
        <v>0</v>
      </c>
      <c r="AC51" s="54">
        <f t="shared" si="21"/>
        <v>937.3719496764229</v>
      </c>
      <c r="AD51" s="58">
        <f t="shared" si="22"/>
        <v>0</v>
      </c>
      <c r="AE51" s="2">
        <f t="shared" si="9"/>
        <v>1180.9800000000002</v>
      </c>
      <c r="AF51" s="2">
        <f t="shared" si="10"/>
        <v>157.46400000000003</v>
      </c>
      <c r="AG51" s="12">
        <f t="shared" si="23"/>
        <v>1023.5160000000002</v>
      </c>
      <c r="AH51" s="2">
        <f t="shared" si="24"/>
        <v>0</v>
      </c>
      <c r="AI51" s="12">
        <f t="shared" si="11"/>
        <v>1023.5160000000002</v>
      </c>
      <c r="AJ51" s="12">
        <f t="shared" si="27"/>
        <v>29700.0977552</v>
      </c>
      <c r="AK51" s="86">
        <f t="shared" si="12"/>
        <v>0.8666666666666667</v>
      </c>
      <c r="AL51" s="12">
        <f t="shared" si="25"/>
        <v>50693.760000000038</v>
      </c>
      <c r="AM51" s="124">
        <f t="shared" si="13"/>
        <v>7.1903924536967687E-2</v>
      </c>
      <c r="AN51" s="72"/>
      <c r="AO51" s="59">
        <v>48</v>
      </c>
      <c r="AP51" s="125">
        <f t="shared" si="14"/>
        <v>15124.086497686018</v>
      </c>
      <c r="AQ51" s="125">
        <f t="shared" si="26"/>
        <v>29700.0977552</v>
      </c>
    </row>
    <row r="52" spans="7:43" x14ac:dyDescent="0.25">
      <c r="G52" s="9"/>
      <c r="H52" s="9"/>
      <c r="I52" s="9"/>
      <c r="S52" s="9" t="str">
        <f t="shared" si="29"/>
        <v/>
      </c>
      <c r="T52" s="59">
        <v>4</v>
      </c>
      <c r="U52" s="59">
        <v>1</v>
      </c>
      <c r="V52" s="3" t="s">
        <v>50</v>
      </c>
      <c r="W52" s="23">
        <f>'Análise Técnica'!$C$3</f>
        <v>750</v>
      </c>
      <c r="X52" s="23">
        <f t="shared" si="37"/>
        <v>883.31250750646279</v>
      </c>
      <c r="Y52" s="54">
        <f t="shared" si="19"/>
        <v>0</v>
      </c>
      <c r="Z52" s="54">
        <f t="shared" si="20"/>
        <v>133.31250750646279</v>
      </c>
      <c r="AA52" s="54">
        <f t="shared" si="7"/>
        <v>100</v>
      </c>
      <c r="AB52" s="54">
        <f t="shared" si="8"/>
        <v>0</v>
      </c>
      <c r="AC52" s="54">
        <f t="shared" si="21"/>
        <v>1070.6844571828856</v>
      </c>
      <c r="AD52" s="58">
        <f t="shared" si="22"/>
        <v>0</v>
      </c>
      <c r="AE52" s="2">
        <f t="shared" si="9"/>
        <v>1275.4584000000002</v>
      </c>
      <c r="AF52" s="2">
        <f t="shared" si="10"/>
        <v>170.06112000000005</v>
      </c>
      <c r="AG52" s="12">
        <f t="shared" si="23"/>
        <v>1105.3972800000001</v>
      </c>
      <c r="AH52" s="2">
        <f t="shared" si="24"/>
        <v>0</v>
      </c>
      <c r="AI52" s="12">
        <f t="shared" si="11"/>
        <v>1105.3972800000001</v>
      </c>
      <c r="AJ52" s="12">
        <f t="shared" si="27"/>
        <v>30805.495035200001</v>
      </c>
      <c r="AK52" s="86">
        <f t="shared" si="12"/>
        <v>0.8666666666666667</v>
      </c>
      <c r="AL52" s="12">
        <f t="shared" si="25"/>
        <v>51969.218400000042</v>
      </c>
      <c r="AM52" s="124">
        <f t="shared" si="13"/>
        <v>7.7656238499925104E-2</v>
      </c>
      <c r="AN52" s="72"/>
      <c r="AO52" s="59">
        <v>49</v>
      </c>
      <c r="AP52" s="125">
        <f t="shared" si="14"/>
        <v>15075.805786096125</v>
      </c>
      <c r="AQ52" s="125">
        <f t="shared" si="26"/>
        <v>30805.495035200001</v>
      </c>
    </row>
    <row r="53" spans="7:43" x14ac:dyDescent="0.25">
      <c r="G53" s="9"/>
      <c r="H53" s="9"/>
      <c r="I53" s="9"/>
      <c r="S53" s="9" t="str">
        <f t="shared" si="29"/>
        <v/>
      </c>
      <c r="T53" s="59">
        <v>4</v>
      </c>
      <c r="U53" s="59">
        <v>2</v>
      </c>
      <c r="V53" s="3" t="s">
        <v>51</v>
      </c>
      <c r="W53" s="23">
        <f>'Análise Técnica'!$C$3</f>
        <v>750</v>
      </c>
      <c r="X53" s="23">
        <f t="shared" si="37"/>
        <v>930.32086820799327</v>
      </c>
      <c r="Y53" s="54">
        <f t="shared" si="19"/>
        <v>0</v>
      </c>
      <c r="Z53" s="54">
        <f t="shared" si="20"/>
        <v>180.32086820799327</v>
      </c>
      <c r="AA53" s="54">
        <f t="shared" si="7"/>
        <v>100</v>
      </c>
      <c r="AB53" s="54">
        <f t="shared" si="8"/>
        <v>0</v>
      </c>
      <c r="AC53" s="54">
        <f t="shared" si="21"/>
        <v>1251.0053253908789</v>
      </c>
      <c r="AD53" s="58">
        <f t="shared" si="22"/>
        <v>0</v>
      </c>
      <c r="AE53" s="2">
        <f t="shared" si="9"/>
        <v>1275.4584000000002</v>
      </c>
      <c r="AF53" s="2">
        <f t="shared" si="10"/>
        <v>170.06112000000005</v>
      </c>
      <c r="AG53" s="12">
        <f t="shared" si="23"/>
        <v>1105.3972800000001</v>
      </c>
      <c r="AH53" s="2">
        <f t="shared" si="24"/>
        <v>0</v>
      </c>
      <c r="AI53" s="12">
        <f t="shared" si="11"/>
        <v>1105.3972800000001</v>
      </c>
      <c r="AJ53" s="12">
        <f t="shared" si="27"/>
        <v>31910.892315200002</v>
      </c>
      <c r="AK53" s="86">
        <f t="shared" si="12"/>
        <v>0.8666666666666667</v>
      </c>
      <c r="AL53" s="12">
        <f t="shared" si="25"/>
        <v>53244.676800000045</v>
      </c>
      <c r="AM53" s="124">
        <f t="shared" si="13"/>
        <v>7.7656238499925104E-2</v>
      </c>
      <c r="AN53" s="72"/>
      <c r="AO53" s="59">
        <v>50</v>
      </c>
      <c r="AP53" s="125">
        <f t="shared" si="14"/>
        <v>15122.134367956733</v>
      </c>
      <c r="AQ53" s="125">
        <f t="shared" si="26"/>
        <v>31910.892315200002</v>
      </c>
    </row>
    <row r="54" spans="7:43" x14ac:dyDescent="0.25">
      <c r="G54" s="9"/>
      <c r="H54" s="9"/>
      <c r="I54" s="9"/>
      <c r="O54" s="9"/>
      <c r="P54" s="9"/>
      <c r="S54" s="9" t="str">
        <f t="shared" si="29"/>
        <v/>
      </c>
      <c r="T54" s="59">
        <v>4</v>
      </c>
      <c r="U54" s="59">
        <v>3</v>
      </c>
      <c r="V54" s="3" t="s">
        <v>52</v>
      </c>
      <c r="W54" s="23">
        <f>'Análise Técnica'!$C$3</f>
        <v>750</v>
      </c>
      <c r="X54" s="23">
        <f t="shared" si="37"/>
        <v>780.70549905874282</v>
      </c>
      <c r="Y54" s="54">
        <f t="shared" si="19"/>
        <v>0</v>
      </c>
      <c r="Z54" s="54">
        <f t="shared" si="20"/>
        <v>30.705499058742816</v>
      </c>
      <c r="AA54" s="54">
        <f t="shared" si="7"/>
        <v>100</v>
      </c>
      <c r="AB54" s="54">
        <f t="shared" si="8"/>
        <v>0</v>
      </c>
      <c r="AC54" s="54">
        <f t="shared" si="21"/>
        <v>1281.7108244496217</v>
      </c>
      <c r="AD54" s="58">
        <f t="shared" si="22"/>
        <v>0</v>
      </c>
      <c r="AE54" s="2">
        <f t="shared" si="9"/>
        <v>1275.4584000000002</v>
      </c>
      <c r="AF54" s="2">
        <f t="shared" si="10"/>
        <v>170.06112000000005</v>
      </c>
      <c r="AG54" s="12">
        <f t="shared" si="23"/>
        <v>1105.3972800000001</v>
      </c>
      <c r="AH54" s="2">
        <f t="shared" si="24"/>
        <v>0</v>
      </c>
      <c r="AI54" s="12">
        <f t="shared" si="11"/>
        <v>1105.3972800000001</v>
      </c>
      <c r="AJ54" s="12">
        <f t="shared" si="27"/>
        <v>33016.289595200004</v>
      </c>
      <c r="AK54" s="86">
        <f t="shared" si="12"/>
        <v>0.8666666666666667</v>
      </c>
      <c r="AL54" s="12">
        <f t="shared" si="25"/>
        <v>54520.135200000048</v>
      </c>
      <c r="AM54" s="124">
        <f t="shared" si="13"/>
        <v>7.7656238499925104E-2</v>
      </c>
      <c r="AN54" s="72"/>
      <c r="AO54" s="59">
        <v>51</v>
      </c>
      <c r="AP54" s="125">
        <f t="shared" si="14"/>
        <v>15168.594214132612</v>
      </c>
      <c r="AQ54" s="125">
        <f t="shared" si="26"/>
        <v>33016.289595200004</v>
      </c>
    </row>
    <row r="55" spans="7:43" x14ac:dyDescent="0.25">
      <c r="G55" s="9"/>
      <c r="H55" s="9"/>
      <c r="I55" s="9"/>
      <c r="S55" s="9" t="str">
        <f t="shared" si="29"/>
        <v/>
      </c>
      <c r="T55" s="59">
        <v>4</v>
      </c>
      <c r="U55" s="59">
        <v>4</v>
      </c>
      <c r="V55" s="3" t="s">
        <v>53</v>
      </c>
      <c r="W55" s="23">
        <f>'Análise Técnica'!$C$3</f>
        <v>750</v>
      </c>
      <c r="X55" s="23">
        <f t="shared" si="37"/>
        <v>692.3049485134502</v>
      </c>
      <c r="Y55" s="54">
        <f t="shared" si="19"/>
        <v>57.695051486549801</v>
      </c>
      <c r="Z55" s="54">
        <f t="shared" si="20"/>
        <v>0</v>
      </c>
      <c r="AA55" s="54">
        <f t="shared" si="7"/>
        <v>100</v>
      </c>
      <c r="AB55" s="54">
        <f t="shared" si="8"/>
        <v>0</v>
      </c>
      <c r="AC55" s="54">
        <f t="shared" si="21"/>
        <v>1281.7108244496217</v>
      </c>
      <c r="AD55" s="58">
        <f t="shared" si="22"/>
        <v>0</v>
      </c>
      <c r="AE55" s="2">
        <f t="shared" si="9"/>
        <v>1275.4584000000002</v>
      </c>
      <c r="AF55" s="2">
        <f t="shared" si="10"/>
        <v>170.06112000000005</v>
      </c>
      <c r="AG55" s="12">
        <f t="shared" si="23"/>
        <v>1105.3972800000001</v>
      </c>
      <c r="AH55" s="2">
        <f t="shared" si="24"/>
        <v>0</v>
      </c>
      <c r="AI55" s="12">
        <f t="shared" si="11"/>
        <v>1105.3972800000001</v>
      </c>
      <c r="AJ55" s="12">
        <f t="shared" si="27"/>
        <v>34121.686875200001</v>
      </c>
      <c r="AK55" s="86">
        <f t="shared" si="12"/>
        <v>0.8666666666666667</v>
      </c>
      <c r="AL55" s="12">
        <f t="shared" si="25"/>
        <v>55795.593600000051</v>
      </c>
      <c r="AM55" s="124">
        <f t="shared" si="13"/>
        <v>7.7656238499925104E-2</v>
      </c>
      <c r="AN55" s="72"/>
      <c r="AO55" s="59">
        <v>52</v>
      </c>
      <c r="AP55" s="125">
        <f t="shared" si="14"/>
        <v>15215.185696539316</v>
      </c>
      <c r="AQ55" s="125">
        <f t="shared" si="26"/>
        <v>34121.686875200001</v>
      </c>
    </row>
    <row r="56" spans="7:43" x14ac:dyDescent="0.25">
      <c r="G56" s="9"/>
      <c r="H56" s="9"/>
      <c r="I56" s="9"/>
      <c r="S56" s="9" t="str">
        <f t="shared" si="29"/>
        <v/>
      </c>
      <c r="T56" s="59">
        <v>4</v>
      </c>
      <c r="U56" s="59">
        <v>5</v>
      </c>
      <c r="V56" s="3" t="s">
        <v>54</v>
      </c>
      <c r="W56" s="23">
        <f>'Análise Técnica'!$C$3</f>
        <v>750</v>
      </c>
      <c r="X56" s="23">
        <f t="shared" si="37"/>
        <v>570.13518553545543</v>
      </c>
      <c r="Y56" s="54">
        <f t="shared" si="19"/>
        <v>179.86481446454457</v>
      </c>
      <c r="Z56" s="54">
        <f t="shared" si="20"/>
        <v>0</v>
      </c>
      <c r="AA56" s="54">
        <f t="shared" si="7"/>
        <v>100</v>
      </c>
      <c r="AB56" s="54">
        <f t="shared" si="8"/>
        <v>79.864814464544565</v>
      </c>
      <c r="AC56" s="54">
        <f t="shared" si="21"/>
        <v>1201.8460099850772</v>
      </c>
      <c r="AD56" s="58">
        <f t="shared" si="22"/>
        <v>0</v>
      </c>
      <c r="AE56" s="2">
        <f t="shared" si="9"/>
        <v>1275.4584000000002</v>
      </c>
      <c r="AF56" s="2">
        <f t="shared" si="10"/>
        <v>170.06112000000005</v>
      </c>
      <c r="AG56" s="12">
        <f t="shared" si="23"/>
        <v>1105.3972800000001</v>
      </c>
      <c r="AH56" s="2">
        <f t="shared" si="24"/>
        <v>0</v>
      </c>
      <c r="AI56" s="12">
        <f t="shared" si="11"/>
        <v>1105.3972800000001</v>
      </c>
      <c r="AJ56" s="12">
        <f t="shared" si="27"/>
        <v>35227.084155199998</v>
      </c>
      <c r="AK56" s="86">
        <f t="shared" si="12"/>
        <v>0.8666666666666667</v>
      </c>
      <c r="AL56" s="12">
        <f t="shared" si="25"/>
        <v>57071.052000000054</v>
      </c>
      <c r="AM56" s="124">
        <f t="shared" si="13"/>
        <v>7.7656238499925104E-2</v>
      </c>
      <c r="AN56" s="72"/>
      <c r="AO56" s="59">
        <v>53</v>
      </c>
      <c r="AP56" s="125">
        <f t="shared" si="14"/>
        <v>15261.909188146179</v>
      </c>
      <c r="AQ56" s="125">
        <f t="shared" si="26"/>
        <v>35227.084155199998</v>
      </c>
    </row>
    <row r="57" spans="7:43" x14ac:dyDescent="0.25">
      <c r="S57" s="9" t="str">
        <f t="shared" si="29"/>
        <v/>
      </c>
      <c r="T57" s="59">
        <v>4</v>
      </c>
      <c r="U57" s="59">
        <v>6</v>
      </c>
      <c r="V57" s="3" t="s">
        <v>55</v>
      </c>
      <c r="W57" s="23">
        <f>'Análise Técnica'!$C$3</f>
        <v>750</v>
      </c>
      <c r="X57" s="23">
        <f t="shared" si="37"/>
        <v>527.25593759824858</v>
      </c>
      <c r="Y57" s="54">
        <f t="shared" si="19"/>
        <v>222.74406240175142</v>
      </c>
      <c r="Z57" s="54">
        <f t="shared" si="20"/>
        <v>0</v>
      </c>
      <c r="AA57" s="54">
        <f t="shared" si="7"/>
        <v>100</v>
      </c>
      <c r="AB57" s="54">
        <f t="shared" si="8"/>
        <v>122.74406240175142</v>
      </c>
      <c r="AC57" s="54">
        <f t="shared" si="21"/>
        <v>1079.1019475833259</v>
      </c>
      <c r="AD57" s="58">
        <f t="shared" si="22"/>
        <v>0</v>
      </c>
      <c r="AE57" s="2">
        <f t="shared" si="9"/>
        <v>1275.4584000000002</v>
      </c>
      <c r="AF57" s="2">
        <f t="shared" si="10"/>
        <v>170.06112000000005</v>
      </c>
      <c r="AG57" s="12">
        <f t="shared" si="23"/>
        <v>1105.3972800000001</v>
      </c>
      <c r="AH57" s="2">
        <f t="shared" si="24"/>
        <v>0</v>
      </c>
      <c r="AI57" s="12">
        <f t="shared" si="11"/>
        <v>1105.3972800000001</v>
      </c>
      <c r="AJ57" s="12">
        <f t="shared" si="27"/>
        <v>36332.481435199996</v>
      </c>
      <c r="AK57" s="86">
        <f t="shared" si="12"/>
        <v>0.8666666666666667</v>
      </c>
      <c r="AL57" s="12">
        <f t="shared" si="25"/>
        <v>58346.510400000057</v>
      </c>
      <c r="AM57" s="124">
        <f t="shared" si="13"/>
        <v>7.7656238499925104E-2</v>
      </c>
      <c r="AN57" s="72"/>
      <c r="AO57" s="59">
        <v>54</v>
      </c>
      <c r="AP57" s="125">
        <f t="shared" si="14"/>
        <v>15308.765062979259</v>
      </c>
      <c r="AQ57" s="125">
        <f t="shared" si="26"/>
        <v>36332.481435199996</v>
      </c>
    </row>
    <row r="58" spans="7:43" x14ac:dyDescent="0.25">
      <c r="S58" s="9" t="str">
        <f t="shared" si="29"/>
        <v/>
      </c>
      <c r="T58" s="59">
        <v>4</v>
      </c>
      <c r="U58" s="59">
        <v>7</v>
      </c>
      <c r="V58" s="3" t="s">
        <v>56</v>
      </c>
      <c r="W58" s="23">
        <f>'Análise Técnica'!$C$3</f>
        <v>750</v>
      </c>
      <c r="X58" s="23">
        <f t="shared" si="37"/>
        <v>527.18375031215885</v>
      </c>
      <c r="Y58" s="54">
        <f t="shared" si="19"/>
        <v>222.81624968784115</v>
      </c>
      <c r="Z58" s="54">
        <f t="shared" si="20"/>
        <v>0</v>
      </c>
      <c r="AA58" s="54">
        <f t="shared" si="7"/>
        <v>100</v>
      </c>
      <c r="AB58" s="54">
        <f t="shared" si="8"/>
        <v>122.81624968784115</v>
      </c>
      <c r="AC58" s="54">
        <f t="shared" si="21"/>
        <v>956.28569789548476</v>
      </c>
      <c r="AD58" s="58">
        <f t="shared" si="22"/>
        <v>0</v>
      </c>
      <c r="AE58" s="2">
        <f t="shared" si="9"/>
        <v>1275.4584000000002</v>
      </c>
      <c r="AF58" s="2">
        <f t="shared" si="10"/>
        <v>170.06112000000005</v>
      </c>
      <c r="AG58" s="12">
        <f t="shared" si="23"/>
        <v>1105.3972800000001</v>
      </c>
      <c r="AH58" s="2">
        <f t="shared" si="24"/>
        <v>0</v>
      </c>
      <c r="AI58" s="12">
        <f t="shared" si="11"/>
        <v>1105.3972800000001</v>
      </c>
      <c r="AJ58" s="12">
        <f t="shared" si="27"/>
        <v>37437.878715199993</v>
      </c>
      <c r="AK58" s="86">
        <f t="shared" si="12"/>
        <v>0.8666666666666667</v>
      </c>
      <c r="AL58" s="12">
        <f t="shared" si="25"/>
        <v>59621.968800000061</v>
      </c>
      <c r="AM58" s="124">
        <f t="shared" si="13"/>
        <v>7.7656238499925104E-2</v>
      </c>
      <c r="AN58" s="72"/>
      <c r="AO58" s="59">
        <v>55</v>
      </c>
      <c r="AP58" s="125">
        <f t="shared" si="14"/>
        <v>15355.753696124368</v>
      </c>
      <c r="AQ58" s="125">
        <f t="shared" si="26"/>
        <v>37437.878715199993</v>
      </c>
    </row>
    <row r="59" spans="7:43" x14ac:dyDescent="0.25">
      <c r="O59" s="9"/>
      <c r="S59" s="9" t="str">
        <f t="shared" si="29"/>
        <v/>
      </c>
      <c r="T59" s="59">
        <v>4</v>
      </c>
      <c r="U59" s="59">
        <v>8</v>
      </c>
      <c r="V59" s="3" t="s">
        <v>57</v>
      </c>
      <c r="W59" s="23">
        <f>'Análise Técnica'!$C$3</f>
        <v>750</v>
      </c>
      <c r="X59" s="23">
        <f t="shared" si="37"/>
        <v>651.90894321772464</v>
      </c>
      <c r="Y59" s="54">
        <f t="shared" si="19"/>
        <v>98.091056782275359</v>
      </c>
      <c r="Z59" s="54">
        <f t="shared" si="20"/>
        <v>0</v>
      </c>
      <c r="AA59" s="54">
        <f t="shared" si="7"/>
        <v>100</v>
      </c>
      <c r="AB59" s="54">
        <f t="shared" si="8"/>
        <v>0</v>
      </c>
      <c r="AC59" s="54">
        <f t="shared" si="21"/>
        <v>956.28569789548476</v>
      </c>
      <c r="AD59" s="58">
        <f t="shared" si="22"/>
        <v>0</v>
      </c>
      <c r="AE59" s="2">
        <f t="shared" si="9"/>
        <v>1275.4584000000002</v>
      </c>
      <c r="AF59" s="2">
        <f t="shared" si="10"/>
        <v>170.06112000000005</v>
      </c>
      <c r="AG59" s="12">
        <f t="shared" si="23"/>
        <v>1105.3972800000001</v>
      </c>
      <c r="AH59" s="2">
        <f t="shared" si="24"/>
        <v>0</v>
      </c>
      <c r="AI59" s="12">
        <f t="shared" si="11"/>
        <v>1105.3972800000001</v>
      </c>
      <c r="AJ59" s="12">
        <f t="shared" si="27"/>
        <v>38543.275995199991</v>
      </c>
      <c r="AK59" s="86">
        <f t="shared" si="12"/>
        <v>0.8666666666666667</v>
      </c>
      <c r="AL59" s="12">
        <f t="shared" si="25"/>
        <v>60897.427200000064</v>
      </c>
      <c r="AM59" s="124">
        <f t="shared" si="13"/>
        <v>7.7656238499925104E-2</v>
      </c>
      <c r="AN59" s="72"/>
      <c r="AO59" s="59">
        <v>56</v>
      </c>
      <c r="AP59" s="125">
        <f t="shared" si="14"/>
        <v>15402.875463730055</v>
      </c>
      <c r="AQ59" s="125">
        <f t="shared" si="26"/>
        <v>38543.275995199991</v>
      </c>
    </row>
    <row r="60" spans="7:43" x14ac:dyDescent="0.25">
      <c r="S60" s="9" t="str">
        <f t="shared" ref="S60:S122" si="39">IF(AND(AJ60&gt;0,AJ59&lt;0),"Payback","")</f>
        <v/>
      </c>
      <c r="T60" s="59">
        <v>4</v>
      </c>
      <c r="U60" s="59">
        <v>9</v>
      </c>
      <c r="V60" s="3" t="s">
        <v>58</v>
      </c>
      <c r="W60" s="23">
        <f>'Análise Técnica'!$C$3</f>
        <v>750</v>
      </c>
      <c r="X60" s="23">
        <f t="shared" si="37"/>
        <v>662.15953784244425</v>
      </c>
      <c r="Y60" s="54">
        <f t="shared" si="19"/>
        <v>87.840462157555748</v>
      </c>
      <c r="Z60" s="54">
        <f t="shared" si="20"/>
        <v>0</v>
      </c>
      <c r="AA60" s="54">
        <f t="shared" si="7"/>
        <v>100</v>
      </c>
      <c r="AB60" s="54">
        <f t="shared" si="8"/>
        <v>0</v>
      </c>
      <c r="AC60" s="54">
        <f t="shared" si="21"/>
        <v>956.28569789548476</v>
      </c>
      <c r="AD60" s="58">
        <f t="shared" si="22"/>
        <v>0</v>
      </c>
      <c r="AE60" s="2">
        <f t="shared" si="9"/>
        <v>1275.4584000000002</v>
      </c>
      <c r="AF60" s="2">
        <f t="shared" si="10"/>
        <v>170.06112000000005</v>
      </c>
      <c r="AG60" s="12">
        <f t="shared" si="23"/>
        <v>1105.3972800000001</v>
      </c>
      <c r="AH60" s="2">
        <f t="shared" si="24"/>
        <v>0</v>
      </c>
      <c r="AI60" s="12">
        <f t="shared" si="11"/>
        <v>1105.3972800000001</v>
      </c>
      <c r="AJ60" s="12">
        <f t="shared" si="27"/>
        <v>39648.673275199988</v>
      </c>
      <c r="AK60" s="86">
        <f t="shared" si="12"/>
        <v>0.8666666666666667</v>
      </c>
      <c r="AL60" s="12">
        <f t="shared" si="25"/>
        <v>62172.885600000067</v>
      </c>
      <c r="AM60" s="124">
        <f t="shared" si="13"/>
        <v>7.7656238499925104E-2</v>
      </c>
      <c r="AN60" s="72"/>
      <c r="AO60" s="59">
        <v>57</v>
      </c>
      <c r="AP60" s="125">
        <f t="shared" si="14"/>
        <v>15450.130743010621</v>
      </c>
      <c r="AQ60" s="125">
        <f t="shared" si="26"/>
        <v>39648.673275199988</v>
      </c>
    </row>
    <row r="61" spans="7:43" x14ac:dyDescent="0.25">
      <c r="S61" s="9" t="str">
        <f t="shared" si="39"/>
        <v/>
      </c>
      <c r="T61" s="59">
        <v>4</v>
      </c>
      <c r="U61" s="59">
        <v>10</v>
      </c>
      <c r="V61" s="3" t="s">
        <v>59</v>
      </c>
      <c r="W61" s="23">
        <f>'Análise Técnica'!$C$3</f>
        <v>750</v>
      </c>
      <c r="X61" s="23">
        <f t="shared" si="37"/>
        <v>740.75705493677231</v>
      </c>
      <c r="Y61" s="54">
        <f t="shared" si="19"/>
        <v>9.2429450632276939</v>
      </c>
      <c r="Z61" s="54">
        <f t="shared" si="20"/>
        <v>0</v>
      </c>
      <c r="AA61" s="54">
        <f t="shared" si="7"/>
        <v>100</v>
      </c>
      <c r="AB61" s="54">
        <f t="shared" si="8"/>
        <v>0</v>
      </c>
      <c r="AC61" s="54">
        <f t="shared" si="21"/>
        <v>956.28569789548476</v>
      </c>
      <c r="AD61" s="58">
        <f t="shared" si="22"/>
        <v>0</v>
      </c>
      <c r="AE61" s="2">
        <f t="shared" si="9"/>
        <v>1275.4584000000002</v>
      </c>
      <c r="AF61" s="2">
        <f t="shared" si="10"/>
        <v>170.06112000000005</v>
      </c>
      <c r="AG61" s="12">
        <f t="shared" si="23"/>
        <v>1105.3972800000001</v>
      </c>
      <c r="AH61" s="2">
        <f t="shared" si="24"/>
        <v>0</v>
      </c>
      <c r="AI61" s="12">
        <f t="shared" si="11"/>
        <v>1105.3972800000001</v>
      </c>
      <c r="AJ61" s="12">
        <f t="shared" si="27"/>
        <v>40754.070555199985</v>
      </c>
      <c r="AK61" s="86">
        <f t="shared" si="12"/>
        <v>0.8666666666666667</v>
      </c>
      <c r="AL61" s="12">
        <f t="shared" si="25"/>
        <v>63448.34400000007</v>
      </c>
      <c r="AM61" s="124">
        <f t="shared" si="13"/>
        <v>7.7656238499925104E-2</v>
      </c>
      <c r="AN61" s="72"/>
      <c r="AO61" s="59">
        <v>58</v>
      </c>
      <c r="AP61" s="125">
        <f t="shared" si="14"/>
        <v>15497.51991224915</v>
      </c>
      <c r="AQ61" s="125">
        <f t="shared" si="26"/>
        <v>40754.070555199985</v>
      </c>
    </row>
    <row r="62" spans="7:43" x14ac:dyDescent="0.25">
      <c r="S62" s="9" t="str">
        <f t="shared" si="39"/>
        <v/>
      </c>
      <c r="T62" s="59">
        <v>4</v>
      </c>
      <c r="U62" s="59">
        <v>11</v>
      </c>
      <c r="V62" s="3" t="s">
        <v>60</v>
      </c>
      <c r="W62" s="23">
        <f>'Análise Técnica'!$C$3</f>
        <v>750</v>
      </c>
      <c r="X62" s="23">
        <f t="shared" si="37"/>
        <v>746.09891410740079</v>
      </c>
      <c r="Y62" s="54">
        <f t="shared" si="19"/>
        <v>3.9010858925992125</v>
      </c>
      <c r="Z62" s="54">
        <f t="shared" si="20"/>
        <v>0</v>
      </c>
      <c r="AA62" s="54">
        <f t="shared" si="7"/>
        <v>100</v>
      </c>
      <c r="AB62" s="54">
        <f t="shared" si="8"/>
        <v>0</v>
      </c>
      <c r="AC62" s="54">
        <f t="shared" si="21"/>
        <v>956.28569789548476</v>
      </c>
      <c r="AD62" s="58">
        <f t="shared" si="22"/>
        <v>0</v>
      </c>
      <c r="AE62" s="2">
        <f t="shared" si="9"/>
        <v>1275.4584000000002</v>
      </c>
      <c r="AF62" s="2">
        <f t="shared" si="10"/>
        <v>170.06112000000005</v>
      </c>
      <c r="AG62" s="12">
        <f t="shared" si="23"/>
        <v>1105.3972800000001</v>
      </c>
      <c r="AH62" s="2">
        <f t="shared" si="24"/>
        <v>0</v>
      </c>
      <c r="AI62" s="12">
        <f t="shared" si="11"/>
        <v>1105.3972800000001</v>
      </c>
      <c r="AJ62" s="12">
        <f t="shared" si="27"/>
        <v>41859.467835199983</v>
      </c>
      <c r="AK62" s="86">
        <f t="shared" si="12"/>
        <v>0.8666666666666667</v>
      </c>
      <c r="AL62" s="12">
        <f t="shared" si="25"/>
        <v>64723.802400000073</v>
      </c>
      <c r="AM62" s="124">
        <f t="shared" si="13"/>
        <v>7.7656238499925104E-2</v>
      </c>
      <c r="AN62" s="72"/>
      <c r="AO62" s="59">
        <v>59</v>
      </c>
      <c r="AP62" s="125">
        <f t="shared" si="14"/>
        <v>15545.043350800519</v>
      </c>
      <c r="AQ62" s="125">
        <f t="shared" si="26"/>
        <v>41859.467835199983</v>
      </c>
    </row>
    <row r="63" spans="7:43" x14ac:dyDescent="0.25">
      <c r="S63" s="9" t="str">
        <f t="shared" si="39"/>
        <v/>
      </c>
      <c r="T63" s="59">
        <v>4</v>
      </c>
      <c r="U63" s="59">
        <v>12</v>
      </c>
      <c r="V63" s="3" t="s">
        <v>61</v>
      </c>
      <c r="W63" s="23">
        <f>'Análise Técnica'!$C$3</f>
        <v>750</v>
      </c>
      <c r="X63" s="23">
        <f t="shared" si="37"/>
        <v>855.99683845016807</v>
      </c>
      <c r="Y63" s="54">
        <f t="shared" si="19"/>
        <v>0</v>
      </c>
      <c r="Z63" s="54">
        <f t="shared" si="20"/>
        <v>105.99683845016807</v>
      </c>
      <c r="AA63" s="54">
        <f t="shared" si="7"/>
        <v>100</v>
      </c>
      <c r="AB63" s="54">
        <f t="shared" si="8"/>
        <v>0</v>
      </c>
      <c r="AC63" s="54">
        <f t="shared" si="21"/>
        <v>1062.2825363456527</v>
      </c>
      <c r="AD63" s="58">
        <f t="shared" si="22"/>
        <v>0</v>
      </c>
      <c r="AE63" s="2">
        <f t="shared" si="9"/>
        <v>1275.4584000000002</v>
      </c>
      <c r="AF63" s="2">
        <f t="shared" si="10"/>
        <v>170.06112000000005</v>
      </c>
      <c r="AG63" s="12">
        <f t="shared" si="23"/>
        <v>1105.3972800000001</v>
      </c>
      <c r="AH63" s="2">
        <f t="shared" si="24"/>
        <v>0</v>
      </c>
      <c r="AI63" s="12">
        <f t="shared" si="11"/>
        <v>1105.3972800000001</v>
      </c>
      <c r="AJ63" s="12">
        <f t="shared" si="27"/>
        <v>42964.86511519998</v>
      </c>
      <c r="AK63" s="86">
        <f t="shared" si="12"/>
        <v>0.8666666666666667</v>
      </c>
      <c r="AL63" s="12">
        <f t="shared" si="25"/>
        <v>65999.260800000076</v>
      </c>
      <c r="AM63" s="124">
        <f t="shared" si="13"/>
        <v>7.7656238499925104E-2</v>
      </c>
      <c r="AN63" s="72"/>
      <c r="AO63" s="59">
        <v>60</v>
      </c>
      <c r="AP63" s="125">
        <f t="shared" si="14"/>
        <v>15592.701439094453</v>
      </c>
      <c r="AQ63" s="125">
        <f t="shared" si="26"/>
        <v>42964.86511519998</v>
      </c>
    </row>
    <row r="64" spans="7:43" x14ac:dyDescent="0.25">
      <c r="S64" s="9" t="str">
        <f t="shared" si="39"/>
        <v/>
      </c>
      <c r="T64" s="59">
        <v>5</v>
      </c>
      <c r="U64" s="59">
        <v>1</v>
      </c>
      <c r="V64" s="3" t="s">
        <v>50</v>
      </c>
      <c r="W64" s="23">
        <f>'Análise Técnica'!$C$3</f>
        <v>750</v>
      </c>
      <c r="X64" s="23">
        <f t="shared" si="37"/>
        <v>877.1293199539175</v>
      </c>
      <c r="Y64" s="54">
        <f t="shared" si="19"/>
        <v>0</v>
      </c>
      <c r="Z64" s="54">
        <f t="shared" si="20"/>
        <v>127.1293199539175</v>
      </c>
      <c r="AA64" s="54">
        <f t="shared" si="7"/>
        <v>100</v>
      </c>
      <c r="AB64" s="54">
        <f t="shared" si="8"/>
        <v>0</v>
      </c>
      <c r="AC64" s="54">
        <f t="shared" si="21"/>
        <v>1189.4118562995702</v>
      </c>
      <c r="AD64" s="58">
        <f t="shared" si="22"/>
        <v>0</v>
      </c>
      <c r="AE64" s="2">
        <f t="shared" si="9"/>
        <v>1377.4950720000004</v>
      </c>
      <c r="AF64" s="2">
        <f t="shared" si="10"/>
        <v>183.66600960000005</v>
      </c>
      <c r="AG64" s="12">
        <f t="shared" si="23"/>
        <v>1193.8290624000003</v>
      </c>
      <c r="AH64" s="2">
        <f t="shared" si="24"/>
        <v>0</v>
      </c>
      <c r="AI64" s="12">
        <f t="shared" si="11"/>
        <v>1193.8290624000003</v>
      </c>
      <c r="AJ64" s="12">
        <f t="shared" si="27"/>
        <v>44158.69417759998</v>
      </c>
      <c r="AK64" s="86">
        <f t="shared" si="12"/>
        <v>0.8666666666666667</v>
      </c>
      <c r="AL64" s="12">
        <f t="shared" si="25"/>
        <v>67376.755872000082</v>
      </c>
      <c r="AM64" s="124">
        <f t="shared" si="13"/>
        <v>8.3868737579919125E-2</v>
      </c>
      <c r="AN64" s="72"/>
      <c r="AO64" s="59">
        <v>61</v>
      </c>
      <c r="AP64" s="125">
        <f t="shared" si="14"/>
        <v>15538.457886638555</v>
      </c>
      <c r="AQ64" s="125">
        <f t="shared" si="26"/>
        <v>44158.69417759998</v>
      </c>
    </row>
    <row r="65" spans="19:43" x14ac:dyDescent="0.25">
      <c r="S65" s="9" t="str">
        <f t="shared" si="39"/>
        <v/>
      </c>
      <c r="T65" s="59">
        <v>5</v>
      </c>
      <c r="U65" s="59">
        <v>2</v>
      </c>
      <c r="V65" s="3" t="s">
        <v>51</v>
      </c>
      <c r="W65" s="23">
        <f>'Análise Técnica'!$C$3</f>
        <v>750</v>
      </c>
      <c r="X65" s="23">
        <f t="shared" si="37"/>
        <v>923.80862213053729</v>
      </c>
      <c r="Y65" s="54">
        <f t="shared" si="19"/>
        <v>0</v>
      </c>
      <c r="Z65" s="54">
        <f t="shared" si="20"/>
        <v>173.80862213053729</v>
      </c>
      <c r="AA65" s="54">
        <f t="shared" si="7"/>
        <v>100</v>
      </c>
      <c r="AB65" s="54">
        <f t="shared" si="8"/>
        <v>0</v>
      </c>
      <c r="AC65" s="54">
        <f t="shared" si="21"/>
        <v>1363.2204784301075</v>
      </c>
      <c r="AD65" s="58">
        <f t="shared" si="22"/>
        <v>0</v>
      </c>
      <c r="AE65" s="2">
        <f t="shared" si="9"/>
        <v>1377.4950720000004</v>
      </c>
      <c r="AF65" s="2">
        <f t="shared" si="10"/>
        <v>183.66600960000005</v>
      </c>
      <c r="AG65" s="12">
        <f t="shared" si="23"/>
        <v>1193.8290624000003</v>
      </c>
      <c r="AH65" s="2">
        <f t="shared" si="24"/>
        <v>0</v>
      </c>
      <c r="AI65" s="12">
        <f t="shared" si="11"/>
        <v>1193.8290624000003</v>
      </c>
      <c r="AJ65" s="12">
        <f t="shared" si="27"/>
        <v>45352.52323999998</v>
      </c>
      <c r="AK65" s="86">
        <f t="shared" si="12"/>
        <v>0.8666666666666667</v>
      </c>
      <c r="AL65" s="12">
        <f t="shared" si="25"/>
        <v>68754.250944000087</v>
      </c>
      <c r="AM65" s="124">
        <f t="shared" si="13"/>
        <v>8.3868737579919125E-2</v>
      </c>
      <c r="AN65" s="72"/>
      <c r="AO65" s="59">
        <v>62</v>
      </c>
      <c r="AP65" s="125">
        <f t="shared" si="14"/>
        <v>15586.386420021363</v>
      </c>
      <c r="AQ65" s="125">
        <f t="shared" si="26"/>
        <v>45352.52323999998</v>
      </c>
    </row>
    <row r="66" spans="19:43" x14ac:dyDescent="0.25">
      <c r="S66" s="9" t="str">
        <f t="shared" si="39"/>
        <v/>
      </c>
      <c r="T66" s="59">
        <v>5</v>
      </c>
      <c r="U66" s="59">
        <v>3</v>
      </c>
      <c r="V66" s="3" t="s">
        <v>52</v>
      </c>
      <c r="W66" s="23">
        <f>'Análise Técnica'!$C$3</f>
        <v>750</v>
      </c>
      <c r="X66" s="23">
        <f t="shared" si="37"/>
        <v>775.24056056533163</v>
      </c>
      <c r="Y66" s="54">
        <f t="shared" si="19"/>
        <v>0</v>
      </c>
      <c r="Z66" s="54">
        <f t="shared" si="20"/>
        <v>25.240560565331634</v>
      </c>
      <c r="AA66" s="54">
        <f t="shared" si="7"/>
        <v>100</v>
      </c>
      <c r="AB66" s="54">
        <f t="shared" si="8"/>
        <v>0</v>
      </c>
      <c r="AC66" s="54">
        <f t="shared" si="21"/>
        <v>1388.4610389954391</v>
      </c>
      <c r="AD66" s="58">
        <f t="shared" si="22"/>
        <v>0</v>
      </c>
      <c r="AE66" s="2">
        <f t="shared" si="9"/>
        <v>1377.4950720000004</v>
      </c>
      <c r="AF66" s="2">
        <f t="shared" si="10"/>
        <v>183.66600960000005</v>
      </c>
      <c r="AG66" s="12">
        <f t="shared" si="23"/>
        <v>1193.8290624000003</v>
      </c>
      <c r="AH66" s="2">
        <f t="shared" si="24"/>
        <v>0</v>
      </c>
      <c r="AI66" s="12">
        <f t="shared" si="11"/>
        <v>1193.8290624000003</v>
      </c>
      <c r="AJ66" s="12">
        <f t="shared" si="27"/>
        <v>46546.352302399981</v>
      </c>
      <c r="AK66" s="86">
        <f t="shared" si="12"/>
        <v>0.8666666666666667</v>
      </c>
      <c r="AL66" s="12">
        <f t="shared" si="25"/>
        <v>70131.746016000092</v>
      </c>
      <c r="AM66" s="124">
        <f t="shared" si="13"/>
        <v>8.3868737579919125E-2</v>
      </c>
      <c r="AN66" s="72"/>
      <c r="AO66" s="59">
        <v>63</v>
      </c>
      <c r="AP66" s="125">
        <f t="shared" si="14"/>
        <v>15634.450750915423</v>
      </c>
      <c r="AQ66" s="125">
        <f t="shared" si="26"/>
        <v>46546.352302399981</v>
      </c>
    </row>
    <row r="67" spans="19:43" x14ac:dyDescent="0.25">
      <c r="S67" s="9" t="str">
        <f t="shared" si="39"/>
        <v/>
      </c>
      <c r="T67" s="59">
        <v>5</v>
      </c>
      <c r="U67" s="59">
        <v>4</v>
      </c>
      <c r="V67" s="3" t="s">
        <v>53</v>
      </c>
      <c r="W67" s="23">
        <f>'Análise Técnica'!$C$3</f>
        <v>750</v>
      </c>
      <c r="X67" s="23">
        <f t="shared" si="37"/>
        <v>687.458813873856</v>
      </c>
      <c r="Y67" s="54">
        <f t="shared" si="19"/>
        <v>62.541186126143998</v>
      </c>
      <c r="Z67" s="54">
        <f t="shared" si="20"/>
        <v>0</v>
      </c>
      <c r="AA67" s="54">
        <f t="shared" si="7"/>
        <v>100</v>
      </c>
      <c r="AB67" s="54">
        <f t="shared" si="8"/>
        <v>0</v>
      </c>
      <c r="AC67" s="54">
        <f t="shared" si="21"/>
        <v>1388.4610389954391</v>
      </c>
      <c r="AD67" s="58">
        <f t="shared" si="22"/>
        <v>0</v>
      </c>
      <c r="AE67" s="2">
        <f t="shared" si="9"/>
        <v>1377.4950720000004</v>
      </c>
      <c r="AF67" s="2">
        <f t="shared" si="10"/>
        <v>183.66600960000005</v>
      </c>
      <c r="AG67" s="12">
        <f t="shared" si="23"/>
        <v>1193.8290624000003</v>
      </c>
      <c r="AH67" s="2">
        <f t="shared" si="24"/>
        <v>0</v>
      </c>
      <c r="AI67" s="12">
        <f t="shared" si="11"/>
        <v>1193.8290624000003</v>
      </c>
      <c r="AJ67" s="12">
        <f t="shared" si="27"/>
        <v>47740.181364799981</v>
      </c>
      <c r="AK67" s="86">
        <f t="shared" si="12"/>
        <v>0.8666666666666667</v>
      </c>
      <c r="AL67" s="12">
        <f t="shared" si="25"/>
        <v>71509.241088000097</v>
      </c>
      <c r="AM67" s="124">
        <f t="shared" si="13"/>
        <v>8.3868737579919125E-2</v>
      </c>
      <c r="AN67" s="72"/>
      <c r="AO67" s="59">
        <v>64</v>
      </c>
      <c r="AP67" s="125">
        <f t="shared" si="14"/>
        <v>15682.65126408035</v>
      </c>
      <c r="AQ67" s="125">
        <f t="shared" si="26"/>
        <v>47740.181364799981</v>
      </c>
    </row>
    <row r="68" spans="19:43" x14ac:dyDescent="0.25">
      <c r="S68" s="9" t="str">
        <f t="shared" si="39"/>
        <v/>
      </c>
      <c r="T68" s="59">
        <v>5</v>
      </c>
      <c r="U68" s="59">
        <v>5</v>
      </c>
      <c r="V68" s="3" t="s">
        <v>54</v>
      </c>
      <c r="W68" s="23">
        <f>'Análise Técnica'!$C$3</f>
        <v>750</v>
      </c>
      <c r="X68" s="23">
        <f t="shared" si="37"/>
        <v>566.14423923670722</v>
      </c>
      <c r="Y68" s="54">
        <f t="shared" si="19"/>
        <v>183.85576076329278</v>
      </c>
      <c r="Z68" s="54">
        <f t="shared" si="20"/>
        <v>0</v>
      </c>
      <c r="AA68" s="54">
        <f t="shared" ref="AA68:AA131" si="40">$C$7</f>
        <v>100</v>
      </c>
      <c r="AB68" s="54">
        <f t="shared" ref="AB68:AB131" si="41">IF(Y68-$C$7&gt;0,Y68-$C$7,0)</f>
        <v>83.855760763292778</v>
      </c>
      <c r="AC68" s="54">
        <f t="shared" si="21"/>
        <v>1304.6052782321462</v>
      </c>
      <c r="AD68" s="58">
        <f t="shared" si="22"/>
        <v>0</v>
      </c>
      <c r="AE68" s="2">
        <f t="shared" ref="AE68:AE131" si="42">($C$10*(1+$C$30)^T68)</f>
        <v>1377.4950720000004</v>
      </c>
      <c r="AF68" s="2">
        <f t="shared" ref="AF68:AF131" si="43">IF(Z68&gt;0,((AA68*$C$8)*((1+$C$30)^T68)),((AA68+AD68)*$C$8)*(1+$C$30)^T68)</f>
        <v>183.66600960000005</v>
      </c>
      <c r="AG68" s="12">
        <f t="shared" si="23"/>
        <v>1193.8290624000003</v>
      </c>
      <c r="AH68" s="2">
        <f t="shared" si="24"/>
        <v>0</v>
      </c>
      <c r="AI68" s="12">
        <f t="shared" ref="AI68:AI131" si="44">AG68-AH68</f>
        <v>1193.8290624000003</v>
      </c>
      <c r="AJ68" s="12">
        <f t="shared" si="27"/>
        <v>48934.010427199981</v>
      </c>
      <c r="AK68" s="86">
        <f t="shared" ref="AK68:AK131" si="45">1-(AF68/AE68)</f>
        <v>0.8666666666666667</v>
      </c>
      <c r="AL68" s="12">
        <f t="shared" si="25"/>
        <v>72886.736160000102</v>
      </c>
      <c r="AM68" s="124">
        <f t="shared" ref="AM68:AM131" si="46">AG68/$C$4</f>
        <v>8.3868737579919125E-2</v>
      </c>
      <c r="AN68" s="72"/>
      <c r="AO68" s="59">
        <v>65</v>
      </c>
      <c r="AP68" s="125">
        <f t="shared" ref="AP68:AP131" si="47">($C$4*(1+($C$36-$C$39))^AO68)-AE68</f>
        <v>15730.988345365908</v>
      </c>
      <c r="AQ68" s="125">
        <f t="shared" si="26"/>
        <v>48934.010427199981</v>
      </c>
    </row>
    <row r="69" spans="19:43" x14ac:dyDescent="0.25">
      <c r="S69" s="9" t="str">
        <f t="shared" si="39"/>
        <v/>
      </c>
      <c r="T69" s="59">
        <v>5</v>
      </c>
      <c r="U69" s="59">
        <v>6</v>
      </c>
      <c r="V69" s="3" t="s">
        <v>55</v>
      </c>
      <c r="W69" s="23">
        <f>'Análise Técnica'!$C$3</f>
        <v>750</v>
      </c>
      <c r="X69" s="23">
        <f t="shared" si="37"/>
        <v>523.56514603506082</v>
      </c>
      <c r="Y69" s="54">
        <f t="shared" ref="Y69:Y123" si="48">IF(X69-W69&lt;0,W69-X69,0)</f>
        <v>226.43485396493918</v>
      </c>
      <c r="Z69" s="54">
        <f t="shared" ref="Z69:Z123" si="49">IF(X69-W69&gt;0,X69-W69,0)</f>
        <v>0</v>
      </c>
      <c r="AA69" s="54">
        <f t="shared" si="40"/>
        <v>100</v>
      </c>
      <c r="AB69" s="54">
        <f t="shared" si="41"/>
        <v>126.43485396493918</v>
      </c>
      <c r="AC69" s="54">
        <f t="shared" ref="AC69:AC132" si="50">IF(AC68-(Y69-$C$7)&gt;0,IF(Y69&gt;0,IF(Y69&lt;$C$7,AC68,AC68-(Y69-$C$7)),Z69+AC68),0)</f>
        <v>1178.1704242672072</v>
      </c>
      <c r="AD69" s="58">
        <f t="shared" ref="AD69:AD132" si="51">IF(AB69-AC68&lt;0,0,AB69-AC68)</f>
        <v>0</v>
      </c>
      <c r="AE69" s="2">
        <f t="shared" si="42"/>
        <v>1377.4950720000004</v>
      </c>
      <c r="AF69" s="2">
        <f t="shared" si="43"/>
        <v>183.66600960000005</v>
      </c>
      <c r="AG69" s="12">
        <f t="shared" ref="AG69:AG132" si="52">AE69-AF69</f>
        <v>1193.8290624000003</v>
      </c>
      <c r="AH69" s="2">
        <f t="shared" ref="AH69:AH132" si="53">$C$28/12*($C$4*((1+$C$29)^T69))+IF($C$31=T69,$C$33/12,0)</f>
        <v>0</v>
      </c>
      <c r="AI69" s="12">
        <f t="shared" si="44"/>
        <v>1193.8290624000003</v>
      </c>
      <c r="AJ69" s="12">
        <f t="shared" si="27"/>
        <v>50127.839489599981</v>
      </c>
      <c r="AK69" s="86">
        <f t="shared" si="45"/>
        <v>0.8666666666666667</v>
      </c>
      <c r="AL69" s="12">
        <f t="shared" ref="AL69:AL132" si="54">AL68+AE69</f>
        <v>74264.231232000107</v>
      </c>
      <c r="AM69" s="124">
        <f t="shared" si="46"/>
        <v>8.3868737579919125E-2</v>
      </c>
      <c r="AN69" s="72"/>
      <c r="AO69" s="59">
        <v>66</v>
      </c>
      <c r="AP69" s="125">
        <f t="shared" si="47"/>
        <v>15779.462381715113</v>
      </c>
      <c r="AQ69" s="125">
        <f t="shared" ref="AQ69:AQ132" si="55">AJ69</f>
        <v>50127.839489599981</v>
      </c>
    </row>
    <row r="70" spans="19:43" x14ac:dyDescent="0.25">
      <c r="S70" s="9" t="str">
        <f t="shared" si="39"/>
        <v/>
      </c>
      <c r="T70" s="59">
        <v>5</v>
      </c>
      <c r="U70" s="59">
        <v>7</v>
      </c>
      <c r="V70" s="3" t="s">
        <v>56</v>
      </c>
      <c r="W70" s="23">
        <f>'Análise Técnica'!$C$3</f>
        <v>750</v>
      </c>
      <c r="X70" s="23">
        <f t="shared" si="37"/>
        <v>523.49346405997369</v>
      </c>
      <c r="Y70" s="54">
        <f t="shared" si="48"/>
        <v>226.50653594002631</v>
      </c>
      <c r="Z70" s="54">
        <f t="shared" si="49"/>
        <v>0</v>
      </c>
      <c r="AA70" s="54">
        <f t="shared" si="40"/>
        <v>100</v>
      </c>
      <c r="AB70" s="54">
        <f t="shared" si="41"/>
        <v>126.50653594002631</v>
      </c>
      <c r="AC70" s="54">
        <f t="shared" si="50"/>
        <v>1051.6638883271808</v>
      </c>
      <c r="AD70" s="58">
        <f t="shared" si="51"/>
        <v>0</v>
      </c>
      <c r="AE70" s="2">
        <f t="shared" si="42"/>
        <v>1377.4950720000004</v>
      </c>
      <c r="AF70" s="2">
        <f t="shared" si="43"/>
        <v>183.66600960000005</v>
      </c>
      <c r="AG70" s="12">
        <f t="shared" si="52"/>
        <v>1193.8290624000003</v>
      </c>
      <c r="AH70" s="2">
        <f t="shared" si="53"/>
        <v>0</v>
      </c>
      <c r="AI70" s="12">
        <f t="shared" si="44"/>
        <v>1193.8290624000003</v>
      </c>
      <c r="AJ70" s="12">
        <f t="shared" si="27"/>
        <v>51321.668551999981</v>
      </c>
      <c r="AK70" s="86">
        <f t="shared" si="45"/>
        <v>0.8666666666666667</v>
      </c>
      <c r="AL70" s="12">
        <f t="shared" si="54"/>
        <v>75641.726304000113</v>
      </c>
      <c r="AM70" s="124">
        <f t="shared" si="46"/>
        <v>8.3868737579919125E-2</v>
      </c>
      <c r="AN70" s="72"/>
      <c r="AO70" s="59">
        <v>67</v>
      </c>
      <c r="AP70" s="125">
        <f t="shared" si="47"/>
        <v>15828.073761167305</v>
      </c>
      <c r="AQ70" s="125">
        <f t="shared" si="55"/>
        <v>51321.668551999981</v>
      </c>
    </row>
    <row r="71" spans="19:43" x14ac:dyDescent="0.25">
      <c r="S71" s="9" t="str">
        <f t="shared" si="39"/>
        <v/>
      </c>
      <c r="T71" s="59">
        <v>5</v>
      </c>
      <c r="U71" s="59">
        <v>8</v>
      </c>
      <c r="V71" s="3" t="s">
        <v>57</v>
      </c>
      <c r="W71" s="23">
        <f>'Análise Técnica'!$C$3</f>
        <v>750</v>
      </c>
      <c r="X71" s="23">
        <f t="shared" si="37"/>
        <v>647.34558061520056</v>
      </c>
      <c r="Y71" s="54">
        <f t="shared" si="48"/>
        <v>102.65441938479944</v>
      </c>
      <c r="Z71" s="54">
        <f t="shared" si="49"/>
        <v>0</v>
      </c>
      <c r="AA71" s="54">
        <f t="shared" si="40"/>
        <v>100</v>
      </c>
      <c r="AB71" s="54">
        <f t="shared" si="41"/>
        <v>2.6544193847994393</v>
      </c>
      <c r="AC71" s="54">
        <f t="shared" si="50"/>
        <v>1049.0094689423813</v>
      </c>
      <c r="AD71" s="58">
        <f t="shared" si="51"/>
        <v>0</v>
      </c>
      <c r="AE71" s="2">
        <f t="shared" si="42"/>
        <v>1377.4950720000004</v>
      </c>
      <c r="AF71" s="2">
        <f t="shared" si="43"/>
        <v>183.66600960000005</v>
      </c>
      <c r="AG71" s="12">
        <f t="shared" si="52"/>
        <v>1193.8290624000003</v>
      </c>
      <c r="AH71" s="2">
        <f t="shared" si="53"/>
        <v>0</v>
      </c>
      <c r="AI71" s="12">
        <f t="shared" si="44"/>
        <v>1193.8290624000003</v>
      </c>
      <c r="AJ71" s="12">
        <f t="shared" ref="AJ71:AJ134" si="56">AJ70+AI71</f>
        <v>52515.497614399981</v>
      </c>
      <c r="AK71" s="86">
        <f t="shared" si="45"/>
        <v>0.8666666666666667</v>
      </c>
      <c r="AL71" s="12">
        <f t="shared" si="54"/>
        <v>77019.221376000118</v>
      </c>
      <c r="AM71" s="124">
        <f t="shared" si="46"/>
        <v>8.3868737579919125E-2</v>
      </c>
      <c r="AN71" s="72"/>
      <c r="AO71" s="59">
        <v>68</v>
      </c>
      <c r="AP71" s="125">
        <f t="shared" si="47"/>
        <v>15876.822872861279</v>
      </c>
      <c r="AQ71" s="125">
        <f t="shared" si="55"/>
        <v>52515.497614399981</v>
      </c>
    </row>
    <row r="72" spans="19:43" x14ac:dyDescent="0.25">
      <c r="S72" s="9" t="str">
        <f t="shared" si="39"/>
        <v/>
      </c>
      <c r="T72" s="59">
        <v>5</v>
      </c>
      <c r="U72" s="59">
        <v>9</v>
      </c>
      <c r="V72" s="3" t="s">
        <v>58</v>
      </c>
      <c r="W72" s="23">
        <f>'Análise Técnica'!$C$3</f>
        <v>750</v>
      </c>
      <c r="X72" s="23">
        <f t="shared" si="37"/>
        <v>657.52442107754712</v>
      </c>
      <c r="Y72" s="54">
        <f t="shared" si="48"/>
        <v>92.475578922452883</v>
      </c>
      <c r="Z72" s="54">
        <f t="shared" si="49"/>
        <v>0</v>
      </c>
      <c r="AA72" s="54">
        <f t="shared" si="40"/>
        <v>100</v>
      </c>
      <c r="AB72" s="54">
        <f t="shared" si="41"/>
        <v>0</v>
      </c>
      <c r="AC72" s="54">
        <f t="shared" si="50"/>
        <v>1049.0094689423813</v>
      </c>
      <c r="AD72" s="58">
        <f t="shared" si="51"/>
        <v>0</v>
      </c>
      <c r="AE72" s="2">
        <f t="shared" si="42"/>
        <v>1377.4950720000004</v>
      </c>
      <c r="AF72" s="2">
        <f t="shared" si="43"/>
        <v>183.66600960000005</v>
      </c>
      <c r="AG72" s="12">
        <f t="shared" si="52"/>
        <v>1193.8290624000003</v>
      </c>
      <c r="AH72" s="2">
        <f t="shared" si="53"/>
        <v>0</v>
      </c>
      <c r="AI72" s="12">
        <f t="shared" si="44"/>
        <v>1193.8290624000003</v>
      </c>
      <c r="AJ72" s="12">
        <f t="shared" si="56"/>
        <v>53709.326676799981</v>
      </c>
      <c r="AK72" s="86">
        <f t="shared" si="45"/>
        <v>0.8666666666666667</v>
      </c>
      <c r="AL72" s="12">
        <f t="shared" si="54"/>
        <v>78396.716448000123</v>
      </c>
      <c r="AM72" s="124">
        <f t="shared" si="46"/>
        <v>8.3868737579919125E-2</v>
      </c>
      <c r="AN72" s="72"/>
      <c r="AO72" s="59">
        <v>69</v>
      </c>
      <c r="AP72" s="125">
        <f t="shared" si="47"/>
        <v>15925.710107038381</v>
      </c>
      <c r="AQ72" s="125">
        <f t="shared" si="55"/>
        <v>53709.326676799981</v>
      </c>
    </row>
    <row r="73" spans="19:43" x14ac:dyDescent="0.25">
      <c r="S73" s="9" t="str">
        <f t="shared" si="39"/>
        <v/>
      </c>
      <c r="T73" s="59">
        <v>5</v>
      </c>
      <c r="U73" s="59">
        <v>10</v>
      </c>
      <c r="V73" s="3" t="s">
        <v>59</v>
      </c>
      <c r="W73" s="23">
        <f>'Análise Técnica'!$C$3</f>
        <v>750</v>
      </c>
      <c r="X73" s="23">
        <f t="shared" si="37"/>
        <v>735.57175555221488</v>
      </c>
      <c r="Y73" s="54">
        <f t="shared" si="48"/>
        <v>14.428244447785119</v>
      </c>
      <c r="Z73" s="54">
        <f t="shared" si="49"/>
        <v>0</v>
      </c>
      <c r="AA73" s="54">
        <f t="shared" si="40"/>
        <v>100</v>
      </c>
      <c r="AB73" s="54">
        <f t="shared" si="41"/>
        <v>0</v>
      </c>
      <c r="AC73" s="54">
        <f t="shared" si="50"/>
        <v>1049.0094689423813</v>
      </c>
      <c r="AD73" s="58">
        <f t="shared" si="51"/>
        <v>0</v>
      </c>
      <c r="AE73" s="2">
        <f t="shared" si="42"/>
        <v>1377.4950720000004</v>
      </c>
      <c r="AF73" s="2">
        <f t="shared" si="43"/>
        <v>183.66600960000005</v>
      </c>
      <c r="AG73" s="12">
        <f t="shared" si="52"/>
        <v>1193.8290624000003</v>
      </c>
      <c r="AH73" s="2">
        <f t="shared" si="53"/>
        <v>0</v>
      </c>
      <c r="AI73" s="12">
        <f t="shared" si="44"/>
        <v>1193.8290624000003</v>
      </c>
      <c r="AJ73" s="12">
        <f t="shared" si="56"/>
        <v>54903.155739199981</v>
      </c>
      <c r="AK73" s="86">
        <f t="shared" si="45"/>
        <v>0.8666666666666667</v>
      </c>
      <c r="AL73" s="12">
        <f t="shared" si="54"/>
        <v>79774.211520000128</v>
      </c>
      <c r="AM73" s="124">
        <f t="shared" si="46"/>
        <v>8.3868737579919125E-2</v>
      </c>
      <c r="AN73" s="72"/>
      <c r="AO73" s="59">
        <v>70</v>
      </c>
      <c r="AP73" s="125">
        <f t="shared" si="47"/>
        <v>15974.735855045661</v>
      </c>
      <c r="AQ73" s="125">
        <f t="shared" si="55"/>
        <v>54903.155739199981</v>
      </c>
    </row>
    <row r="74" spans="19:43" x14ac:dyDescent="0.25">
      <c r="S74" s="9" t="str">
        <f t="shared" si="39"/>
        <v/>
      </c>
      <c r="T74" s="59">
        <v>5</v>
      </c>
      <c r="U74" s="59">
        <v>11</v>
      </c>
      <c r="V74" s="3" t="s">
        <v>60</v>
      </c>
      <c r="W74" s="23">
        <f>'Análise Técnica'!$C$3</f>
        <v>750</v>
      </c>
      <c r="X74" s="23">
        <f t="shared" si="37"/>
        <v>740.87622170864893</v>
      </c>
      <c r="Y74" s="54">
        <f t="shared" si="48"/>
        <v>9.1237782913510728</v>
      </c>
      <c r="Z74" s="54">
        <f t="shared" si="49"/>
        <v>0</v>
      </c>
      <c r="AA74" s="54">
        <f t="shared" si="40"/>
        <v>100</v>
      </c>
      <c r="AB74" s="54">
        <f t="shared" si="41"/>
        <v>0</v>
      </c>
      <c r="AC74" s="54">
        <f t="shared" si="50"/>
        <v>1049.0094689423813</v>
      </c>
      <c r="AD74" s="58">
        <f t="shared" si="51"/>
        <v>0</v>
      </c>
      <c r="AE74" s="2">
        <f t="shared" si="42"/>
        <v>1377.4950720000004</v>
      </c>
      <c r="AF74" s="2">
        <f t="shared" si="43"/>
        <v>183.66600960000005</v>
      </c>
      <c r="AG74" s="12">
        <f t="shared" si="52"/>
        <v>1193.8290624000003</v>
      </c>
      <c r="AH74" s="2">
        <f t="shared" si="53"/>
        <v>0</v>
      </c>
      <c r="AI74" s="12">
        <f t="shared" si="44"/>
        <v>1193.8290624000003</v>
      </c>
      <c r="AJ74" s="12">
        <f t="shared" si="56"/>
        <v>56096.984801599981</v>
      </c>
      <c r="AK74" s="86">
        <f t="shared" si="45"/>
        <v>0.8666666666666667</v>
      </c>
      <c r="AL74" s="12">
        <f t="shared" si="54"/>
        <v>81151.706592000133</v>
      </c>
      <c r="AM74" s="124">
        <f t="shared" si="46"/>
        <v>8.3868737579919125E-2</v>
      </c>
      <c r="AN74" s="72"/>
      <c r="AO74" s="59">
        <v>71</v>
      </c>
      <c r="AP74" s="125">
        <f t="shared" si="47"/>
        <v>16023.900509338955</v>
      </c>
      <c r="AQ74" s="125">
        <f t="shared" si="55"/>
        <v>56096.984801599981</v>
      </c>
    </row>
    <row r="75" spans="19:43" x14ac:dyDescent="0.25">
      <c r="S75" s="9" t="str">
        <f t="shared" si="39"/>
        <v/>
      </c>
      <c r="T75" s="59">
        <v>5</v>
      </c>
      <c r="U75" s="59">
        <v>12</v>
      </c>
      <c r="V75" s="3" t="s">
        <v>61</v>
      </c>
      <c r="W75" s="23">
        <f>'Análise Técnica'!$C$3</f>
        <v>750</v>
      </c>
      <c r="X75" s="23">
        <f t="shared" si="37"/>
        <v>850.00486058101694</v>
      </c>
      <c r="Y75" s="54">
        <f t="shared" si="48"/>
        <v>0</v>
      </c>
      <c r="Z75" s="54">
        <f t="shared" si="49"/>
        <v>100.00486058101694</v>
      </c>
      <c r="AA75" s="54">
        <f t="shared" si="40"/>
        <v>100</v>
      </c>
      <c r="AB75" s="54">
        <f t="shared" si="41"/>
        <v>0</v>
      </c>
      <c r="AC75" s="54">
        <f t="shared" si="50"/>
        <v>1149.0143295233984</v>
      </c>
      <c r="AD75" s="58">
        <f t="shared" si="51"/>
        <v>0</v>
      </c>
      <c r="AE75" s="2">
        <f t="shared" si="42"/>
        <v>1377.4950720000004</v>
      </c>
      <c r="AF75" s="2">
        <f t="shared" si="43"/>
        <v>183.66600960000005</v>
      </c>
      <c r="AG75" s="12">
        <f t="shared" si="52"/>
        <v>1193.8290624000003</v>
      </c>
      <c r="AH75" s="2">
        <f t="shared" si="53"/>
        <v>0</v>
      </c>
      <c r="AI75" s="12">
        <f t="shared" si="44"/>
        <v>1193.8290624000003</v>
      </c>
      <c r="AJ75" s="12">
        <f t="shared" si="56"/>
        <v>57290.813863999982</v>
      </c>
      <c r="AK75" s="86">
        <f t="shared" si="45"/>
        <v>0.8666666666666667</v>
      </c>
      <c r="AL75" s="12">
        <f t="shared" si="54"/>
        <v>82529.201664000138</v>
      </c>
      <c r="AM75" s="124">
        <f t="shared" si="46"/>
        <v>8.3868737579919125E-2</v>
      </c>
      <c r="AN75" s="72"/>
      <c r="AO75" s="59">
        <v>72</v>
      </c>
      <c r="AP75" s="125">
        <f t="shared" si="47"/>
        <v>16073.204463486081</v>
      </c>
      <c r="AQ75" s="125">
        <f t="shared" si="55"/>
        <v>57290.813863999982</v>
      </c>
    </row>
    <row r="76" spans="19:43" x14ac:dyDescent="0.25">
      <c r="S76" s="9" t="str">
        <f t="shared" si="39"/>
        <v/>
      </c>
      <c r="T76" s="59">
        <v>6</v>
      </c>
      <c r="U76" s="59">
        <v>1</v>
      </c>
      <c r="V76" s="3" t="s">
        <v>50</v>
      </c>
      <c r="W76" s="23">
        <f>'Análise Técnica'!$C$3</f>
        <v>750</v>
      </c>
      <c r="X76" s="23">
        <f t="shared" si="37"/>
        <v>870.98941471424007</v>
      </c>
      <c r="Y76" s="54">
        <f t="shared" si="48"/>
        <v>0</v>
      </c>
      <c r="Z76" s="54">
        <f t="shared" si="49"/>
        <v>120.98941471424007</v>
      </c>
      <c r="AA76" s="54">
        <f t="shared" si="40"/>
        <v>100</v>
      </c>
      <c r="AB76" s="54">
        <f t="shared" si="41"/>
        <v>0</v>
      </c>
      <c r="AC76" s="54">
        <f t="shared" si="50"/>
        <v>1270.0037442376383</v>
      </c>
      <c r="AD76" s="58">
        <f t="shared" si="51"/>
        <v>0</v>
      </c>
      <c r="AE76" s="2">
        <f t="shared" si="42"/>
        <v>1487.6946777600006</v>
      </c>
      <c r="AF76" s="2">
        <f t="shared" si="43"/>
        <v>198.35929036800007</v>
      </c>
      <c r="AG76" s="12">
        <f t="shared" si="52"/>
        <v>1289.3353873920005</v>
      </c>
      <c r="AH76" s="2">
        <f t="shared" si="53"/>
        <v>0</v>
      </c>
      <c r="AI76" s="12">
        <f t="shared" si="44"/>
        <v>1289.3353873920005</v>
      </c>
      <c r="AJ76" s="12">
        <f t="shared" si="56"/>
        <v>58580.14925139198</v>
      </c>
      <c r="AK76" s="86">
        <f t="shared" si="45"/>
        <v>0.8666666666666667</v>
      </c>
      <c r="AL76" s="12">
        <f t="shared" si="54"/>
        <v>84016.896341760134</v>
      </c>
      <c r="AM76" s="124">
        <f t="shared" si="46"/>
        <v>9.0578236586312658E-2</v>
      </c>
      <c r="AN76" s="72"/>
      <c r="AO76" s="59">
        <v>73</v>
      </c>
      <c r="AP76" s="125">
        <f t="shared" si="47"/>
        <v>16012.448506409955</v>
      </c>
      <c r="AQ76" s="125">
        <f t="shared" si="55"/>
        <v>58580.14925139198</v>
      </c>
    </row>
    <row r="77" spans="19:43" x14ac:dyDescent="0.25">
      <c r="S77" s="9" t="str">
        <f t="shared" si="39"/>
        <v/>
      </c>
      <c r="T77" s="59">
        <v>6</v>
      </c>
      <c r="U77" s="59">
        <v>2</v>
      </c>
      <c r="V77" s="3" t="s">
        <v>51</v>
      </c>
      <c r="W77" s="23">
        <f>'Análise Técnica'!$C$3</f>
        <v>750</v>
      </c>
      <c r="X77" s="23">
        <f t="shared" si="37"/>
        <v>917.34196177562353</v>
      </c>
      <c r="Y77" s="54">
        <f t="shared" si="48"/>
        <v>0</v>
      </c>
      <c r="Z77" s="54">
        <f t="shared" si="49"/>
        <v>167.34196177562353</v>
      </c>
      <c r="AA77" s="54">
        <f t="shared" si="40"/>
        <v>100</v>
      </c>
      <c r="AB77" s="54">
        <f t="shared" si="41"/>
        <v>0</v>
      </c>
      <c r="AC77" s="54">
        <f t="shared" si="50"/>
        <v>1437.3457060132619</v>
      </c>
      <c r="AD77" s="58">
        <f t="shared" si="51"/>
        <v>0</v>
      </c>
      <c r="AE77" s="2">
        <f t="shared" si="42"/>
        <v>1487.6946777600006</v>
      </c>
      <c r="AF77" s="2">
        <f t="shared" si="43"/>
        <v>198.35929036800007</v>
      </c>
      <c r="AG77" s="12">
        <f t="shared" si="52"/>
        <v>1289.3353873920005</v>
      </c>
      <c r="AH77" s="2">
        <f t="shared" si="53"/>
        <v>0</v>
      </c>
      <c r="AI77" s="12">
        <f t="shared" si="44"/>
        <v>1289.3353873920005</v>
      </c>
      <c r="AJ77" s="12">
        <f t="shared" si="56"/>
        <v>59869.484638783979</v>
      </c>
      <c r="AK77" s="86">
        <f t="shared" si="45"/>
        <v>0.8666666666666667</v>
      </c>
      <c r="AL77" s="12">
        <f t="shared" si="54"/>
        <v>85504.591019520129</v>
      </c>
      <c r="AM77" s="124">
        <f t="shared" si="46"/>
        <v>9.0578236586312658E-2</v>
      </c>
      <c r="AN77" s="72"/>
      <c r="AO77" s="59">
        <v>74</v>
      </c>
      <c r="AP77" s="125">
        <f t="shared" si="47"/>
        <v>16062.032245431774</v>
      </c>
      <c r="AQ77" s="125">
        <f t="shared" si="55"/>
        <v>59869.484638783979</v>
      </c>
    </row>
    <row r="78" spans="19:43" x14ac:dyDescent="0.25">
      <c r="S78" s="9" t="str">
        <f t="shared" si="39"/>
        <v/>
      </c>
      <c r="T78" s="59">
        <v>6</v>
      </c>
      <c r="U78" s="59">
        <v>3</v>
      </c>
      <c r="V78" s="3" t="s">
        <v>52</v>
      </c>
      <c r="W78" s="23">
        <f>'Análise Técnica'!$C$3</f>
        <v>750</v>
      </c>
      <c r="X78" s="23">
        <f t="shared" si="37"/>
        <v>769.81387664137435</v>
      </c>
      <c r="Y78" s="54">
        <f t="shared" si="48"/>
        <v>0</v>
      </c>
      <c r="Z78" s="54">
        <f t="shared" si="49"/>
        <v>19.81387664137435</v>
      </c>
      <c r="AA78" s="54">
        <f t="shared" si="40"/>
        <v>100</v>
      </c>
      <c r="AB78" s="54">
        <f t="shared" si="41"/>
        <v>0</v>
      </c>
      <c r="AC78" s="54">
        <f t="shared" si="50"/>
        <v>1457.1595826546363</v>
      </c>
      <c r="AD78" s="58">
        <f t="shared" si="51"/>
        <v>0</v>
      </c>
      <c r="AE78" s="2">
        <f t="shared" si="42"/>
        <v>1487.6946777600006</v>
      </c>
      <c r="AF78" s="2">
        <f t="shared" si="43"/>
        <v>198.35929036800007</v>
      </c>
      <c r="AG78" s="12">
        <f t="shared" si="52"/>
        <v>1289.3353873920005</v>
      </c>
      <c r="AH78" s="2">
        <f t="shared" si="53"/>
        <v>0</v>
      </c>
      <c r="AI78" s="12">
        <f t="shared" si="44"/>
        <v>1289.3353873920005</v>
      </c>
      <c r="AJ78" s="12">
        <f t="shared" si="56"/>
        <v>61158.820026175978</v>
      </c>
      <c r="AK78" s="86">
        <f t="shared" si="45"/>
        <v>0.8666666666666667</v>
      </c>
      <c r="AL78" s="12">
        <f t="shared" si="54"/>
        <v>86992.285697280124</v>
      </c>
      <c r="AM78" s="124">
        <f t="shared" si="46"/>
        <v>9.0578236586312658E-2</v>
      </c>
      <c r="AN78" s="72"/>
      <c r="AO78" s="59">
        <v>75</v>
      </c>
      <c r="AP78" s="125">
        <f t="shared" si="47"/>
        <v>16111.756471714145</v>
      </c>
      <c r="AQ78" s="125">
        <f t="shared" si="55"/>
        <v>61158.820026175978</v>
      </c>
    </row>
    <row r="79" spans="19:43" x14ac:dyDescent="0.25">
      <c r="S79" s="9" t="str">
        <f t="shared" si="39"/>
        <v/>
      </c>
      <c r="T79" s="59">
        <v>6</v>
      </c>
      <c r="U79" s="59">
        <v>4</v>
      </c>
      <c r="V79" s="3" t="s">
        <v>53</v>
      </c>
      <c r="W79" s="23">
        <f>'Análise Técnica'!$C$3</f>
        <v>750</v>
      </c>
      <c r="X79" s="23">
        <f t="shared" si="37"/>
        <v>682.64660217673895</v>
      </c>
      <c r="Y79" s="54">
        <f t="shared" si="48"/>
        <v>67.353397823261048</v>
      </c>
      <c r="Z79" s="54">
        <f t="shared" si="49"/>
        <v>0</v>
      </c>
      <c r="AA79" s="54">
        <f t="shared" si="40"/>
        <v>100</v>
      </c>
      <c r="AB79" s="54">
        <f t="shared" si="41"/>
        <v>0</v>
      </c>
      <c r="AC79" s="54">
        <f t="shared" si="50"/>
        <v>1457.1595826546363</v>
      </c>
      <c r="AD79" s="58">
        <f t="shared" si="51"/>
        <v>0</v>
      </c>
      <c r="AE79" s="2">
        <f t="shared" si="42"/>
        <v>1487.6946777600006</v>
      </c>
      <c r="AF79" s="2">
        <f t="shared" si="43"/>
        <v>198.35929036800007</v>
      </c>
      <c r="AG79" s="12">
        <f t="shared" si="52"/>
        <v>1289.3353873920005</v>
      </c>
      <c r="AH79" s="2">
        <f t="shared" si="53"/>
        <v>0</v>
      </c>
      <c r="AI79" s="12">
        <f t="shared" si="44"/>
        <v>1289.3353873920005</v>
      </c>
      <c r="AJ79" s="12">
        <f t="shared" si="56"/>
        <v>62448.155413567976</v>
      </c>
      <c r="AK79" s="86">
        <f t="shared" si="45"/>
        <v>0.8666666666666667</v>
      </c>
      <c r="AL79" s="12">
        <f t="shared" si="54"/>
        <v>88479.980375040119</v>
      </c>
      <c r="AM79" s="124">
        <f t="shared" si="46"/>
        <v>9.0578236586312658E-2</v>
      </c>
      <c r="AN79" s="72"/>
      <c r="AO79" s="59">
        <v>76</v>
      </c>
      <c r="AP79" s="125">
        <f t="shared" si="47"/>
        <v>16161.621583304322</v>
      </c>
      <c r="AQ79" s="125">
        <f t="shared" si="55"/>
        <v>62448.155413567976</v>
      </c>
    </row>
    <row r="80" spans="19:43" x14ac:dyDescent="0.25">
      <c r="S80" s="9" t="str">
        <f t="shared" si="39"/>
        <v/>
      </c>
      <c r="T80" s="59">
        <v>6</v>
      </c>
      <c r="U80" s="59">
        <v>5</v>
      </c>
      <c r="V80" s="3" t="s">
        <v>54</v>
      </c>
      <c r="W80" s="23">
        <f>'Análise Técnica'!$C$3</f>
        <v>750</v>
      </c>
      <c r="X80" s="23">
        <f t="shared" si="37"/>
        <v>562.18122956205025</v>
      </c>
      <c r="Y80" s="54">
        <f t="shared" si="48"/>
        <v>187.81877043794975</v>
      </c>
      <c r="Z80" s="54">
        <f t="shared" si="49"/>
        <v>0</v>
      </c>
      <c r="AA80" s="54">
        <f t="shared" si="40"/>
        <v>100</v>
      </c>
      <c r="AB80" s="54">
        <f t="shared" si="41"/>
        <v>87.818770437949752</v>
      </c>
      <c r="AC80" s="54">
        <f t="shared" si="50"/>
        <v>1369.3408122166866</v>
      </c>
      <c r="AD80" s="58">
        <f t="shared" si="51"/>
        <v>0</v>
      </c>
      <c r="AE80" s="2">
        <f t="shared" si="42"/>
        <v>1487.6946777600006</v>
      </c>
      <c r="AF80" s="2">
        <f t="shared" si="43"/>
        <v>198.35929036800007</v>
      </c>
      <c r="AG80" s="12">
        <f t="shared" si="52"/>
        <v>1289.3353873920005</v>
      </c>
      <c r="AH80" s="2">
        <f t="shared" si="53"/>
        <v>0</v>
      </c>
      <c r="AI80" s="12">
        <f t="shared" si="44"/>
        <v>1289.3353873920005</v>
      </c>
      <c r="AJ80" s="12">
        <f t="shared" si="56"/>
        <v>63737.490800959975</v>
      </c>
      <c r="AK80" s="86">
        <f t="shared" si="45"/>
        <v>0.8666666666666667</v>
      </c>
      <c r="AL80" s="12">
        <f t="shared" si="54"/>
        <v>89967.675052800114</v>
      </c>
      <c r="AM80" s="124">
        <f t="shared" si="46"/>
        <v>9.0578236586312658E-2</v>
      </c>
      <c r="AN80" s="72"/>
      <c r="AO80" s="59">
        <v>77</v>
      </c>
      <c r="AP80" s="125">
        <f t="shared" si="47"/>
        <v>16211.627979377334</v>
      </c>
      <c r="AQ80" s="125">
        <f t="shared" si="55"/>
        <v>63737.490800959975</v>
      </c>
    </row>
    <row r="81" spans="19:43" x14ac:dyDescent="0.25">
      <c r="S81" s="9" t="str">
        <f t="shared" si="39"/>
        <v/>
      </c>
      <c r="T81" s="59">
        <v>6</v>
      </c>
      <c r="U81" s="59">
        <v>6</v>
      </c>
      <c r="V81" s="3" t="s">
        <v>55</v>
      </c>
      <c r="W81" s="23">
        <f>'Análise Técnica'!$C$3</f>
        <v>750</v>
      </c>
      <c r="X81" s="23">
        <f t="shared" si="37"/>
        <v>519.90019001281541</v>
      </c>
      <c r="Y81" s="54">
        <f t="shared" si="48"/>
        <v>230.09980998718459</v>
      </c>
      <c r="Z81" s="54">
        <f t="shared" si="49"/>
        <v>0</v>
      </c>
      <c r="AA81" s="54">
        <f t="shared" si="40"/>
        <v>100</v>
      </c>
      <c r="AB81" s="54">
        <f t="shared" si="41"/>
        <v>130.09980998718459</v>
      </c>
      <c r="AC81" s="54">
        <f t="shared" si="50"/>
        <v>1239.2410022295021</v>
      </c>
      <c r="AD81" s="58">
        <f t="shared" si="51"/>
        <v>0</v>
      </c>
      <c r="AE81" s="2">
        <f t="shared" si="42"/>
        <v>1487.6946777600006</v>
      </c>
      <c r="AF81" s="2">
        <f t="shared" si="43"/>
        <v>198.35929036800007</v>
      </c>
      <c r="AG81" s="12">
        <f t="shared" si="52"/>
        <v>1289.3353873920005</v>
      </c>
      <c r="AH81" s="2">
        <f t="shared" si="53"/>
        <v>0</v>
      </c>
      <c r="AI81" s="12">
        <f t="shared" si="44"/>
        <v>1289.3353873920005</v>
      </c>
      <c r="AJ81" s="12">
        <f t="shared" si="56"/>
        <v>65026.826188351974</v>
      </c>
      <c r="AK81" s="86">
        <f t="shared" si="45"/>
        <v>0.8666666666666667</v>
      </c>
      <c r="AL81" s="12">
        <f t="shared" si="54"/>
        <v>91455.369730560109</v>
      </c>
      <c r="AM81" s="124">
        <f t="shared" si="46"/>
        <v>9.0578236586312658E-2</v>
      </c>
      <c r="AN81" s="72"/>
      <c r="AO81" s="59">
        <v>78</v>
      </c>
      <c r="AP81" s="125">
        <f t="shared" si="47"/>
        <v>16261.776060239225</v>
      </c>
      <c r="AQ81" s="125">
        <f t="shared" si="55"/>
        <v>65026.826188351974</v>
      </c>
    </row>
    <row r="82" spans="19:43" x14ac:dyDescent="0.25">
      <c r="S82" s="9" t="str">
        <f t="shared" si="39"/>
        <v/>
      </c>
      <c r="T82" s="59">
        <v>6</v>
      </c>
      <c r="U82" s="59">
        <v>7</v>
      </c>
      <c r="V82" s="3" t="s">
        <v>56</v>
      </c>
      <c r="W82" s="23">
        <f>'Análise Técnica'!$C$3</f>
        <v>750</v>
      </c>
      <c r="X82" s="23">
        <f t="shared" si="37"/>
        <v>519.82900981155387</v>
      </c>
      <c r="Y82" s="54">
        <f t="shared" si="48"/>
        <v>230.17099018844613</v>
      </c>
      <c r="Z82" s="54">
        <f t="shared" si="49"/>
        <v>0</v>
      </c>
      <c r="AA82" s="54">
        <f t="shared" si="40"/>
        <v>100</v>
      </c>
      <c r="AB82" s="54">
        <f t="shared" si="41"/>
        <v>130.17099018844613</v>
      </c>
      <c r="AC82" s="54">
        <f t="shared" si="50"/>
        <v>1109.0700120410561</v>
      </c>
      <c r="AD82" s="58">
        <f t="shared" si="51"/>
        <v>0</v>
      </c>
      <c r="AE82" s="2">
        <f t="shared" si="42"/>
        <v>1487.6946777600006</v>
      </c>
      <c r="AF82" s="2">
        <f t="shared" si="43"/>
        <v>198.35929036800007</v>
      </c>
      <c r="AG82" s="12">
        <f t="shared" si="52"/>
        <v>1289.3353873920005</v>
      </c>
      <c r="AH82" s="2">
        <f t="shared" si="53"/>
        <v>0</v>
      </c>
      <c r="AI82" s="12">
        <f t="shared" si="44"/>
        <v>1289.3353873920005</v>
      </c>
      <c r="AJ82" s="12">
        <f t="shared" si="56"/>
        <v>66316.161575743972</v>
      </c>
      <c r="AK82" s="86">
        <f t="shared" si="45"/>
        <v>0.8666666666666667</v>
      </c>
      <c r="AL82" s="12">
        <f t="shared" si="54"/>
        <v>92943.064408320104</v>
      </c>
      <c r="AM82" s="124">
        <f t="shared" si="46"/>
        <v>9.0578236586312658E-2</v>
      </c>
      <c r="AN82" s="72"/>
      <c r="AO82" s="59">
        <v>79</v>
      </c>
      <c r="AP82" s="125">
        <f t="shared" si="47"/>
        <v>16312.066227330224</v>
      </c>
      <c r="AQ82" s="125">
        <f t="shared" si="55"/>
        <v>66316.161575743972</v>
      </c>
    </row>
    <row r="83" spans="19:43" x14ac:dyDescent="0.25">
      <c r="S83" s="9" t="str">
        <f t="shared" si="39"/>
        <v/>
      </c>
      <c r="T83" s="59">
        <v>6</v>
      </c>
      <c r="U83" s="59">
        <v>8</v>
      </c>
      <c r="V83" s="3" t="s">
        <v>57</v>
      </c>
      <c r="W83" s="23">
        <f>'Análise Técnica'!$C$3</f>
        <v>750</v>
      </c>
      <c r="X83" s="23">
        <f t="shared" si="37"/>
        <v>642.81416155089414</v>
      </c>
      <c r="Y83" s="54">
        <f t="shared" si="48"/>
        <v>107.18583844910586</v>
      </c>
      <c r="Z83" s="54">
        <f t="shared" si="49"/>
        <v>0</v>
      </c>
      <c r="AA83" s="54">
        <f t="shared" si="40"/>
        <v>100</v>
      </c>
      <c r="AB83" s="54">
        <f t="shared" si="41"/>
        <v>7.1858384491058587</v>
      </c>
      <c r="AC83" s="54">
        <f t="shared" si="50"/>
        <v>1101.8841735919502</v>
      </c>
      <c r="AD83" s="58">
        <f t="shared" si="51"/>
        <v>0</v>
      </c>
      <c r="AE83" s="2">
        <f t="shared" si="42"/>
        <v>1487.6946777600006</v>
      </c>
      <c r="AF83" s="2">
        <f t="shared" si="43"/>
        <v>198.35929036800007</v>
      </c>
      <c r="AG83" s="12">
        <f t="shared" si="52"/>
        <v>1289.3353873920005</v>
      </c>
      <c r="AH83" s="2">
        <f t="shared" si="53"/>
        <v>0</v>
      </c>
      <c r="AI83" s="12">
        <f t="shared" si="44"/>
        <v>1289.3353873920005</v>
      </c>
      <c r="AJ83" s="12">
        <f t="shared" si="56"/>
        <v>67605.496963135971</v>
      </c>
      <c r="AK83" s="86">
        <f t="shared" si="45"/>
        <v>0.8666666666666667</v>
      </c>
      <c r="AL83" s="12">
        <f t="shared" si="54"/>
        <v>94430.759086080099</v>
      </c>
      <c r="AM83" s="124">
        <f t="shared" si="46"/>
        <v>9.0578236586312658E-2</v>
      </c>
      <c r="AN83" s="72"/>
      <c r="AO83" s="59">
        <v>80</v>
      </c>
      <c r="AP83" s="125">
        <f t="shared" si="47"/>
        <v>16362.498883227983</v>
      </c>
      <c r="AQ83" s="125">
        <f t="shared" si="55"/>
        <v>67605.496963135971</v>
      </c>
    </row>
    <row r="84" spans="19:43" x14ac:dyDescent="0.25">
      <c r="S84" s="9" t="str">
        <f t="shared" si="39"/>
        <v/>
      </c>
      <c r="T84" s="59">
        <v>6</v>
      </c>
      <c r="U84" s="59">
        <v>9</v>
      </c>
      <c r="V84" s="3" t="s">
        <v>58</v>
      </c>
      <c r="W84" s="23">
        <f>'Análise Técnica'!$C$3</f>
        <v>750</v>
      </c>
      <c r="X84" s="23">
        <f t="shared" si="37"/>
        <v>652.92175013000428</v>
      </c>
      <c r="Y84" s="54">
        <f t="shared" si="48"/>
        <v>97.078249869995716</v>
      </c>
      <c r="Z84" s="54">
        <f t="shared" si="49"/>
        <v>0</v>
      </c>
      <c r="AA84" s="54">
        <f t="shared" si="40"/>
        <v>100</v>
      </c>
      <c r="AB84" s="54">
        <f t="shared" si="41"/>
        <v>0</v>
      </c>
      <c r="AC84" s="54">
        <f t="shared" si="50"/>
        <v>1101.8841735919502</v>
      </c>
      <c r="AD84" s="58">
        <f t="shared" si="51"/>
        <v>0</v>
      </c>
      <c r="AE84" s="2">
        <f t="shared" si="42"/>
        <v>1487.6946777600006</v>
      </c>
      <c r="AF84" s="2">
        <f t="shared" si="43"/>
        <v>198.35929036800007</v>
      </c>
      <c r="AG84" s="12">
        <f t="shared" si="52"/>
        <v>1289.3353873920005</v>
      </c>
      <c r="AH84" s="2">
        <f t="shared" si="53"/>
        <v>0</v>
      </c>
      <c r="AI84" s="12">
        <f t="shared" si="44"/>
        <v>1289.3353873920005</v>
      </c>
      <c r="AJ84" s="12">
        <f t="shared" si="56"/>
        <v>68894.83235052797</v>
      </c>
      <c r="AK84" s="86">
        <f t="shared" si="45"/>
        <v>0.8666666666666667</v>
      </c>
      <c r="AL84" s="12">
        <f t="shared" si="54"/>
        <v>95918.453763840094</v>
      </c>
      <c r="AM84" s="124">
        <f t="shared" si="46"/>
        <v>9.0578236586312658E-2</v>
      </c>
      <c r="AN84" s="72"/>
      <c r="AO84" s="59">
        <v>81</v>
      </c>
      <c r="AP84" s="125">
        <f t="shared" si="47"/>
        <v>16413.074431650777</v>
      </c>
      <c r="AQ84" s="125">
        <f t="shared" si="55"/>
        <v>68894.83235052797</v>
      </c>
    </row>
    <row r="85" spans="19:43" x14ac:dyDescent="0.25">
      <c r="S85" s="9" t="str">
        <f t="shared" si="39"/>
        <v/>
      </c>
      <c r="T85" s="59">
        <v>6</v>
      </c>
      <c r="U85" s="59">
        <v>10</v>
      </c>
      <c r="V85" s="3" t="s">
        <v>59</v>
      </c>
      <c r="W85" s="23">
        <f>'Análise Técnica'!$C$3</f>
        <v>750</v>
      </c>
      <c r="X85" s="23">
        <f t="shared" si="37"/>
        <v>730.42275326334936</v>
      </c>
      <c r="Y85" s="54">
        <f t="shared" si="48"/>
        <v>19.577246736650636</v>
      </c>
      <c r="Z85" s="54">
        <f t="shared" si="49"/>
        <v>0</v>
      </c>
      <c r="AA85" s="54">
        <f t="shared" si="40"/>
        <v>100</v>
      </c>
      <c r="AB85" s="54">
        <f t="shared" si="41"/>
        <v>0</v>
      </c>
      <c r="AC85" s="54">
        <f t="shared" si="50"/>
        <v>1101.8841735919502</v>
      </c>
      <c r="AD85" s="58">
        <f t="shared" si="51"/>
        <v>0</v>
      </c>
      <c r="AE85" s="2">
        <f t="shared" si="42"/>
        <v>1487.6946777600006</v>
      </c>
      <c r="AF85" s="2">
        <f t="shared" si="43"/>
        <v>198.35929036800007</v>
      </c>
      <c r="AG85" s="12">
        <f t="shared" si="52"/>
        <v>1289.3353873920005</v>
      </c>
      <c r="AH85" s="2">
        <f t="shared" si="53"/>
        <v>0</v>
      </c>
      <c r="AI85" s="12">
        <f t="shared" si="44"/>
        <v>1289.3353873920005</v>
      </c>
      <c r="AJ85" s="12">
        <f t="shared" si="56"/>
        <v>70184.167737919968</v>
      </c>
      <c r="AK85" s="86">
        <f t="shared" si="45"/>
        <v>0.8666666666666667</v>
      </c>
      <c r="AL85" s="12">
        <f t="shared" si="54"/>
        <v>97406.148441600089</v>
      </c>
      <c r="AM85" s="124">
        <f t="shared" si="46"/>
        <v>9.0578236586312658E-2</v>
      </c>
      <c r="AN85" s="72"/>
      <c r="AO85" s="59">
        <v>82</v>
      </c>
      <c r="AP85" s="125">
        <f t="shared" si="47"/>
        <v>16463.793277460776</v>
      </c>
      <c r="AQ85" s="125">
        <f t="shared" si="55"/>
        <v>70184.167737919968</v>
      </c>
    </row>
    <row r="86" spans="19:43" x14ac:dyDescent="0.25">
      <c r="S86" s="9" t="str">
        <f t="shared" si="39"/>
        <v/>
      </c>
      <c r="T86" s="59">
        <v>6</v>
      </c>
      <c r="U86" s="59">
        <v>11</v>
      </c>
      <c r="V86" s="3" t="s">
        <v>60</v>
      </c>
      <c r="W86" s="23">
        <f>'Análise Técnica'!$C$3</f>
        <v>750</v>
      </c>
      <c r="X86" s="23">
        <f t="shared" si="37"/>
        <v>735.69008815668838</v>
      </c>
      <c r="Y86" s="54">
        <f t="shared" si="48"/>
        <v>14.309911843311625</v>
      </c>
      <c r="Z86" s="54">
        <f t="shared" si="49"/>
        <v>0</v>
      </c>
      <c r="AA86" s="54">
        <f t="shared" si="40"/>
        <v>100</v>
      </c>
      <c r="AB86" s="54">
        <f t="shared" si="41"/>
        <v>0</v>
      </c>
      <c r="AC86" s="54">
        <f t="shared" si="50"/>
        <v>1101.8841735919502</v>
      </c>
      <c r="AD86" s="58">
        <f t="shared" si="51"/>
        <v>0</v>
      </c>
      <c r="AE86" s="2">
        <f t="shared" si="42"/>
        <v>1487.6946777600006</v>
      </c>
      <c r="AF86" s="2">
        <f t="shared" si="43"/>
        <v>198.35929036800007</v>
      </c>
      <c r="AG86" s="12">
        <f t="shared" si="52"/>
        <v>1289.3353873920005</v>
      </c>
      <c r="AH86" s="2">
        <f t="shared" si="53"/>
        <v>0</v>
      </c>
      <c r="AI86" s="12">
        <f t="shared" si="44"/>
        <v>1289.3353873920005</v>
      </c>
      <c r="AJ86" s="12">
        <f t="shared" si="56"/>
        <v>71473.503125311967</v>
      </c>
      <c r="AK86" s="86">
        <f t="shared" si="45"/>
        <v>0.8666666666666667</v>
      </c>
      <c r="AL86" s="12">
        <f t="shared" si="54"/>
        <v>98893.843119360085</v>
      </c>
      <c r="AM86" s="124">
        <f t="shared" si="46"/>
        <v>9.0578236586312658E-2</v>
      </c>
      <c r="AN86" s="72"/>
      <c r="AO86" s="59">
        <v>83</v>
      </c>
      <c r="AP86" s="125">
        <f t="shared" si="47"/>
        <v>16514.655826667229</v>
      </c>
      <c r="AQ86" s="125">
        <f t="shared" si="55"/>
        <v>71473.503125311967</v>
      </c>
    </row>
    <row r="87" spans="19:43" x14ac:dyDescent="0.25">
      <c r="S87" s="9" t="str">
        <f t="shared" si="39"/>
        <v/>
      </c>
      <c r="T87" s="59">
        <v>6</v>
      </c>
      <c r="U87" s="59">
        <v>12</v>
      </c>
      <c r="V87" s="3" t="s">
        <v>61</v>
      </c>
      <c r="W87" s="23">
        <f>'Análise Técnica'!$C$3</f>
        <v>750</v>
      </c>
      <c r="X87" s="23">
        <f t="shared" si="37"/>
        <v>844.05482655694982</v>
      </c>
      <c r="Y87" s="54">
        <f t="shared" si="48"/>
        <v>0</v>
      </c>
      <c r="Z87" s="54">
        <f t="shared" si="49"/>
        <v>94.05482655694982</v>
      </c>
      <c r="AA87" s="54">
        <f t="shared" si="40"/>
        <v>100</v>
      </c>
      <c r="AB87" s="54">
        <f t="shared" si="41"/>
        <v>0</v>
      </c>
      <c r="AC87" s="54">
        <f t="shared" si="50"/>
        <v>1195.9390001489</v>
      </c>
      <c r="AD87" s="58">
        <f t="shared" si="51"/>
        <v>0</v>
      </c>
      <c r="AE87" s="2">
        <f t="shared" si="42"/>
        <v>1487.6946777600006</v>
      </c>
      <c r="AF87" s="2">
        <f t="shared" si="43"/>
        <v>198.35929036800007</v>
      </c>
      <c r="AG87" s="12">
        <f t="shared" si="52"/>
        <v>1289.3353873920005</v>
      </c>
      <c r="AH87" s="2">
        <f t="shared" si="53"/>
        <v>0</v>
      </c>
      <c r="AI87" s="12">
        <f t="shared" si="44"/>
        <v>1289.3353873920005</v>
      </c>
      <c r="AJ87" s="12">
        <f t="shared" si="56"/>
        <v>72762.838512703966</v>
      </c>
      <c r="AK87" s="86">
        <f t="shared" si="45"/>
        <v>0.8666666666666667</v>
      </c>
      <c r="AL87" s="12">
        <f t="shared" si="54"/>
        <v>100381.53779712008</v>
      </c>
      <c r="AM87" s="124">
        <f t="shared" si="46"/>
        <v>9.0578236586312658E-2</v>
      </c>
      <c r="AN87" s="72"/>
      <c r="AO87" s="59">
        <v>84</v>
      </c>
      <c r="AP87" s="125">
        <f t="shared" si="47"/>
        <v>16565.662486429777</v>
      </c>
      <c r="AQ87" s="125">
        <f t="shared" si="55"/>
        <v>72762.838512703966</v>
      </c>
    </row>
    <row r="88" spans="19:43" x14ac:dyDescent="0.25">
      <c r="S88" s="9" t="str">
        <f t="shared" si="39"/>
        <v/>
      </c>
      <c r="T88" s="59">
        <v>7</v>
      </c>
      <c r="U88" s="59">
        <v>1</v>
      </c>
      <c r="V88" s="3" t="s">
        <v>50</v>
      </c>
      <c r="W88" s="23">
        <f>'Análise Técnica'!$C$3</f>
        <v>750</v>
      </c>
      <c r="X88" s="23">
        <f t="shared" si="37"/>
        <v>864.89248881124036</v>
      </c>
      <c r="Y88" s="54">
        <f t="shared" si="48"/>
        <v>0</v>
      </c>
      <c r="Z88" s="54">
        <f t="shared" si="49"/>
        <v>114.89248881124036</v>
      </c>
      <c r="AA88" s="54">
        <f t="shared" si="40"/>
        <v>100</v>
      </c>
      <c r="AB88" s="54">
        <f t="shared" si="41"/>
        <v>0</v>
      </c>
      <c r="AC88" s="54">
        <f t="shared" si="50"/>
        <v>1310.8314889601404</v>
      </c>
      <c r="AD88" s="58">
        <f t="shared" si="51"/>
        <v>0</v>
      </c>
      <c r="AE88" s="2">
        <f t="shared" si="42"/>
        <v>1606.7102519808006</v>
      </c>
      <c r="AF88" s="2">
        <f t="shared" si="43"/>
        <v>214.22803359744009</v>
      </c>
      <c r="AG88" s="12">
        <f t="shared" si="52"/>
        <v>1392.4822183833605</v>
      </c>
      <c r="AH88" s="2">
        <f t="shared" si="53"/>
        <v>0</v>
      </c>
      <c r="AI88" s="12">
        <f t="shared" si="44"/>
        <v>1392.4822183833605</v>
      </c>
      <c r="AJ88" s="12">
        <f t="shared" si="56"/>
        <v>74155.320731087326</v>
      </c>
      <c r="AK88" s="86">
        <f t="shared" si="45"/>
        <v>0.8666666666666667</v>
      </c>
      <c r="AL88" s="12">
        <f t="shared" si="54"/>
        <v>101988.24804910088</v>
      </c>
      <c r="AM88" s="124">
        <f t="shared" si="46"/>
        <v>9.7824495513217674E-2</v>
      </c>
      <c r="AN88" s="72"/>
      <c r="AO88" s="59">
        <v>85</v>
      </c>
      <c r="AP88" s="125">
        <f t="shared" si="47"/>
        <v>16497.798090840846</v>
      </c>
      <c r="AQ88" s="125">
        <f t="shared" si="55"/>
        <v>74155.320731087326</v>
      </c>
    </row>
    <row r="89" spans="19:43" x14ac:dyDescent="0.25">
      <c r="S89" s="9" t="str">
        <f t="shared" si="39"/>
        <v/>
      </c>
      <c r="T89" s="59">
        <v>7</v>
      </c>
      <c r="U89" s="59">
        <v>2</v>
      </c>
      <c r="V89" s="3" t="s">
        <v>51</v>
      </c>
      <c r="W89" s="23">
        <f>'Análise Técnica'!$C$3</f>
        <v>750</v>
      </c>
      <c r="X89" s="23">
        <f t="shared" si="37"/>
        <v>910.92056804319418</v>
      </c>
      <c r="Y89" s="54">
        <f t="shared" si="48"/>
        <v>0</v>
      </c>
      <c r="Z89" s="54">
        <f t="shared" si="49"/>
        <v>160.92056804319418</v>
      </c>
      <c r="AA89" s="54">
        <f t="shared" si="40"/>
        <v>100</v>
      </c>
      <c r="AB89" s="54">
        <f t="shared" si="41"/>
        <v>0</v>
      </c>
      <c r="AC89" s="54">
        <f t="shared" si="50"/>
        <v>1471.7520570033346</v>
      </c>
      <c r="AD89" s="58">
        <f t="shared" si="51"/>
        <v>0</v>
      </c>
      <c r="AE89" s="2">
        <f t="shared" si="42"/>
        <v>1606.7102519808006</v>
      </c>
      <c r="AF89" s="2">
        <f t="shared" si="43"/>
        <v>214.22803359744009</v>
      </c>
      <c r="AG89" s="12">
        <f t="shared" si="52"/>
        <v>1392.4822183833605</v>
      </c>
      <c r="AH89" s="2">
        <f t="shared" si="53"/>
        <v>0</v>
      </c>
      <c r="AI89" s="12">
        <f t="shared" si="44"/>
        <v>1392.4822183833605</v>
      </c>
      <c r="AJ89" s="12">
        <f t="shared" si="56"/>
        <v>75547.802949470686</v>
      </c>
      <c r="AK89" s="86">
        <f t="shared" si="45"/>
        <v>0.8666666666666667</v>
      </c>
      <c r="AL89" s="12">
        <f t="shared" si="54"/>
        <v>103594.95830108167</v>
      </c>
      <c r="AM89" s="124">
        <f t="shared" si="46"/>
        <v>9.7824495513217674E-2</v>
      </c>
      <c r="AN89" s="72"/>
      <c r="AO89" s="59">
        <v>86</v>
      </c>
      <c r="AP89" s="125">
        <f t="shared" si="47"/>
        <v>16549.094197812174</v>
      </c>
      <c r="AQ89" s="125">
        <f t="shared" si="55"/>
        <v>75547.802949470686</v>
      </c>
    </row>
    <row r="90" spans="19:43" x14ac:dyDescent="0.25">
      <c r="S90" s="9" t="str">
        <f t="shared" si="39"/>
        <v/>
      </c>
      <c r="T90" s="59">
        <v>7</v>
      </c>
      <c r="U90" s="59">
        <v>3</v>
      </c>
      <c r="V90" s="3" t="s">
        <v>52</v>
      </c>
      <c r="W90" s="23">
        <f>'Análise Técnica'!$C$3</f>
        <v>750</v>
      </c>
      <c r="X90" s="23">
        <f t="shared" si="37"/>
        <v>764.42517950488468</v>
      </c>
      <c r="Y90" s="54">
        <f t="shared" si="48"/>
        <v>0</v>
      </c>
      <c r="Z90" s="54">
        <f t="shared" si="49"/>
        <v>14.425179504884682</v>
      </c>
      <c r="AA90" s="54">
        <f t="shared" si="40"/>
        <v>100</v>
      </c>
      <c r="AB90" s="54">
        <f t="shared" si="41"/>
        <v>0</v>
      </c>
      <c r="AC90" s="54">
        <f t="shared" si="50"/>
        <v>1486.1772365082193</v>
      </c>
      <c r="AD90" s="58">
        <f t="shared" si="51"/>
        <v>0</v>
      </c>
      <c r="AE90" s="2">
        <f t="shared" si="42"/>
        <v>1606.7102519808006</v>
      </c>
      <c r="AF90" s="2">
        <f t="shared" si="43"/>
        <v>214.22803359744009</v>
      </c>
      <c r="AG90" s="12">
        <f t="shared" si="52"/>
        <v>1392.4822183833605</v>
      </c>
      <c r="AH90" s="2">
        <f t="shared" si="53"/>
        <v>0</v>
      </c>
      <c r="AI90" s="12">
        <f t="shared" si="44"/>
        <v>1392.4822183833605</v>
      </c>
      <c r="AJ90" s="12">
        <f t="shared" si="56"/>
        <v>76940.285167854046</v>
      </c>
      <c r="AK90" s="86">
        <f t="shared" si="45"/>
        <v>0.8666666666666667</v>
      </c>
      <c r="AL90" s="12">
        <f t="shared" si="54"/>
        <v>105201.66855306247</v>
      </c>
      <c r="AM90" s="124">
        <f t="shared" si="46"/>
        <v>9.7824495513217674E-2</v>
      </c>
      <c r="AN90" s="72"/>
      <c r="AO90" s="59">
        <v>87</v>
      </c>
      <c r="AP90" s="125">
        <f t="shared" si="47"/>
        <v>16600.535643753257</v>
      </c>
      <c r="AQ90" s="125">
        <f t="shared" si="55"/>
        <v>76940.285167854046</v>
      </c>
    </row>
    <row r="91" spans="19:43" x14ac:dyDescent="0.25">
      <c r="S91" s="9" t="str">
        <f t="shared" si="39"/>
        <v/>
      </c>
      <c r="T91" s="59">
        <v>7</v>
      </c>
      <c r="U91" s="59">
        <v>4</v>
      </c>
      <c r="V91" s="3" t="s">
        <v>53</v>
      </c>
      <c r="W91" s="23">
        <f>'Análise Técnica'!$C$3</f>
        <v>750</v>
      </c>
      <c r="X91" s="23">
        <f t="shared" si="37"/>
        <v>677.86807596150175</v>
      </c>
      <c r="Y91" s="54">
        <f t="shared" si="48"/>
        <v>72.131924038498255</v>
      </c>
      <c r="Z91" s="54">
        <f t="shared" si="49"/>
        <v>0</v>
      </c>
      <c r="AA91" s="54">
        <f t="shared" si="40"/>
        <v>100</v>
      </c>
      <c r="AB91" s="54">
        <f t="shared" si="41"/>
        <v>0</v>
      </c>
      <c r="AC91" s="54">
        <f t="shared" si="50"/>
        <v>1486.1772365082193</v>
      </c>
      <c r="AD91" s="58">
        <f t="shared" si="51"/>
        <v>0</v>
      </c>
      <c r="AE91" s="2">
        <f t="shared" si="42"/>
        <v>1606.7102519808006</v>
      </c>
      <c r="AF91" s="2">
        <f t="shared" si="43"/>
        <v>214.22803359744009</v>
      </c>
      <c r="AG91" s="12">
        <f t="shared" si="52"/>
        <v>1392.4822183833605</v>
      </c>
      <c r="AH91" s="2">
        <f t="shared" si="53"/>
        <v>0</v>
      </c>
      <c r="AI91" s="12">
        <f t="shared" si="44"/>
        <v>1392.4822183833605</v>
      </c>
      <c r="AJ91" s="12">
        <f t="shared" si="56"/>
        <v>78332.767386237407</v>
      </c>
      <c r="AK91" s="86">
        <f t="shared" si="45"/>
        <v>0.8666666666666667</v>
      </c>
      <c r="AL91" s="12">
        <f t="shared" si="54"/>
        <v>106808.37880504326</v>
      </c>
      <c r="AM91" s="124">
        <f t="shared" si="46"/>
        <v>9.7824495513217674E-2</v>
      </c>
      <c r="AN91" s="72"/>
      <c r="AO91" s="59">
        <v>88</v>
      </c>
      <c r="AP91" s="125">
        <f t="shared" si="47"/>
        <v>16652.122840457836</v>
      </c>
      <c r="AQ91" s="125">
        <f t="shared" si="55"/>
        <v>78332.767386237407</v>
      </c>
    </row>
    <row r="92" spans="19:43" x14ac:dyDescent="0.25">
      <c r="S92" s="9" t="str">
        <f t="shared" si="39"/>
        <v/>
      </c>
      <c r="T92" s="59">
        <v>7</v>
      </c>
      <c r="U92" s="59">
        <v>5</v>
      </c>
      <c r="V92" s="3" t="s">
        <v>54</v>
      </c>
      <c r="W92" s="23">
        <f>'Análise Técnica'!$C$3</f>
        <v>750</v>
      </c>
      <c r="X92" s="23">
        <f t="shared" ref="X92:X155" si="57">X80*((1-$C$27))</f>
        <v>558.24596095511595</v>
      </c>
      <c r="Y92" s="54">
        <f t="shared" si="48"/>
        <v>191.75403904488405</v>
      </c>
      <c r="Z92" s="54">
        <f t="shared" si="49"/>
        <v>0</v>
      </c>
      <c r="AA92" s="54">
        <f t="shared" si="40"/>
        <v>100</v>
      </c>
      <c r="AB92" s="54">
        <f t="shared" si="41"/>
        <v>91.754039044884053</v>
      </c>
      <c r="AC92" s="54">
        <f t="shared" si="50"/>
        <v>1394.4231974633353</v>
      </c>
      <c r="AD92" s="58">
        <f t="shared" si="51"/>
        <v>0</v>
      </c>
      <c r="AE92" s="2">
        <f t="shared" si="42"/>
        <v>1606.7102519808006</v>
      </c>
      <c r="AF92" s="2">
        <f t="shared" si="43"/>
        <v>214.22803359744009</v>
      </c>
      <c r="AG92" s="12">
        <f t="shared" si="52"/>
        <v>1392.4822183833605</v>
      </c>
      <c r="AH92" s="2">
        <f t="shared" si="53"/>
        <v>0</v>
      </c>
      <c r="AI92" s="12">
        <f t="shared" si="44"/>
        <v>1392.4822183833605</v>
      </c>
      <c r="AJ92" s="12">
        <f t="shared" si="56"/>
        <v>79725.249604620767</v>
      </c>
      <c r="AK92" s="86">
        <f t="shared" si="45"/>
        <v>0.8666666666666667</v>
      </c>
      <c r="AL92" s="12">
        <f t="shared" si="54"/>
        <v>108415.08905702406</v>
      </c>
      <c r="AM92" s="124">
        <f t="shared" si="46"/>
        <v>9.7824495513217674E-2</v>
      </c>
      <c r="AN92" s="72"/>
      <c r="AO92" s="59">
        <v>89</v>
      </c>
      <c r="AP92" s="125">
        <f t="shared" si="47"/>
        <v>16703.85620088641</v>
      </c>
      <c r="AQ92" s="125">
        <f t="shared" si="55"/>
        <v>79725.249604620767</v>
      </c>
    </row>
    <row r="93" spans="19:43" x14ac:dyDescent="0.25">
      <c r="S93" s="9" t="str">
        <f t="shared" si="39"/>
        <v/>
      </c>
      <c r="T93" s="59">
        <v>7</v>
      </c>
      <c r="U93" s="59">
        <v>6</v>
      </c>
      <c r="V93" s="3" t="s">
        <v>55</v>
      </c>
      <c r="W93" s="23">
        <f>'Análise Técnica'!$C$3</f>
        <v>750</v>
      </c>
      <c r="X93" s="23">
        <f t="shared" si="57"/>
        <v>516.26088868272575</v>
      </c>
      <c r="Y93" s="54">
        <f t="shared" si="48"/>
        <v>233.73911131727425</v>
      </c>
      <c r="Z93" s="54">
        <f t="shared" si="49"/>
        <v>0</v>
      </c>
      <c r="AA93" s="54">
        <f t="shared" si="40"/>
        <v>100</v>
      </c>
      <c r="AB93" s="54">
        <f t="shared" si="41"/>
        <v>133.73911131727425</v>
      </c>
      <c r="AC93" s="54">
        <f t="shared" si="50"/>
        <v>1260.684086146061</v>
      </c>
      <c r="AD93" s="58">
        <f t="shared" si="51"/>
        <v>0</v>
      </c>
      <c r="AE93" s="2">
        <f t="shared" si="42"/>
        <v>1606.7102519808006</v>
      </c>
      <c r="AF93" s="2">
        <f t="shared" si="43"/>
        <v>214.22803359744009</v>
      </c>
      <c r="AG93" s="12">
        <f t="shared" si="52"/>
        <v>1392.4822183833605</v>
      </c>
      <c r="AH93" s="2">
        <f t="shared" si="53"/>
        <v>0</v>
      </c>
      <c r="AI93" s="12">
        <f t="shared" si="44"/>
        <v>1392.4822183833605</v>
      </c>
      <c r="AJ93" s="12">
        <f t="shared" si="56"/>
        <v>81117.731823004127</v>
      </c>
      <c r="AK93" s="86">
        <f t="shared" si="45"/>
        <v>0.8666666666666667</v>
      </c>
      <c r="AL93" s="12">
        <f t="shared" si="54"/>
        <v>110021.79930900485</v>
      </c>
      <c r="AM93" s="124">
        <f t="shared" si="46"/>
        <v>9.7824495513217674E-2</v>
      </c>
      <c r="AN93" s="72"/>
      <c r="AO93" s="59">
        <v>90</v>
      </c>
      <c r="AP93" s="125">
        <f t="shared" si="47"/>
        <v>16755.736139169534</v>
      </c>
      <c r="AQ93" s="125">
        <f t="shared" si="55"/>
        <v>81117.731823004127</v>
      </c>
    </row>
    <row r="94" spans="19:43" x14ac:dyDescent="0.25">
      <c r="S94" s="9" t="str">
        <f t="shared" si="39"/>
        <v/>
      </c>
      <c r="T94" s="59">
        <v>7</v>
      </c>
      <c r="U94" s="59">
        <v>7</v>
      </c>
      <c r="V94" s="3" t="s">
        <v>56</v>
      </c>
      <c r="W94" s="23">
        <f>'Análise Técnica'!$C$3</f>
        <v>750</v>
      </c>
      <c r="X94" s="23">
        <f t="shared" si="57"/>
        <v>516.19020674287299</v>
      </c>
      <c r="Y94" s="54">
        <f t="shared" si="48"/>
        <v>233.80979325712701</v>
      </c>
      <c r="Z94" s="54">
        <f t="shared" si="49"/>
        <v>0</v>
      </c>
      <c r="AA94" s="54">
        <f t="shared" si="40"/>
        <v>100</v>
      </c>
      <c r="AB94" s="54">
        <f t="shared" si="41"/>
        <v>133.80979325712701</v>
      </c>
      <c r="AC94" s="54">
        <f t="shared" si="50"/>
        <v>1126.874292888934</v>
      </c>
      <c r="AD94" s="58">
        <f t="shared" si="51"/>
        <v>0</v>
      </c>
      <c r="AE94" s="2">
        <f t="shared" si="42"/>
        <v>1606.7102519808006</v>
      </c>
      <c r="AF94" s="2">
        <f t="shared" si="43"/>
        <v>214.22803359744009</v>
      </c>
      <c r="AG94" s="12">
        <f t="shared" si="52"/>
        <v>1392.4822183833605</v>
      </c>
      <c r="AH94" s="2">
        <f t="shared" si="53"/>
        <v>0</v>
      </c>
      <c r="AI94" s="12">
        <f t="shared" si="44"/>
        <v>1392.4822183833605</v>
      </c>
      <c r="AJ94" s="12">
        <f t="shared" si="56"/>
        <v>82510.214041387488</v>
      </c>
      <c r="AK94" s="86">
        <f t="shared" si="45"/>
        <v>0.8666666666666667</v>
      </c>
      <c r="AL94" s="12">
        <f t="shared" si="54"/>
        <v>111628.50956098565</v>
      </c>
      <c r="AM94" s="124">
        <f t="shared" si="46"/>
        <v>9.7824495513217674E-2</v>
      </c>
      <c r="AN94" s="72"/>
      <c r="AO94" s="59">
        <v>91</v>
      </c>
      <c r="AP94" s="125">
        <f t="shared" si="47"/>
        <v>16807.763070611123</v>
      </c>
      <c r="AQ94" s="125">
        <f t="shared" si="55"/>
        <v>82510.214041387488</v>
      </c>
    </row>
    <row r="95" spans="19:43" x14ac:dyDescent="0.25">
      <c r="S95" s="9" t="str">
        <f t="shared" si="39"/>
        <v/>
      </c>
      <c r="T95" s="59">
        <v>7</v>
      </c>
      <c r="U95" s="59">
        <v>8</v>
      </c>
      <c r="V95" s="3" t="s">
        <v>57</v>
      </c>
      <c r="W95" s="23">
        <f>'Análise Técnica'!$C$3</f>
        <v>750</v>
      </c>
      <c r="X95" s="23">
        <f t="shared" si="57"/>
        <v>638.3144624200379</v>
      </c>
      <c r="Y95" s="54">
        <f t="shared" si="48"/>
        <v>111.6855375799621</v>
      </c>
      <c r="Z95" s="54">
        <f t="shared" si="49"/>
        <v>0</v>
      </c>
      <c r="AA95" s="54">
        <f t="shared" si="40"/>
        <v>100</v>
      </c>
      <c r="AB95" s="54">
        <f t="shared" si="41"/>
        <v>11.685537579962102</v>
      </c>
      <c r="AC95" s="54">
        <f t="shared" si="50"/>
        <v>1115.1887553089718</v>
      </c>
      <c r="AD95" s="58">
        <f t="shared" si="51"/>
        <v>0</v>
      </c>
      <c r="AE95" s="2">
        <f t="shared" si="42"/>
        <v>1606.7102519808006</v>
      </c>
      <c r="AF95" s="2">
        <f t="shared" si="43"/>
        <v>214.22803359744009</v>
      </c>
      <c r="AG95" s="12">
        <f t="shared" si="52"/>
        <v>1392.4822183833605</v>
      </c>
      <c r="AH95" s="2">
        <f t="shared" si="53"/>
        <v>0</v>
      </c>
      <c r="AI95" s="12">
        <f t="shared" si="44"/>
        <v>1392.4822183833605</v>
      </c>
      <c r="AJ95" s="12">
        <f t="shared" si="56"/>
        <v>83902.696259770848</v>
      </c>
      <c r="AK95" s="86">
        <f t="shared" si="45"/>
        <v>0.8666666666666667</v>
      </c>
      <c r="AL95" s="12">
        <f t="shared" si="54"/>
        <v>113235.21981296645</v>
      </c>
      <c r="AM95" s="124">
        <f t="shared" si="46"/>
        <v>9.7824495513217674E-2</v>
      </c>
      <c r="AN95" s="72"/>
      <c r="AO95" s="59">
        <v>92</v>
      </c>
      <c r="AP95" s="125">
        <f t="shared" si="47"/>
        <v>16859.937411691801</v>
      </c>
      <c r="AQ95" s="125">
        <f t="shared" si="55"/>
        <v>83902.696259770848</v>
      </c>
    </row>
    <row r="96" spans="19:43" x14ac:dyDescent="0.25">
      <c r="S96" s="9" t="str">
        <f t="shared" si="39"/>
        <v/>
      </c>
      <c r="T96" s="59">
        <v>7</v>
      </c>
      <c r="U96" s="59">
        <v>9</v>
      </c>
      <c r="V96" s="3" t="s">
        <v>58</v>
      </c>
      <c r="W96" s="23">
        <f>'Análise Técnica'!$C$3</f>
        <v>750</v>
      </c>
      <c r="X96" s="23">
        <f t="shared" si="57"/>
        <v>648.3512978790942</v>
      </c>
      <c r="Y96" s="54">
        <f t="shared" si="48"/>
        <v>101.6487021209058</v>
      </c>
      <c r="Z96" s="54">
        <f t="shared" si="49"/>
        <v>0</v>
      </c>
      <c r="AA96" s="54">
        <f t="shared" si="40"/>
        <v>100</v>
      </c>
      <c r="AB96" s="54">
        <f t="shared" si="41"/>
        <v>1.6487021209057957</v>
      </c>
      <c r="AC96" s="54">
        <f t="shared" si="50"/>
        <v>1113.5400531880659</v>
      </c>
      <c r="AD96" s="58">
        <f t="shared" si="51"/>
        <v>0</v>
      </c>
      <c r="AE96" s="2">
        <f t="shared" si="42"/>
        <v>1606.7102519808006</v>
      </c>
      <c r="AF96" s="2">
        <f t="shared" si="43"/>
        <v>214.22803359744009</v>
      </c>
      <c r="AG96" s="12">
        <f t="shared" si="52"/>
        <v>1392.4822183833605</v>
      </c>
      <c r="AH96" s="2">
        <f t="shared" si="53"/>
        <v>0</v>
      </c>
      <c r="AI96" s="12">
        <f t="shared" si="44"/>
        <v>1392.4822183833605</v>
      </c>
      <c r="AJ96" s="12">
        <f t="shared" si="56"/>
        <v>85295.178478154208</v>
      </c>
      <c r="AK96" s="86">
        <f t="shared" si="45"/>
        <v>0.8666666666666667</v>
      </c>
      <c r="AL96" s="12">
        <f t="shared" si="54"/>
        <v>114841.93006494724</v>
      </c>
      <c r="AM96" s="124">
        <f t="shared" si="46"/>
        <v>9.7824495513217674E-2</v>
      </c>
      <c r="AN96" s="72"/>
      <c r="AO96" s="59">
        <v>93</v>
      </c>
      <c r="AP96" s="125">
        <f t="shared" si="47"/>
        <v>16912.259580072205</v>
      </c>
      <c r="AQ96" s="125">
        <f t="shared" si="55"/>
        <v>85295.178478154208</v>
      </c>
    </row>
    <row r="97" spans="19:43" x14ac:dyDescent="0.25">
      <c r="S97" s="9" t="str">
        <f t="shared" si="39"/>
        <v/>
      </c>
      <c r="T97" s="59">
        <v>7</v>
      </c>
      <c r="U97" s="59">
        <v>10</v>
      </c>
      <c r="V97" s="3" t="s">
        <v>59</v>
      </c>
      <c r="W97" s="23">
        <f>'Análise Técnica'!$C$3</f>
        <v>750</v>
      </c>
      <c r="X97" s="23">
        <f t="shared" si="57"/>
        <v>725.30979399050591</v>
      </c>
      <c r="Y97" s="54">
        <f t="shared" si="48"/>
        <v>24.690206009494091</v>
      </c>
      <c r="Z97" s="54">
        <f t="shared" si="49"/>
        <v>0</v>
      </c>
      <c r="AA97" s="54">
        <f t="shared" si="40"/>
        <v>100</v>
      </c>
      <c r="AB97" s="54">
        <f t="shared" si="41"/>
        <v>0</v>
      </c>
      <c r="AC97" s="54">
        <f t="shared" si="50"/>
        <v>1113.5400531880659</v>
      </c>
      <c r="AD97" s="58">
        <f t="shared" si="51"/>
        <v>0</v>
      </c>
      <c r="AE97" s="2">
        <f t="shared" si="42"/>
        <v>1606.7102519808006</v>
      </c>
      <c r="AF97" s="2">
        <f t="shared" si="43"/>
        <v>214.22803359744009</v>
      </c>
      <c r="AG97" s="12">
        <f t="shared" si="52"/>
        <v>1392.4822183833605</v>
      </c>
      <c r="AH97" s="2">
        <f t="shared" si="53"/>
        <v>0</v>
      </c>
      <c r="AI97" s="12">
        <f t="shared" si="44"/>
        <v>1392.4822183833605</v>
      </c>
      <c r="AJ97" s="12">
        <f t="shared" si="56"/>
        <v>86687.660696537569</v>
      </c>
      <c r="AK97" s="86">
        <f t="shared" si="45"/>
        <v>0.8666666666666667</v>
      </c>
      <c r="AL97" s="12">
        <f t="shared" si="54"/>
        <v>116448.64031692804</v>
      </c>
      <c r="AM97" s="124">
        <f t="shared" si="46"/>
        <v>9.7824495513217674E-2</v>
      </c>
      <c r="AN97" s="72"/>
      <c r="AO97" s="59">
        <v>94</v>
      </c>
      <c r="AP97" s="125">
        <f t="shared" si="47"/>
        <v>16964.729994596353</v>
      </c>
      <c r="AQ97" s="125">
        <f t="shared" si="55"/>
        <v>86687.660696537569</v>
      </c>
    </row>
    <row r="98" spans="19:43" x14ac:dyDescent="0.25">
      <c r="S98" s="9" t="str">
        <f t="shared" si="39"/>
        <v/>
      </c>
      <c r="T98" s="59">
        <v>7</v>
      </c>
      <c r="U98" s="59">
        <v>11</v>
      </c>
      <c r="V98" s="3" t="s">
        <v>60</v>
      </c>
      <c r="W98" s="23">
        <f>'Análise Técnica'!$C$3</f>
        <v>750</v>
      </c>
      <c r="X98" s="23">
        <f t="shared" si="57"/>
        <v>730.54025753959161</v>
      </c>
      <c r="Y98" s="54">
        <f t="shared" si="48"/>
        <v>19.459742460408393</v>
      </c>
      <c r="Z98" s="54">
        <f t="shared" si="49"/>
        <v>0</v>
      </c>
      <c r="AA98" s="54">
        <f t="shared" si="40"/>
        <v>100</v>
      </c>
      <c r="AB98" s="54">
        <f t="shared" si="41"/>
        <v>0</v>
      </c>
      <c r="AC98" s="54">
        <f t="shared" si="50"/>
        <v>1113.5400531880659</v>
      </c>
      <c r="AD98" s="58">
        <f t="shared" si="51"/>
        <v>0</v>
      </c>
      <c r="AE98" s="2">
        <f t="shared" si="42"/>
        <v>1606.7102519808006</v>
      </c>
      <c r="AF98" s="2">
        <f t="shared" si="43"/>
        <v>214.22803359744009</v>
      </c>
      <c r="AG98" s="12">
        <f t="shared" si="52"/>
        <v>1392.4822183833605</v>
      </c>
      <c r="AH98" s="2">
        <f t="shared" si="53"/>
        <v>0</v>
      </c>
      <c r="AI98" s="12">
        <f t="shared" si="44"/>
        <v>1392.4822183833605</v>
      </c>
      <c r="AJ98" s="12">
        <f t="shared" si="56"/>
        <v>88080.142914920929</v>
      </c>
      <c r="AK98" s="86">
        <f t="shared" si="45"/>
        <v>0.8666666666666667</v>
      </c>
      <c r="AL98" s="12">
        <f t="shared" si="54"/>
        <v>118055.35056890883</v>
      </c>
      <c r="AM98" s="124">
        <f t="shared" si="46"/>
        <v>9.7824495513217674E-2</v>
      </c>
      <c r="AN98" s="72"/>
      <c r="AO98" s="59">
        <v>95</v>
      </c>
      <c r="AP98" s="125">
        <f t="shared" si="47"/>
        <v>17017.349075294991</v>
      </c>
      <c r="AQ98" s="125">
        <f t="shared" si="55"/>
        <v>88080.142914920929</v>
      </c>
    </row>
    <row r="99" spans="19:43" x14ac:dyDescent="0.25">
      <c r="S99" s="9" t="str">
        <f t="shared" si="39"/>
        <v/>
      </c>
      <c r="T99" s="59">
        <v>7</v>
      </c>
      <c r="U99" s="59">
        <v>12</v>
      </c>
      <c r="V99" s="3" t="s">
        <v>61</v>
      </c>
      <c r="W99" s="23">
        <f>'Análise Técnica'!$C$3</f>
        <v>750</v>
      </c>
      <c r="X99" s="23">
        <f t="shared" si="57"/>
        <v>838.14644277105117</v>
      </c>
      <c r="Y99" s="54">
        <f t="shared" si="48"/>
        <v>0</v>
      </c>
      <c r="Z99" s="54">
        <f t="shared" si="49"/>
        <v>88.14644277105117</v>
      </c>
      <c r="AA99" s="54">
        <f t="shared" si="40"/>
        <v>100</v>
      </c>
      <c r="AB99" s="54">
        <f t="shared" si="41"/>
        <v>0</v>
      </c>
      <c r="AC99" s="54">
        <f t="shared" si="50"/>
        <v>1201.6864959591171</v>
      </c>
      <c r="AD99" s="58">
        <f t="shared" si="51"/>
        <v>0</v>
      </c>
      <c r="AE99" s="2">
        <f t="shared" si="42"/>
        <v>1606.7102519808006</v>
      </c>
      <c r="AF99" s="2">
        <f t="shared" si="43"/>
        <v>214.22803359744009</v>
      </c>
      <c r="AG99" s="12">
        <f t="shared" si="52"/>
        <v>1392.4822183833605</v>
      </c>
      <c r="AH99" s="2">
        <f t="shared" si="53"/>
        <v>0</v>
      </c>
      <c r="AI99" s="12">
        <f t="shared" si="44"/>
        <v>1392.4822183833605</v>
      </c>
      <c r="AJ99" s="12">
        <f t="shared" si="56"/>
        <v>89472.625133304289</v>
      </c>
      <c r="AK99" s="86">
        <f t="shared" si="45"/>
        <v>0.8666666666666667</v>
      </c>
      <c r="AL99" s="12">
        <f t="shared" si="54"/>
        <v>119662.06082088963</v>
      </c>
      <c r="AM99" s="124">
        <f t="shared" si="46"/>
        <v>9.7824495513217674E-2</v>
      </c>
      <c r="AN99" s="72"/>
      <c r="AO99" s="59">
        <v>96</v>
      </c>
      <c r="AP99" s="125">
        <f t="shared" si="47"/>
        <v>17070.117243388937</v>
      </c>
      <c r="AQ99" s="125">
        <f t="shared" si="55"/>
        <v>89472.625133304289</v>
      </c>
    </row>
    <row r="100" spans="19:43" x14ac:dyDescent="0.25">
      <c r="S100" s="9" t="str">
        <f t="shared" si="39"/>
        <v/>
      </c>
      <c r="T100" s="59">
        <v>8</v>
      </c>
      <c r="U100" s="59">
        <v>1</v>
      </c>
      <c r="V100" s="3" t="s">
        <v>50</v>
      </c>
      <c r="W100" s="23">
        <f>'Análise Técnica'!$C$3</f>
        <v>750</v>
      </c>
      <c r="X100" s="23">
        <f t="shared" si="57"/>
        <v>858.83824138956163</v>
      </c>
      <c r="Y100" s="54">
        <f t="shared" si="48"/>
        <v>0</v>
      </c>
      <c r="Z100" s="54">
        <f t="shared" si="49"/>
        <v>108.83824138956163</v>
      </c>
      <c r="AA100" s="54">
        <f t="shared" si="40"/>
        <v>100</v>
      </c>
      <c r="AB100" s="54">
        <f t="shared" si="41"/>
        <v>0</v>
      </c>
      <c r="AC100" s="54">
        <f t="shared" si="50"/>
        <v>1310.5247373486786</v>
      </c>
      <c r="AD100" s="58">
        <f t="shared" si="51"/>
        <v>0</v>
      </c>
      <c r="AE100" s="2">
        <f t="shared" si="42"/>
        <v>1735.2470721392647</v>
      </c>
      <c r="AF100" s="2">
        <f t="shared" si="43"/>
        <v>231.3662762852353</v>
      </c>
      <c r="AG100" s="12">
        <f t="shared" si="52"/>
        <v>1503.8807958540294</v>
      </c>
      <c r="AH100" s="2">
        <f t="shared" si="53"/>
        <v>0</v>
      </c>
      <c r="AI100" s="12">
        <f t="shared" si="44"/>
        <v>1503.8807958540294</v>
      </c>
      <c r="AJ100" s="12">
        <f t="shared" si="56"/>
        <v>90976.505929158317</v>
      </c>
      <c r="AK100" s="86">
        <f t="shared" si="45"/>
        <v>0.8666666666666667</v>
      </c>
      <c r="AL100" s="12">
        <f t="shared" si="54"/>
        <v>121397.30789302889</v>
      </c>
      <c r="AM100" s="124">
        <f t="shared" si="46"/>
        <v>0.10565045515427508</v>
      </c>
      <c r="AN100" s="72"/>
      <c r="AO100" s="59">
        <v>97</v>
      </c>
      <c r="AP100" s="125">
        <f t="shared" si="47"/>
        <v>16994.498101134021</v>
      </c>
      <c r="AQ100" s="125">
        <f t="shared" si="55"/>
        <v>90976.505929158317</v>
      </c>
    </row>
    <row r="101" spans="19:43" x14ac:dyDescent="0.25">
      <c r="S101" s="9" t="str">
        <f t="shared" si="39"/>
        <v/>
      </c>
      <c r="T101" s="59">
        <v>8</v>
      </c>
      <c r="U101" s="59">
        <v>2</v>
      </c>
      <c r="V101" s="3" t="s">
        <v>51</v>
      </c>
      <c r="W101" s="23">
        <f>'Análise Técnica'!$C$3</f>
        <v>750</v>
      </c>
      <c r="X101" s="23">
        <f t="shared" si="57"/>
        <v>904.54412406689187</v>
      </c>
      <c r="Y101" s="54">
        <f t="shared" si="48"/>
        <v>0</v>
      </c>
      <c r="Z101" s="54">
        <f t="shared" si="49"/>
        <v>154.54412406689187</v>
      </c>
      <c r="AA101" s="54">
        <f t="shared" si="40"/>
        <v>100</v>
      </c>
      <c r="AB101" s="54">
        <f t="shared" si="41"/>
        <v>0</v>
      </c>
      <c r="AC101" s="54">
        <f t="shared" si="50"/>
        <v>1465.0688614155706</v>
      </c>
      <c r="AD101" s="58">
        <f t="shared" si="51"/>
        <v>0</v>
      </c>
      <c r="AE101" s="2">
        <f t="shared" si="42"/>
        <v>1735.2470721392647</v>
      </c>
      <c r="AF101" s="2">
        <f t="shared" si="43"/>
        <v>231.3662762852353</v>
      </c>
      <c r="AG101" s="12">
        <f t="shared" si="52"/>
        <v>1503.8807958540294</v>
      </c>
      <c r="AH101" s="2">
        <f t="shared" si="53"/>
        <v>0</v>
      </c>
      <c r="AI101" s="12">
        <f t="shared" si="44"/>
        <v>1503.8807958540294</v>
      </c>
      <c r="AJ101" s="12">
        <f t="shared" si="56"/>
        <v>92480.386725012344</v>
      </c>
      <c r="AK101" s="86">
        <f t="shared" si="45"/>
        <v>0.8666666666666667</v>
      </c>
      <c r="AL101" s="12">
        <f t="shared" si="54"/>
        <v>123132.55496516815</v>
      </c>
      <c r="AM101" s="124">
        <f t="shared" si="46"/>
        <v>0.10565045515427508</v>
      </c>
      <c r="AN101" s="72"/>
      <c r="AO101" s="59">
        <v>98</v>
      </c>
      <c r="AP101" s="125">
        <f t="shared" si="47"/>
        <v>17047.565712458294</v>
      </c>
      <c r="AQ101" s="125">
        <f t="shared" si="55"/>
        <v>92480.386725012344</v>
      </c>
    </row>
    <row r="102" spans="19:43" x14ac:dyDescent="0.25">
      <c r="S102" s="9" t="str">
        <f t="shared" si="39"/>
        <v/>
      </c>
      <c r="T102" s="59">
        <v>8</v>
      </c>
      <c r="U102" s="59">
        <v>3</v>
      </c>
      <c r="V102" s="3" t="s">
        <v>52</v>
      </c>
      <c r="W102" s="23">
        <f>'Análise Técnica'!$C$3</f>
        <v>750</v>
      </c>
      <c r="X102" s="23">
        <f t="shared" si="57"/>
        <v>759.0742032483505</v>
      </c>
      <c r="Y102" s="54">
        <f t="shared" si="48"/>
        <v>0</v>
      </c>
      <c r="Z102" s="54">
        <f t="shared" si="49"/>
        <v>9.0742032483505</v>
      </c>
      <c r="AA102" s="54">
        <f t="shared" si="40"/>
        <v>100</v>
      </c>
      <c r="AB102" s="54">
        <f t="shared" si="41"/>
        <v>0</v>
      </c>
      <c r="AC102" s="54">
        <f t="shared" si="50"/>
        <v>1474.143064663921</v>
      </c>
      <c r="AD102" s="58">
        <f t="shared" si="51"/>
        <v>0</v>
      </c>
      <c r="AE102" s="2">
        <f t="shared" si="42"/>
        <v>1735.2470721392647</v>
      </c>
      <c r="AF102" s="2">
        <f t="shared" si="43"/>
        <v>231.3662762852353</v>
      </c>
      <c r="AG102" s="12">
        <f t="shared" si="52"/>
        <v>1503.8807958540294</v>
      </c>
      <c r="AH102" s="2">
        <f t="shared" si="53"/>
        <v>0</v>
      </c>
      <c r="AI102" s="12">
        <f t="shared" si="44"/>
        <v>1503.8807958540294</v>
      </c>
      <c r="AJ102" s="12">
        <f t="shared" si="56"/>
        <v>93984.267520866371</v>
      </c>
      <c r="AK102" s="86">
        <f t="shared" si="45"/>
        <v>0.8666666666666667</v>
      </c>
      <c r="AL102" s="12">
        <f t="shared" si="54"/>
        <v>124867.80203730741</v>
      </c>
      <c r="AM102" s="124">
        <f t="shared" si="46"/>
        <v>0.10565045515427508</v>
      </c>
      <c r="AN102" s="72"/>
      <c r="AO102" s="59">
        <v>99</v>
      </c>
      <c r="AP102" s="125">
        <f t="shared" si="47"/>
        <v>17100.783682014651</v>
      </c>
      <c r="AQ102" s="125">
        <f t="shared" si="55"/>
        <v>93984.267520866371</v>
      </c>
    </row>
    <row r="103" spans="19:43" x14ac:dyDescent="0.25">
      <c r="S103" s="9" t="str">
        <f t="shared" si="39"/>
        <v/>
      </c>
      <c r="T103" s="59">
        <v>8</v>
      </c>
      <c r="U103" s="59">
        <v>4</v>
      </c>
      <c r="V103" s="3" t="s">
        <v>53</v>
      </c>
      <c r="W103" s="23">
        <f>'Análise Técnica'!$C$3</f>
        <v>750</v>
      </c>
      <c r="X103" s="23">
        <f t="shared" si="57"/>
        <v>673.1229994297712</v>
      </c>
      <c r="Y103" s="54">
        <f t="shared" si="48"/>
        <v>76.877000570228802</v>
      </c>
      <c r="Z103" s="54">
        <f t="shared" si="49"/>
        <v>0</v>
      </c>
      <c r="AA103" s="54">
        <f t="shared" si="40"/>
        <v>100</v>
      </c>
      <c r="AB103" s="54">
        <f t="shared" si="41"/>
        <v>0</v>
      </c>
      <c r="AC103" s="54">
        <f t="shared" si="50"/>
        <v>1474.143064663921</v>
      </c>
      <c r="AD103" s="58">
        <f t="shared" si="51"/>
        <v>0</v>
      </c>
      <c r="AE103" s="2">
        <f t="shared" si="42"/>
        <v>1735.2470721392647</v>
      </c>
      <c r="AF103" s="2">
        <f t="shared" si="43"/>
        <v>231.3662762852353</v>
      </c>
      <c r="AG103" s="12">
        <f t="shared" si="52"/>
        <v>1503.8807958540294</v>
      </c>
      <c r="AH103" s="2">
        <f t="shared" si="53"/>
        <v>0</v>
      </c>
      <c r="AI103" s="12">
        <f t="shared" si="44"/>
        <v>1503.8807958540294</v>
      </c>
      <c r="AJ103" s="12">
        <f t="shared" si="56"/>
        <v>95488.148316720399</v>
      </c>
      <c r="AK103" s="86">
        <f t="shared" si="45"/>
        <v>0.8666666666666667</v>
      </c>
      <c r="AL103" s="12">
        <f t="shared" si="54"/>
        <v>126603.04910944667</v>
      </c>
      <c r="AM103" s="124">
        <f t="shared" si="46"/>
        <v>0.10565045515427508</v>
      </c>
      <c r="AN103" s="72"/>
      <c r="AO103" s="59">
        <v>100</v>
      </c>
      <c r="AP103" s="125">
        <f t="shared" si="47"/>
        <v>17154.152435818087</v>
      </c>
      <c r="AQ103" s="125">
        <f t="shared" si="55"/>
        <v>95488.148316720399</v>
      </c>
    </row>
    <row r="104" spans="19:43" x14ac:dyDescent="0.25">
      <c r="S104" s="9" t="str">
        <f t="shared" si="39"/>
        <v/>
      </c>
      <c r="T104" s="59">
        <v>8</v>
      </c>
      <c r="U104" s="59">
        <v>5</v>
      </c>
      <c r="V104" s="3" t="s">
        <v>54</v>
      </c>
      <c r="W104" s="23">
        <f>'Análise Técnica'!$C$3</f>
        <v>750</v>
      </c>
      <c r="X104" s="23">
        <f t="shared" si="57"/>
        <v>554.3382392284301</v>
      </c>
      <c r="Y104" s="54">
        <f t="shared" si="48"/>
        <v>195.6617607715699</v>
      </c>
      <c r="Z104" s="54">
        <f t="shared" si="49"/>
        <v>0</v>
      </c>
      <c r="AA104" s="54">
        <f t="shared" si="40"/>
        <v>100</v>
      </c>
      <c r="AB104" s="54">
        <f t="shared" si="41"/>
        <v>95.661760771569902</v>
      </c>
      <c r="AC104" s="54">
        <f t="shared" si="50"/>
        <v>1378.4813038923512</v>
      </c>
      <c r="AD104" s="58">
        <f t="shared" si="51"/>
        <v>0</v>
      </c>
      <c r="AE104" s="2">
        <f t="shared" si="42"/>
        <v>1735.2470721392647</v>
      </c>
      <c r="AF104" s="2">
        <f t="shared" si="43"/>
        <v>231.3662762852353</v>
      </c>
      <c r="AG104" s="12">
        <f t="shared" si="52"/>
        <v>1503.8807958540294</v>
      </c>
      <c r="AH104" s="2">
        <f t="shared" si="53"/>
        <v>0</v>
      </c>
      <c r="AI104" s="12">
        <f t="shared" si="44"/>
        <v>1503.8807958540294</v>
      </c>
      <c r="AJ104" s="12">
        <f t="shared" si="56"/>
        <v>96992.029112574426</v>
      </c>
      <c r="AK104" s="86">
        <f t="shared" si="45"/>
        <v>0.8666666666666667</v>
      </c>
      <c r="AL104" s="12">
        <f t="shared" si="54"/>
        <v>128338.29618158593</v>
      </c>
      <c r="AM104" s="124">
        <f t="shared" si="46"/>
        <v>0.10565045515427508</v>
      </c>
      <c r="AN104" s="72"/>
      <c r="AO104" s="59">
        <v>101</v>
      </c>
      <c r="AP104" s="125">
        <f t="shared" si="47"/>
        <v>17207.672401090629</v>
      </c>
      <c r="AQ104" s="125">
        <f t="shared" si="55"/>
        <v>96992.029112574426</v>
      </c>
    </row>
    <row r="105" spans="19:43" x14ac:dyDescent="0.25">
      <c r="S105" s="9" t="str">
        <f t="shared" si="39"/>
        <v/>
      </c>
      <c r="T105" s="59">
        <v>8</v>
      </c>
      <c r="U105" s="59">
        <v>6</v>
      </c>
      <c r="V105" s="3" t="s">
        <v>55</v>
      </c>
      <c r="W105" s="23">
        <f>'Análise Técnica'!$C$3</f>
        <v>750</v>
      </c>
      <c r="X105" s="23">
        <f t="shared" si="57"/>
        <v>512.64706246194669</v>
      </c>
      <c r="Y105" s="54">
        <f t="shared" si="48"/>
        <v>237.35293753805331</v>
      </c>
      <c r="Z105" s="54">
        <f t="shared" si="49"/>
        <v>0</v>
      </c>
      <c r="AA105" s="54">
        <f t="shared" si="40"/>
        <v>100</v>
      </c>
      <c r="AB105" s="54">
        <f t="shared" si="41"/>
        <v>137.35293753805331</v>
      </c>
      <c r="AC105" s="54">
        <f t="shared" si="50"/>
        <v>1241.1283663542979</v>
      </c>
      <c r="AD105" s="58">
        <f t="shared" si="51"/>
        <v>0</v>
      </c>
      <c r="AE105" s="2">
        <f t="shared" si="42"/>
        <v>1735.2470721392647</v>
      </c>
      <c r="AF105" s="2">
        <f t="shared" si="43"/>
        <v>231.3662762852353</v>
      </c>
      <c r="AG105" s="12">
        <f t="shared" si="52"/>
        <v>1503.8807958540294</v>
      </c>
      <c r="AH105" s="2">
        <f t="shared" si="53"/>
        <v>0</v>
      </c>
      <c r="AI105" s="12">
        <f t="shared" si="44"/>
        <v>1503.8807958540294</v>
      </c>
      <c r="AJ105" s="12">
        <f t="shared" si="56"/>
        <v>98495.909908428453</v>
      </c>
      <c r="AK105" s="86">
        <f t="shared" si="45"/>
        <v>0.8666666666666667</v>
      </c>
      <c r="AL105" s="12">
        <f t="shared" si="54"/>
        <v>130073.54325372519</v>
      </c>
      <c r="AM105" s="124">
        <f t="shared" si="46"/>
        <v>0.10565045515427508</v>
      </c>
      <c r="AN105" s="72"/>
      <c r="AO105" s="59">
        <v>102</v>
      </c>
      <c r="AP105" s="125">
        <f t="shared" si="47"/>
        <v>17261.344006264782</v>
      </c>
      <c r="AQ105" s="125">
        <f t="shared" si="55"/>
        <v>98495.909908428453</v>
      </c>
    </row>
    <row r="106" spans="19:43" x14ac:dyDescent="0.25">
      <c r="S106" s="9" t="str">
        <f t="shared" si="39"/>
        <v/>
      </c>
      <c r="T106" s="59">
        <v>8</v>
      </c>
      <c r="U106" s="59">
        <v>7</v>
      </c>
      <c r="V106" s="3" t="s">
        <v>56</v>
      </c>
      <c r="W106" s="23">
        <f>'Análise Técnica'!$C$3</f>
        <v>750</v>
      </c>
      <c r="X106" s="23">
        <f t="shared" si="57"/>
        <v>512.57687529567283</v>
      </c>
      <c r="Y106" s="54">
        <f t="shared" si="48"/>
        <v>237.42312470432717</v>
      </c>
      <c r="Z106" s="54">
        <f t="shared" si="49"/>
        <v>0</v>
      </c>
      <c r="AA106" s="54">
        <f t="shared" si="40"/>
        <v>100</v>
      </c>
      <c r="AB106" s="54">
        <f t="shared" si="41"/>
        <v>137.42312470432717</v>
      </c>
      <c r="AC106" s="54">
        <f t="shared" si="50"/>
        <v>1103.7052416499707</v>
      </c>
      <c r="AD106" s="58">
        <f t="shared" si="51"/>
        <v>0</v>
      </c>
      <c r="AE106" s="2">
        <f t="shared" si="42"/>
        <v>1735.2470721392647</v>
      </c>
      <c r="AF106" s="2">
        <f t="shared" si="43"/>
        <v>231.3662762852353</v>
      </c>
      <c r="AG106" s="12">
        <f t="shared" si="52"/>
        <v>1503.8807958540294</v>
      </c>
      <c r="AH106" s="2">
        <f t="shared" si="53"/>
        <v>0</v>
      </c>
      <c r="AI106" s="12">
        <f t="shared" si="44"/>
        <v>1503.8807958540294</v>
      </c>
      <c r="AJ106" s="12">
        <f t="shared" si="56"/>
        <v>99999.790704282481</v>
      </c>
      <c r="AK106" s="86">
        <f t="shared" si="45"/>
        <v>0.8666666666666667</v>
      </c>
      <c r="AL106" s="12">
        <f t="shared" si="54"/>
        <v>131808.79032586445</v>
      </c>
      <c r="AM106" s="124">
        <f t="shared" si="46"/>
        <v>0.10565045515427508</v>
      </c>
      <c r="AN106" s="72"/>
      <c r="AO106" s="59">
        <v>103</v>
      </c>
      <c r="AP106" s="125">
        <f t="shared" si="47"/>
        <v>17315.167680986928</v>
      </c>
      <c r="AQ106" s="125">
        <f t="shared" si="55"/>
        <v>99999.790704282481</v>
      </c>
    </row>
    <row r="107" spans="19:43" x14ac:dyDescent="0.25">
      <c r="S107" s="9" t="str">
        <f t="shared" si="39"/>
        <v/>
      </c>
      <c r="T107" s="59">
        <v>8</v>
      </c>
      <c r="U107" s="59">
        <v>8</v>
      </c>
      <c r="V107" s="3" t="s">
        <v>57</v>
      </c>
      <c r="W107" s="23">
        <f>'Análise Técnica'!$C$3</f>
        <v>750</v>
      </c>
      <c r="X107" s="23">
        <f t="shared" si="57"/>
        <v>633.84626118309768</v>
      </c>
      <c r="Y107" s="54">
        <f t="shared" si="48"/>
        <v>116.15373881690232</v>
      </c>
      <c r="Z107" s="54">
        <f t="shared" si="49"/>
        <v>0</v>
      </c>
      <c r="AA107" s="54">
        <f t="shared" si="40"/>
        <v>100</v>
      </c>
      <c r="AB107" s="54">
        <f t="shared" si="41"/>
        <v>16.153738816902319</v>
      </c>
      <c r="AC107" s="54">
        <f t="shared" si="50"/>
        <v>1087.5515028330683</v>
      </c>
      <c r="AD107" s="58">
        <f t="shared" si="51"/>
        <v>0</v>
      </c>
      <c r="AE107" s="2">
        <f t="shared" si="42"/>
        <v>1735.2470721392647</v>
      </c>
      <c r="AF107" s="2">
        <f t="shared" si="43"/>
        <v>231.3662762852353</v>
      </c>
      <c r="AG107" s="12">
        <f t="shared" si="52"/>
        <v>1503.8807958540294</v>
      </c>
      <c r="AH107" s="2">
        <f t="shared" si="53"/>
        <v>0</v>
      </c>
      <c r="AI107" s="12">
        <f t="shared" si="44"/>
        <v>1503.8807958540294</v>
      </c>
      <c r="AJ107" s="12">
        <f t="shared" si="56"/>
        <v>101503.67150013651</v>
      </c>
      <c r="AK107" s="86">
        <f t="shared" si="45"/>
        <v>0.8666666666666667</v>
      </c>
      <c r="AL107" s="12">
        <f t="shared" si="54"/>
        <v>133544.03739800371</v>
      </c>
      <c r="AM107" s="124">
        <f t="shared" si="46"/>
        <v>0.10565045515427508</v>
      </c>
      <c r="AN107" s="72"/>
      <c r="AO107" s="59">
        <v>104</v>
      </c>
      <c r="AP107" s="125">
        <f t="shared" si="47"/>
        <v>17369.143856120783</v>
      </c>
      <c r="AQ107" s="125">
        <f t="shared" si="55"/>
        <v>101503.67150013651</v>
      </c>
    </row>
    <row r="108" spans="19:43" x14ac:dyDescent="0.25">
      <c r="S108" s="9" t="str">
        <f t="shared" si="39"/>
        <v/>
      </c>
      <c r="T108" s="59">
        <v>8</v>
      </c>
      <c r="U108" s="59">
        <v>9</v>
      </c>
      <c r="V108" s="3" t="s">
        <v>58</v>
      </c>
      <c r="W108" s="23">
        <f>'Análise Técnica'!$C$3</f>
        <v>750</v>
      </c>
      <c r="X108" s="23">
        <f t="shared" si="57"/>
        <v>643.8128387939405</v>
      </c>
      <c r="Y108" s="54">
        <f t="shared" si="48"/>
        <v>106.1871612060595</v>
      </c>
      <c r="Z108" s="54">
        <f t="shared" si="49"/>
        <v>0</v>
      </c>
      <c r="AA108" s="54">
        <f t="shared" si="40"/>
        <v>100</v>
      </c>
      <c r="AB108" s="54">
        <f t="shared" si="41"/>
        <v>6.1871612060594998</v>
      </c>
      <c r="AC108" s="54">
        <f t="shared" si="50"/>
        <v>1081.3643416270088</v>
      </c>
      <c r="AD108" s="58">
        <f t="shared" si="51"/>
        <v>0</v>
      </c>
      <c r="AE108" s="2">
        <f t="shared" si="42"/>
        <v>1735.2470721392647</v>
      </c>
      <c r="AF108" s="2">
        <f t="shared" si="43"/>
        <v>231.3662762852353</v>
      </c>
      <c r="AG108" s="12">
        <f t="shared" si="52"/>
        <v>1503.8807958540294</v>
      </c>
      <c r="AH108" s="2">
        <f t="shared" si="53"/>
        <v>0</v>
      </c>
      <c r="AI108" s="12">
        <f t="shared" si="44"/>
        <v>1503.8807958540294</v>
      </c>
      <c r="AJ108" s="12">
        <f t="shared" si="56"/>
        <v>103007.55229599054</v>
      </c>
      <c r="AK108" s="86">
        <f t="shared" si="45"/>
        <v>0.8666666666666667</v>
      </c>
      <c r="AL108" s="12">
        <f t="shared" si="54"/>
        <v>135279.28447014297</v>
      </c>
      <c r="AM108" s="124">
        <f t="shared" si="46"/>
        <v>0.10565045515427508</v>
      </c>
      <c r="AN108" s="72"/>
      <c r="AO108" s="59">
        <v>105</v>
      </c>
      <c r="AP108" s="125">
        <f t="shared" si="47"/>
        <v>17423.272963750853</v>
      </c>
      <c r="AQ108" s="125">
        <f t="shared" si="55"/>
        <v>103007.55229599054</v>
      </c>
    </row>
    <row r="109" spans="19:43" x14ac:dyDescent="0.25">
      <c r="S109" s="9" t="str">
        <f t="shared" si="39"/>
        <v/>
      </c>
      <c r="T109" s="59">
        <v>8</v>
      </c>
      <c r="U109" s="59">
        <v>10</v>
      </c>
      <c r="V109" s="3" t="s">
        <v>59</v>
      </c>
      <c r="W109" s="23">
        <f>'Análise Técnica'!$C$3</f>
        <v>750</v>
      </c>
      <c r="X109" s="23">
        <f t="shared" si="57"/>
        <v>720.23262543257238</v>
      </c>
      <c r="Y109" s="54">
        <f t="shared" si="48"/>
        <v>29.767374567427623</v>
      </c>
      <c r="Z109" s="54">
        <f t="shared" si="49"/>
        <v>0</v>
      </c>
      <c r="AA109" s="54">
        <f t="shared" si="40"/>
        <v>100</v>
      </c>
      <c r="AB109" s="54">
        <f t="shared" si="41"/>
        <v>0</v>
      </c>
      <c r="AC109" s="54">
        <f t="shared" si="50"/>
        <v>1081.3643416270088</v>
      </c>
      <c r="AD109" s="58">
        <f t="shared" si="51"/>
        <v>0</v>
      </c>
      <c r="AE109" s="2">
        <f t="shared" si="42"/>
        <v>1735.2470721392647</v>
      </c>
      <c r="AF109" s="2">
        <f t="shared" si="43"/>
        <v>231.3662762852353</v>
      </c>
      <c r="AG109" s="12">
        <f t="shared" si="52"/>
        <v>1503.8807958540294</v>
      </c>
      <c r="AH109" s="2">
        <f t="shared" si="53"/>
        <v>0</v>
      </c>
      <c r="AI109" s="12">
        <f t="shared" si="44"/>
        <v>1503.8807958540294</v>
      </c>
      <c r="AJ109" s="12">
        <f t="shared" si="56"/>
        <v>104511.43309184456</v>
      </c>
      <c r="AK109" s="86">
        <f t="shared" si="45"/>
        <v>0.8666666666666667</v>
      </c>
      <c r="AL109" s="12">
        <f t="shared" si="54"/>
        <v>137014.53154228223</v>
      </c>
      <c r="AM109" s="124">
        <f t="shared" si="46"/>
        <v>0.10565045515427508</v>
      </c>
      <c r="AN109" s="72"/>
      <c r="AO109" s="59">
        <v>106</v>
      </c>
      <c r="AP109" s="125">
        <f t="shared" si="47"/>
        <v>17477.555437185878</v>
      </c>
      <c r="AQ109" s="125">
        <f t="shared" si="55"/>
        <v>104511.43309184456</v>
      </c>
    </row>
    <row r="110" spans="19:43" x14ac:dyDescent="0.25">
      <c r="S110" s="9" t="str">
        <f t="shared" si="39"/>
        <v/>
      </c>
      <c r="T110" s="59">
        <v>8</v>
      </c>
      <c r="U110" s="59">
        <v>11</v>
      </c>
      <c r="V110" s="3" t="s">
        <v>60</v>
      </c>
      <c r="W110" s="23">
        <f>'Análise Técnica'!$C$3</f>
        <v>750</v>
      </c>
      <c r="X110" s="23">
        <f t="shared" si="57"/>
        <v>725.4264757368145</v>
      </c>
      <c r="Y110" s="54">
        <f t="shared" si="48"/>
        <v>24.573524263185504</v>
      </c>
      <c r="Z110" s="54">
        <f t="shared" si="49"/>
        <v>0</v>
      </c>
      <c r="AA110" s="54">
        <f t="shared" si="40"/>
        <v>100</v>
      </c>
      <c r="AB110" s="54">
        <f t="shared" si="41"/>
        <v>0</v>
      </c>
      <c r="AC110" s="54">
        <f t="shared" si="50"/>
        <v>1081.3643416270088</v>
      </c>
      <c r="AD110" s="58">
        <f t="shared" si="51"/>
        <v>0</v>
      </c>
      <c r="AE110" s="2">
        <f t="shared" si="42"/>
        <v>1735.2470721392647</v>
      </c>
      <c r="AF110" s="2">
        <f t="shared" si="43"/>
        <v>231.3662762852353</v>
      </c>
      <c r="AG110" s="12">
        <f t="shared" si="52"/>
        <v>1503.8807958540294</v>
      </c>
      <c r="AH110" s="2">
        <f t="shared" si="53"/>
        <v>0</v>
      </c>
      <c r="AI110" s="12">
        <f t="shared" si="44"/>
        <v>1503.8807958540294</v>
      </c>
      <c r="AJ110" s="12">
        <f t="shared" si="56"/>
        <v>106015.31388769859</v>
      </c>
      <c r="AK110" s="86">
        <f t="shared" si="45"/>
        <v>0.8666666666666667</v>
      </c>
      <c r="AL110" s="12">
        <f t="shared" si="54"/>
        <v>138749.77861442149</v>
      </c>
      <c r="AM110" s="124">
        <f t="shared" si="46"/>
        <v>0.10565045515427508</v>
      </c>
      <c r="AN110" s="72"/>
      <c r="AO110" s="59">
        <v>107</v>
      </c>
      <c r="AP110" s="125">
        <f t="shared" si="47"/>
        <v>17531.991710962295</v>
      </c>
      <c r="AQ110" s="125">
        <f t="shared" si="55"/>
        <v>106015.31388769859</v>
      </c>
    </row>
    <row r="111" spans="19:43" x14ac:dyDescent="0.25">
      <c r="S111" s="9" t="str">
        <f t="shared" si="39"/>
        <v/>
      </c>
      <c r="T111" s="59">
        <v>8</v>
      </c>
      <c r="U111" s="59">
        <v>12</v>
      </c>
      <c r="V111" s="3" t="s">
        <v>61</v>
      </c>
      <c r="W111" s="23">
        <f>'Análise Técnica'!$C$3</f>
        <v>750</v>
      </c>
      <c r="X111" s="23">
        <f t="shared" si="57"/>
        <v>832.27941767165385</v>
      </c>
      <c r="Y111" s="54">
        <f t="shared" si="48"/>
        <v>0</v>
      </c>
      <c r="Z111" s="54">
        <f t="shared" si="49"/>
        <v>82.279417671653846</v>
      </c>
      <c r="AA111" s="54">
        <f t="shared" si="40"/>
        <v>100</v>
      </c>
      <c r="AB111" s="54">
        <f t="shared" si="41"/>
        <v>0</v>
      </c>
      <c r="AC111" s="54">
        <f t="shared" si="50"/>
        <v>1163.6437592986626</v>
      </c>
      <c r="AD111" s="58">
        <f t="shared" si="51"/>
        <v>0</v>
      </c>
      <c r="AE111" s="2">
        <f t="shared" si="42"/>
        <v>1735.2470721392647</v>
      </c>
      <c r="AF111" s="2">
        <f t="shared" si="43"/>
        <v>231.3662762852353</v>
      </c>
      <c r="AG111" s="12">
        <f t="shared" si="52"/>
        <v>1503.8807958540294</v>
      </c>
      <c r="AH111" s="2">
        <f t="shared" si="53"/>
        <v>0</v>
      </c>
      <c r="AI111" s="12">
        <f t="shared" si="44"/>
        <v>1503.8807958540294</v>
      </c>
      <c r="AJ111" s="12">
        <f t="shared" si="56"/>
        <v>107519.19468355262</v>
      </c>
      <c r="AK111" s="86">
        <f t="shared" si="45"/>
        <v>0.8666666666666667</v>
      </c>
      <c r="AL111" s="12">
        <f t="shared" si="54"/>
        <v>140485.02568656075</v>
      </c>
      <c r="AM111" s="124">
        <f t="shared" si="46"/>
        <v>0.10565045515427508</v>
      </c>
      <c r="AN111" s="72"/>
      <c r="AO111" s="59">
        <v>108</v>
      </c>
      <c r="AP111" s="125">
        <f t="shared" si="47"/>
        <v>17586.582220847744</v>
      </c>
      <c r="AQ111" s="125">
        <f t="shared" si="55"/>
        <v>107519.19468355262</v>
      </c>
    </row>
    <row r="112" spans="19:43" x14ac:dyDescent="0.25">
      <c r="S112" s="9" t="str">
        <f t="shared" si="39"/>
        <v/>
      </c>
      <c r="T112" s="59">
        <v>9</v>
      </c>
      <c r="U112" s="59">
        <v>1</v>
      </c>
      <c r="V112" s="3" t="s">
        <v>50</v>
      </c>
      <c r="W112" s="23">
        <f>'Análise Técnica'!$C$3</f>
        <v>750</v>
      </c>
      <c r="X112" s="23">
        <f t="shared" si="57"/>
        <v>852.82637369983468</v>
      </c>
      <c r="Y112" s="54">
        <f t="shared" si="48"/>
        <v>0</v>
      </c>
      <c r="Z112" s="54">
        <f t="shared" si="49"/>
        <v>102.82637369983468</v>
      </c>
      <c r="AA112" s="54">
        <f t="shared" si="40"/>
        <v>100</v>
      </c>
      <c r="AB112" s="54">
        <f t="shared" si="41"/>
        <v>0</v>
      </c>
      <c r="AC112" s="54">
        <f t="shared" si="50"/>
        <v>1266.4701329984973</v>
      </c>
      <c r="AD112" s="58">
        <f t="shared" si="51"/>
        <v>0</v>
      </c>
      <c r="AE112" s="2">
        <f t="shared" si="42"/>
        <v>1874.0668379104061</v>
      </c>
      <c r="AF112" s="2">
        <f t="shared" si="43"/>
        <v>249.87557838805412</v>
      </c>
      <c r="AG112" s="12">
        <f t="shared" si="52"/>
        <v>1624.1912595223521</v>
      </c>
      <c r="AH112" s="2">
        <f t="shared" si="53"/>
        <v>0</v>
      </c>
      <c r="AI112" s="12">
        <f t="shared" si="44"/>
        <v>1624.1912595223521</v>
      </c>
      <c r="AJ112" s="12">
        <f t="shared" si="56"/>
        <v>109143.38594307497</v>
      </c>
      <c r="AK112" s="86">
        <f t="shared" si="45"/>
        <v>0.8666666666666667</v>
      </c>
      <c r="AL112" s="12">
        <f t="shared" si="54"/>
        <v>142359.09252447117</v>
      </c>
      <c r="AM112" s="124">
        <f t="shared" si="46"/>
        <v>0.11410249156661711</v>
      </c>
      <c r="AN112" s="72"/>
      <c r="AO112" s="59">
        <v>109</v>
      </c>
      <c r="AP112" s="125">
        <f t="shared" si="47"/>
        <v>17502.507638073399</v>
      </c>
      <c r="AQ112" s="125">
        <f t="shared" si="55"/>
        <v>109143.38594307497</v>
      </c>
    </row>
    <row r="113" spans="19:43" x14ac:dyDescent="0.25">
      <c r="S113" s="9" t="str">
        <f t="shared" si="39"/>
        <v/>
      </c>
      <c r="T113" s="59">
        <v>9</v>
      </c>
      <c r="U113" s="59">
        <v>2</v>
      </c>
      <c r="V113" s="3" t="s">
        <v>51</v>
      </c>
      <c r="W113" s="23">
        <f>'Análise Técnica'!$C$3</f>
        <v>750</v>
      </c>
      <c r="X113" s="23">
        <f t="shared" si="57"/>
        <v>898.21231519842365</v>
      </c>
      <c r="Y113" s="54">
        <f t="shared" si="48"/>
        <v>0</v>
      </c>
      <c r="Z113" s="54">
        <f t="shared" si="49"/>
        <v>148.21231519842365</v>
      </c>
      <c r="AA113" s="54">
        <f t="shared" si="40"/>
        <v>100</v>
      </c>
      <c r="AB113" s="54">
        <f t="shared" si="41"/>
        <v>0</v>
      </c>
      <c r="AC113" s="54">
        <f t="shared" si="50"/>
        <v>1414.6824481969211</v>
      </c>
      <c r="AD113" s="58">
        <f t="shared" si="51"/>
        <v>0</v>
      </c>
      <c r="AE113" s="2">
        <f t="shared" si="42"/>
        <v>1874.0668379104061</v>
      </c>
      <c r="AF113" s="2">
        <f t="shared" si="43"/>
        <v>249.87557838805412</v>
      </c>
      <c r="AG113" s="12">
        <f t="shared" si="52"/>
        <v>1624.1912595223521</v>
      </c>
      <c r="AH113" s="2">
        <f t="shared" si="53"/>
        <v>0</v>
      </c>
      <c r="AI113" s="12">
        <f t="shared" si="44"/>
        <v>1624.1912595223521</v>
      </c>
      <c r="AJ113" s="12">
        <f t="shared" si="56"/>
        <v>110767.57720259733</v>
      </c>
      <c r="AK113" s="86">
        <f t="shared" si="45"/>
        <v>0.8666666666666667</v>
      </c>
      <c r="AL113" s="12">
        <f t="shared" si="54"/>
        <v>144233.15936238159</v>
      </c>
      <c r="AM113" s="124">
        <f t="shared" si="46"/>
        <v>0.11410249156661711</v>
      </c>
      <c r="AN113" s="72"/>
      <c r="AO113" s="59">
        <v>110</v>
      </c>
      <c r="AP113" s="125">
        <f t="shared" si="47"/>
        <v>17557.407932422022</v>
      </c>
      <c r="AQ113" s="125">
        <f t="shared" si="55"/>
        <v>110767.57720259733</v>
      </c>
    </row>
    <row r="114" spans="19:43" x14ac:dyDescent="0.25">
      <c r="S114" s="9" t="str">
        <f t="shared" si="39"/>
        <v/>
      </c>
      <c r="T114" s="59">
        <v>9</v>
      </c>
      <c r="U114" s="59">
        <v>3</v>
      </c>
      <c r="V114" s="3" t="s">
        <v>52</v>
      </c>
      <c r="W114" s="23">
        <f>'Análise Técnica'!$C$3</f>
        <v>750</v>
      </c>
      <c r="X114" s="23">
        <f t="shared" si="57"/>
        <v>753.76068382561209</v>
      </c>
      <c r="Y114" s="54">
        <f t="shared" si="48"/>
        <v>0</v>
      </c>
      <c r="Z114" s="54">
        <f t="shared" si="49"/>
        <v>3.7606838256120909</v>
      </c>
      <c r="AA114" s="54">
        <f t="shared" si="40"/>
        <v>100</v>
      </c>
      <c r="AB114" s="54">
        <f t="shared" si="41"/>
        <v>0</v>
      </c>
      <c r="AC114" s="54">
        <f t="shared" si="50"/>
        <v>1418.4431320225331</v>
      </c>
      <c r="AD114" s="58">
        <f t="shared" si="51"/>
        <v>0</v>
      </c>
      <c r="AE114" s="2">
        <f t="shared" si="42"/>
        <v>1874.0668379104061</v>
      </c>
      <c r="AF114" s="2">
        <f t="shared" si="43"/>
        <v>249.87557838805412</v>
      </c>
      <c r="AG114" s="12">
        <f t="shared" si="52"/>
        <v>1624.1912595223521</v>
      </c>
      <c r="AH114" s="2">
        <f t="shared" si="53"/>
        <v>0</v>
      </c>
      <c r="AI114" s="12">
        <f t="shared" si="44"/>
        <v>1624.1912595223521</v>
      </c>
      <c r="AJ114" s="12">
        <f t="shared" si="56"/>
        <v>112391.76846211968</v>
      </c>
      <c r="AK114" s="86">
        <f t="shared" si="45"/>
        <v>0.8666666666666667</v>
      </c>
      <c r="AL114" s="12">
        <f t="shared" si="54"/>
        <v>146107.226200292</v>
      </c>
      <c r="AM114" s="124">
        <f t="shared" si="46"/>
        <v>0.11410249156661711</v>
      </c>
      <c r="AN114" s="72"/>
      <c r="AO114" s="59">
        <v>111</v>
      </c>
      <c r="AP114" s="125">
        <f t="shared" si="47"/>
        <v>17612.463777604629</v>
      </c>
      <c r="AQ114" s="125">
        <f t="shared" si="55"/>
        <v>112391.76846211968</v>
      </c>
    </row>
    <row r="115" spans="19:43" x14ac:dyDescent="0.25">
      <c r="S115" s="9" t="str">
        <f t="shared" si="39"/>
        <v/>
      </c>
      <c r="T115" s="59">
        <v>9</v>
      </c>
      <c r="U115" s="59">
        <v>4</v>
      </c>
      <c r="V115" s="3" t="s">
        <v>53</v>
      </c>
      <c r="W115" s="23">
        <f>'Análise Técnica'!$C$3</f>
        <v>750</v>
      </c>
      <c r="X115" s="23">
        <f t="shared" si="57"/>
        <v>668.41113843376274</v>
      </c>
      <c r="Y115" s="54">
        <f t="shared" si="48"/>
        <v>81.588861566237256</v>
      </c>
      <c r="Z115" s="54">
        <f t="shared" si="49"/>
        <v>0</v>
      </c>
      <c r="AA115" s="54">
        <f t="shared" si="40"/>
        <v>100</v>
      </c>
      <c r="AB115" s="54">
        <f t="shared" si="41"/>
        <v>0</v>
      </c>
      <c r="AC115" s="54">
        <f t="shared" si="50"/>
        <v>1418.4431320225331</v>
      </c>
      <c r="AD115" s="58">
        <f t="shared" si="51"/>
        <v>0</v>
      </c>
      <c r="AE115" s="2">
        <f t="shared" si="42"/>
        <v>1874.0668379104061</v>
      </c>
      <c r="AF115" s="2">
        <f t="shared" si="43"/>
        <v>249.87557838805412</v>
      </c>
      <c r="AG115" s="12">
        <f t="shared" si="52"/>
        <v>1624.1912595223521</v>
      </c>
      <c r="AH115" s="2">
        <f t="shared" si="53"/>
        <v>0</v>
      </c>
      <c r="AI115" s="12">
        <f t="shared" si="44"/>
        <v>1624.1912595223521</v>
      </c>
      <c r="AJ115" s="12">
        <f t="shared" si="56"/>
        <v>114015.95972164204</v>
      </c>
      <c r="AK115" s="86">
        <f t="shared" si="45"/>
        <v>0.8666666666666667</v>
      </c>
      <c r="AL115" s="12">
        <f t="shared" si="54"/>
        <v>147981.29303820242</v>
      </c>
      <c r="AM115" s="124">
        <f t="shared" si="46"/>
        <v>0.11410249156661711</v>
      </c>
      <c r="AN115" s="72"/>
      <c r="AO115" s="59">
        <v>112</v>
      </c>
      <c r="AP115" s="125">
        <f t="shared" si="47"/>
        <v>17667.675614348591</v>
      </c>
      <c r="AQ115" s="125">
        <f t="shared" si="55"/>
        <v>114015.95972164204</v>
      </c>
    </row>
    <row r="116" spans="19:43" x14ac:dyDescent="0.25">
      <c r="S116" s="9" t="str">
        <f t="shared" si="39"/>
        <v/>
      </c>
      <c r="T116" s="59">
        <v>9</v>
      </c>
      <c r="U116" s="59">
        <v>5</v>
      </c>
      <c r="V116" s="3" t="s">
        <v>54</v>
      </c>
      <c r="W116" s="23">
        <f>'Análise Técnica'!$C$3</f>
        <v>750</v>
      </c>
      <c r="X116" s="23">
        <f t="shared" si="57"/>
        <v>550.45787155383107</v>
      </c>
      <c r="Y116" s="54">
        <f t="shared" si="48"/>
        <v>199.54212844616893</v>
      </c>
      <c r="Z116" s="54">
        <f t="shared" si="49"/>
        <v>0</v>
      </c>
      <c r="AA116" s="54">
        <f t="shared" si="40"/>
        <v>100</v>
      </c>
      <c r="AB116" s="54">
        <f t="shared" si="41"/>
        <v>99.542128446168931</v>
      </c>
      <c r="AC116" s="54">
        <f t="shared" si="50"/>
        <v>1318.901003576364</v>
      </c>
      <c r="AD116" s="58">
        <f t="shared" si="51"/>
        <v>0</v>
      </c>
      <c r="AE116" s="2">
        <f t="shared" si="42"/>
        <v>1874.0668379104061</v>
      </c>
      <c r="AF116" s="2">
        <f t="shared" si="43"/>
        <v>249.87557838805412</v>
      </c>
      <c r="AG116" s="12">
        <f t="shared" si="52"/>
        <v>1624.1912595223521</v>
      </c>
      <c r="AH116" s="2">
        <f t="shared" si="53"/>
        <v>0</v>
      </c>
      <c r="AI116" s="12">
        <f t="shared" si="44"/>
        <v>1624.1912595223521</v>
      </c>
      <c r="AJ116" s="12">
        <f t="shared" si="56"/>
        <v>115640.15098116439</v>
      </c>
      <c r="AK116" s="86">
        <f t="shared" si="45"/>
        <v>0.8666666666666667</v>
      </c>
      <c r="AL116" s="12">
        <f t="shared" si="54"/>
        <v>149855.35987611284</v>
      </c>
      <c r="AM116" s="124">
        <f t="shared" si="46"/>
        <v>0.11410249156661711</v>
      </c>
      <c r="AN116" s="72"/>
      <c r="AO116" s="59">
        <v>113</v>
      </c>
      <c r="AP116" s="125">
        <f t="shared" si="47"/>
        <v>17723.043884629988</v>
      </c>
      <c r="AQ116" s="125">
        <f t="shared" si="55"/>
        <v>115640.15098116439</v>
      </c>
    </row>
    <row r="117" spans="19:43" x14ac:dyDescent="0.25">
      <c r="S117" s="9" t="str">
        <f t="shared" si="39"/>
        <v/>
      </c>
      <c r="T117" s="59">
        <v>9</v>
      </c>
      <c r="U117" s="59">
        <v>6</v>
      </c>
      <c r="V117" s="3" t="s">
        <v>55</v>
      </c>
      <c r="W117" s="23">
        <f>'Análise Técnica'!$C$3</f>
        <v>750</v>
      </c>
      <c r="X117" s="23">
        <f t="shared" si="57"/>
        <v>509.05853302471309</v>
      </c>
      <c r="Y117" s="54">
        <f t="shared" si="48"/>
        <v>240.94146697528691</v>
      </c>
      <c r="Z117" s="54">
        <f t="shared" si="49"/>
        <v>0</v>
      </c>
      <c r="AA117" s="54">
        <f t="shared" si="40"/>
        <v>100</v>
      </c>
      <c r="AB117" s="54">
        <f t="shared" si="41"/>
        <v>140.94146697528691</v>
      </c>
      <c r="AC117" s="54">
        <f t="shared" si="50"/>
        <v>1177.9595366010772</v>
      </c>
      <c r="AD117" s="58">
        <f t="shared" si="51"/>
        <v>0</v>
      </c>
      <c r="AE117" s="2">
        <f t="shared" si="42"/>
        <v>1874.0668379104061</v>
      </c>
      <c r="AF117" s="2">
        <f t="shared" si="43"/>
        <v>249.87557838805412</v>
      </c>
      <c r="AG117" s="12">
        <f t="shared" si="52"/>
        <v>1624.1912595223521</v>
      </c>
      <c r="AH117" s="2">
        <f t="shared" si="53"/>
        <v>0</v>
      </c>
      <c r="AI117" s="12">
        <f t="shared" si="44"/>
        <v>1624.1912595223521</v>
      </c>
      <c r="AJ117" s="12">
        <f t="shared" si="56"/>
        <v>117264.34224068675</v>
      </c>
      <c r="AK117" s="86">
        <f t="shared" si="45"/>
        <v>0.8666666666666667</v>
      </c>
      <c r="AL117" s="12">
        <f t="shared" si="54"/>
        <v>151729.42671402326</v>
      </c>
      <c r="AM117" s="124">
        <f t="shared" si="46"/>
        <v>0.11410249156661711</v>
      </c>
      <c r="AN117" s="72"/>
      <c r="AO117" s="59">
        <v>114</v>
      </c>
      <c r="AP117" s="125">
        <f t="shared" si="47"/>
        <v>17778.569031677187</v>
      </c>
      <c r="AQ117" s="125">
        <f t="shared" si="55"/>
        <v>117264.34224068675</v>
      </c>
    </row>
    <row r="118" spans="19:43" x14ac:dyDescent="0.25">
      <c r="S118" s="9" t="str">
        <f t="shared" si="39"/>
        <v/>
      </c>
      <c r="T118" s="59">
        <v>9</v>
      </c>
      <c r="U118" s="59">
        <v>7</v>
      </c>
      <c r="V118" s="3" t="s">
        <v>56</v>
      </c>
      <c r="W118" s="23">
        <f>'Análise Técnica'!$C$3</f>
        <v>750</v>
      </c>
      <c r="X118" s="23">
        <f t="shared" si="57"/>
        <v>508.98883716860314</v>
      </c>
      <c r="Y118" s="54">
        <f t="shared" si="48"/>
        <v>241.01116283139686</v>
      </c>
      <c r="Z118" s="54">
        <f t="shared" si="49"/>
        <v>0</v>
      </c>
      <c r="AA118" s="54">
        <f t="shared" si="40"/>
        <v>100</v>
      </c>
      <c r="AB118" s="54">
        <f t="shared" si="41"/>
        <v>141.01116283139686</v>
      </c>
      <c r="AC118" s="54">
        <f t="shared" si="50"/>
        <v>1036.9483737696803</v>
      </c>
      <c r="AD118" s="58">
        <f t="shared" si="51"/>
        <v>0</v>
      </c>
      <c r="AE118" s="2">
        <f t="shared" si="42"/>
        <v>1874.0668379104061</v>
      </c>
      <c r="AF118" s="2">
        <f t="shared" si="43"/>
        <v>249.87557838805412</v>
      </c>
      <c r="AG118" s="12">
        <f t="shared" si="52"/>
        <v>1624.1912595223521</v>
      </c>
      <c r="AH118" s="2">
        <f t="shared" si="53"/>
        <v>0</v>
      </c>
      <c r="AI118" s="12">
        <f t="shared" si="44"/>
        <v>1624.1912595223521</v>
      </c>
      <c r="AJ118" s="12">
        <f t="shared" si="56"/>
        <v>118888.5335002091</v>
      </c>
      <c r="AK118" s="86">
        <f t="shared" si="45"/>
        <v>0.8666666666666667</v>
      </c>
      <c r="AL118" s="12">
        <f t="shared" si="54"/>
        <v>153603.49355193367</v>
      </c>
      <c r="AM118" s="124">
        <f t="shared" si="46"/>
        <v>0.11410249156661711</v>
      </c>
      <c r="AN118" s="72"/>
      <c r="AO118" s="59">
        <v>115</v>
      </c>
      <c r="AP118" s="125">
        <f t="shared" si="47"/>
        <v>17834.251499974354</v>
      </c>
      <c r="AQ118" s="125">
        <f t="shared" si="55"/>
        <v>118888.5335002091</v>
      </c>
    </row>
    <row r="119" spans="19:43" x14ac:dyDescent="0.25">
      <c r="S119" s="9" t="str">
        <f t="shared" si="39"/>
        <v/>
      </c>
      <c r="T119" s="59">
        <v>9</v>
      </c>
      <c r="U119" s="59">
        <v>8</v>
      </c>
      <c r="V119" s="3" t="s">
        <v>57</v>
      </c>
      <c r="W119" s="23">
        <f>'Análise Técnica'!$C$3</f>
        <v>750</v>
      </c>
      <c r="X119" s="23">
        <f t="shared" si="57"/>
        <v>629.40933735481599</v>
      </c>
      <c r="Y119" s="54">
        <f t="shared" si="48"/>
        <v>120.59066264518401</v>
      </c>
      <c r="Z119" s="54">
        <f t="shared" si="49"/>
        <v>0</v>
      </c>
      <c r="AA119" s="54">
        <f t="shared" si="40"/>
        <v>100</v>
      </c>
      <c r="AB119" s="54">
        <f t="shared" si="41"/>
        <v>20.590662645184011</v>
      </c>
      <c r="AC119" s="54">
        <f t="shared" si="50"/>
        <v>1016.3577111244963</v>
      </c>
      <c r="AD119" s="58">
        <f t="shared" si="51"/>
        <v>0</v>
      </c>
      <c r="AE119" s="2">
        <f t="shared" si="42"/>
        <v>1874.0668379104061</v>
      </c>
      <c r="AF119" s="2">
        <f t="shared" si="43"/>
        <v>249.87557838805412</v>
      </c>
      <c r="AG119" s="12">
        <f t="shared" si="52"/>
        <v>1624.1912595223521</v>
      </c>
      <c r="AH119" s="2">
        <f t="shared" si="53"/>
        <v>0</v>
      </c>
      <c r="AI119" s="12">
        <f t="shared" si="44"/>
        <v>1624.1912595223521</v>
      </c>
      <c r="AJ119" s="12">
        <f t="shared" si="56"/>
        <v>120512.72475973146</v>
      </c>
      <c r="AK119" s="86">
        <f t="shared" si="45"/>
        <v>0.8666666666666667</v>
      </c>
      <c r="AL119" s="12">
        <f t="shared" si="54"/>
        <v>155477.56038984409</v>
      </c>
      <c r="AM119" s="124">
        <f t="shared" si="46"/>
        <v>0.11410249156661711</v>
      </c>
      <c r="AN119" s="72"/>
      <c r="AO119" s="59">
        <v>116</v>
      </c>
      <c r="AP119" s="125">
        <f t="shared" si="47"/>
        <v>17890.091735265025</v>
      </c>
      <c r="AQ119" s="125">
        <f t="shared" si="55"/>
        <v>120512.72475973146</v>
      </c>
    </row>
    <row r="120" spans="19:43" x14ac:dyDescent="0.25">
      <c r="S120" s="9" t="str">
        <f t="shared" si="39"/>
        <v/>
      </c>
      <c r="T120" s="59">
        <v>9</v>
      </c>
      <c r="U120" s="59">
        <v>9</v>
      </c>
      <c r="V120" s="3" t="s">
        <v>58</v>
      </c>
      <c r="W120" s="23">
        <f>'Análise Técnica'!$C$3</f>
        <v>750</v>
      </c>
      <c r="X120" s="23">
        <f t="shared" si="57"/>
        <v>639.30614892238293</v>
      </c>
      <c r="Y120" s="54">
        <f t="shared" si="48"/>
        <v>110.69385107761707</v>
      </c>
      <c r="Z120" s="54">
        <f t="shared" si="49"/>
        <v>0</v>
      </c>
      <c r="AA120" s="54">
        <f t="shared" si="40"/>
        <v>100</v>
      </c>
      <c r="AB120" s="54">
        <f t="shared" si="41"/>
        <v>10.693851077617069</v>
      </c>
      <c r="AC120" s="54">
        <f t="shared" si="50"/>
        <v>1005.6638600468792</v>
      </c>
      <c r="AD120" s="58">
        <f t="shared" si="51"/>
        <v>0</v>
      </c>
      <c r="AE120" s="2">
        <f t="shared" si="42"/>
        <v>1874.0668379104061</v>
      </c>
      <c r="AF120" s="2">
        <f t="shared" si="43"/>
        <v>249.87557838805412</v>
      </c>
      <c r="AG120" s="12">
        <f t="shared" si="52"/>
        <v>1624.1912595223521</v>
      </c>
      <c r="AH120" s="2">
        <f t="shared" si="53"/>
        <v>0</v>
      </c>
      <c r="AI120" s="12">
        <f t="shared" si="44"/>
        <v>1624.1912595223521</v>
      </c>
      <c r="AJ120" s="12">
        <f t="shared" si="56"/>
        <v>122136.91601925381</v>
      </c>
      <c r="AK120" s="86">
        <f t="shared" si="45"/>
        <v>0.8666666666666667</v>
      </c>
      <c r="AL120" s="12">
        <f t="shared" si="54"/>
        <v>157351.62722775451</v>
      </c>
      <c r="AM120" s="124">
        <f t="shared" si="46"/>
        <v>0.11410249156661711</v>
      </c>
      <c r="AN120" s="72"/>
      <c r="AO120" s="59">
        <v>117</v>
      </c>
      <c r="AP120" s="125">
        <f t="shared" si="47"/>
        <v>17946.090184555687</v>
      </c>
      <c r="AQ120" s="125">
        <f t="shared" si="55"/>
        <v>122136.91601925381</v>
      </c>
    </row>
    <row r="121" spans="19:43" x14ac:dyDescent="0.25">
      <c r="S121" s="9" t="str">
        <f t="shared" si="39"/>
        <v/>
      </c>
      <c r="T121" s="59">
        <v>9</v>
      </c>
      <c r="U121" s="59">
        <v>10</v>
      </c>
      <c r="V121" s="3" t="s">
        <v>59</v>
      </c>
      <c r="W121" s="23">
        <f>'Análise Técnica'!$C$3</f>
        <v>750</v>
      </c>
      <c r="X121" s="23">
        <f t="shared" si="57"/>
        <v>715.19099705454437</v>
      </c>
      <c r="Y121" s="54">
        <f t="shared" si="48"/>
        <v>34.809002945455632</v>
      </c>
      <c r="Z121" s="54">
        <f t="shared" si="49"/>
        <v>0</v>
      </c>
      <c r="AA121" s="54">
        <f t="shared" si="40"/>
        <v>100</v>
      </c>
      <c r="AB121" s="54">
        <f t="shared" si="41"/>
        <v>0</v>
      </c>
      <c r="AC121" s="54">
        <f t="shared" si="50"/>
        <v>1005.6638600468792</v>
      </c>
      <c r="AD121" s="58">
        <f t="shared" si="51"/>
        <v>0</v>
      </c>
      <c r="AE121" s="2">
        <f t="shared" si="42"/>
        <v>1874.0668379104061</v>
      </c>
      <c r="AF121" s="2">
        <f t="shared" si="43"/>
        <v>249.87557838805412</v>
      </c>
      <c r="AG121" s="12">
        <f t="shared" si="52"/>
        <v>1624.1912595223521</v>
      </c>
      <c r="AH121" s="2">
        <f t="shared" si="53"/>
        <v>0</v>
      </c>
      <c r="AI121" s="12">
        <f t="shared" si="44"/>
        <v>1624.1912595223521</v>
      </c>
      <c r="AJ121" s="12">
        <f t="shared" si="56"/>
        <v>123761.10727877617</v>
      </c>
      <c r="AK121" s="86">
        <f t="shared" si="45"/>
        <v>0.8666666666666667</v>
      </c>
      <c r="AL121" s="12">
        <f t="shared" si="54"/>
        <v>159225.69406566492</v>
      </c>
      <c r="AM121" s="124">
        <f t="shared" si="46"/>
        <v>0.11410249156661711</v>
      </c>
      <c r="AN121" s="72"/>
      <c r="AO121" s="59">
        <v>118</v>
      </c>
      <c r="AP121" s="125">
        <f t="shared" si="47"/>
        <v>18002.247296119338</v>
      </c>
      <c r="AQ121" s="125">
        <f t="shared" si="55"/>
        <v>123761.10727877617</v>
      </c>
    </row>
    <row r="122" spans="19:43" x14ac:dyDescent="0.25">
      <c r="S122" s="9" t="str">
        <f t="shared" si="39"/>
        <v/>
      </c>
      <c r="T122" s="59">
        <v>9</v>
      </c>
      <c r="U122" s="59">
        <v>11</v>
      </c>
      <c r="V122" s="3" t="s">
        <v>60</v>
      </c>
      <c r="W122" s="23">
        <f>'Análise Técnica'!$C$3</f>
        <v>750</v>
      </c>
      <c r="X122" s="23">
        <f t="shared" si="57"/>
        <v>720.34849040665677</v>
      </c>
      <c r="Y122" s="54">
        <f t="shared" si="48"/>
        <v>29.651509593343235</v>
      </c>
      <c r="Z122" s="54">
        <f t="shared" si="49"/>
        <v>0</v>
      </c>
      <c r="AA122" s="54">
        <f t="shared" si="40"/>
        <v>100</v>
      </c>
      <c r="AB122" s="54">
        <f t="shared" si="41"/>
        <v>0</v>
      </c>
      <c r="AC122" s="54">
        <f t="shared" si="50"/>
        <v>1005.6638600468792</v>
      </c>
      <c r="AD122" s="58">
        <f t="shared" si="51"/>
        <v>0</v>
      </c>
      <c r="AE122" s="2">
        <f t="shared" si="42"/>
        <v>1874.0668379104061</v>
      </c>
      <c r="AF122" s="2">
        <f t="shared" si="43"/>
        <v>249.87557838805412</v>
      </c>
      <c r="AG122" s="12">
        <f t="shared" si="52"/>
        <v>1624.1912595223521</v>
      </c>
      <c r="AH122" s="2">
        <f t="shared" si="53"/>
        <v>0</v>
      </c>
      <c r="AI122" s="12">
        <f t="shared" si="44"/>
        <v>1624.1912595223521</v>
      </c>
      <c r="AJ122" s="12">
        <f t="shared" si="56"/>
        <v>125385.29853829852</v>
      </c>
      <c r="AK122" s="86">
        <f t="shared" si="45"/>
        <v>0.8666666666666667</v>
      </c>
      <c r="AL122" s="12">
        <f t="shared" si="54"/>
        <v>161099.76090357534</v>
      </c>
      <c r="AM122" s="124">
        <f t="shared" si="46"/>
        <v>0.11410249156661711</v>
      </c>
      <c r="AN122" s="72"/>
      <c r="AO122" s="59">
        <v>119</v>
      </c>
      <c r="AP122" s="125">
        <f t="shared" si="47"/>
        <v>18058.563519499094</v>
      </c>
      <c r="AQ122" s="125">
        <f t="shared" si="55"/>
        <v>125385.29853829852</v>
      </c>
    </row>
    <row r="123" spans="19:43" x14ac:dyDescent="0.25">
      <c r="S123" s="9" t="str">
        <f t="shared" ref="S123:S186" si="58">IF(AND(AJ123&gt;0,AJ122&lt;0),"Payback","")</f>
        <v/>
      </c>
      <c r="T123" s="59">
        <v>9</v>
      </c>
      <c r="U123" s="59">
        <v>12</v>
      </c>
      <c r="V123" s="3" t="s">
        <v>61</v>
      </c>
      <c r="W123" s="23">
        <f>'Análise Técnica'!$C$3</f>
        <v>750</v>
      </c>
      <c r="X123" s="23">
        <f t="shared" si="57"/>
        <v>826.45346174795225</v>
      </c>
      <c r="Y123" s="54">
        <f t="shared" si="48"/>
        <v>0</v>
      </c>
      <c r="Z123" s="54">
        <f t="shared" si="49"/>
        <v>76.453461747952247</v>
      </c>
      <c r="AA123" s="54">
        <f t="shared" si="40"/>
        <v>100</v>
      </c>
      <c r="AB123" s="54">
        <f t="shared" si="41"/>
        <v>0</v>
      </c>
      <c r="AC123" s="54">
        <f t="shared" si="50"/>
        <v>1082.1173217948315</v>
      </c>
      <c r="AD123" s="58">
        <f t="shared" si="51"/>
        <v>0</v>
      </c>
      <c r="AE123" s="2">
        <f t="shared" si="42"/>
        <v>1874.0668379104061</v>
      </c>
      <c r="AF123" s="2">
        <f t="shared" si="43"/>
        <v>249.87557838805412</v>
      </c>
      <c r="AG123" s="12">
        <f t="shared" si="52"/>
        <v>1624.1912595223521</v>
      </c>
      <c r="AH123" s="2">
        <f t="shared" si="53"/>
        <v>0</v>
      </c>
      <c r="AI123" s="12">
        <f t="shared" si="44"/>
        <v>1624.1912595223521</v>
      </c>
      <c r="AJ123" s="12">
        <f t="shared" si="56"/>
        <v>127009.48979782088</v>
      </c>
      <c r="AK123" s="86">
        <f t="shared" si="45"/>
        <v>0.8666666666666667</v>
      </c>
      <c r="AL123" s="12">
        <f t="shared" si="54"/>
        <v>162973.82774148576</v>
      </c>
      <c r="AM123" s="124">
        <f t="shared" si="46"/>
        <v>0.11410249156661711</v>
      </c>
      <c r="AN123" s="72"/>
      <c r="AO123" s="59">
        <v>120</v>
      </c>
      <c r="AP123" s="125">
        <f t="shared" si="47"/>
        <v>18115.039305511753</v>
      </c>
      <c r="AQ123" s="125">
        <f t="shared" si="55"/>
        <v>127009.48979782088</v>
      </c>
    </row>
    <row r="124" spans="19:43" x14ac:dyDescent="0.25">
      <c r="S124" s="9" t="str">
        <f t="shared" si="58"/>
        <v/>
      </c>
      <c r="T124" s="59">
        <v>10</v>
      </c>
      <c r="U124" s="59">
        <v>1</v>
      </c>
      <c r="V124" s="3" t="s">
        <v>50</v>
      </c>
      <c r="W124" s="23">
        <f>'Análise Técnica'!$C$3</f>
        <v>750</v>
      </c>
      <c r="X124" s="23">
        <f t="shared" si="57"/>
        <v>846.85658908393577</v>
      </c>
      <c r="Y124" s="54">
        <f t="shared" ref="Y124:Y147" si="59">IF(X124-W124&lt;0,W124-X124,0)</f>
        <v>0</v>
      </c>
      <c r="Z124" s="54">
        <f t="shared" ref="Z124:Z147" si="60">IF(X124-W124&gt;0,X124-W124,0)</f>
        <v>96.856589083935773</v>
      </c>
      <c r="AA124" s="54">
        <f t="shared" si="40"/>
        <v>100</v>
      </c>
      <c r="AB124" s="54">
        <f t="shared" si="41"/>
        <v>0</v>
      </c>
      <c r="AC124" s="54">
        <f t="shared" si="50"/>
        <v>1178.9739108787671</v>
      </c>
      <c r="AD124" s="58">
        <f t="shared" si="51"/>
        <v>0</v>
      </c>
      <c r="AE124" s="2">
        <f t="shared" si="42"/>
        <v>2023.9921849432385</v>
      </c>
      <c r="AF124" s="2">
        <f t="shared" si="43"/>
        <v>269.86562465909844</v>
      </c>
      <c r="AG124" s="12">
        <f t="shared" si="52"/>
        <v>1754.1265602841399</v>
      </c>
      <c r="AH124" s="2">
        <f t="shared" si="53"/>
        <v>0</v>
      </c>
      <c r="AI124" s="12">
        <f t="shared" si="44"/>
        <v>1754.1265602841399</v>
      </c>
      <c r="AJ124" s="12">
        <f t="shared" si="56"/>
        <v>128763.61635810502</v>
      </c>
      <c r="AK124" s="86">
        <f t="shared" si="45"/>
        <v>0.8666666666666667</v>
      </c>
      <c r="AL124" s="12">
        <f t="shared" si="54"/>
        <v>164997.81992642899</v>
      </c>
      <c r="AM124" s="124">
        <f t="shared" si="46"/>
        <v>0.12323069089194646</v>
      </c>
      <c r="AN124" s="72"/>
      <c r="AO124" s="59">
        <v>121</v>
      </c>
      <c r="AP124" s="125">
        <f t="shared" si="47"/>
        <v>18021.749759218612</v>
      </c>
      <c r="AQ124" s="125">
        <f t="shared" si="55"/>
        <v>128763.61635810502</v>
      </c>
    </row>
    <row r="125" spans="19:43" x14ac:dyDescent="0.25">
      <c r="S125" s="9" t="str">
        <f t="shared" si="58"/>
        <v/>
      </c>
      <c r="T125" s="59">
        <v>10</v>
      </c>
      <c r="U125" s="59">
        <v>2</v>
      </c>
      <c r="V125" s="3" t="s">
        <v>51</v>
      </c>
      <c r="W125" s="23">
        <f>'Análise Técnica'!$C$3</f>
        <v>750</v>
      </c>
      <c r="X125" s="23">
        <f t="shared" si="57"/>
        <v>891.92482899203469</v>
      </c>
      <c r="Y125" s="54">
        <f t="shared" si="59"/>
        <v>0</v>
      </c>
      <c r="Z125" s="54">
        <f t="shared" si="60"/>
        <v>141.92482899203469</v>
      </c>
      <c r="AA125" s="54">
        <f t="shared" si="40"/>
        <v>100</v>
      </c>
      <c r="AB125" s="54">
        <f t="shared" si="41"/>
        <v>0</v>
      </c>
      <c r="AC125" s="54">
        <f t="shared" si="50"/>
        <v>1320.8987398708018</v>
      </c>
      <c r="AD125" s="58">
        <f t="shared" si="51"/>
        <v>0</v>
      </c>
      <c r="AE125" s="2">
        <f t="shared" si="42"/>
        <v>2023.9921849432385</v>
      </c>
      <c r="AF125" s="2">
        <f t="shared" si="43"/>
        <v>269.86562465909844</v>
      </c>
      <c r="AG125" s="12">
        <f t="shared" si="52"/>
        <v>1754.1265602841399</v>
      </c>
      <c r="AH125" s="2">
        <f t="shared" si="53"/>
        <v>0</v>
      </c>
      <c r="AI125" s="12">
        <f t="shared" si="44"/>
        <v>1754.1265602841399</v>
      </c>
      <c r="AJ125" s="12">
        <f t="shared" si="56"/>
        <v>130517.74291838917</v>
      </c>
      <c r="AK125" s="86">
        <f t="shared" si="45"/>
        <v>0.8666666666666667</v>
      </c>
      <c r="AL125" s="12">
        <f t="shared" si="54"/>
        <v>167021.81211137222</v>
      </c>
      <c r="AM125" s="124">
        <f t="shared" si="46"/>
        <v>0.12323069089194646</v>
      </c>
      <c r="AN125" s="72"/>
      <c r="AO125" s="59">
        <v>122</v>
      </c>
      <c r="AP125" s="125">
        <f t="shared" si="47"/>
        <v>18078.546028060402</v>
      </c>
      <c r="AQ125" s="125">
        <f t="shared" si="55"/>
        <v>130517.74291838917</v>
      </c>
    </row>
    <row r="126" spans="19:43" x14ac:dyDescent="0.25">
      <c r="S126" s="9" t="str">
        <f t="shared" si="58"/>
        <v/>
      </c>
      <c r="T126" s="59">
        <v>10</v>
      </c>
      <c r="U126" s="59">
        <v>3</v>
      </c>
      <c r="V126" s="3" t="s">
        <v>52</v>
      </c>
      <c r="W126" s="23">
        <f>'Análise Técnica'!$C$3</f>
        <v>750</v>
      </c>
      <c r="X126" s="23">
        <f t="shared" si="57"/>
        <v>748.48435903883285</v>
      </c>
      <c r="Y126" s="54">
        <f t="shared" si="59"/>
        <v>1.5156409611671506</v>
      </c>
      <c r="Z126" s="54">
        <f t="shared" si="60"/>
        <v>0</v>
      </c>
      <c r="AA126" s="54">
        <f t="shared" si="40"/>
        <v>100</v>
      </c>
      <c r="AB126" s="54">
        <f t="shared" si="41"/>
        <v>0</v>
      </c>
      <c r="AC126" s="54">
        <f t="shared" si="50"/>
        <v>1320.8987398708018</v>
      </c>
      <c r="AD126" s="58">
        <f t="shared" si="51"/>
        <v>0</v>
      </c>
      <c r="AE126" s="2">
        <f t="shared" si="42"/>
        <v>2023.9921849432385</v>
      </c>
      <c r="AF126" s="2">
        <f t="shared" si="43"/>
        <v>269.86562465909844</v>
      </c>
      <c r="AG126" s="12">
        <f t="shared" si="52"/>
        <v>1754.1265602841399</v>
      </c>
      <c r="AH126" s="2">
        <f t="shared" si="53"/>
        <v>0</v>
      </c>
      <c r="AI126" s="12">
        <f t="shared" si="44"/>
        <v>1754.1265602841399</v>
      </c>
      <c r="AJ126" s="12">
        <f t="shared" si="56"/>
        <v>132271.8694786733</v>
      </c>
      <c r="AK126" s="86">
        <f t="shared" si="45"/>
        <v>0.8666666666666667</v>
      </c>
      <c r="AL126" s="12">
        <f t="shared" si="54"/>
        <v>169045.80429631544</v>
      </c>
      <c r="AM126" s="124">
        <f t="shared" si="46"/>
        <v>0.12323069089194646</v>
      </c>
      <c r="AN126" s="72"/>
      <c r="AO126" s="59">
        <v>123</v>
      </c>
      <c r="AP126" s="125">
        <f t="shared" si="47"/>
        <v>18135.503219663908</v>
      </c>
      <c r="AQ126" s="125">
        <f t="shared" si="55"/>
        <v>132271.8694786733</v>
      </c>
    </row>
    <row r="127" spans="19:43" x14ac:dyDescent="0.25">
      <c r="S127" s="9" t="str">
        <f t="shared" si="58"/>
        <v/>
      </c>
      <c r="T127" s="59">
        <v>10</v>
      </c>
      <c r="U127" s="59">
        <v>4</v>
      </c>
      <c r="V127" s="3" t="s">
        <v>53</v>
      </c>
      <c r="W127" s="23">
        <f>'Análise Técnica'!$C$3</f>
        <v>750</v>
      </c>
      <c r="X127" s="23">
        <f t="shared" si="57"/>
        <v>663.73226046472644</v>
      </c>
      <c r="Y127" s="54">
        <f t="shared" si="59"/>
        <v>86.267739535273563</v>
      </c>
      <c r="Z127" s="54">
        <f t="shared" si="60"/>
        <v>0</v>
      </c>
      <c r="AA127" s="54">
        <f t="shared" si="40"/>
        <v>100</v>
      </c>
      <c r="AB127" s="54">
        <f t="shared" si="41"/>
        <v>0</v>
      </c>
      <c r="AC127" s="54">
        <f t="shared" si="50"/>
        <v>1320.8987398708018</v>
      </c>
      <c r="AD127" s="58">
        <f t="shared" si="51"/>
        <v>0</v>
      </c>
      <c r="AE127" s="2">
        <f t="shared" si="42"/>
        <v>2023.9921849432385</v>
      </c>
      <c r="AF127" s="2">
        <f t="shared" si="43"/>
        <v>269.86562465909844</v>
      </c>
      <c r="AG127" s="12">
        <f t="shared" si="52"/>
        <v>1754.1265602841399</v>
      </c>
      <c r="AH127" s="2">
        <f t="shared" si="53"/>
        <v>0</v>
      </c>
      <c r="AI127" s="12">
        <f t="shared" si="44"/>
        <v>1754.1265602841399</v>
      </c>
      <c r="AJ127" s="12">
        <f t="shared" si="56"/>
        <v>134025.99603895744</v>
      </c>
      <c r="AK127" s="86">
        <f t="shared" si="45"/>
        <v>0.8666666666666667</v>
      </c>
      <c r="AL127" s="12">
        <f t="shared" si="54"/>
        <v>171069.79648125867</v>
      </c>
      <c r="AM127" s="124">
        <f t="shared" si="46"/>
        <v>0.12323069089194646</v>
      </c>
      <c r="AN127" s="72"/>
      <c r="AO127" s="59">
        <v>124</v>
      </c>
      <c r="AP127" s="125">
        <f t="shared" si="47"/>
        <v>18192.621789976962</v>
      </c>
      <c r="AQ127" s="125">
        <f t="shared" si="55"/>
        <v>134025.99603895744</v>
      </c>
    </row>
    <row r="128" spans="19:43" x14ac:dyDescent="0.25">
      <c r="S128" s="9" t="str">
        <f t="shared" si="58"/>
        <v/>
      </c>
      <c r="T128" s="59">
        <v>10</v>
      </c>
      <c r="U128" s="59">
        <v>5</v>
      </c>
      <c r="V128" s="3" t="s">
        <v>54</v>
      </c>
      <c r="W128" s="23">
        <f>'Análise Técnica'!$C$3</f>
        <v>750</v>
      </c>
      <c r="X128" s="23">
        <f t="shared" si="57"/>
        <v>546.60466645295423</v>
      </c>
      <c r="Y128" s="54">
        <f t="shared" si="59"/>
        <v>203.39533354704577</v>
      </c>
      <c r="Z128" s="54">
        <f t="shared" si="60"/>
        <v>0</v>
      </c>
      <c r="AA128" s="54">
        <f t="shared" si="40"/>
        <v>100</v>
      </c>
      <c r="AB128" s="54">
        <f t="shared" si="41"/>
        <v>103.39533354704577</v>
      </c>
      <c r="AC128" s="54">
        <f t="shared" si="50"/>
        <v>1217.5034063237561</v>
      </c>
      <c r="AD128" s="58">
        <f t="shared" si="51"/>
        <v>0</v>
      </c>
      <c r="AE128" s="2">
        <f t="shared" si="42"/>
        <v>2023.9921849432385</v>
      </c>
      <c r="AF128" s="2">
        <f t="shared" si="43"/>
        <v>269.86562465909844</v>
      </c>
      <c r="AG128" s="12">
        <f t="shared" si="52"/>
        <v>1754.1265602841399</v>
      </c>
      <c r="AH128" s="2">
        <f t="shared" si="53"/>
        <v>0</v>
      </c>
      <c r="AI128" s="12">
        <f t="shared" si="44"/>
        <v>1754.1265602841399</v>
      </c>
      <c r="AJ128" s="12">
        <f t="shared" si="56"/>
        <v>135780.12259924159</v>
      </c>
      <c r="AK128" s="86">
        <f t="shared" si="45"/>
        <v>0.8666666666666667</v>
      </c>
      <c r="AL128" s="12">
        <f t="shared" si="54"/>
        <v>173093.7886662019</v>
      </c>
      <c r="AM128" s="124">
        <f t="shared" si="46"/>
        <v>0.12323069089194646</v>
      </c>
      <c r="AN128" s="72"/>
      <c r="AO128" s="59">
        <v>125</v>
      </c>
      <c r="AP128" s="125">
        <f t="shared" si="47"/>
        <v>18249.90219623924</v>
      </c>
      <c r="AQ128" s="125">
        <f t="shared" si="55"/>
        <v>135780.12259924159</v>
      </c>
    </row>
    <row r="129" spans="19:43" x14ac:dyDescent="0.25">
      <c r="S129" s="9" t="str">
        <f t="shared" si="58"/>
        <v/>
      </c>
      <c r="T129" s="59">
        <v>10</v>
      </c>
      <c r="U129" s="59">
        <v>6</v>
      </c>
      <c r="V129" s="3" t="s">
        <v>55</v>
      </c>
      <c r="W129" s="23">
        <f>'Análise Técnica'!$C$3</f>
        <v>750</v>
      </c>
      <c r="X129" s="23">
        <f t="shared" si="57"/>
        <v>505.49512329354008</v>
      </c>
      <c r="Y129" s="54">
        <f t="shared" si="59"/>
        <v>244.50487670645992</v>
      </c>
      <c r="Z129" s="54">
        <f t="shared" si="60"/>
        <v>0</v>
      </c>
      <c r="AA129" s="54">
        <f t="shared" si="40"/>
        <v>100</v>
      </c>
      <c r="AB129" s="54">
        <f t="shared" si="41"/>
        <v>144.50487670645992</v>
      </c>
      <c r="AC129" s="54">
        <f t="shared" si="50"/>
        <v>1072.9985296172961</v>
      </c>
      <c r="AD129" s="58">
        <f t="shared" si="51"/>
        <v>0</v>
      </c>
      <c r="AE129" s="2">
        <f t="shared" si="42"/>
        <v>2023.9921849432385</v>
      </c>
      <c r="AF129" s="2">
        <f t="shared" si="43"/>
        <v>269.86562465909844</v>
      </c>
      <c r="AG129" s="12">
        <f t="shared" si="52"/>
        <v>1754.1265602841399</v>
      </c>
      <c r="AH129" s="2">
        <f t="shared" si="53"/>
        <v>0</v>
      </c>
      <c r="AI129" s="12">
        <f t="shared" si="44"/>
        <v>1754.1265602841399</v>
      </c>
      <c r="AJ129" s="12">
        <f t="shared" si="56"/>
        <v>137534.24915952573</v>
      </c>
      <c r="AK129" s="86">
        <f t="shared" si="45"/>
        <v>0.8666666666666667</v>
      </c>
      <c r="AL129" s="12">
        <f t="shared" si="54"/>
        <v>175117.78085114513</v>
      </c>
      <c r="AM129" s="124">
        <f t="shared" si="46"/>
        <v>0.12323069089194646</v>
      </c>
      <c r="AN129" s="72"/>
      <c r="AO129" s="59">
        <v>126</v>
      </c>
      <c r="AP129" s="125">
        <f t="shared" si="47"/>
        <v>18307.34489698592</v>
      </c>
      <c r="AQ129" s="125">
        <f t="shared" si="55"/>
        <v>137534.24915952573</v>
      </c>
    </row>
    <row r="130" spans="19:43" x14ac:dyDescent="0.25">
      <c r="S130" s="9" t="str">
        <f t="shared" si="58"/>
        <v/>
      </c>
      <c r="T130" s="59">
        <v>10</v>
      </c>
      <c r="U130" s="59">
        <v>7</v>
      </c>
      <c r="V130" s="3" t="s">
        <v>56</v>
      </c>
      <c r="W130" s="23">
        <f>'Análise Técnica'!$C$3</f>
        <v>750</v>
      </c>
      <c r="X130" s="23">
        <f t="shared" si="57"/>
        <v>505.42591530842293</v>
      </c>
      <c r="Y130" s="54">
        <f t="shared" si="59"/>
        <v>244.57408469157707</v>
      </c>
      <c r="Z130" s="54">
        <f t="shared" si="60"/>
        <v>0</v>
      </c>
      <c r="AA130" s="54">
        <f t="shared" si="40"/>
        <v>100</v>
      </c>
      <c r="AB130" s="54">
        <f t="shared" si="41"/>
        <v>144.57408469157707</v>
      </c>
      <c r="AC130" s="54">
        <f t="shared" si="50"/>
        <v>928.42444492571894</v>
      </c>
      <c r="AD130" s="58">
        <f t="shared" si="51"/>
        <v>0</v>
      </c>
      <c r="AE130" s="2">
        <f t="shared" si="42"/>
        <v>2023.9921849432385</v>
      </c>
      <c r="AF130" s="2">
        <f t="shared" si="43"/>
        <v>269.86562465909844</v>
      </c>
      <c r="AG130" s="12">
        <f t="shared" si="52"/>
        <v>1754.1265602841399</v>
      </c>
      <c r="AH130" s="2">
        <f t="shared" si="53"/>
        <v>0</v>
      </c>
      <c r="AI130" s="12">
        <f t="shared" si="44"/>
        <v>1754.1265602841399</v>
      </c>
      <c r="AJ130" s="12">
        <f t="shared" si="56"/>
        <v>139288.37571980988</v>
      </c>
      <c r="AK130" s="86">
        <f t="shared" si="45"/>
        <v>0.8666666666666667</v>
      </c>
      <c r="AL130" s="12">
        <f t="shared" si="54"/>
        <v>177141.77303608836</v>
      </c>
      <c r="AM130" s="124">
        <f t="shared" si="46"/>
        <v>0.12323069089194646</v>
      </c>
      <c r="AN130" s="72"/>
      <c r="AO130" s="59">
        <v>127</v>
      </c>
      <c r="AP130" s="125">
        <f t="shared" si="47"/>
        <v>18364.950352051386</v>
      </c>
      <c r="AQ130" s="125">
        <f t="shared" si="55"/>
        <v>139288.37571980988</v>
      </c>
    </row>
    <row r="131" spans="19:43" x14ac:dyDescent="0.25">
      <c r="S131" s="9" t="str">
        <f t="shared" si="58"/>
        <v/>
      </c>
      <c r="T131" s="59">
        <v>10</v>
      </c>
      <c r="U131" s="59">
        <v>8</v>
      </c>
      <c r="V131" s="3" t="s">
        <v>57</v>
      </c>
      <c r="W131" s="23">
        <f>'Análise Técnica'!$C$3</f>
        <v>750</v>
      </c>
      <c r="X131" s="23">
        <f t="shared" si="57"/>
        <v>625.00347199333225</v>
      </c>
      <c r="Y131" s="54">
        <f t="shared" si="59"/>
        <v>124.99652800666775</v>
      </c>
      <c r="Z131" s="54">
        <f t="shared" si="60"/>
        <v>0</v>
      </c>
      <c r="AA131" s="54">
        <f t="shared" si="40"/>
        <v>100</v>
      </c>
      <c r="AB131" s="54">
        <f t="shared" si="41"/>
        <v>24.996528006667745</v>
      </c>
      <c r="AC131" s="54">
        <f t="shared" si="50"/>
        <v>903.4279169190512</v>
      </c>
      <c r="AD131" s="58">
        <f t="shared" si="51"/>
        <v>0</v>
      </c>
      <c r="AE131" s="2">
        <f t="shared" si="42"/>
        <v>2023.9921849432385</v>
      </c>
      <c r="AF131" s="2">
        <f t="shared" si="43"/>
        <v>269.86562465909844</v>
      </c>
      <c r="AG131" s="12">
        <f t="shared" si="52"/>
        <v>1754.1265602841399</v>
      </c>
      <c r="AH131" s="2">
        <f t="shared" si="53"/>
        <v>0</v>
      </c>
      <c r="AI131" s="12">
        <f t="shared" si="44"/>
        <v>1754.1265602841399</v>
      </c>
      <c r="AJ131" s="12">
        <f t="shared" si="56"/>
        <v>141042.50228009402</v>
      </c>
      <c r="AK131" s="86">
        <f t="shared" si="45"/>
        <v>0.8666666666666667</v>
      </c>
      <c r="AL131" s="12">
        <f t="shared" si="54"/>
        <v>179165.76522103159</v>
      </c>
      <c r="AM131" s="124">
        <f t="shared" si="46"/>
        <v>0.12323069089194646</v>
      </c>
      <c r="AN131" s="72"/>
      <c r="AO131" s="59">
        <v>128</v>
      </c>
      <c r="AP131" s="125">
        <f t="shared" si="47"/>
        <v>18422.71902257287</v>
      </c>
      <c r="AQ131" s="125">
        <f t="shared" si="55"/>
        <v>141042.50228009402</v>
      </c>
    </row>
    <row r="132" spans="19:43" x14ac:dyDescent="0.25">
      <c r="S132" s="9" t="str">
        <f t="shared" si="58"/>
        <v/>
      </c>
      <c r="T132" s="59">
        <v>10</v>
      </c>
      <c r="U132" s="59">
        <v>9</v>
      </c>
      <c r="V132" s="3" t="s">
        <v>58</v>
      </c>
      <c r="W132" s="23">
        <f>'Análise Técnica'!$C$3</f>
        <v>750</v>
      </c>
      <c r="X132" s="23">
        <f t="shared" si="57"/>
        <v>634.83100587992624</v>
      </c>
      <c r="Y132" s="54">
        <f t="shared" si="59"/>
        <v>115.16899412007376</v>
      </c>
      <c r="Z132" s="54">
        <f t="shared" si="60"/>
        <v>0</v>
      </c>
      <c r="AA132" s="54">
        <f t="shared" ref="AA132:AA195" si="61">$C$7</f>
        <v>100</v>
      </c>
      <c r="AB132" s="54">
        <f t="shared" ref="AB132:AB195" si="62">IF(Y132-$C$7&gt;0,Y132-$C$7,0)</f>
        <v>15.168994120073762</v>
      </c>
      <c r="AC132" s="54">
        <f t="shared" si="50"/>
        <v>888.25892279897744</v>
      </c>
      <c r="AD132" s="58">
        <f t="shared" si="51"/>
        <v>0</v>
      </c>
      <c r="AE132" s="2">
        <f t="shared" ref="AE132:AE195" si="63">($C$10*(1+$C$30)^T132)</f>
        <v>2023.9921849432385</v>
      </c>
      <c r="AF132" s="2">
        <f t="shared" ref="AF132:AF195" si="64">IF(Z132&gt;0,((AA132*$C$8)*((1+$C$30)^T132)),((AA132+AD132)*$C$8)*(1+$C$30)^T132)</f>
        <v>269.86562465909844</v>
      </c>
      <c r="AG132" s="12">
        <f t="shared" si="52"/>
        <v>1754.1265602841399</v>
      </c>
      <c r="AH132" s="2">
        <f t="shared" si="53"/>
        <v>0</v>
      </c>
      <c r="AI132" s="12">
        <f t="shared" ref="AI132:AI195" si="65">AG132-AH132</f>
        <v>1754.1265602841399</v>
      </c>
      <c r="AJ132" s="12">
        <f t="shared" si="56"/>
        <v>142796.62884037817</v>
      </c>
      <c r="AK132" s="86">
        <f t="shared" ref="AK132:AK195" si="66">1-(AF132/AE132)</f>
        <v>0.8666666666666667</v>
      </c>
      <c r="AL132" s="12">
        <f t="shared" si="54"/>
        <v>181189.75740597481</v>
      </c>
      <c r="AM132" s="124">
        <f t="shared" ref="AM132:AM195" si="67">AG132/$C$4</f>
        <v>0.12323069089194646</v>
      </c>
      <c r="AN132" s="72"/>
      <c r="AO132" s="59">
        <v>129</v>
      </c>
      <c r="AP132" s="125">
        <f t="shared" ref="AP132:AP195" si="68">($C$4*(1+($C$36-$C$39))^AO132)-AE132</f>
        <v>18480.651370994165</v>
      </c>
      <c r="AQ132" s="125">
        <f t="shared" si="55"/>
        <v>142796.62884037817</v>
      </c>
    </row>
    <row r="133" spans="19:43" x14ac:dyDescent="0.25">
      <c r="S133" s="9" t="str">
        <f t="shared" si="58"/>
        <v/>
      </c>
      <c r="T133" s="59">
        <v>10</v>
      </c>
      <c r="U133" s="59">
        <v>10</v>
      </c>
      <c r="V133" s="3" t="s">
        <v>59</v>
      </c>
      <c r="W133" s="23">
        <f>'Análise Técnica'!$C$3</f>
        <v>750</v>
      </c>
      <c r="X133" s="23">
        <f t="shared" si="57"/>
        <v>710.18466007516258</v>
      </c>
      <c r="Y133" s="54">
        <f t="shared" si="59"/>
        <v>39.815339924837417</v>
      </c>
      <c r="Z133" s="54">
        <f t="shared" si="60"/>
        <v>0</v>
      </c>
      <c r="AA133" s="54">
        <f t="shared" si="61"/>
        <v>100</v>
      </c>
      <c r="AB133" s="54">
        <f t="shared" si="62"/>
        <v>0</v>
      </c>
      <c r="AC133" s="54">
        <f t="shared" ref="AC133:AC196" si="69">IF(AC132-(Y133-$C$7)&gt;0,IF(Y133&gt;0,IF(Y133&lt;$C$7,AC132,AC132-(Y133-$C$7)),Z133+AC132),0)</f>
        <v>888.25892279897744</v>
      </c>
      <c r="AD133" s="58">
        <f t="shared" ref="AD133:AD196" si="70">IF(AB133-AC132&lt;0,0,AB133-AC132)</f>
        <v>0</v>
      </c>
      <c r="AE133" s="2">
        <f t="shared" si="63"/>
        <v>2023.9921849432385</v>
      </c>
      <c r="AF133" s="2">
        <f t="shared" si="64"/>
        <v>269.86562465909844</v>
      </c>
      <c r="AG133" s="12">
        <f t="shared" ref="AG133:AG196" si="71">AE133-AF133</f>
        <v>1754.1265602841399</v>
      </c>
      <c r="AH133" s="2">
        <f t="shared" ref="AH133:AH196" si="72">$C$28/12*($C$4*((1+$C$29)^T133))+IF($C$31=T133,$C$33/12,0)</f>
        <v>0</v>
      </c>
      <c r="AI133" s="12">
        <f t="shared" si="65"/>
        <v>1754.1265602841399</v>
      </c>
      <c r="AJ133" s="12">
        <f t="shared" si="56"/>
        <v>144550.75540066231</v>
      </c>
      <c r="AK133" s="86">
        <f t="shared" si="66"/>
        <v>0.8666666666666667</v>
      </c>
      <c r="AL133" s="12">
        <f t="shared" ref="AL133:AL196" si="73">AL132+AE133</f>
        <v>183213.74959091804</v>
      </c>
      <c r="AM133" s="124">
        <f t="shared" si="67"/>
        <v>0.12323069089194646</v>
      </c>
      <c r="AN133" s="72"/>
      <c r="AO133" s="59">
        <v>130</v>
      </c>
      <c r="AP133" s="125">
        <f t="shared" si="68"/>
        <v>18538.747861069322</v>
      </c>
      <c r="AQ133" s="125">
        <f t="shared" ref="AQ133:AQ196" si="74">AJ133</f>
        <v>144550.75540066231</v>
      </c>
    </row>
    <row r="134" spans="19:43" x14ac:dyDescent="0.25">
      <c r="S134" s="9" t="str">
        <f t="shared" si="58"/>
        <v/>
      </c>
      <c r="T134" s="59">
        <v>10</v>
      </c>
      <c r="U134" s="59">
        <v>11</v>
      </c>
      <c r="V134" s="3" t="s">
        <v>60</v>
      </c>
      <c r="W134" s="23">
        <f>'Análise Técnica'!$C$3</f>
        <v>750</v>
      </c>
      <c r="X134" s="23">
        <f t="shared" si="57"/>
        <v>715.30605097381022</v>
      </c>
      <c r="Y134" s="54">
        <f t="shared" si="59"/>
        <v>34.693949026189784</v>
      </c>
      <c r="Z134" s="54">
        <f t="shared" si="60"/>
        <v>0</v>
      </c>
      <c r="AA134" s="54">
        <f t="shared" si="61"/>
        <v>100</v>
      </c>
      <c r="AB134" s="54">
        <f t="shared" si="62"/>
        <v>0</v>
      </c>
      <c r="AC134" s="54">
        <f t="shared" si="69"/>
        <v>888.25892279897744</v>
      </c>
      <c r="AD134" s="58">
        <f t="shared" si="70"/>
        <v>0</v>
      </c>
      <c r="AE134" s="2">
        <f t="shared" si="63"/>
        <v>2023.9921849432385</v>
      </c>
      <c r="AF134" s="2">
        <f t="shared" si="64"/>
        <v>269.86562465909844</v>
      </c>
      <c r="AG134" s="12">
        <f t="shared" si="71"/>
        <v>1754.1265602841399</v>
      </c>
      <c r="AH134" s="2">
        <f t="shared" si="72"/>
        <v>0</v>
      </c>
      <c r="AI134" s="12">
        <f t="shared" si="65"/>
        <v>1754.1265602841399</v>
      </c>
      <c r="AJ134" s="12">
        <f t="shared" si="56"/>
        <v>146304.88196094646</v>
      </c>
      <c r="AK134" s="86">
        <f t="shared" si="66"/>
        <v>0.8666666666666667</v>
      </c>
      <c r="AL134" s="12">
        <f t="shared" si="73"/>
        <v>185237.74177586127</v>
      </c>
      <c r="AM134" s="124">
        <f t="shared" si="67"/>
        <v>0.12323069089194646</v>
      </c>
      <c r="AN134" s="72"/>
      <c r="AO134" s="59">
        <v>131</v>
      </c>
      <c r="AP134" s="125">
        <f t="shared" si="68"/>
        <v>18597.008957866357</v>
      </c>
      <c r="AQ134" s="125">
        <f t="shared" si="74"/>
        <v>146304.88196094646</v>
      </c>
    </row>
    <row r="135" spans="19:43" x14ac:dyDescent="0.25">
      <c r="S135" s="9" t="str">
        <f t="shared" si="58"/>
        <v/>
      </c>
      <c r="T135" s="59">
        <v>10</v>
      </c>
      <c r="U135" s="59">
        <v>12</v>
      </c>
      <c r="V135" s="3" t="s">
        <v>61</v>
      </c>
      <c r="W135" s="23">
        <f>'Análise Técnica'!$C$3</f>
        <v>750</v>
      </c>
      <c r="X135" s="23">
        <f t="shared" si="57"/>
        <v>820.66828751571654</v>
      </c>
      <c r="Y135" s="54">
        <f t="shared" si="59"/>
        <v>0</v>
      </c>
      <c r="Z135" s="54">
        <f t="shared" si="60"/>
        <v>70.668287515716543</v>
      </c>
      <c r="AA135" s="54">
        <f t="shared" si="61"/>
        <v>100</v>
      </c>
      <c r="AB135" s="54">
        <f t="shared" si="62"/>
        <v>0</v>
      </c>
      <c r="AC135" s="54">
        <f t="shared" si="69"/>
        <v>958.92721031469398</v>
      </c>
      <c r="AD135" s="58">
        <f t="shared" si="70"/>
        <v>0</v>
      </c>
      <c r="AE135" s="2">
        <f t="shared" si="63"/>
        <v>2023.9921849432385</v>
      </c>
      <c r="AF135" s="2">
        <f t="shared" si="64"/>
        <v>269.86562465909844</v>
      </c>
      <c r="AG135" s="12">
        <f t="shared" si="71"/>
        <v>1754.1265602841399</v>
      </c>
      <c r="AH135" s="2">
        <f t="shared" si="72"/>
        <v>0</v>
      </c>
      <c r="AI135" s="12">
        <f t="shared" si="65"/>
        <v>1754.1265602841399</v>
      </c>
      <c r="AJ135" s="12">
        <f t="shared" ref="AJ135:AJ198" si="75">AJ134+AI135</f>
        <v>148059.0085212306</v>
      </c>
      <c r="AK135" s="86">
        <f t="shared" si="66"/>
        <v>0.8666666666666667</v>
      </c>
      <c r="AL135" s="12">
        <f t="shared" si="73"/>
        <v>187261.7339608045</v>
      </c>
      <c r="AM135" s="124">
        <f t="shared" si="67"/>
        <v>0.12323069089194646</v>
      </c>
      <c r="AN135" s="72"/>
      <c r="AO135" s="59">
        <v>132</v>
      </c>
      <c r="AP135" s="125">
        <f t="shared" si="68"/>
        <v>18655.435127770979</v>
      </c>
      <c r="AQ135" s="125">
        <f t="shared" si="74"/>
        <v>148059.0085212306</v>
      </c>
    </row>
    <row r="136" spans="19:43" x14ac:dyDescent="0.25">
      <c r="S136" s="9" t="str">
        <f t="shared" si="58"/>
        <v/>
      </c>
      <c r="T136" s="59">
        <v>11</v>
      </c>
      <c r="U136" s="59">
        <v>1</v>
      </c>
      <c r="V136" s="3" t="s">
        <v>50</v>
      </c>
      <c r="W136" s="23">
        <f>'Análise Técnica'!$C$3</f>
        <v>750</v>
      </c>
      <c r="X136" s="23">
        <f t="shared" si="57"/>
        <v>840.92859296034817</v>
      </c>
      <c r="Y136" s="54">
        <f t="shared" si="59"/>
        <v>0</v>
      </c>
      <c r="Z136" s="54">
        <f t="shared" si="60"/>
        <v>90.928592960348169</v>
      </c>
      <c r="AA136" s="54">
        <f t="shared" si="61"/>
        <v>100</v>
      </c>
      <c r="AB136" s="54">
        <f t="shared" si="62"/>
        <v>0</v>
      </c>
      <c r="AC136" s="54">
        <f t="shared" si="69"/>
        <v>1049.855803275042</v>
      </c>
      <c r="AD136" s="58">
        <f t="shared" si="70"/>
        <v>0</v>
      </c>
      <c r="AE136" s="2">
        <f t="shared" si="63"/>
        <v>2185.9115597386976</v>
      </c>
      <c r="AF136" s="2">
        <f t="shared" si="64"/>
        <v>291.45487463182633</v>
      </c>
      <c r="AG136" s="12">
        <f t="shared" si="71"/>
        <v>1894.4566851068712</v>
      </c>
      <c r="AH136" s="2">
        <f t="shared" si="72"/>
        <v>0</v>
      </c>
      <c r="AI136" s="12">
        <f t="shared" si="65"/>
        <v>1894.4566851068712</v>
      </c>
      <c r="AJ136" s="12">
        <f t="shared" si="75"/>
        <v>149953.46520633748</v>
      </c>
      <c r="AK136" s="86">
        <f t="shared" si="66"/>
        <v>0.8666666666666667</v>
      </c>
      <c r="AL136" s="12">
        <f t="shared" si="73"/>
        <v>189447.64552054318</v>
      </c>
      <c r="AM136" s="124">
        <f t="shared" si="67"/>
        <v>0.1330891461633022</v>
      </c>
      <c r="AN136" s="72"/>
      <c r="AO136" s="59">
        <v>133</v>
      </c>
      <c r="AP136" s="125">
        <f t="shared" si="68"/>
        <v>18552.10746369488</v>
      </c>
      <c r="AQ136" s="125">
        <f t="shared" si="74"/>
        <v>149953.46520633748</v>
      </c>
    </row>
    <row r="137" spans="19:43" x14ac:dyDescent="0.25">
      <c r="S137" s="9" t="str">
        <f t="shared" si="58"/>
        <v/>
      </c>
      <c r="T137" s="59">
        <v>11</v>
      </c>
      <c r="U137" s="59">
        <v>2</v>
      </c>
      <c r="V137" s="3" t="s">
        <v>51</v>
      </c>
      <c r="W137" s="23">
        <f>'Análise Técnica'!$C$3</f>
        <v>750</v>
      </c>
      <c r="X137" s="23">
        <f t="shared" si="57"/>
        <v>885.68135518909048</v>
      </c>
      <c r="Y137" s="54">
        <f t="shared" si="59"/>
        <v>0</v>
      </c>
      <c r="Z137" s="54">
        <f t="shared" si="60"/>
        <v>135.68135518909048</v>
      </c>
      <c r="AA137" s="54">
        <f t="shared" si="61"/>
        <v>100</v>
      </c>
      <c r="AB137" s="54">
        <f t="shared" si="62"/>
        <v>0</v>
      </c>
      <c r="AC137" s="54">
        <f t="shared" si="69"/>
        <v>1185.5371584641325</v>
      </c>
      <c r="AD137" s="58">
        <f t="shared" si="70"/>
        <v>0</v>
      </c>
      <c r="AE137" s="2">
        <f t="shared" si="63"/>
        <v>2185.9115597386976</v>
      </c>
      <c r="AF137" s="2">
        <f t="shared" si="64"/>
        <v>291.45487463182633</v>
      </c>
      <c r="AG137" s="12">
        <f t="shared" si="71"/>
        <v>1894.4566851068712</v>
      </c>
      <c r="AH137" s="2">
        <f t="shared" si="72"/>
        <v>0</v>
      </c>
      <c r="AI137" s="12">
        <f t="shared" si="65"/>
        <v>1894.4566851068712</v>
      </c>
      <c r="AJ137" s="12">
        <f t="shared" si="75"/>
        <v>151847.92189144436</v>
      </c>
      <c r="AK137" s="86">
        <f t="shared" si="66"/>
        <v>0.8666666666666667</v>
      </c>
      <c r="AL137" s="12">
        <f t="shared" si="73"/>
        <v>191633.55708028187</v>
      </c>
      <c r="AM137" s="124">
        <f t="shared" si="67"/>
        <v>0.1330891461633022</v>
      </c>
      <c r="AN137" s="72"/>
      <c r="AO137" s="59">
        <v>134</v>
      </c>
      <c r="AP137" s="125">
        <f t="shared" si="68"/>
        <v>18610.865184261271</v>
      </c>
      <c r="AQ137" s="125">
        <f t="shared" si="74"/>
        <v>151847.92189144436</v>
      </c>
    </row>
    <row r="138" spans="19:43" x14ac:dyDescent="0.25">
      <c r="S138" s="9" t="str">
        <f t="shared" si="58"/>
        <v/>
      </c>
      <c r="T138" s="59">
        <v>11</v>
      </c>
      <c r="U138" s="59">
        <v>3</v>
      </c>
      <c r="V138" s="3" t="s">
        <v>52</v>
      </c>
      <c r="W138" s="23">
        <f>'Análise Técnica'!$C$3</f>
        <v>750</v>
      </c>
      <c r="X138" s="23">
        <f t="shared" si="57"/>
        <v>743.24496852556103</v>
      </c>
      <c r="Y138" s="54">
        <f t="shared" si="59"/>
        <v>6.7550314744389652</v>
      </c>
      <c r="Z138" s="54">
        <f t="shared" si="60"/>
        <v>0</v>
      </c>
      <c r="AA138" s="54">
        <f t="shared" si="61"/>
        <v>100</v>
      </c>
      <c r="AB138" s="54">
        <f t="shared" si="62"/>
        <v>0</v>
      </c>
      <c r="AC138" s="54">
        <f t="shared" si="69"/>
        <v>1185.5371584641325</v>
      </c>
      <c r="AD138" s="58">
        <f t="shared" si="70"/>
        <v>0</v>
      </c>
      <c r="AE138" s="2">
        <f t="shared" si="63"/>
        <v>2185.9115597386976</v>
      </c>
      <c r="AF138" s="2">
        <f t="shared" si="64"/>
        <v>291.45487463182633</v>
      </c>
      <c r="AG138" s="12">
        <f t="shared" si="71"/>
        <v>1894.4566851068712</v>
      </c>
      <c r="AH138" s="2">
        <f t="shared" si="72"/>
        <v>0</v>
      </c>
      <c r="AI138" s="12">
        <f t="shared" si="65"/>
        <v>1894.4566851068712</v>
      </c>
      <c r="AJ138" s="12">
        <f t="shared" si="75"/>
        <v>153742.37857655124</v>
      </c>
      <c r="AK138" s="86">
        <f t="shared" si="66"/>
        <v>0.8666666666666667</v>
      </c>
      <c r="AL138" s="12">
        <f t="shared" si="73"/>
        <v>193819.46864002055</v>
      </c>
      <c r="AM138" s="124">
        <f t="shared" si="67"/>
        <v>0.1330891461633022</v>
      </c>
      <c r="AN138" s="72"/>
      <c r="AO138" s="59">
        <v>135</v>
      </c>
      <c r="AP138" s="125">
        <f t="shared" si="68"/>
        <v>18669.78938503594</v>
      </c>
      <c r="AQ138" s="125">
        <f t="shared" si="74"/>
        <v>153742.37857655124</v>
      </c>
    </row>
    <row r="139" spans="19:43" x14ac:dyDescent="0.25">
      <c r="S139" s="9" t="str">
        <f t="shared" si="58"/>
        <v/>
      </c>
      <c r="T139" s="59">
        <v>11</v>
      </c>
      <c r="U139" s="59">
        <v>4</v>
      </c>
      <c r="V139" s="3" t="s">
        <v>53</v>
      </c>
      <c r="W139" s="23">
        <f>'Análise Técnica'!$C$3</f>
        <v>750</v>
      </c>
      <c r="X139" s="23">
        <f t="shared" si="57"/>
        <v>659.08613464147334</v>
      </c>
      <c r="Y139" s="54">
        <f t="shared" si="59"/>
        <v>90.913865358526664</v>
      </c>
      <c r="Z139" s="54">
        <f t="shared" si="60"/>
        <v>0</v>
      </c>
      <c r="AA139" s="54">
        <f t="shared" si="61"/>
        <v>100</v>
      </c>
      <c r="AB139" s="54">
        <f t="shared" si="62"/>
        <v>0</v>
      </c>
      <c r="AC139" s="54">
        <f t="shared" si="69"/>
        <v>1185.5371584641325</v>
      </c>
      <c r="AD139" s="58">
        <f t="shared" si="70"/>
        <v>0</v>
      </c>
      <c r="AE139" s="2">
        <f t="shared" si="63"/>
        <v>2185.9115597386976</v>
      </c>
      <c r="AF139" s="2">
        <f t="shared" si="64"/>
        <v>291.45487463182633</v>
      </c>
      <c r="AG139" s="12">
        <f t="shared" si="71"/>
        <v>1894.4566851068712</v>
      </c>
      <c r="AH139" s="2">
        <f t="shared" si="72"/>
        <v>0</v>
      </c>
      <c r="AI139" s="12">
        <f t="shared" si="65"/>
        <v>1894.4566851068712</v>
      </c>
      <c r="AJ139" s="12">
        <f t="shared" si="75"/>
        <v>155636.83526165813</v>
      </c>
      <c r="AK139" s="86">
        <f t="shared" si="66"/>
        <v>0.8666666666666667</v>
      </c>
      <c r="AL139" s="12">
        <f t="shared" si="73"/>
        <v>196005.38019975924</v>
      </c>
      <c r="AM139" s="124">
        <f t="shared" si="67"/>
        <v>0.1330891461633022</v>
      </c>
      <c r="AN139" s="72"/>
      <c r="AO139" s="59">
        <v>136</v>
      </c>
      <c r="AP139" s="125">
        <f t="shared" si="68"/>
        <v>18728.880537712801</v>
      </c>
      <c r="AQ139" s="125">
        <f t="shared" si="74"/>
        <v>155636.83526165813</v>
      </c>
    </row>
    <row r="140" spans="19:43" x14ac:dyDescent="0.25">
      <c r="S140" s="9" t="str">
        <f t="shared" si="58"/>
        <v/>
      </c>
      <c r="T140" s="59">
        <v>11</v>
      </c>
      <c r="U140" s="59">
        <v>5</v>
      </c>
      <c r="V140" s="3" t="s">
        <v>54</v>
      </c>
      <c r="W140" s="23">
        <f>'Análise Técnica'!$C$3</f>
        <v>750</v>
      </c>
      <c r="X140" s="23">
        <f t="shared" si="57"/>
        <v>542.77843378778357</v>
      </c>
      <c r="Y140" s="54">
        <f t="shared" si="59"/>
        <v>207.22156621221643</v>
      </c>
      <c r="Z140" s="54">
        <f t="shared" si="60"/>
        <v>0</v>
      </c>
      <c r="AA140" s="54">
        <f t="shared" si="61"/>
        <v>100</v>
      </c>
      <c r="AB140" s="54">
        <f t="shared" si="62"/>
        <v>107.22156621221643</v>
      </c>
      <c r="AC140" s="54">
        <f t="shared" si="69"/>
        <v>1078.3155922519161</v>
      </c>
      <c r="AD140" s="58">
        <f t="shared" si="70"/>
        <v>0</v>
      </c>
      <c r="AE140" s="2">
        <f t="shared" si="63"/>
        <v>2185.9115597386976</v>
      </c>
      <c r="AF140" s="2">
        <f t="shared" si="64"/>
        <v>291.45487463182633</v>
      </c>
      <c r="AG140" s="12">
        <f t="shared" si="71"/>
        <v>1894.4566851068712</v>
      </c>
      <c r="AH140" s="2">
        <f t="shared" si="72"/>
        <v>0</v>
      </c>
      <c r="AI140" s="12">
        <f t="shared" si="65"/>
        <v>1894.4566851068712</v>
      </c>
      <c r="AJ140" s="12">
        <f t="shared" si="75"/>
        <v>157531.29194676501</v>
      </c>
      <c r="AK140" s="86">
        <f t="shared" si="66"/>
        <v>0.8666666666666667</v>
      </c>
      <c r="AL140" s="12">
        <f t="shared" si="73"/>
        <v>198191.29175949792</v>
      </c>
      <c r="AM140" s="124">
        <f t="shared" si="67"/>
        <v>0.1330891461633022</v>
      </c>
      <c r="AN140" s="72"/>
      <c r="AO140" s="59">
        <v>137</v>
      </c>
      <c r="AP140" s="125">
        <f t="shared" si="68"/>
        <v>18788.139115322247</v>
      </c>
      <c r="AQ140" s="125">
        <f t="shared" si="74"/>
        <v>157531.29194676501</v>
      </c>
    </row>
    <row r="141" spans="19:43" x14ac:dyDescent="0.25">
      <c r="S141" s="9" t="str">
        <f t="shared" si="58"/>
        <v/>
      </c>
      <c r="T141" s="59">
        <v>11</v>
      </c>
      <c r="U141" s="59">
        <v>6</v>
      </c>
      <c r="V141" s="3" t="s">
        <v>55</v>
      </c>
      <c r="W141" s="23">
        <f>'Análise Técnica'!$C$3</f>
        <v>750</v>
      </c>
      <c r="X141" s="23">
        <f t="shared" si="57"/>
        <v>501.95665743048528</v>
      </c>
      <c r="Y141" s="54">
        <f t="shared" si="59"/>
        <v>248.04334256951472</v>
      </c>
      <c r="Z141" s="54">
        <f t="shared" si="60"/>
        <v>0</v>
      </c>
      <c r="AA141" s="54">
        <f t="shared" si="61"/>
        <v>100</v>
      </c>
      <c r="AB141" s="54">
        <f t="shared" si="62"/>
        <v>148.04334256951472</v>
      </c>
      <c r="AC141" s="54">
        <f t="shared" si="69"/>
        <v>930.27224968240137</v>
      </c>
      <c r="AD141" s="58">
        <f t="shared" si="70"/>
        <v>0</v>
      </c>
      <c r="AE141" s="2">
        <f t="shared" si="63"/>
        <v>2185.9115597386976</v>
      </c>
      <c r="AF141" s="2">
        <f t="shared" si="64"/>
        <v>291.45487463182633</v>
      </c>
      <c r="AG141" s="12">
        <f t="shared" si="71"/>
        <v>1894.4566851068712</v>
      </c>
      <c r="AH141" s="2">
        <f t="shared" si="72"/>
        <v>0</v>
      </c>
      <c r="AI141" s="12">
        <f t="shared" si="65"/>
        <v>1894.4566851068712</v>
      </c>
      <c r="AJ141" s="12">
        <f t="shared" si="75"/>
        <v>159425.74863187189</v>
      </c>
      <c r="AK141" s="86">
        <f t="shared" si="66"/>
        <v>0.8666666666666667</v>
      </c>
      <c r="AL141" s="12">
        <f t="shared" si="73"/>
        <v>200377.20331923661</v>
      </c>
      <c r="AM141" s="124">
        <f t="shared" si="67"/>
        <v>0.1330891461633022</v>
      </c>
      <c r="AN141" s="72"/>
      <c r="AO141" s="59">
        <v>138</v>
      </c>
      <c r="AP141" s="125">
        <f t="shared" si="68"/>
        <v>18847.565592234918</v>
      </c>
      <c r="AQ141" s="125">
        <f t="shared" si="74"/>
        <v>159425.74863187189</v>
      </c>
    </row>
    <row r="142" spans="19:43" x14ac:dyDescent="0.25">
      <c r="S142" s="9" t="str">
        <f t="shared" si="58"/>
        <v/>
      </c>
      <c r="T142" s="59">
        <v>11</v>
      </c>
      <c r="U142" s="59">
        <v>7</v>
      </c>
      <c r="V142" s="3" t="s">
        <v>56</v>
      </c>
      <c r="W142" s="23">
        <f>'Análise Técnica'!$C$3</f>
        <v>750</v>
      </c>
      <c r="X142" s="23">
        <f t="shared" si="57"/>
        <v>501.88793390126398</v>
      </c>
      <c r="Y142" s="54">
        <f t="shared" si="59"/>
        <v>248.11206609873602</v>
      </c>
      <c r="Z142" s="54">
        <f t="shared" si="60"/>
        <v>0</v>
      </c>
      <c r="AA142" s="54">
        <f t="shared" si="61"/>
        <v>100</v>
      </c>
      <c r="AB142" s="54">
        <f t="shared" si="62"/>
        <v>148.11206609873602</v>
      </c>
      <c r="AC142" s="54">
        <f t="shared" si="69"/>
        <v>782.16018358366534</v>
      </c>
      <c r="AD142" s="58">
        <f t="shared" si="70"/>
        <v>0</v>
      </c>
      <c r="AE142" s="2">
        <f t="shared" si="63"/>
        <v>2185.9115597386976</v>
      </c>
      <c r="AF142" s="2">
        <f t="shared" si="64"/>
        <v>291.45487463182633</v>
      </c>
      <c r="AG142" s="12">
        <f t="shared" si="71"/>
        <v>1894.4566851068712</v>
      </c>
      <c r="AH142" s="2">
        <f t="shared" si="72"/>
        <v>0</v>
      </c>
      <c r="AI142" s="12">
        <f t="shared" si="65"/>
        <v>1894.4566851068712</v>
      </c>
      <c r="AJ142" s="12">
        <f t="shared" si="75"/>
        <v>161320.20531697877</v>
      </c>
      <c r="AK142" s="86">
        <f t="shared" si="66"/>
        <v>0.8666666666666667</v>
      </c>
      <c r="AL142" s="12">
        <f t="shared" si="73"/>
        <v>202563.11487897529</v>
      </c>
      <c r="AM142" s="124">
        <f t="shared" si="67"/>
        <v>0.1330891461633022</v>
      </c>
      <c r="AN142" s="72"/>
      <c r="AO142" s="59">
        <v>139</v>
      </c>
      <c r="AP142" s="125">
        <f t="shared" si="68"/>
        <v>18907.160444165507</v>
      </c>
      <c r="AQ142" s="125">
        <f t="shared" si="74"/>
        <v>161320.20531697877</v>
      </c>
    </row>
    <row r="143" spans="19:43" x14ac:dyDescent="0.25">
      <c r="S143" s="9" t="str">
        <f t="shared" si="58"/>
        <v/>
      </c>
      <c r="T143" s="59">
        <v>11</v>
      </c>
      <c r="U143" s="59">
        <v>8</v>
      </c>
      <c r="V143" s="3" t="s">
        <v>57</v>
      </c>
      <c r="W143" s="23">
        <f>'Análise Técnica'!$C$3</f>
        <v>750</v>
      </c>
      <c r="X143" s="23">
        <f t="shared" si="57"/>
        <v>620.62844768937896</v>
      </c>
      <c r="Y143" s="54">
        <f t="shared" si="59"/>
        <v>129.37155231062104</v>
      </c>
      <c r="Z143" s="54">
        <f t="shared" si="60"/>
        <v>0</v>
      </c>
      <c r="AA143" s="54">
        <f t="shared" si="61"/>
        <v>100</v>
      </c>
      <c r="AB143" s="54">
        <f t="shared" si="62"/>
        <v>29.371552310621041</v>
      </c>
      <c r="AC143" s="54">
        <f t="shared" si="69"/>
        <v>752.7886312730443</v>
      </c>
      <c r="AD143" s="58">
        <f t="shared" si="70"/>
        <v>0</v>
      </c>
      <c r="AE143" s="2">
        <f t="shared" si="63"/>
        <v>2185.9115597386976</v>
      </c>
      <c r="AF143" s="2">
        <f t="shared" si="64"/>
        <v>291.45487463182633</v>
      </c>
      <c r="AG143" s="12">
        <f t="shared" si="71"/>
        <v>1894.4566851068712</v>
      </c>
      <c r="AH143" s="2">
        <f t="shared" si="72"/>
        <v>0</v>
      </c>
      <c r="AI143" s="12">
        <f t="shared" si="65"/>
        <v>1894.4566851068712</v>
      </c>
      <c r="AJ143" s="12">
        <f t="shared" si="75"/>
        <v>163214.66200208565</v>
      </c>
      <c r="AK143" s="86">
        <f t="shared" si="66"/>
        <v>0.8666666666666667</v>
      </c>
      <c r="AL143" s="12">
        <f t="shared" si="73"/>
        <v>204749.02643871398</v>
      </c>
      <c r="AM143" s="124">
        <f t="shared" si="67"/>
        <v>0.1330891461633022</v>
      </c>
      <c r="AN143" s="72"/>
      <c r="AO143" s="59">
        <v>140</v>
      </c>
      <c r="AP143" s="125">
        <f t="shared" si="68"/>
        <v>18966.924148176568</v>
      </c>
      <c r="AQ143" s="125">
        <f t="shared" si="74"/>
        <v>163214.66200208565</v>
      </c>
    </row>
    <row r="144" spans="19:43" x14ac:dyDescent="0.25">
      <c r="S144" s="9" t="str">
        <f t="shared" si="58"/>
        <v/>
      </c>
      <c r="T144" s="59">
        <v>11</v>
      </c>
      <c r="U144" s="59">
        <v>9</v>
      </c>
      <c r="V144" s="3" t="s">
        <v>58</v>
      </c>
      <c r="W144" s="23">
        <f>'Análise Técnica'!$C$3</f>
        <v>750</v>
      </c>
      <c r="X144" s="23">
        <f t="shared" si="57"/>
        <v>630.38718883876675</v>
      </c>
      <c r="Y144" s="54">
        <f t="shared" si="59"/>
        <v>119.61281116123325</v>
      </c>
      <c r="Z144" s="54">
        <f t="shared" si="60"/>
        <v>0</v>
      </c>
      <c r="AA144" s="54">
        <f t="shared" si="61"/>
        <v>100</v>
      </c>
      <c r="AB144" s="54">
        <f t="shared" si="62"/>
        <v>19.612811161233253</v>
      </c>
      <c r="AC144" s="54">
        <f t="shared" si="69"/>
        <v>733.17582011181105</v>
      </c>
      <c r="AD144" s="58">
        <f t="shared" si="70"/>
        <v>0</v>
      </c>
      <c r="AE144" s="2">
        <f t="shared" si="63"/>
        <v>2185.9115597386976</v>
      </c>
      <c r="AF144" s="2">
        <f t="shared" si="64"/>
        <v>291.45487463182633</v>
      </c>
      <c r="AG144" s="12">
        <f t="shared" si="71"/>
        <v>1894.4566851068712</v>
      </c>
      <c r="AH144" s="2">
        <f t="shared" si="72"/>
        <v>0</v>
      </c>
      <c r="AI144" s="12">
        <f t="shared" si="65"/>
        <v>1894.4566851068712</v>
      </c>
      <c r="AJ144" s="12">
        <f t="shared" si="75"/>
        <v>165109.11868719253</v>
      </c>
      <c r="AK144" s="86">
        <f t="shared" si="66"/>
        <v>0.8666666666666667</v>
      </c>
      <c r="AL144" s="12">
        <f t="shared" si="73"/>
        <v>206934.93799845266</v>
      </c>
      <c r="AM144" s="124">
        <f t="shared" si="67"/>
        <v>0.1330891461633022</v>
      </c>
      <c r="AN144" s="72"/>
      <c r="AO144" s="59">
        <v>141</v>
      </c>
      <c r="AP144" s="125">
        <f t="shared" si="68"/>
        <v>19026.857182682328</v>
      </c>
      <c r="AQ144" s="125">
        <f t="shared" si="74"/>
        <v>165109.11868719253</v>
      </c>
    </row>
    <row r="145" spans="19:43" x14ac:dyDescent="0.25">
      <c r="S145" s="9" t="str">
        <f t="shared" si="58"/>
        <v/>
      </c>
      <c r="T145" s="59">
        <v>11</v>
      </c>
      <c r="U145" s="59">
        <v>10</v>
      </c>
      <c r="V145" s="3" t="s">
        <v>59</v>
      </c>
      <c r="W145" s="23">
        <f>'Análise Técnica'!$C$3</f>
        <v>750</v>
      </c>
      <c r="X145" s="23">
        <f t="shared" si="57"/>
        <v>705.21336745463645</v>
      </c>
      <c r="Y145" s="54">
        <f t="shared" si="59"/>
        <v>44.786632545363545</v>
      </c>
      <c r="Z145" s="54">
        <f t="shared" si="60"/>
        <v>0</v>
      </c>
      <c r="AA145" s="54">
        <f t="shared" si="61"/>
        <v>100</v>
      </c>
      <c r="AB145" s="54">
        <f t="shared" si="62"/>
        <v>0</v>
      </c>
      <c r="AC145" s="54">
        <f t="shared" si="69"/>
        <v>733.17582011181105</v>
      </c>
      <c r="AD145" s="58">
        <f t="shared" si="70"/>
        <v>0</v>
      </c>
      <c r="AE145" s="2">
        <f t="shared" si="63"/>
        <v>2185.9115597386976</v>
      </c>
      <c r="AF145" s="2">
        <f t="shared" si="64"/>
        <v>291.45487463182633</v>
      </c>
      <c r="AG145" s="12">
        <f t="shared" si="71"/>
        <v>1894.4566851068712</v>
      </c>
      <c r="AH145" s="2">
        <f t="shared" si="72"/>
        <v>0</v>
      </c>
      <c r="AI145" s="12">
        <f t="shared" si="65"/>
        <v>1894.4566851068712</v>
      </c>
      <c r="AJ145" s="12">
        <f t="shared" si="75"/>
        <v>167003.57537229941</v>
      </c>
      <c r="AK145" s="86">
        <f t="shared" si="66"/>
        <v>0.8666666666666667</v>
      </c>
      <c r="AL145" s="12">
        <f t="shared" si="73"/>
        <v>209120.84955819134</v>
      </c>
      <c r="AM145" s="124">
        <f t="shared" si="67"/>
        <v>0.1330891461633022</v>
      </c>
      <c r="AN145" s="72"/>
      <c r="AO145" s="59">
        <v>142</v>
      </c>
      <c r="AP145" s="125">
        <f t="shared" si="68"/>
        <v>19086.960027452518</v>
      </c>
      <c r="AQ145" s="125">
        <f t="shared" si="74"/>
        <v>167003.57537229941</v>
      </c>
    </row>
    <row r="146" spans="19:43" x14ac:dyDescent="0.25">
      <c r="S146" s="9" t="str">
        <f t="shared" si="58"/>
        <v/>
      </c>
      <c r="T146" s="59">
        <v>11</v>
      </c>
      <c r="U146" s="59">
        <v>11</v>
      </c>
      <c r="V146" s="3" t="s">
        <v>60</v>
      </c>
      <c r="W146" s="23">
        <f>'Análise Técnica'!$C$3</f>
        <v>750</v>
      </c>
      <c r="X146" s="23">
        <f t="shared" si="57"/>
        <v>710.29890861699357</v>
      </c>
      <c r="Y146" s="54">
        <f t="shared" si="59"/>
        <v>39.701091383006428</v>
      </c>
      <c r="Z146" s="54">
        <f t="shared" si="60"/>
        <v>0</v>
      </c>
      <c r="AA146" s="54">
        <f t="shared" si="61"/>
        <v>100</v>
      </c>
      <c r="AB146" s="54">
        <f t="shared" si="62"/>
        <v>0</v>
      </c>
      <c r="AC146" s="54">
        <f t="shared" si="69"/>
        <v>733.17582011181105</v>
      </c>
      <c r="AD146" s="58">
        <f t="shared" si="70"/>
        <v>0</v>
      </c>
      <c r="AE146" s="2">
        <f t="shared" si="63"/>
        <v>2185.9115597386976</v>
      </c>
      <c r="AF146" s="2">
        <f t="shared" si="64"/>
        <v>291.45487463182633</v>
      </c>
      <c r="AG146" s="12">
        <f t="shared" si="71"/>
        <v>1894.4566851068712</v>
      </c>
      <c r="AH146" s="2">
        <f t="shared" si="72"/>
        <v>0</v>
      </c>
      <c r="AI146" s="12">
        <f t="shared" si="65"/>
        <v>1894.4566851068712</v>
      </c>
      <c r="AJ146" s="12">
        <f t="shared" si="75"/>
        <v>168898.03205740629</v>
      </c>
      <c r="AK146" s="86">
        <f t="shared" si="66"/>
        <v>0.8666666666666667</v>
      </c>
      <c r="AL146" s="12">
        <f t="shared" si="73"/>
        <v>211306.76111793003</v>
      </c>
      <c r="AM146" s="124">
        <f t="shared" si="67"/>
        <v>0.1330891461633022</v>
      </c>
      <c r="AN146" s="72"/>
      <c r="AO146" s="59">
        <v>143</v>
      </c>
      <c r="AP146" s="125">
        <f t="shared" si="68"/>
        <v>19147.233163616227</v>
      </c>
      <c r="AQ146" s="125">
        <f t="shared" si="74"/>
        <v>168898.03205740629</v>
      </c>
    </row>
    <row r="147" spans="19:43" x14ac:dyDescent="0.25">
      <c r="S147" s="9" t="str">
        <f t="shared" si="58"/>
        <v/>
      </c>
      <c r="T147" s="59">
        <v>11</v>
      </c>
      <c r="U147" s="59">
        <v>12</v>
      </c>
      <c r="V147" s="3" t="s">
        <v>61</v>
      </c>
      <c r="W147" s="23">
        <f>'Análise Técnica'!$C$3</f>
        <v>750</v>
      </c>
      <c r="X147" s="23">
        <f t="shared" si="57"/>
        <v>814.92360950310649</v>
      </c>
      <c r="Y147" s="54">
        <f t="shared" si="59"/>
        <v>0</v>
      </c>
      <c r="Z147" s="54">
        <f t="shared" si="60"/>
        <v>64.923609503106491</v>
      </c>
      <c r="AA147" s="54">
        <f t="shared" si="61"/>
        <v>100</v>
      </c>
      <c r="AB147" s="54">
        <f t="shared" si="62"/>
        <v>0</v>
      </c>
      <c r="AC147" s="54">
        <f t="shared" si="69"/>
        <v>798.09942961491754</v>
      </c>
      <c r="AD147" s="58">
        <f t="shared" si="70"/>
        <v>0</v>
      </c>
      <c r="AE147" s="2">
        <f t="shared" si="63"/>
        <v>2185.9115597386976</v>
      </c>
      <c r="AF147" s="2">
        <f t="shared" si="64"/>
        <v>291.45487463182633</v>
      </c>
      <c r="AG147" s="12">
        <f t="shared" si="71"/>
        <v>1894.4566851068712</v>
      </c>
      <c r="AH147" s="2">
        <f t="shared" si="72"/>
        <v>0</v>
      </c>
      <c r="AI147" s="12">
        <f t="shared" si="65"/>
        <v>1894.4566851068712</v>
      </c>
      <c r="AJ147" s="12">
        <f t="shared" si="75"/>
        <v>170792.48874251317</v>
      </c>
      <c r="AK147" s="86">
        <f t="shared" si="66"/>
        <v>0.8666666666666667</v>
      </c>
      <c r="AL147" s="12">
        <f t="shared" si="73"/>
        <v>213492.67267766871</v>
      </c>
      <c r="AM147" s="124">
        <f t="shared" si="67"/>
        <v>0.1330891461633022</v>
      </c>
      <c r="AN147" s="72"/>
      <c r="AO147" s="59">
        <v>144</v>
      </c>
      <c r="AP147" s="125">
        <f t="shared" si="68"/>
        <v>19207.677073665734</v>
      </c>
      <c r="AQ147" s="125">
        <f t="shared" si="74"/>
        <v>170792.48874251317</v>
      </c>
    </row>
    <row r="148" spans="19:43" x14ac:dyDescent="0.25">
      <c r="S148" s="9" t="str">
        <f t="shared" si="58"/>
        <v/>
      </c>
      <c r="T148" s="59">
        <v>12</v>
      </c>
      <c r="U148" s="59">
        <v>1</v>
      </c>
      <c r="V148" s="3" t="s">
        <v>50</v>
      </c>
      <c r="W148" s="23">
        <f>'Análise Técnica'!$C$3</f>
        <v>750</v>
      </c>
      <c r="X148" s="23">
        <f t="shared" si="57"/>
        <v>835.04209280962573</v>
      </c>
      <c r="Y148" s="54">
        <f t="shared" ref="Y148:Y211" si="76">IF(X148-W148&lt;0,W148-X148,0)</f>
        <v>0</v>
      </c>
      <c r="Z148" s="54">
        <f t="shared" ref="Z148:Z211" si="77">IF(X148-W148&gt;0,X148-W148,0)</f>
        <v>85.042092809625728</v>
      </c>
      <c r="AA148" s="54">
        <f t="shared" si="61"/>
        <v>100</v>
      </c>
      <c r="AB148" s="54">
        <f t="shared" si="62"/>
        <v>0</v>
      </c>
      <c r="AC148" s="54">
        <f t="shared" si="69"/>
        <v>883.14152242454327</v>
      </c>
      <c r="AD148" s="58">
        <f t="shared" si="70"/>
        <v>0</v>
      </c>
      <c r="AE148" s="2">
        <f t="shared" si="63"/>
        <v>2360.7844845177938</v>
      </c>
      <c r="AF148" s="2">
        <f t="shared" si="64"/>
        <v>314.77126460237247</v>
      </c>
      <c r="AG148" s="12">
        <f t="shared" si="71"/>
        <v>2046.0132199154214</v>
      </c>
      <c r="AH148" s="2">
        <f t="shared" si="72"/>
        <v>0</v>
      </c>
      <c r="AI148" s="12">
        <f t="shared" si="65"/>
        <v>2046.0132199154214</v>
      </c>
      <c r="AJ148" s="12">
        <f t="shared" si="75"/>
        <v>172838.50196242859</v>
      </c>
      <c r="AK148" s="86">
        <f t="shared" si="66"/>
        <v>0.8666666666666667</v>
      </c>
      <c r="AL148" s="12">
        <f t="shared" si="73"/>
        <v>215853.4571621865</v>
      </c>
      <c r="AM148" s="124">
        <f t="shared" si="67"/>
        <v>0.14373627785636639</v>
      </c>
      <c r="AN148" s="72"/>
      <c r="AO148" s="59">
        <v>145</v>
      </c>
      <c r="AP148" s="125">
        <f t="shared" si="68"/>
        <v>19093.419316681284</v>
      </c>
      <c r="AQ148" s="125">
        <f t="shared" si="74"/>
        <v>172838.50196242859</v>
      </c>
    </row>
    <row r="149" spans="19:43" x14ac:dyDescent="0.25">
      <c r="S149" s="9" t="str">
        <f t="shared" si="58"/>
        <v/>
      </c>
      <c r="T149" s="59">
        <v>12</v>
      </c>
      <c r="U149" s="59">
        <v>2</v>
      </c>
      <c r="V149" s="3" t="s">
        <v>51</v>
      </c>
      <c r="W149" s="23">
        <f>'Análise Técnica'!$C$3</f>
        <v>750</v>
      </c>
      <c r="X149" s="23">
        <f t="shared" si="57"/>
        <v>879.48158570276689</v>
      </c>
      <c r="Y149" s="54">
        <f t="shared" si="76"/>
        <v>0</v>
      </c>
      <c r="Z149" s="54">
        <f t="shared" si="77"/>
        <v>129.48158570276689</v>
      </c>
      <c r="AA149" s="54">
        <f t="shared" si="61"/>
        <v>100</v>
      </c>
      <c r="AB149" s="54">
        <f t="shared" si="62"/>
        <v>0</v>
      </c>
      <c r="AC149" s="54">
        <f t="shared" si="69"/>
        <v>1012.6231081273102</v>
      </c>
      <c r="AD149" s="58">
        <f t="shared" si="70"/>
        <v>0</v>
      </c>
      <c r="AE149" s="2">
        <f t="shared" si="63"/>
        <v>2360.7844845177938</v>
      </c>
      <c r="AF149" s="2">
        <f t="shared" si="64"/>
        <v>314.77126460237247</v>
      </c>
      <c r="AG149" s="12">
        <f t="shared" si="71"/>
        <v>2046.0132199154214</v>
      </c>
      <c r="AH149" s="2">
        <f t="shared" si="72"/>
        <v>0</v>
      </c>
      <c r="AI149" s="12">
        <f t="shared" si="65"/>
        <v>2046.0132199154214</v>
      </c>
      <c r="AJ149" s="12">
        <f t="shared" si="75"/>
        <v>174884.51518234401</v>
      </c>
      <c r="AK149" s="86">
        <f t="shared" si="66"/>
        <v>0.8666666666666667</v>
      </c>
      <c r="AL149" s="12">
        <f t="shared" si="73"/>
        <v>218214.24164670429</v>
      </c>
      <c r="AM149" s="124">
        <f t="shared" si="67"/>
        <v>0.14373627785636639</v>
      </c>
      <c r="AN149" s="72"/>
      <c r="AO149" s="59">
        <v>146</v>
      </c>
      <c r="AP149" s="125">
        <f t="shared" si="68"/>
        <v>19154.206227451348</v>
      </c>
      <c r="AQ149" s="125">
        <f t="shared" si="74"/>
        <v>174884.51518234401</v>
      </c>
    </row>
    <row r="150" spans="19:43" x14ac:dyDescent="0.25">
      <c r="S150" s="9" t="str">
        <f t="shared" si="58"/>
        <v/>
      </c>
      <c r="T150" s="59">
        <v>12</v>
      </c>
      <c r="U150" s="59">
        <v>3</v>
      </c>
      <c r="V150" s="3" t="s">
        <v>52</v>
      </c>
      <c r="W150" s="23">
        <f>'Análise Técnica'!$C$3</f>
        <v>750</v>
      </c>
      <c r="X150" s="23">
        <f t="shared" si="57"/>
        <v>738.04225374588214</v>
      </c>
      <c r="Y150" s="54">
        <f t="shared" si="76"/>
        <v>11.957746254117865</v>
      </c>
      <c r="Z150" s="54">
        <f t="shared" si="77"/>
        <v>0</v>
      </c>
      <c r="AA150" s="54">
        <f t="shared" si="61"/>
        <v>100</v>
      </c>
      <c r="AB150" s="54">
        <f t="shared" si="62"/>
        <v>0</v>
      </c>
      <c r="AC150" s="54">
        <f t="shared" si="69"/>
        <v>1012.6231081273102</v>
      </c>
      <c r="AD150" s="58">
        <f t="shared" si="70"/>
        <v>0</v>
      </c>
      <c r="AE150" s="2">
        <f t="shared" si="63"/>
        <v>2360.7844845177938</v>
      </c>
      <c r="AF150" s="2">
        <f t="shared" si="64"/>
        <v>314.77126460237247</v>
      </c>
      <c r="AG150" s="12">
        <f t="shared" si="71"/>
        <v>2046.0132199154214</v>
      </c>
      <c r="AH150" s="2">
        <f t="shared" si="72"/>
        <v>0</v>
      </c>
      <c r="AI150" s="12">
        <f t="shared" si="65"/>
        <v>2046.0132199154214</v>
      </c>
      <c r="AJ150" s="12">
        <f t="shared" si="75"/>
        <v>176930.52840225943</v>
      </c>
      <c r="AK150" s="86">
        <f t="shared" si="66"/>
        <v>0.8666666666666667</v>
      </c>
      <c r="AL150" s="12">
        <f t="shared" si="73"/>
        <v>220575.02613122208</v>
      </c>
      <c r="AM150" s="124">
        <f t="shared" si="67"/>
        <v>0.14373627785636639</v>
      </c>
      <c r="AN150" s="72"/>
      <c r="AO150" s="59">
        <v>147</v>
      </c>
      <c r="AP150" s="125">
        <f t="shared" si="68"/>
        <v>19215.165367801925</v>
      </c>
      <c r="AQ150" s="125">
        <f t="shared" si="74"/>
        <v>176930.52840225943</v>
      </c>
    </row>
    <row r="151" spans="19:43" x14ac:dyDescent="0.25">
      <c r="S151" s="9" t="str">
        <f t="shared" si="58"/>
        <v/>
      </c>
      <c r="T151" s="59">
        <v>12</v>
      </c>
      <c r="U151" s="59">
        <v>4</v>
      </c>
      <c r="V151" s="3" t="s">
        <v>53</v>
      </c>
      <c r="W151" s="23">
        <f>'Análise Técnica'!$C$3</f>
        <v>750</v>
      </c>
      <c r="X151" s="23">
        <f t="shared" si="57"/>
        <v>654.47253169898306</v>
      </c>
      <c r="Y151" s="54">
        <f t="shared" si="76"/>
        <v>95.527468301016938</v>
      </c>
      <c r="Z151" s="54">
        <f t="shared" si="77"/>
        <v>0</v>
      </c>
      <c r="AA151" s="54">
        <f t="shared" si="61"/>
        <v>100</v>
      </c>
      <c r="AB151" s="54">
        <f t="shared" si="62"/>
        <v>0</v>
      </c>
      <c r="AC151" s="54">
        <f t="shared" si="69"/>
        <v>1012.6231081273102</v>
      </c>
      <c r="AD151" s="58">
        <f t="shared" si="70"/>
        <v>0</v>
      </c>
      <c r="AE151" s="2">
        <f t="shared" si="63"/>
        <v>2360.7844845177938</v>
      </c>
      <c r="AF151" s="2">
        <f t="shared" si="64"/>
        <v>314.77126460237247</v>
      </c>
      <c r="AG151" s="12">
        <f t="shared" si="71"/>
        <v>2046.0132199154214</v>
      </c>
      <c r="AH151" s="2">
        <f t="shared" si="72"/>
        <v>0</v>
      </c>
      <c r="AI151" s="12">
        <f t="shared" si="65"/>
        <v>2046.0132199154214</v>
      </c>
      <c r="AJ151" s="12">
        <f t="shared" si="75"/>
        <v>178976.54162217485</v>
      </c>
      <c r="AK151" s="86">
        <f t="shared" si="66"/>
        <v>0.8666666666666667</v>
      </c>
      <c r="AL151" s="12">
        <f t="shared" si="73"/>
        <v>222935.81061573987</v>
      </c>
      <c r="AM151" s="124">
        <f t="shared" si="67"/>
        <v>0.14373627785636639</v>
      </c>
      <c r="AN151" s="72"/>
      <c r="AO151" s="59">
        <v>148</v>
      </c>
      <c r="AP151" s="125">
        <f t="shared" si="68"/>
        <v>19276.297225716829</v>
      </c>
      <c r="AQ151" s="125">
        <f t="shared" si="74"/>
        <v>178976.54162217485</v>
      </c>
    </row>
    <row r="152" spans="19:43" x14ac:dyDescent="0.25">
      <c r="S152" s="9" t="str">
        <f t="shared" si="58"/>
        <v/>
      </c>
      <c r="T152" s="59">
        <v>12</v>
      </c>
      <c r="U152" s="59">
        <v>5</v>
      </c>
      <c r="V152" s="3" t="s">
        <v>54</v>
      </c>
      <c r="W152" s="23">
        <f>'Análise Técnica'!$C$3</f>
        <v>750</v>
      </c>
      <c r="X152" s="23">
        <f t="shared" si="57"/>
        <v>538.97898475126908</v>
      </c>
      <c r="Y152" s="54">
        <f t="shared" si="76"/>
        <v>211.02101524873092</v>
      </c>
      <c r="Z152" s="54">
        <f t="shared" si="77"/>
        <v>0</v>
      </c>
      <c r="AA152" s="54">
        <f t="shared" si="61"/>
        <v>100</v>
      </c>
      <c r="AB152" s="54">
        <f t="shared" si="62"/>
        <v>111.02101524873092</v>
      </c>
      <c r="AC152" s="54">
        <f t="shared" si="69"/>
        <v>901.60209287857924</v>
      </c>
      <c r="AD152" s="58">
        <f t="shared" si="70"/>
        <v>0</v>
      </c>
      <c r="AE152" s="2">
        <f t="shared" si="63"/>
        <v>2360.7844845177938</v>
      </c>
      <c r="AF152" s="2">
        <f t="shared" si="64"/>
        <v>314.77126460237247</v>
      </c>
      <c r="AG152" s="12">
        <f t="shared" si="71"/>
        <v>2046.0132199154214</v>
      </c>
      <c r="AH152" s="2">
        <f t="shared" si="72"/>
        <v>0</v>
      </c>
      <c r="AI152" s="12">
        <f t="shared" si="65"/>
        <v>2046.0132199154214</v>
      </c>
      <c r="AJ152" s="12">
        <f t="shared" si="75"/>
        <v>181022.55484209026</v>
      </c>
      <c r="AK152" s="86">
        <f t="shared" si="66"/>
        <v>0.8666666666666667</v>
      </c>
      <c r="AL152" s="12">
        <f t="shared" si="73"/>
        <v>225296.59510025766</v>
      </c>
      <c r="AM152" s="124">
        <f t="shared" si="67"/>
        <v>0.14373627785636639</v>
      </c>
      <c r="AN152" s="72"/>
      <c r="AO152" s="59">
        <v>149</v>
      </c>
      <c r="AP152" s="125">
        <f t="shared" si="68"/>
        <v>19337.602290562496</v>
      </c>
      <c r="AQ152" s="125">
        <f t="shared" si="74"/>
        <v>181022.55484209026</v>
      </c>
    </row>
    <row r="153" spans="19:43" x14ac:dyDescent="0.25">
      <c r="S153" s="9" t="str">
        <f t="shared" si="58"/>
        <v/>
      </c>
      <c r="T153" s="59">
        <v>12</v>
      </c>
      <c r="U153" s="59">
        <v>6</v>
      </c>
      <c r="V153" s="3" t="s">
        <v>55</v>
      </c>
      <c r="W153" s="23">
        <f>'Análise Técnica'!$C$3</f>
        <v>750</v>
      </c>
      <c r="X153" s="23">
        <f t="shared" si="57"/>
        <v>498.44296082847188</v>
      </c>
      <c r="Y153" s="54">
        <f t="shared" si="76"/>
        <v>251.55703917152812</v>
      </c>
      <c r="Z153" s="54">
        <f t="shared" si="77"/>
        <v>0</v>
      </c>
      <c r="AA153" s="54">
        <f t="shared" si="61"/>
        <v>100</v>
      </c>
      <c r="AB153" s="54">
        <f t="shared" si="62"/>
        <v>151.55703917152812</v>
      </c>
      <c r="AC153" s="54">
        <f t="shared" si="69"/>
        <v>750.04505370705112</v>
      </c>
      <c r="AD153" s="58">
        <f t="shared" si="70"/>
        <v>0</v>
      </c>
      <c r="AE153" s="2">
        <f t="shared" si="63"/>
        <v>2360.7844845177938</v>
      </c>
      <c r="AF153" s="2">
        <f t="shared" si="64"/>
        <v>314.77126460237247</v>
      </c>
      <c r="AG153" s="12">
        <f t="shared" si="71"/>
        <v>2046.0132199154214</v>
      </c>
      <c r="AH153" s="2">
        <f t="shared" si="72"/>
        <v>0</v>
      </c>
      <c r="AI153" s="12">
        <f t="shared" si="65"/>
        <v>2046.0132199154214</v>
      </c>
      <c r="AJ153" s="12">
        <f t="shared" si="75"/>
        <v>183068.56806200568</v>
      </c>
      <c r="AK153" s="86">
        <f t="shared" si="66"/>
        <v>0.8666666666666667</v>
      </c>
      <c r="AL153" s="12">
        <f t="shared" si="73"/>
        <v>227657.37958477545</v>
      </c>
      <c r="AM153" s="124">
        <f t="shared" si="67"/>
        <v>0.14373627785636639</v>
      </c>
      <c r="AN153" s="72"/>
      <c r="AO153" s="59">
        <v>150</v>
      </c>
      <c r="AP153" s="125">
        <f t="shared" si="68"/>
        <v>19399.081053091886</v>
      </c>
      <c r="AQ153" s="125">
        <f t="shared" si="74"/>
        <v>183068.56806200568</v>
      </c>
    </row>
    <row r="154" spans="19:43" x14ac:dyDescent="0.25">
      <c r="S154" s="9" t="str">
        <f t="shared" si="58"/>
        <v/>
      </c>
      <c r="T154" s="59">
        <v>12</v>
      </c>
      <c r="U154" s="59">
        <v>7</v>
      </c>
      <c r="V154" s="3" t="s">
        <v>56</v>
      </c>
      <c r="W154" s="23">
        <f>'Análise Técnica'!$C$3</f>
        <v>750</v>
      </c>
      <c r="X154" s="23">
        <f t="shared" si="57"/>
        <v>498.37471836395514</v>
      </c>
      <c r="Y154" s="54">
        <f t="shared" si="76"/>
        <v>251.62528163604486</v>
      </c>
      <c r="Z154" s="54">
        <f t="shared" si="77"/>
        <v>0</v>
      </c>
      <c r="AA154" s="54">
        <f t="shared" si="61"/>
        <v>100</v>
      </c>
      <c r="AB154" s="54">
        <f t="shared" si="62"/>
        <v>151.62528163604486</v>
      </c>
      <c r="AC154" s="54">
        <f t="shared" si="69"/>
        <v>598.41977207100626</v>
      </c>
      <c r="AD154" s="58">
        <f t="shared" si="70"/>
        <v>0</v>
      </c>
      <c r="AE154" s="2">
        <f t="shared" si="63"/>
        <v>2360.7844845177938</v>
      </c>
      <c r="AF154" s="2">
        <f t="shared" si="64"/>
        <v>314.77126460237247</v>
      </c>
      <c r="AG154" s="12">
        <f t="shared" si="71"/>
        <v>2046.0132199154214</v>
      </c>
      <c r="AH154" s="2">
        <f t="shared" si="72"/>
        <v>0</v>
      </c>
      <c r="AI154" s="12">
        <f t="shared" si="65"/>
        <v>2046.0132199154214</v>
      </c>
      <c r="AJ154" s="12">
        <f t="shared" si="75"/>
        <v>185114.5812819211</v>
      </c>
      <c r="AK154" s="86">
        <f t="shared" si="66"/>
        <v>0.8666666666666667</v>
      </c>
      <c r="AL154" s="12">
        <f t="shared" si="73"/>
        <v>230018.16406929324</v>
      </c>
      <c r="AM154" s="124">
        <f t="shared" si="67"/>
        <v>0.14373627785636639</v>
      </c>
      <c r="AN154" s="72"/>
      <c r="AO154" s="59">
        <v>151</v>
      </c>
      <c r="AP154" s="125">
        <f t="shared" si="68"/>
        <v>19460.734005448448</v>
      </c>
      <c r="AQ154" s="125">
        <f t="shared" si="74"/>
        <v>185114.5812819211</v>
      </c>
    </row>
    <row r="155" spans="19:43" x14ac:dyDescent="0.25">
      <c r="S155" s="9" t="str">
        <f t="shared" si="58"/>
        <v/>
      </c>
      <c r="T155" s="59">
        <v>12</v>
      </c>
      <c r="U155" s="59">
        <v>8</v>
      </c>
      <c r="V155" s="3" t="s">
        <v>57</v>
      </c>
      <c r="W155" s="23">
        <f>'Análise Técnica'!$C$3</f>
        <v>750</v>
      </c>
      <c r="X155" s="23">
        <f t="shared" si="57"/>
        <v>616.28404855555334</v>
      </c>
      <c r="Y155" s="54">
        <f t="shared" si="76"/>
        <v>133.71595144444666</v>
      </c>
      <c r="Z155" s="54">
        <f t="shared" si="77"/>
        <v>0</v>
      </c>
      <c r="AA155" s="54">
        <f t="shared" si="61"/>
        <v>100</v>
      </c>
      <c r="AB155" s="54">
        <f t="shared" si="62"/>
        <v>33.715951444446659</v>
      </c>
      <c r="AC155" s="54">
        <f t="shared" si="69"/>
        <v>564.7038206265596</v>
      </c>
      <c r="AD155" s="58">
        <f t="shared" si="70"/>
        <v>0</v>
      </c>
      <c r="AE155" s="2">
        <f t="shared" si="63"/>
        <v>2360.7844845177938</v>
      </c>
      <c r="AF155" s="2">
        <f t="shared" si="64"/>
        <v>314.77126460237247</v>
      </c>
      <c r="AG155" s="12">
        <f t="shared" si="71"/>
        <v>2046.0132199154214</v>
      </c>
      <c r="AH155" s="2">
        <f t="shared" si="72"/>
        <v>0</v>
      </c>
      <c r="AI155" s="12">
        <f t="shared" si="65"/>
        <v>2046.0132199154214</v>
      </c>
      <c r="AJ155" s="12">
        <f t="shared" si="75"/>
        <v>187160.59450183652</v>
      </c>
      <c r="AK155" s="86">
        <f t="shared" si="66"/>
        <v>0.8666666666666667</v>
      </c>
      <c r="AL155" s="12">
        <f t="shared" si="73"/>
        <v>232378.94855381103</v>
      </c>
      <c r="AM155" s="124">
        <f t="shared" si="67"/>
        <v>0.14373627785636639</v>
      </c>
      <c r="AN155" s="72"/>
      <c r="AO155" s="59">
        <v>152</v>
      </c>
      <c r="AP155" s="125">
        <f t="shared" si="68"/>
        <v>19522.561641170021</v>
      </c>
      <c r="AQ155" s="125">
        <f t="shared" si="74"/>
        <v>187160.59450183652</v>
      </c>
    </row>
    <row r="156" spans="19:43" x14ac:dyDescent="0.25">
      <c r="S156" s="9" t="str">
        <f t="shared" si="58"/>
        <v/>
      </c>
      <c r="T156" s="59">
        <v>12</v>
      </c>
      <c r="U156" s="59">
        <v>9</v>
      </c>
      <c r="V156" s="3" t="s">
        <v>58</v>
      </c>
      <c r="W156" s="23">
        <f>'Análise Técnica'!$C$3</f>
        <v>750</v>
      </c>
      <c r="X156" s="23">
        <f t="shared" ref="X156:X219" si="78">X144*((1-$C$27))</f>
        <v>625.97447851689537</v>
      </c>
      <c r="Y156" s="54">
        <f t="shared" si="76"/>
        <v>124.02552148310463</v>
      </c>
      <c r="Z156" s="54">
        <f t="shared" si="77"/>
        <v>0</v>
      </c>
      <c r="AA156" s="54">
        <f t="shared" si="61"/>
        <v>100</v>
      </c>
      <c r="AB156" s="54">
        <f t="shared" si="62"/>
        <v>24.025521483104626</v>
      </c>
      <c r="AC156" s="54">
        <f t="shared" si="69"/>
        <v>540.67829914345498</v>
      </c>
      <c r="AD156" s="58">
        <f t="shared" si="70"/>
        <v>0</v>
      </c>
      <c r="AE156" s="2">
        <f t="shared" si="63"/>
        <v>2360.7844845177938</v>
      </c>
      <c r="AF156" s="2">
        <f t="shared" si="64"/>
        <v>314.77126460237247</v>
      </c>
      <c r="AG156" s="12">
        <f t="shared" si="71"/>
        <v>2046.0132199154214</v>
      </c>
      <c r="AH156" s="2">
        <f t="shared" si="72"/>
        <v>0</v>
      </c>
      <c r="AI156" s="12">
        <f t="shared" si="65"/>
        <v>2046.0132199154214</v>
      </c>
      <c r="AJ156" s="12">
        <f t="shared" si="75"/>
        <v>189206.60772175193</v>
      </c>
      <c r="AK156" s="86">
        <f t="shared" si="66"/>
        <v>0.8666666666666667</v>
      </c>
      <c r="AL156" s="12">
        <f t="shared" si="73"/>
        <v>234739.73303832882</v>
      </c>
      <c r="AM156" s="124">
        <f t="shared" si="67"/>
        <v>0.14373627785636639</v>
      </c>
      <c r="AN156" s="72"/>
      <c r="AO156" s="59">
        <v>153</v>
      </c>
      <c r="AP156" s="125">
        <f t="shared" si="68"/>
        <v>19584.564455192802</v>
      </c>
      <c r="AQ156" s="125">
        <f t="shared" si="74"/>
        <v>189206.60772175193</v>
      </c>
    </row>
    <row r="157" spans="19:43" x14ac:dyDescent="0.25">
      <c r="S157" s="9" t="str">
        <f t="shared" si="58"/>
        <v/>
      </c>
      <c r="T157" s="59">
        <v>12</v>
      </c>
      <c r="U157" s="59">
        <v>10</v>
      </c>
      <c r="V157" s="3" t="s">
        <v>59</v>
      </c>
      <c r="W157" s="23">
        <f>'Análise Técnica'!$C$3</f>
        <v>750</v>
      </c>
      <c r="X157" s="23">
        <f t="shared" si="78"/>
        <v>700.27687388245397</v>
      </c>
      <c r="Y157" s="54">
        <f t="shared" si="76"/>
        <v>49.72312611754603</v>
      </c>
      <c r="Z157" s="54">
        <f t="shared" si="77"/>
        <v>0</v>
      </c>
      <c r="AA157" s="54">
        <f t="shared" si="61"/>
        <v>100</v>
      </c>
      <c r="AB157" s="54">
        <f t="shared" si="62"/>
        <v>0</v>
      </c>
      <c r="AC157" s="54">
        <f t="shared" si="69"/>
        <v>540.67829914345498</v>
      </c>
      <c r="AD157" s="58">
        <f t="shared" si="70"/>
        <v>0</v>
      </c>
      <c r="AE157" s="2">
        <f t="shared" si="63"/>
        <v>2360.7844845177938</v>
      </c>
      <c r="AF157" s="2">
        <f t="shared" si="64"/>
        <v>314.77126460237247</v>
      </c>
      <c r="AG157" s="12">
        <f t="shared" si="71"/>
        <v>2046.0132199154214</v>
      </c>
      <c r="AH157" s="2">
        <f t="shared" si="72"/>
        <v>0</v>
      </c>
      <c r="AI157" s="12">
        <f t="shared" si="65"/>
        <v>2046.0132199154214</v>
      </c>
      <c r="AJ157" s="12">
        <f t="shared" si="75"/>
        <v>191252.62094166735</v>
      </c>
      <c r="AK157" s="86">
        <f t="shared" si="66"/>
        <v>0.8666666666666667</v>
      </c>
      <c r="AL157" s="12">
        <f t="shared" si="73"/>
        <v>237100.51752284661</v>
      </c>
      <c r="AM157" s="124">
        <f t="shared" si="67"/>
        <v>0.14373627785636639</v>
      </c>
      <c r="AN157" s="72"/>
      <c r="AO157" s="59">
        <v>154</v>
      </c>
      <c r="AP157" s="125">
        <f t="shared" si="68"/>
        <v>19646.742943855315</v>
      </c>
      <c r="AQ157" s="125">
        <f t="shared" si="74"/>
        <v>191252.62094166735</v>
      </c>
    </row>
    <row r="158" spans="19:43" x14ac:dyDescent="0.25">
      <c r="S158" s="9" t="str">
        <f t="shared" si="58"/>
        <v/>
      </c>
      <c r="T158" s="59">
        <v>12</v>
      </c>
      <c r="U158" s="59">
        <v>11</v>
      </c>
      <c r="V158" s="3" t="s">
        <v>60</v>
      </c>
      <c r="W158" s="23">
        <f>'Análise Técnica'!$C$3</f>
        <v>750</v>
      </c>
      <c r="X158" s="23">
        <f t="shared" si="78"/>
        <v>705.32681625667465</v>
      </c>
      <c r="Y158" s="54">
        <f t="shared" si="76"/>
        <v>44.673183743325353</v>
      </c>
      <c r="Z158" s="54">
        <f t="shared" si="77"/>
        <v>0</v>
      </c>
      <c r="AA158" s="54">
        <f t="shared" si="61"/>
        <v>100</v>
      </c>
      <c r="AB158" s="54">
        <f t="shared" si="62"/>
        <v>0</v>
      </c>
      <c r="AC158" s="54">
        <f t="shared" si="69"/>
        <v>540.67829914345498</v>
      </c>
      <c r="AD158" s="58">
        <f t="shared" si="70"/>
        <v>0</v>
      </c>
      <c r="AE158" s="2">
        <f t="shared" si="63"/>
        <v>2360.7844845177938</v>
      </c>
      <c r="AF158" s="2">
        <f t="shared" si="64"/>
        <v>314.77126460237247</v>
      </c>
      <c r="AG158" s="12">
        <f t="shared" si="71"/>
        <v>2046.0132199154214</v>
      </c>
      <c r="AH158" s="2">
        <f t="shared" si="72"/>
        <v>0</v>
      </c>
      <c r="AI158" s="12">
        <f t="shared" si="65"/>
        <v>2046.0132199154214</v>
      </c>
      <c r="AJ158" s="12">
        <f t="shared" si="75"/>
        <v>193298.63416158277</v>
      </c>
      <c r="AK158" s="86">
        <f t="shared" si="66"/>
        <v>0.8666666666666667</v>
      </c>
      <c r="AL158" s="12">
        <f t="shared" si="73"/>
        <v>239461.3020073644</v>
      </c>
      <c r="AM158" s="124">
        <f t="shared" si="67"/>
        <v>0.14373627785636639</v>
      </c>
      <c r="AN158" s="72"/>
      <c r="AO158" s="59">
        <v>155</v>
      </c>
      <c r="AP158" s="125">
        <f t="shared" si="68"/>
        <v>19709.097604902367</v>
      </c>
      <c r="AQ158" s="125">
        <f t="shared" si="74"/>
        <v>193298.63416158277</v>
      </c>
    </row>
    <row r="159" spans="19:43" x14ac:dyDescent="0.25">
      <c r="S159" s="9" t="str">
        <f t="shared" si="58"/>
        <v/>
      </c>
      <c r="T159" s="59">
        <v>12</v>
      </c>
      <c r="U159" s="59">
        <v>12</v>
      </c>
      <c r="V159" s="3" t="s">
        <v>61</v>
      </c>
      <c r="W159" s="23">
        <f>'Análise Técnica'!$C$3</f>
        <v>750</v>
      </c>
      <c r="X159" s="23">
        <f t="shared" si="78"/>
        <v>809.21914423658473</v>
      </c>
      <c r="Y159" s="54">
        <f t="shared" si="76"/>
        <v>0</v>
      </c>
      <c r="Z159" s="54">
        <f t="shared" si="77"/>
        <v>59.219144236584725</v>
      </c>
      <c r="AA159" s="54">
        <f t="shared" si="61"/>
        <v>100</v>
      </c>
      <c r="AB159" s="54">
        <f t="shared" si="62"/>
        <v>0</v>
      </c>
      <c r="AC159" s="54">
        <f t="shared" si="69"/>
        <v>599.8974433800397</v>
      </c>
      <c r="AD159" s="58">
        <f t="shared" si="70"/>
        <v>0</v>
      </c>
      <c r="AE159" s="2">
        <f t="shared" si="63"/>
        <v>2360.7844845177938</v>
      </c>
      <c r="AF159" s="2">
        <f t="shared" si="64"/>
        <v>314.77126460237247</v>
      </c>
      <c r="AG159" s="12">
        <f t="shared" si="71"/>
        <v>2046.0132199154214</v>
      </c>
      <c r="AH159" s="2">
        <f t="shared" si="72"/>
        <v>0</v>
      </c>
      <c r="AI159" s="12">
        <f t="shared" si="65"/>
        <v>2046.0132199154214</v>
      </c>
      <c r="AJ159" s="12">
        <f t="shared" si="75"/>
        <v>195344.64738149819</v>
      </c>
      <c r="AK159" s="86">
        <f t="shared" si="66"/>
        <v>0.8666666666666667</v>
      </c>
      <c r="AL159" s="12">
        <f t="shared" si="73"/>
        <v>241822.08649188219</v>
      </c>
      <c r="AM159" s="124">
        <f t="shared" si="67"/>
        <v>0.14373627785636639</v>
      </c>
      <c r="AN159" s="72"/>
      <c r="AO159" s="59">
        <v>156</v>
      </c>
      <c r="AP159" s="125">
        <f t="shared" si="68"/>
        <v>19771.628937489055</v>
      </c>
      <c r="AQ159" s="125">
        <f t="shared" si="74"/>
        <v>195344.64738149819</v>
      </c>
    </row>
    <row r="160" spans="19:43" x14ac:dyDescent="0.25">
      <c r="S160" s="9" t="str">
        <f t="shared" si="58"/>
        <v/>
      </c>
      <c r="T160" s="59">
        <v>13</v>
      </c>
      <c r="U160" s="59">
        <v>1</v>
      </c>
      <c r="V160" s="3" t="s">
        <v>50</v>
      </c>
      <c r="W160" s="23">
        <f>'Análise Técnica'!$C$3</f>
        <v>750</v>
      </c>
      <c r="X160" s="23">
        <f t="shared" si="78"/>
        <v>829.19679815995835</v>
      </c>
      <c r="Y160" s="54">
        <f t="shared" si="76"/>
        <v>0</v>
      </c>
      <c r="Z160" s="54">
        <f t="shared" si="77"/>
        <v>79.196798159958348</v>
      </c>
      <c r="AA160" s="54">
        <f t="shared" si="61"/>
        <v>100</v>
      </c>
      <c r="AB160" s="54">
        <f t="shared" si="62"/>
        <v>0</v>
      </c>
      <c r="AC160" s="54">
        <f t="shared" si="69"/>
        <v>679.09424153999805</v>
      </c>
      <c r="AD160" s="58">
        <f t="shared" si="70"/>
        <v>0</v>
      </c>
      <c r="AE160" s="2">
        <f t="shared" si="63"/>
        <v>2549.647243279217</v>
      </c>
      <c r="AF160" s="2">
        <f t="shared" si="64"/>
        <v>339.95296577056229</v>
      </c>
      <c r="AG160" s="12">
        <f t="shared" si="71"/>
        <v>2209.6942775086545</v>
      </c>
      <c r="AH160" s="2">
        <f t="shared" si="72"/>
        <v>0</v>
      </c>
      <c r="AI160" s="12">
        <f t="shared" si="65"/>
        <v>2209.6942775086545</v>
      </c>
      <c r="AJ160" s="12">
        <f t="shared" si="75"/>
        <v>197554.34165900684</v>
      </c>
      <c r="AK160" s="86">
        <f t="shared" si="66"/>
        <v>0.8666666666666667</v>
      </c>
      <c r="AL160" s="12">
        <f t="shared" si="73"/>
        <v>244371.7337351614</v>
      </c>
      <c r="AM160" s="124">
        <f t="shared" si="67"/>
        <v>0.15523518008487566</v>
      </c>
      <c r="AN160" s="72"/>
      <c r="AO160" s="59">
        <v>157</v>
      </c>
      <c r="AP160" s="125">
        <f t="shared" si="68"/>
        <v>19645.474683423319</v>
      </c>
      <c r="AQ160" s="125">
        <f t="shared" si="74"/>
        <v>197554.34165900684</v>
      </c>
    </row>
    <row r="161" spans="19:43" x14ac:dyDescent="0.25">
      <c r="S161" s="9" t="str">
        <f t="shared" si="58"/>
        <v/>
      </c>
      <c r="T161" s="59">
        <v>13</v>
      </c>
      <c r="U161" s="59">
        <v>2</v>
      </c>
      <c r="V161" s="3" t="s">
        <v>51</v>
      </c>
      <c r="W161" s="23">
        <f>'Análise Técnica'!$C$3</f>
        <v>750</v>
      </c>
      <c r="X161" s="23">
        <f t="shared" si="78"/>
        <v>873.3252146028475</v>
      </c>
      <c r="Y161" s="54">
        <f t="shared" si="76"/>
        <v>0</v>
      </c>
      <c r="Z161" s="54">
        <f t="shared" si="77"/>
        <v>123.3252146028475</v>
      </c>
      <c r="AA161" s="54">
        <f t="shared" si="61"/>
        <v>100</v>
      </c>
      <c r="AB161" s="54">
        <f t="shared" si="62"/>
        <v>0</v>
      </c>
      <c r="AC161" s="54">
        <f t="shared" si="69"/>
        <v>802.41945614284555</v>
      </c>
      <c r="AD161" s="58">
        <f t="shared" si="70"/>
        <v>0</v>
      </c>
      <c r="AE161" s="2">
        <f t="shared" si="63"/>
        <v>2549.647243279217</v>
      </c>
      <c r="AF161" s="2">
        <f t="shared" si="64"/>
        <v>339.95296577056229</v>
      </c>
      <c r="AG161" s="12">
        <f t="shared" si="71"/>
        <v>2209.6942775086545</v>
      </c>
      <c r="AH161" s="2">
        <f t="shared" si="72"/>
        <v>0</v>
      </c>
      <c r="AI161" s="12">
        <f t="shared" si="65"/>
        <v>2209.6942775086545</v>
      </c>
      <c r="AJ161" s="12">
        <f t="shared" si="75"/>
        <v>199764.03593651549</v>
      </c>
      <c r="AK161" s="86">
        <f t="shared" si="66"/>
        <v>0.8666666666666667</v>
      </c>
      <c r="AL161" s="12">
        <f t="shared" si="73"/>
        <v>246921.3809784406</v>
      </c>
      <c r="AM161" s="124">
        <f t="shared" si="67"/>
        <v>0.15523518008487566</v>
      </c>
      <c r="AN161" s="72"/>
      <c r="AO161" s="59">
        <v>158</v>
      </c>
      <c r="AP161" s="125">
        <f t="shared" si="68"/>
        <v>19708.360862215639</v>
      </c>
      <c r="AQ161" s="125">
        <f t="shared" si="74"/>
        <v>199764.03593651549</v>
      </c>
    </row>
    <row r="162" spans="19:43" x14ac:dyDescent="0.25">
      <c r="S162" s="9" t="str">
        <f t="shared" si="58"/>
        <v/>
      </c>
      <c r="T162" s="59">
        <v>13</v>
      </c>
      <c r="U162" s="59">
        <v>3</v>
      </c>
      <c r="V162" s="3" t="s">
        <v>52</v>
      </c>
      <c r="W162" s="23">
        <f>'Análise Técnica'!$C$3</f>
        <v>750</v>
      </c>
      <c r="X162" s="23">
        <f t="shared" si="78"/>
        <v>732.87595796966093</v>
      </c>
      <c r="Y162" s="54">
        <f t="shared" si="76"/>
        <v>17.124042030339069</v>
      </c>
      <c r="Z162" s="54">
        <f t="shared" si="77"/>
        <v>0</v>
      </c>
      <c r="AA162" s="54">
        <f t="shared" si="61"/>
        <v>100</v>
      </c>
      <c r="AB162" s="54">
        <f t="shared" si="62"/>
        <v>0</v>
      </c>
      <c r="AC162" s="54">
        <f t="shared" si="69"/>
        <v>802.41945614284555</v>
      </c>
      <c r="AD162" s="58">
        <f t="shared" si="70"/>
        <v>0</v>
      </c>
      <c r="AE162" s="2">
        <f t="shared" si="63"/>
        <v>2549.647243279217</v>
      </c>
      <c r="AF162" s="2">
        <f t="shared" si="64"/>
        <v>339.95296577056229</v>
      </c>
      <c r="AG162" s="12">
        <f t="shared" si="71"/>
        <v>2209.6942775086545</v>
      </c>
      <c r="AH162" s="2">
        <f t="shared" si="72"/>
        <v>0</v>
      </c>
      <c r="AI162" s="12">
        <f t="shared" si="65"/>
        <v>2209.6942775086545</v>
      </c>
      <c r="AJ162" s="12">
        <f t="shared" si="75"/>
        <v>201973.73021402414</v>
      </c>
      <c r="AK162" s="86">
        <f t="shared" si="66"/>
        <v>0.8666666666666667</v>
      </c>
      <c r="AL162" s="12">
        <f t="shared" si="73"/>
        <v>249471.02822171981</v>
      </c>
      <c r="AM162" s="124">
        <f t="shared" si="67"/>
        <v>0.15523518008487566</v>
      </c>
      <c r="AN162" s="72"/>
      <c r="AO162" s="59">
        <v>159</v>
      </c>
      <c r="AP162" s="125">
        <f t="shared" si="68"/>
        <v>19771.425218514545</v>
      </c>
      <c r="AQ162" s="125">
        <f t="shared" si="74"/>
        <v>201973.73021402414</v>
      </c>
    </row>
    <row r="163" spans="19:43" x14ac:dyDescent="0.25">
      <c r="S163" s="9" t="str">
        <f t="shared" si="58"/>
        <v/>
      </c>
      <c r="T163" s="59">
        <v>13</v>
      </c>
      <c r="U163" s="59">
        <v>4</v>
      </c>
      <c r="V163" s="3" t="s">
        <v>53</v>
      </c>
      <c r="W163" s="23">
        <f>'Análise Técnica'!$C$3</f>
        <v>750</v>
      </c>
      <c r="X163" s="23">
        <f t="shared" si="78"/>
        <v>649.89122397709014</v>
      </c>
      <c r="Y163" s="54">
        <f t="shared" si="76"/>
        <v>100.10877602290986</v>
      </c>
      <c r="Z163" s="54">
        <f t="shared" si="77"/>
        <v>0</v>
      </c>
      <c r="AA163" s="54">
        <f t="shared" si="61"/>
        <v>100</v>
      </c>
      <c r="AB163" s="54">
        <f t="shared" si="62"/>
        <v>0.10877602290986488</v>
      </c>
      <c r="AC163" s="54">
        <f t="shared" si="69"/>
        <v>802.31068011993568</v>
      </c>
      <c r="AD163" s="58">
        <f t="shared" si="70"/>
        <v>0</v>
      </c>
      <c r="AE163" s="2">
        <f t="shared" si="63"/>
        <v>2549.647243279217</v>
      </c>
      <c r="AF163" s="2">
        <f t="shared" si="64"/>
        <v>339.95296577056229</v>
      </c>
      <c r="AG163" s="12">
        <f t="shared" si="71"/>
        <v>2209.6942775086545</v>
      </c>
      <c r="AH163" s="2">
        <f t="shared" si="72"/>
        <v>0</v>
      </c>
      <c r="AI163" s="12">
        <f t="shared" si="65"/>
        <v>2209.6942775086545</v>
      </c>
      <c r="AJ163" s="12">
        <f t="shared" si="75"/>
        <v>204183.42449153279</v>
      </c>
      <c r="AK163" s="86">
        <f t="shared" si="66"/>
        <v>0.8666666666666667</v>
      </c>
      <c r="AL163" s="12">
        <f t="shared" si="73"/>
        <v>252020.67546499902</v>
      </c>
      <c r="AM163" s="124">
        <f t="shared" si="67"/>
        <v>0.15523518008487566</v>
      </c>
      <c r="AN163" s="72"/>
      <c r="AO163" s="59">
        <v>160</v>
      </c>
      <c r="AP163" s="125">
        <f t="shared" si="68"/>
        <v>19834.668257156292</v>
      </c>
      <c r="AQ163" s="125">
        <f t="shared" si="74"/>
        <v>204183.42449153279</v>
      </c>
    </row>
    <row r="164" spans="19:43" x14ac:dyDescent="0.25">
      <c r="S164" s="9" t="str">
        <f t="shared" si="58"/>
        <v/>
      </c>
      <c r="T164" s="59">
        <v>13</v>
      </c>
      <c r="U164" s="59">
        <v>5</v>
      </c>
      <c r="V164" s="3" t="s">
        <v>54</v>
      </c>
      <c r="W164" s="23">
        <f>'Análise Técnica'!$C$3</f>
        <v>750</v>
      </c>
      <c r="X164" s="23">
        <f t="shared" si="78"/>
        <v>535.20613185801017</v>
      </c>
      <c r="Y164" s="54">
        <f t="shared" si="76"/>
        <v>214.79386814198983</v>
      </c>
      <c r="Z164" s="54">
        <f t="shared" si="77"/>
        <v>0</v>
      </c>
      <c r="AA164" s="54">
        <f t="shared" si="61"/>
        <v>100</v>
      </c>
      <c r="AB164" s="54">
        <f t="shared" si="62"/>
        <v>114.79386814198983</v>
      </c>
      <c r="AC164" s="54">
        <f t="shared" si="69"/>
        <v>687.51681197794585</v>
      </c>
      <c r="AD164" s="58">
        <f t="shared" si="70"/>
        <v>0</v>
      </c>
      <c r="AE164" s="2">
        <f t="shared" si="63"/>
        <v>2549.647243279217</v>
      </c>
      <c r="AF164" s="2">
        <f t="shared" si="64"/>
        <v>339.95296577056229</v>
      </c>
      <c r="AG164" s="12">
        <f t="shared" si="71"/>
        <v>2209.6942775086545</v>
      </c>
      <c r="AH164" s="2">
        <f t="shared" si="72"/>
        <v>0</v>
      </c>
      <c r="AI164" s="12">
        <f t="shared" si="65"/>
        <v>2209.6942775086545</v>
      </c>
      <c r="AJ164" s="12">
        <f t="shared" si="75"/>
        <v>206393.11876904144</v>
      </c>
      <c r="AK164" s="86">
        <f t="shared" si="66"/>
        <v>0.8666666666666667</v>
      </c>
      <c r="AL164" s="12">
        <f t="shared" si="73"/>
        <v>254570.32270827823</v>
      </c>
      <c r="AM164" s="124">
        <f t="shared" si="67"/>
        <v>0.15523518008487566</v>
      </c>
      <c r="AN164" s="72"/>
      <c r="AO164" s="59">
        <v>161</v>
      </c>
      <c r="AP164" s="125">
        <f t="shared" si="68"/>
        <v>19898.090484407523</v>
      </c>
      <c r="AQ164" s="125">
        <f t="shared" si="74"/>
        <v>206393.11876904144</v>
      </c>
    </row>
    <row r="165" spans="19:43" x14ac:dyDescent="0.25">
      <c r="S165" s="9" t="str">
        <f t="shared" si="58"/>
        <v/>
      </c>
      <c r="T165" s="59">
        <v>13</v>
      </c>
      <c r="U165" s="59">
        <v>6</v>
      </c>
      <c r="V165" s="3" t="s">
        <v>55</v>
      </c>
      <c r="W165" s="23">
        <f>'Análise Técnica'!$C$3</f>
        <v>750</v>
      </c>
      <c r="X165" s="23">
        <f t="shared" si="78"/>
        <v>494.95386010267259</v>
      </c>
      <c r="Y165" s="54">
        <f t="shared" si="76"/>
        <v>255.04613989732741</v>
      </c>
      <c r="Z165" s="54">
        <f t="shared" si="77"/>
        <v>0</v>
      </c>
      <c r="AA165" s="54">
        <f t="shared" si="61"/>
        <v>100</v>
      </c>
      <c r="AB165" s="54">
        <f t="shared" si="62"/>
        <v>155.04613989732741</v>
      </c>
      <c r="AC165" s="54">
        <f t="shared" si="69"/>
        <v>532.47067208061844</v>
      </c>
      <c r="AD165" s="58">
        <f t="shared" si="70"/>
        <v>0</v>
      </c>
      <c r="AE165" s="2">
        <f t="shared" si="63"/>
        <v>2549.647243279217</v>
      </c>
      <c r="AF165" s="2">
        <f t="shared" si="64"/>
        <v>339.95296577056229</v>
      </c>
      <c r="AG165" s="12">
        <f t="shared" si="71"/>
        <v>2209.6942775086545</v>
      </c>
      <c r="AH165" s="2">
        <f t="shared" si="72"/>
        <v>0</v>
      </c>
      <c r="AI165" s="12">
        <f t="shared" si="65"/>
        <v>2209.6942775086545</v>
      </c>
      <c r="AJ165" s="12">
        <f t="shared" si="75"/>
        <v>208602.81304655009</v>
      </c>
      <c r="AK165" s="86">
        <f t="shared" si="66"/>
        <v>0.8666666666666667</v>
      </c>
      <c r="AL165" s="12">
        <f t="shared" si="73"/>
        <v>257119.96995155743</v>
      </c>
      <c r="AM165" s="124">
        <f t="shared" si="67"/>
        <v>0.15523518008487566</v>
      </c>
      <c r="AN165" s="72"/>
      <c r="AO165" s="59">
        <v>162</v>
      </c>
      <c r="AP165" s="125">
        <f t="shared" si="68"/>
        <v>19961.692407969305</v>
      </c>
      <c r="AQ165" s="125">
        <f t="shared" si="74"/>
        <v>208602.81304655009</v>
      </c>
    </row>
    <row r="166" spans="19:43" x14ac:dyDescent="0.25">
      <c r="S166" s="9" t="str">
        <f t="shared" si="58"/>
        <v/>
      </c>
      <c r="T166" s="59">
        <v>13</v>
      </c>
      <c r="U166" s="59">
        <v>7</v>
      </c>
      <c r="V166" s="3" t="s">
        <v>56</v>
      </c>
      <c r="W166" s="23">
        <f>'Análise Técnica'!$C$3</f>
        <v>750</v>
      </c>
      <c r="X166" s="23">
        <f t="shared" si="78"/>
        <v>494.88609533540745</v>
      </c>
      <c r="Y166" s="54">
        <f t="shared" si="76"/>
        <v>255.11390466459255</v>
      </c>
      <c r="Z166" s="54">
        <f t="shared" si="77"/>
        <v>0</v>
      </c>
      <c r="AA166" s="54">
        <f t="shared" si="61"/>
        <v>100</v>
      </c>
      <c r="AB166" s="54">
        <f t="shared" si="62"/>
        <v>155.11390466459255</v>
      </c>
      <c r="AC166" s="54">
        <f t="shared" si="69"/>
        <v>377.35676741602589</v>
      </c>
      <c r="AD166" s="58">
        <f t="shared" si="70"/>
        <v>0</v>
      </c>
      <c r="AE166" s="2">
        <f t="shared" si="63"/>
        <v>2549.647243279217</v>
      </c>
      <c r="AF166" s="2">
        <f t="shared" si="64"/>
        <v>339.95296577056229</v>
      </c>
      <c r="AG166" s="12">
        <f t="shared" si="71"/>
        <v>2209.6942775086545</v>
      </c>
      <c r="AH166" s="2">
        <f t="shared" si="72"/>
        <v>0</v>
      </c>
      <c r="AI166" s="12">
        <f t="shared" si="65"/>
        <v>2209.6942775086545</v>
      </c>
      <c r="AJ166" s="12">
        <f t="shared" si="75"/>
        <v>210812.50732405874</v>
      </c>
      <c r="AK166" s="86">
        <f t="shared" si="66"/>
        <v>0.8666666666666667</v>
      </c>
      <c r="AL166" s="12">
        <f t="shared" si="73"/>
        <v>259669.61719483664</v>
      </c>
      <c r="AM166" s="124">
        <f t="shared" si="67"/>
        <v>0.15523518008487566</v>
      </c>
      <c r="AN166" s="72"/>
      <c r="AO166" s="59">
        <v>163</v>
      </c>
      <c r="AP166" s="125">
        <f t="shared" si="68"/>
        <v>20025.474536981172</v>
      </c>
      <c r="AQ166" s="125">
        <f t="shared" si="74"/>
        <v>210812.50732405874</v>
      </c>
    </row>
    <row r="167" spans="19:43" x14ac:dyDescent="0.25">
      <c r="S167" s="9" t="str">
        <f t="shared" si="58"/>
        <v/>
      </c>
      <c r="T167" s="59">
        <v>13</v>
      </c>
      <c r="U167" s="59">
        <v>8</v>
      </c>
      <c r="V167" s="3" t="s">
        <v>57</v>
      </c>
      <c r="W167" s="23">
        <f>'Análise Técnica'!$C$3</f>
        <v>750</v>
      </c>
      <c r="X167" s="23">
        <f t="shared" si="78"/>
        <v>611.97006021566449</v>
      </c>
      <c r="Y167" s="54">
        <f t="shared" si="76"/>
        <v>138.02993978433551</v>
      </c>
      <c r="Z167" s="54">
        <f t="shared" si="77"/>
        <v>0</v>
      </c>
      <c r="AA167" s="54">
        <f t="shared" si="61"/>
        <v>100</v>
      </c>
      <c r="AB167" s="54">
        <f t="shared" si="62"/>
        <v>38.029939784335511</v>
      </c>
      <c r="AC167" s="54">
        <f t="shared" si="69"/>
        <v>339.32682763169038</v>
      </c>
      <c r="AD167" s="58">
        <f t="shared" si="70"/>
        <v>0</v>
      </c>
      <c r="AE167" s="2">
        <f t="shared" si="63"/>
        <v>2549.647243279217</v>
      </c>
      <c r="AF167" s="2">
        <f t="shared" si="64"/>
        <v>339.95296577056229</v>
      </c>
      <c r="AG167" s="12">
        <f t="shared" si="71"/>
        <v>2209.6942775086545</v>
      </c>
      <c r="AH167" s="2">
        <f t="shared" si="72"/>
        <v>0</v>
      </c>
      <c r="AI167" s="12">
        <f t="shared" si="65"/>
        <v>2209.6942775086545</v>
      </c>
      <c r="AJ167" s="12">
        <f t="shared" si="75"/>
        <v>213022.20160156739</v>
      </c>
      <c r="AK167" s="86">
        <f t="shared" si="66"/>
        <v>0.8666666666666667</v>
      </c>
      <c r="AL167" s="12">
        <f t="shared" si="73"/>
        <v>262219.26443811588</v>
      </c>
      <c r="AM167" s="124">
        <f t="shared" si="67"/>
        <v>0.15523518008487566</v>
      </c>
      <c r="AN167" s="72"/>
      <c r="AO167" s="59">
        <v>164</v>
      </c>
      <c r="AP167" s="125">
        <f t="shared" si="68"/>
        <v>20089.43738202524</v>
      </c>
      <c r="AQ167" s="125">
        <f t="shared" si="74"/>
        <v>213022.20160156739</v>
      </c>
    </row>
    <row r="168" spans="19:43" x14ac:dyDescent="0.25">
      <c r="S168" s="9" t="str">
        <f t="shared" si="58"/>
        <v/>
      </c>
      <c r="T168" s="59">
        <v>13</v>
      </c>
      <c r="U168" s="59">
        <v>9</v>
      </c>
      <c r="V168" s="3" t="s">
        <v>58</v>
      </c>
      <c r="W168" s="23">
        <f>'Análise Técnica'!$C$3</f>
        <v>750</v>
      </c>
      <c r="X168" s="23">
        <f t="shared" si="78"/>
        <v>621.59265716727714</v>
      </c>
      <c r="Y168" s="54">
        <f t="shared" si="76"/>
        <v>128.40734283272286</v>
      </c>
      <c r="Z168" s="54">
        <f t="shared" si="77"/>
        <v>0</v>
      </c>
      <c r="AA168" s="54">
        <f t="shared" si="61"/>
        <v>100</v>
      </c>
      <c r="AB168" s="54">
        <f t="shared" si="62"/>
        <v>28.407342832722861</v>
      </c>
      <c r="AC168" s="54">
        <f t="shared" si="69"/>
        <v>310.91948479896752</v>
      </c>
      <c r="AD168" s="58">
        <f t="shared" si="70"/>
        <v>0</v>
      </c>
      <c r="AE168" s="2">
        <f t="shared" si="63"/>
        <v>2549.647243279217</v>
      </c>
      <c r="AF168" s="2">
        <f t="shared" si="64"/>
        <v>339.95296577056229</v>
      </c>
      <c r="AG168" s="12">
        <f t="shared" si="71"/>
        <v>2209.6942775086545</v>
      </c>
      <c r="AH168" s="2">
        <f t="shared" si="72"/>
        <v>0</v>
      </c>
      <c r="AI168" s="12">
        <f t="shared" si="65"/>
        <v>2209.6942775086545</v>
      </c>
      <c r="AJ168" s="12">
        <f t="shared" si="75"/>
        <v>215231.89587907604</v>
      </c>
      <c r="AK168" s="86">
        <f t="shared" si="66"/>
        <v>0.8666666666666667</v>
      </c>
      <c r="AL168" s="12">
        <f t="shared" si="73"/>
        <v>264768.91168139508</v>
      </c>
      <c r="AM168" s="124">
        <f t="shared" si="67"/>
        <v>0.15523518008487566</v>
      </c>
      <c r="AN168" s="72"/>
      <c r="AO168" s="59">
        <v>165</v>
      </c>
      <c r="AP168" s="125">
        <f t="shared" si="68"/>
        <v>20153.581455130272</v>
      </c>
      <c r="AQ168" s="125">
        <f t="shared" si="74"/>
        <v>215231.89587907604</v>
      </c>
    </row>
    <row r="169" spans="19:43" x14ac:dyDescent="0.25">
      <c r="S169" s="9" t="str">
        <f t="shared" si="58"/>
        <v/>
      </c>
      <c r="T169" s="59">
        <v>13</v>
      </c>
      <c r="U169" s="59">
        <v>10</v>
      </c>
      <c r="V169" s="3" t="s">
        <v>59</v>
      </c>
      <c r="W169" s="23">
        <f>'Análise Técnica'!$C$3</f>
        <v>750</v>
      </c>
      <c r="X169" s="23">
        <f t="shared" si="78"/>
        <v>695.37493576527675</v>
      </c>
      <c r="Y169" s="54">
        <f t="shared" si="76"/>
        <v>54.625064234723254</v>
      </c>
      <c r="Z169" s="54">
        <f t="shared" si="77"/>
        <v>0</v>
      </c>
      <c r="AA169" s="54">
        <f t="shared" si="61"/>
        <v>100</v>
      </c>
      <c r="AB169" s="54">
        <f t="shared" si="62"/>
        <v>0</v>
      </c>
      <c r="AC169" s="54">
        <f t="shared" si="69"/>
        <v>310.91948479896752</v>
      </c>
      <c r="AD169" s="58">
        <f t="shared" si="70"/>
        <v>0</v>
      </c>
      <c r="AE169" s="2">
        <f t="shared" si="63"/>
        <v>2549.647243279217</v>
      </c>
      <c r="AF169" s="2">
        <f t="shared" si="64"/>
        <v>339.95296577056229</v>
      </c>
      <c r="AG169" s="12">
        <f t="shared" si="71"/>
        <v>2209.6942775086545</v>
      </c>
      <c r="AH169" s="2">
        <f t="shared" si="72"/>
        <v>0</v>
      </c>
      <c r="AI169" s="12">
        <f t="shared" si="65"/>
        <v>2209.6942775086545</v>
      </c>
      <c r="AJ169" s="12">
        <f t="shared" si="75"/>
        <v>217441.59015658469</v>
      </c>
      <c r="AK169" s="86">
        <f t="shared" si="66"/>
        <v>0.8666666666666667</v>
      </c>
      <c r="AL169" s="12">
        <f t="shared" si="73"/>
        <v>267318.55892467429</v>
      </c>
      <c r="AM169" s="124">
        <f t="shared" si="67"/>
        <v>0.15523518008487566</v>
      </c>
      <c r="AN169" s="72"/>
      <c r="AO169" s="59">
        <v>166</v>
      </c>
      <c r="AP169" s="125">
        <f t="shared" si="68"/>
        <v>20217.907269775766</v>
      </c>
      <c r="AQ169" s="125">
        <f t="shared" si="74"/>
        <v>217441.59015658469</v>
      </c>
    </row>
    <row r="170" spans="19:43" x14ac:dyDescent="0.25">
      <c r="S170" s="9" t="str">
        <f t="shared" si="58"/>
        <v/>
      </c>
      <c r="T170" s="59">
        <v>13</v>
      </c>
      <c r="U170" s="59">
        <v>11</v>
      </c>
      <c r="V170" s="3" t="s">
        <v>60</v>
      </c>
      <c r="W170" s="23">
        <f>'Análise Técnica'!$C$3</f>
        <v>750</v>
      </c>
      <c r="X170" s="23">
        <f t="shared" si="78"/>
        <v>700.38952854287788</v>
      </c>
      <c r="Y170" s="54">
        <f t="shared" si="76"/>
        <v>49.610471457122117</v>
      </c>
      <c r="Z170" s="54">
        <f t="shared" si="77"/>
        <v>0</v>
      </c>
      <c r="AA170" s="54">
        <f t="shared" si="61"/>
        <v>100</v>
      </c>
      <c r="AB170" s="54">
        <f t="shared" si="62"/>
        <v>0</v>
      </c>
      <c r="AC170" s="54">
        <f t="shared" si="69"/>
        <v>310.91948479896752</v>
      </c>
      <c r="AD170" s="58">
        <f t="shared" si="70"/>
        <v>0</v>
      </c>
      <c r="AE170" s="2">
        <f t="shared" si="63"/>
        <v>2549.647243279217</v>
      </c>
      <c r="AF170" s="2">
        <f t="shared" si="64"/>
        <v>339.95296577056229</v>
      </c>
      <c r="AG170" s="12">
        <f t="shared" si="71"/>
        <v>2209.6942775086545</v>
      </c>
      <c r="AH170" s="2">
        <f t="shared" si="72"/>
        <v>0</v>
      </c>
      <c r="AI170" s="12">
        <f t="shared" si="65"/>
        <v>2209.6942775086545</v>
      </c>
      <c r="AJ170" s="12">
        <f t="shared" si="75"/>
        <v>219651.28443409334</v>
      </c>
      <c r="AK170" s="86">
        <f t="shared" si="66"/>
        <v>0.8666666666666667</v>
      </c>
      <c r="AL170" s="12">
        <f t="shared" si="73"/>
        <v>269868.2061679535</v>
      </c>
      <c r="AM170" s="124">
        <f t="shared" si="67"/>
        <v>0.15523518008487566</v>
      </c>
      <c r="AN170" s="72"/>
      <c r="AO170" s="59">
        <v>167</v>
      </c>
      <c r="AP170" s="125">
        <f t="shared" si="68"/>
        <v>20282.415340896088</v>
      </c>
      <c r="AQ170" s="125">
        <f t="shared" si="74"/>
        <v>219651.28443409334</v>
      </c>
    </row>
    <row r="171" spans="19:43" x14ac:dyDescent="0.25">
      <c r="S171" s="9" t="str">
        <f t="shared" si="58"/>
        <v/>
      </c>
      <c r="T171" s="59">
        <v>13</v>
      </c>
      <c r="U171" s="59">
        <v>12</v>
      </c>
      <c r="V171" s="3" t="s">
        <v>61</v>
      </c>
      <c r="W171" s="23">
        <f>'Análise Técnica'!$C$3</f>
        <v>750</v>
      </c>
      <c r="X171" s="23">
        <f t="shared" si="78"/>
        <v>803.55461022692862</v>
      </c>
      <c r="Y171" s="54">
        <f t="shared" si="76"/>
        <v>0</v>
      </c>
      <c r="Z171" s="54">
        <f t="shared" si="77"/>
        <v>53.554610226928617</v>
      </c>
      <c r="AA171" s="54">
        <f t="shared" si="61"/>
        <v>100</v>
      </c>
      <c r="AB171" s="54">
        <f t="shared" si="62"/>
        <v>0</v>
      </c>
      <c r="AC171" s="54">
        <f t="shared" si="69"/>
        <v>364.47409502589613</v>
      </c>
      <c r="AD171" s="58">
        <f t="shared" si="70"/>
        <v>0</v>
      </c>
      <c r="AE171" s="2">
        <f t="shared" si="63"/>
        <v>2549.647243279217</v>
      </c>
      <c r="AF171" s="2">
        <f t="shared" si="64"/>
        <v>339.95296577056229</v>
      </c>
      <c r="AG171" s="12">
        <f t="shared" si="71"/>
        <v>2209.6942775086545</v>
      </c>
      <c r="AH171" s="2">
        <f t="shared" si="72"/>
        <v>0</v>
      </c>
      <c r="AI171" s="12">
        <f t="shared" si="65"/>
        <v>2209.6942775086545</v>
      </c>
      <c r="AJ171" s="12">
        <f t="shared" si="75"/>
        <v>221860.97871160199</v>
      </c>
      <c r="AK171" s="86">
        <f t="shared" si="66"/>
        <v>0.8666666666666667</v>
      </c>
      <c r="AL171" s="12">
        <f t="shared" si="73"/>
        <v>272417.8534112327</v>
      </c>
      <c r="AM171" s="124">
        <f t="shared" si="67"/>
        <v>0.15523518008487566</v>
      </c>
      <c r="AN171" s="72"/>
      <c r="AO171" s="59">
        <v>168</v>
      </c>
      <c r="AP171" s="125">
        <f t="shared" si="68"/>
        <v>20347.106184884582</v>
      </c>
      <c r="AQ171" s="125">
        <f t="shared" si="74"/>
        <v>221860.97871160199</v>
      </c>
    </row>
    <row r="172" spans="19:43" x14ac:dyDescent="0.25">
      <c r="S172" s="9" t="str">
        <f t="shared" si="58"/>
        <v/>
      </c>
      <c r="T172" s="59">
        <v>14</v>
      </c>
      <c r="U172" s="59">
        <v>1</v>
      </c>
      <c r="V172" s="3" t="s">
        <v>50</v>
      </c>
      <c r="W172" s="23">
        <f>'Análise Técnica'!$C$3</f>
        <v>750</v>
      </c>
      <c r="X172" s="23">
        <f t="shared" si="78"/>
        <v>823.39242057283866</v>
      </c>
      <c r="Y172" s="54">
        <f t="shared" si="76"/>
        <v>0</v>
      </c>
      <c r="Z172" s="54">
        <f t="shared" si="77"/>
        <v>73.39242057283866</v>
      </c>
      <c r="AA172" s="54">
        <f t="shared" si="61"/>
        <v>100</v>
      </c>
      <c r="AB172" s="54">
        <f t="shared" si="62"/>
        <v>0</v>
      </c>
      <c r="AC172" s="54">
        <f t="shared" si="69"/>
        <v>437.86651559873479</v>
      </c>
      <c r="AD172" s="58">
        <f t="shared" si="70"/>
        <v>0</v>
      </c>
      <c r="AE172" s="2">
        <f t="shared" si="63"/>
        <v>2753.619022741555</v>
      </c>
      <c r="AF172" s="2">
        <f t="shared" si="64"/>
        <v>367.14920303220731</v>
      </c>
      <c r="AG172" s="12">
        <f t="shared" si="71"/>
        <v>2386.4698197093476</v>
      </c>
      <c r="AH172" s="2">
        <f t="shared" si="72"/>
        <v>0</v>
      </c>
      <c r="AI172" s="12">
        <f t="shared" si="65"/>
        <v>2386.4698197093476</v>
      </c>
      <c r="AJ172" s="12">
        <f t="shared" si="75"/>
        <v>224247.44853131133</v>
      </c>
      <c r="AK172" s="86">
        <f t="shared" si="66"/>
        <v>0.8666666666666667</v>
      </c>
      <c r="AL172" s="12">
        <f t="shared" si="73"/>
        <v>275171.47243397427</v>
      </c>
      <c r="AM172" s="124">
        <f t="shared" si="67"/>
        <v>0.16765399449166576</v>
      </c>
      <c r="AN172" s="72"/>
      <c r="AO172" s="59">
        <v>169</v>
      </c>
      <c r="AP172" s="125">
        <f t="shared" si="68"/>
        <v>20208.008540135375</v>
      </c>
      <c r="AQ172" s="125">
        <f t="shared" si="74"/>
        <v>224247.44853131133</v>
      </c>
    </row>
    <row r="173" spans="19:43" x14ac:dyDescent="0.25">
      <c r="S173" s="9" t="str">
        <f t="shared" si="58"/>
        <v/>
      </c>
      <c r="T173" s="59">
        <v>14</v>
      </c>
      <c r="U173" s="59">
        <v>2</v>
      </c>
      <c r="V173" s="3" t="s">
        <v>51</v>
      </c>
      <c r="W173" s="23">
        <f>'Análise Técnica'!$C$3</f>
        <v>750</v>
      </c>
      <c r="X173" s="23">
        <f t="shared" si="78"/>
        <v>867.21193810062755</v>
      </c>
      <c r="Y173" s="54">
        <f t="shared" si="76"/>
        <v>0</v>
      </c>
      <c r="Z173" s="54">
        <f t="shared" si="77"/>
        <v>117.21193810062755</v>
      </c>
      <c r="AA173" s="54">
        <f t="shared" si="61"/>
        <v>100</v>
      </c>
      <c r="AB173" s="54">
        <f t="shared" si="62"/>
        <v>0</v>
      </c>
      <c r="AC173" s="54">
        <f t="shared" si="69"/>
        <v>555.0784536993624</v>
      </c>
      <c r="AD173" s="58">
        <f t="shared" si="70"/>
        <v>0</v>
      </c>
      <c r="AE173" s="2">
        <f t="shared" si="63"/>
        <v>2753.619022741555</v>
      </c>
      <c r="AF173" s="2">
        <f t="shared" si="64"/>
        <v>367.14920303220731</v>
      </c>
      <c r="AG173" s="12">
        <f t="shared" si="71"/>
        <v>2386.4698197093476</v>
      </c>
      <c r="AH173" s="2">
        <f t="shared" si="72"/>
        <v>0</v>
      </c>
      <c r="AI173" s="12">
        <f t="shared" si="65"/>
        <v>2386.4698197093476</v>
      </c>
      <c r="AJ173" s="12">
        <f t="shared" si="75"/>
        <v>226633.91835102066</v>
      </c>
      <c r="AK173" s="86">
        <f t="shared" si="66"/>
        <v>0.8666666666666667</v>
      </c>
      <c r="AL173" s="12">
        <f t="shared" si="73"/>
        <v>277925.09145671583</v>
      </c>
      <c r="AM173" s="124">
        <f t="shared" si="67"/>
        <v>0.16765399449166576</v>
      </c>
      <c r="AN173" s="72"/>
      <c r="AO173" s="59">
        <v>170</v>
      </c>
      <c r="AP173" s="125">
        <f t="shared" si="68"/>
        <v>20273.066484896863</v>
      </c>
      <c r="AQ173" s="125">
        <f t="shared" si="74"/>
        <v>226633.91835102066</v>
      </c>
    </row>
    <row r="174" spans="19:43" x14ac:dyDescent="0.25">
      <c r="S174" s="9" t="str">
        <f t="shared" si="58"/>
        <v/>
      </c>
      <c r="T174" s="59">
        <v>14</v>
      </c>
      <c r="U174" s="59">
        <v>3</v>
      </c>
      <c r="V174" s="3" t="s">
        <v>52</v>
      </c>
      <c r="W174" s="23">
        <f>'Análise Técnica'!$C$3</f>
        <v>750</v>
      </c>
      <c r="X174" s="23">
        <f t="shared" si="78"/>
        <v>727.74582626387325</v>
      </c>
      <c r="Y174" s="54">
        <f t="shared" si="76"/>
        <v>22.254173736126745</v>
      </c>
      <c r="Z174" s="54">
        <f t="shared" si="77"/>
        <v>0</v>
      </c>
      <c r="AA174" s="54">
        <f t="shared" si="61"/>
        <v>100</v>
      </c>
      <c r="AB174" s="54">
        <f t="shared" si="62"/>
        <v>0</v>
      </c>
      <c r="AC174" s="54">
        <f t="shared" si="69"/>
        <v>555.0784536993624</v>
      </c>
      <c r="AD174" s="58">
        <f t="shared" si="70"/>
        <v>0</v>
      </c>
      <c r="AE174" s="2">
        <f t="shared" si="63"/>
        <v>2753.619022741555</v>
      </c>
      <c r="AF174" s="2">
        <f t="shared" si="64"/>
        <v>367.14920303220731</v>
      </c>
      <c r="AG174" s="12">
        <f t="shared" si="71"/>
        <v>2386.4698197093476</v>
      </c>
      <c r="AH174" s="2">
        <f t="shared" si="72"/>
        <v>0</v>
      </c>
      <c r="AI174" s="12">
        <f t="shared" si="65"/>
        <v>2386.4698197093476</v>
      </c>
      <c r="AJ174" s="12">
        <f t="shared" si="75"/>
        <v>229020.38817073</v>
      </c>
      <c r="AK174" s="86">
        <f t="shared" si="66"/>
        <v>0.8666666666666667</v>
      </c>
      <c r="AL174" s="12">
        <f t="shared" si="73"/>
        <v>280678.7104794574</v>
      </c>
      <c r="AM174" s="124">
        <f t="shared" si="67"/>
        <v>0.16765399449166576</v>
      </c>
      <c r="AN174" s="72"/>
      <c r="AO174" s="59">
        <v>171</v>
      </c>
      <c r="AP174" s="125">
        <f t="shared" si="68"/>
        <v>20338.308760501834</v>
      </c>
      <c r="AQ174" s="125">
        <f t="shared" si="74"/>
        <v>229020.38817073</v>
      </c>
    </row>
    <row r="175" spans="19:43" x14ac:dyDescent="0.25">
      <c r="S175" s="9" t="str">
        <f t="shared" si="58"/>
        <v/>
      </c>
      <c r="T175" s="59">
        <v>14</v>
      </c>
      <c r="U175" s="59">
        <v>4</v>
      </c>
      <c r="V175" s="3" t="s">
        <v>53</v>
      </c>
      <c r="W175" s="23">
        <f>'Análise Técnica'!$C$3</f>
        <v>750</v>
      </c>
      <c r="X175" s="23">
        <f t="shared" si="78"/>
        <v>645.34198540925047</v>
      </c>
      <c r="Y175" s="54">
        <f t="shared" si="76"/>
        <v>104.65801459074953</v>
      </c>
      <c r="Z175" s="54">
        <f t="shared" si="77"/>
        <v>0</v>
      </c>
      <c r="AA175" s="54">
        <f t="shared" si="61"/>
        <v>100</v>
      </c>
      <c r="AB175" s="54">
        <f t="shared" si="62"/>
        <v>4.6580145907495307</v>
      </c>
      <c r="AC175" s="54">
        <f t="shared" si="69"/>
        <v>550.42043910861287</v>
      </c>
      <c r="AD175" s="58">
        <f t="shared" si="70"/>
        <v>0</v>
      </c>
      <c r="AE175" s="2">
        <f t="shared" si="63"/>
        <v>2753.619022741555</v>
      </c>
      <c r="AF175" s="2">
        <f t="shared" si="64"/>
        <v>367.14920303220731</v>
      </c>
      <c r="AG175" s="12">
        <f t="shared" si="71"/>
        <v>2386.4698197093476</v>
      </c>
      <c r="AH175" s="2">
        <f t="shared" si="72"/>
        <v>0</v>
      </c>
      <c r="AI175" s="12">
        <f t="shared" si="65"/>
        <v>2386.4698197093476</v>
      </c>
      <c r="AJ175" s="12">
        <f t="shared" si="75"/>
        <v>231406.85799043934</v>
      </c>
      <c r="AK175" s="86">
        <f t="shared" si="66"/>
        <v>0.8666666666666667</v>
      </c>
      <c r="AL175" s="12">
        <f t="shared" si="73"/>
        <v>283432.32950219896</v>
      </c>
      <c r="AM175" s="124">
        <f t="shared" si="67"/>
        <v>0.16765399449166576</v>
      </c>
      <c r="AN175" s="72"/>
      <c r="AO175" s="59">
        <v>172</v>
      </c>
      <c r="AP175" s="125">
        <f t="shared" si="68"/>
        <v>20403.735889221021</v>
      </c>
      <c r="AQ175" s="125">
        <f t="shared" si="74"/>
        <v>231406.85799043934</v>
      </c>
    </row>
    <row r="176" spans="19:43" x14ac:dyDescent="0.25">
      <c r="S176" s="9" t="str">
        <f t="shared" si="58"/>
        <v/>
      </c>
      <c r="T176" s="59">
        <v>14</v>
      </c>
      <c r="U176" s="59">
        <v>5</v>
      </c>
      <c r="V176" s="3" t="s">
        <v>54</v>
      </c>
      <c r="W176" s="23">
        <f>'Análise Técnica'!$C$3</f>
        <v>750</v>
      </c>
      <c r="X176" s="23">
        <f t="shared" si="78"/>
        <v>531.45968893500412</v>
      </c>
      <c r="Y176" s="54">
        <f t="shared" si="76"/>
        <v>218.54031106499588</v>
      </c>
      <c r="Z176" s="54">
        <f t="shared" si="77"/>
        <v>0</v>
      </c>
      <c r="AA176" s="54">
        <f t="shared" si="61"/>
        <v>100</v>
      </c>
      <c r="AB176" s="54">
        <f t="shared" si="62"/>
        <v>118.54031106499588</v>
      </c>
      <c r="AC176" s="54">
        <f t="shared" si="69"/>
        <v>431.88012804361699</v>
      </c>
      <c r="AD176" s="58">
        <f t="shared" si="70"/>
        <v>0</v>
      </c>
      <c r="AE176" s="2">
        <f t="shared" si="63"/>
        <v>2753.619022741555</v>
      </c>
      <c r="AF176" s="2">
        <f t="shared" si="64"/>
        <v>367.14920303220731</v>
      </c>
      <c r="AG176" s="12">
        <f t="shared" si="71"/>
        <v>2386.4698197093476</v>
      </c>
      <c r="AH176" s="2">
        <f t="shared" si="72"/>
        <v>0</v>
      </c>
      <c r="AI176" s="12">
        <f t="shared" si="65"/>
        <v>2386.4698197093476</v>
      </c>
      <c r="AJ176" s="12">
        <f t="shared" si="75"/>
        <v>233793.32781014868</v>
      </c>
      <c r="AK176" s="86">
        <f t="shared" si="66"/>
        <v>0.8666666666666667</v>
      </c>
      <c r="AL176" s="12">
        <f t="shared" si="73"/>
        <v>286185.94852494053</v>
      </c>
      <c r="AM176" s="124">
        <f t="shared" si="67"/>
        <v>0.16765399449166576</v>
      </c>
      <c r="AN176" s="72"/>
      <c r="AO176" s="59">
        <v>173</v>
      </c>
      <c r="AP176" s="125">
        <f t="shared" si="68"/>
        <v>20469.348394804914</v>
      </c>
      <c r="AQ176" s="125">
        <f t="shared" si="74"/>
        <v>233793.32781014868</v>
      </c>
    </row>
    <row r="177" spans="19:43" x14ac:dyDescent="0.25">
      <c r="S177" s="9" t="str">
        <f t="shared" si="58"/>
        <v/>
      </c>
      <c r="T177" s="59">
        <v>14</v>
      </c>
      <c r="U177" s="59">
        <v>6</v>
      </c>
      <c r="V177" s="3" t="s">
        <v>55</v>
      </c>
      <c r="W177" s="23">
        <f>'Análise Técnica'!$C$3</f>
        <v>750</v>
      </c>
      <c r="X177" s="23">
        <f t="shared" si="78"/>
        <v>491.48918308195385</v>
      </c>
      <c r="Y177" s="54">
        <f t="shared" si="76"/>
        <v>258.51081691804615</v>
      </c>
      <c r="Z177" s="54">
        <f t="shared" si="77"/>
        <v>0</v>
      </c>
      <c r="AA177" s="54">
        <f t="shared" si="61"/>
        <v>100</v>
      </c>
      <c r="AB177" s="54">
        <f t="shared" si="62"/>
        <v>158.51081691804615</v>
      </c>
      <c r="AC177" s="54">
        <f t="shared" si="69"/>
        <v>273.36931112557085</v>
      </c>
      <c r="AD177" s="58">
        <f t="shared" si="70"/>
        <v>0</v>
      </c>
      <c r="AE177" s="2">
        <f t="shared" si="63"/>
        <v>2753.619022741555</v>
      </c>
      <c r="AF177" s="2">
        <f t="shared" si="64"/>
        <v>367.14920303220731</v>
      </c>
      <c r="AG177" s="12">
        <f t="shared" si="71"/>
        <v>2386.4698197093476</v>
      </c>
      <c r="AH177" s="2">
        <f t="shared" si="72"/>
        <v>0</v>
      </c>
      <c r="AI177" s="12">
        <f t="shared" si="65"/>
        <v>2386.4698197093476</v>
      </c>
      <c r="AJ177" s="12">
        <f t="shared" si="75"/>
        <v>236179.79762985802</v>
      </c>
      <c r="AK177" s="86">
        <f t="shared" si="66"/>
        <v>0.8666666666666667</v>
      </c>
      <c r="AL177" s="12">
        <f t="shared" si="73"/>
        <v>288939.56754768209</v>
      </c>
      <c r="AM177" s="124">
        <f t="shared" si="67"/>
        <v>0.16765399449166576</v>
      </c>
      <c r="AN177" s="72"/>
      <c r="AO177" s="59">
        <v>174</v>
      </c>
      <c r="AP177" s="125">
        <f t="shared" si="68"/>
        <v>20535.146802487965</v>
      </c>
      <c r="AQ177" s="125">
        <f t="shared" si="74"/>
        <v>236179.79762985802</v>
      </c>
    </row>
    <row r="178" spans="19:43" x14ac:dyDescent="0.25">
      <c r="S178" s="9" t="str">
        <f t="shared" si="58"/>
        <v/>
      </c>
      <c r="T178" s="59">
        <v>14</v>
      </c>
      <c r="U178" s="59">
        <v>7</v>
      </c>
      <c r="V178" s="3" t="s">
        <v>56</v>
      </c>
      <c r="W178" s="23">
        <f>'Análise Técnica'!$C$3</f>
        <v>750</v>
      </c>
      <c r="X178" s="23">
        <f t="shared" si="78"/>
        <v>491.42189266805957</v>
      </c>
      <c r="Y178" s="54">
        <f t="shared" si="76"/>
        <v>258.57810733194043</v>
      </c>
      <c r="Z178" s="54">
        <f t="shared" si="77"/>
        <v>0</v>
      </c>
      <c r="AA178" s="54">
        <f t="shared" si="61"/>
        <v>100</v>
      </c>
      <c r="AB178" s="54">
        <f t="shared" si="62"/>
        <v>158.57810733194043</v>
      </c>
      <c r="AC178" s="54">
        <f t="shared" si="69"/>
        <v>114.79120379363042</v>
      </c>
      <c r="AD178" s="58">
        <f t="shared" si="70"/>
        <v>0</v>
      </c>
      <c r="AE178" s="2">
        <f t="shared" si="63"/>
        <v>2753.619022741555</v>
      </c>
      <c r="AF178" s="2">
        <f t="shared" si="64"/>
        <v>367.14920303220731</v>
      </c>
      <c r="AG178" s="12">
        <f t="shared" si="71"/>
        <v>2386.4698197093476</v>
      </c>
      <c r="AH178" s="2">
        <f t="shared" si="72"/>
        <v>0</v>
      </c>
      <c r="AI178" s="12">
        <f t="shared" si="65"/>
        <v>2386.4698197093476</v>
      </c>
      <c r="AJ178" s="12">
        <f t="shared" si="75"/>
        <v>238566.26744956736</v>
      </c>
      <c r="AK178" s="86">
        <f t="shared" si="66"/>
        <v>0.8666666666666667</v>
      </c>
      <c r="AL178" s="12">
        <f t="shared" si="73"/>
        <v>291693.18657042366</v>
      </c>
      <c r="AM178" s="124">
        <f t="shared" si="67"/>
        <v>0.16765399449166576</v>
      </c>
      <c r="AN178" s="72"/>
      <c r="AO178" s="59">
        <v>175</v>
      </c>
      <c r="AP178" s="125">
        <f t="shared" si="68"/>
        <v>20601.131638992782</v>
      </c>
      <c r="AQ178" s="125">
        <f t="shared" si="74"/>
        <v>238566.26744956736</v>
      </c>
    </row>
    <row r="179" spans="19:43" x14ac:dyDescent="0.25">
      <c r="S179" s="9" t="str">
        <f t="shared" si="58"/>
        <v/>
      </c>
      <c r="T179" s="59">
        <v>14</v>
      </c>
      <c r="U179" s="59">
        <v>8</v>
      </c>
      <c r="V179" s="3" t="s">
        <v>57</v>
      </c>
      <c r="W179" s="23">
        <f>'Análise Técnica'!$C$3</f>
        <v>750</v>
      </c>
      <c r="X179" s="23">
        <f t="shared" si="78"/>
        <v>607.68626979415478</v>
      </c>
      <c r="Y179" s="54">
        <f t="shared" si="76"/>
        <v>142.31373020584522</v>
      </c>
      <c r="Z179" s="54">
        <f t="shared" si="77"/>
        <v>0</v>
      </c>
      <c r="AA179" s="54">
        <f t="shared" si="61"/>
        <v>100</v>
      </c>
      <c r="AB179" s="54">
        <f t="shared" si="62"/>
        <v>42.313730205845218</v>
      </c>
      <c r="AC179" s="54">
        <f t="shared" si="69"/>
        <v>72.477473587785198</v>
      </c>
      <c r="AD179" s="58">
        <f t="shared" si="70"/>
        <v>0</v>
      </c>
      <c r="AE179" s="2">
        <f t="shared" si="63"/>
        <v>2753.619022741555</v>
      </c>
      <c r="AF179" s="2">
        <f t="shared" si="64"/>
        <v>367.14920303220731</v>
      </c>
      <c r="AG179" s="12">
        <f t="shared" si="71"/>
        <v>2386.4698197093476</v>
      </c>
      <c r="AH179" s="2">
        <f t="shared" si="72"/>
        <v>0</v>
      </c>
      <c r="AI179" s="12">
        <f t="shared" si="65"/>
        <v>2386.4698197093476</v>
      </c>
      <c r="AJ179" s="12">
        <f t="shared" si="75"/>
        <v>240952.73726927669</v>
      </c>
      <c r="AK179" s="86">
        <f t="shared" si="66"/>
        <v>0.8666666666666667</v>
      </c>
      <c r="AL179" s="12">
        <f t="shared" si="73"/>
        <v>294446.80559316522</v>
      </c>
      <c r="AM179" s="124">
        <f t="shared" si="67"/>
        <v>0.16765399449166576</v>
      </c>
      <c r="AN179" s="72"/>
      <c r="AO179" s="59">
        <v>176</v>
      </c>
      <c r="AP179" s="125">
        <f t="shared" si="68"/>
        <v>20667.303432534358</v>
      </c>
      <c r="AQ179" s="125">
        <f t="shared" si="74"/>
        <v>240952.73726927669</v>
      </c>
    </row>
    <row r="180" spans="19:43" x14ac:dyDescent="0.25">
      <c r="S180" s="9" t="str">
        <f t="shared" si="58"/>
        <v/>
      </c>
      <c r="T180" s="59">
        <v>14</v>
      </c>
      <c r="U180" s="59">
        <v>9</v>
      </c>
      <c r="V180" s="3" t="s">
        <v>58</v>
      </c>
      <c r="W180" s="23">
        <f>'Análise Técnica'!$C$3</f>
        <v>750</v>
      </c>
      <c r="X180" s="23">
        <f t="shared" si="78"/>
        <v>617.24150856710617</v>
      </c>
      <c r="Y180" s="54">
        <f t="shared" si="76"/>
        <v>132.75849143289383</v>
      </c>
      <c r="Z180" s="54">
        <f t="shared" si="77"/>
        <v>0</v>
      </c>
      <c r="AA180" s="54">
        <f t="shared" si="61"/>
        <v>100</v>
      </c>
      <c r="AB180" s="54">
        <f t="shared" si="62"/>
        <v>32.758491432893834</v>
      </c>
      <c r="AC180" s="54">
        <f t="shared" si="69"/>
        <v>39.718982154891364</v>
      </c>
      <c r="AD180" s="58">
        <f t="shared" si="70"/>
        <v>0</v>
      </c>
      <c r="AE180" s="2">
        <f t="shared" si="63"/>
        <v>2753.619022741555</v>
      </c>
      <c r="AF180" s="2">
        <f t="shared" si="64"/>
        <v>367.14920303220731</v>
      </c>
      <c r="AG180" s="12">
        <f t="shared" si="71"/>
        <v>2386.4698197093476</v>
      </c>
      <c r="AH180" s="2">
        <f t="shared" si="72"/>
        <v>0</v>
      </c>
      <c r="AI180" s="12">
        <f t="shared" si="65"/>
        <v>2386.4698197093476</v>
      </c>
      <c r="AJ180" s="12">
        <f t="shared" si="75"/>
        <v>243339.20708898603</v>
      </c>
      <c r="AK180" s="86">
        <f t="shared" si="66"/>
        <v>0.8666666666666667</v>
      </c>
      <c r="AL180" s="12">
        <f t="shared" si="73"/>
        <v>297200.42461590678</v>
      </c>
      <c r="AM180" s="124">
        <f t="shared" si="67"/>
        <v>0.16765399449166576</v>
      </c>
      <c r="AN180" s="72"/>
      <c r="AO180" s="59">
        <v>177</v>
      </c>
      <c r="AP180" s="125">
        <f t="shared" si="68"/>
        <v>20733.662712824309</v>
      </c>
      <c r="AQ180" s="125">
        <f t="shared" si="74"/>
        <v>243339.20708898603</v>
      </c>
    </row>
    <row r="181" spans="19:43" x14ac:dyDescent="0.25">
      <c r="S181" s="9" t="str">
        <f t="shared" si="58"/>
        <v/>
      </c>
      <c r="T181" s="59">
        <v>14</v>
      </c>
      <c r="U181" s="59">
        <v>10</v>
      </c>
      <c r="V181" s="3" t="s">
        <v>59</v>
      </c>
      <c r="W181" s="23">
        <f>'Análise Técnica'!$C$3</f>
        <v>750</v>
      </c>
      <c r="X181" s="23">
        <f t="shared" si="78"/>
        <v>690.50731121491981</v>
      </c>
      <c r="Y181" s="54">
        <f t="shared" si="76"/>
        <v>59.49268878508019</v>
      </c>
      <c r="Z181" s="54">
        <f t="shared" si="77"/>
        <v>0</v>
      </c>
      <c r="AA181" s="54">
        <f t="shared" si="61"/>
        <v>100</v>
      </c>
      <c r="AB181" s="54">
        <f t="shared" si="62"/>
        <v>0</v>
      </c>
      <c r="AC181" s="54">
        <f t="shared" si="69"/>
        <v>39.718982154891364</v>
      </c>
      <c r="AD181" s="58">
        <f t="shared" si="70"/>
        <v>0</v>
      </c>
      <c r="AE181" s="2">
        <f t="shared" si="63"/>
        <v>2753.619022741555</v>
      </c>
      <c r="AF181" s="2">
        <f t="shared" si="64"/>
        <v>367.14920303220731</v>
      </c>
      <c r="AG181" s="12">
        <f t="shared" si="71"/>
        <v>2386.4698197093476</v>
      </c>
      <c r="AH181" s="2">
        <f t="shared" si="72"/>
        <v>0</v>
      </c>
      <c r="AI181" s="12">
        <f t="shared" si="65"/>
        <v>2386.4698197093476</v>
      </c>
      <c r="AJ181" s="12">
        <f t="shared" si="75"/>
        <v>245725.67690869537</v>
      </c>
      <c r="AK181" s="86">
        <f t="shared" si="66"/>
        <v>0.8666666666666667</v>
      </c>
      <c r="AL181" s="12">
        <f t="shared" si="73"/>
        <v>299954.04363864835</v>
      </c>
      <c r="AM181" s="124">
        <f t="shared" si="67"/>
        <v>0.16765399449166576</v>
      </c>
      <c r="AN181" s="72"/>
      <c r="AO181" s="59">
        <v>178</v>
      </c>
      <c r="AP181" s="125">
        <f t="shared" si="68"/>
        <v>20800.210011075076</v>
      </c>
      <c r="AQ181" s="125">
        <f t="shared" si="74"/>
        <v>245725.67690869537</v>
      </c>
    </row>
    <row r="182" spans="19:43" x14ac:dyDescent="0.25">
      <c r="S182" s="9" t="str">
        <f t="shared" si="58"/>
        <v/>
      </c>
      <c r="T182" s="59">
        <v>14</v>
      </c>
      <c r="U182" s="59">
        <v>11</v>
      </c>
      <c r="V182" s="3" t="s">
        <v>60</v>
      </c>
      <c r="W182" s="23">
        <f>'Análise Técnica'!$C$3</f>
        <v>750</v>
      </c>
      <c r="X182" s="23">
        <f t="shared" si="78"/>
        <v>695.48680184307773</v>
      </c>
      <c r="Y182" s="54">
        <f t="shared" si="76"/>
        <v>54.513198156922272</v>
      </c>
      <c r="Z182" s="54">
        <f t="shared" si="77"/>
        <v>0</v>
      </c>
      <c r="AA182" s="54">
        <f t="shared" si="61"/>
        <v>100</v>
      </c>
      <c r="AB182" s="54">
        <f t="shared" si="62"/>
        <v>0</v>
      </c>
      <c r="AC182" s="54">
        <f t="shared" si="69"/>
        <v>39.718982154891364</v>
      </c>
      <c r="AD182" s="58">
        <f t="shared" si="70"/>
        <v>0</v>
      </c>
      <c r="AE182" s="2">
        <f t="shared" si="63"/>
        <v>2753.619022741555</v>
      </c>
      <c r="AF182" s="2">
        <f t="shared" si="64"/>
        <v>367.14920303220731</v>
      </c>
      <c r="AG182" s="12">
        <f t="shared" si="71"/>
        <v>2386.4698197093476</v>
      </c>
      <c r="AH182" s="2">
        <f t="shared" si="72"/>
        <v>0</v>
      </c>
      <c r="AI182" s="12">
        <f t="shared" si="65"/>
        <v>2386.4698197093476</v>
      </c>
      <c r="AJ182" s="12">
        <f t="shared" si="75"/>
        <v>248112.14672840471</v>
      </c>
      <c r="AK182" s="86">
        <f t="shared" si="66"/>
        <v>0.8666666666666667</v>
      </c>
      <c r="AL182" s="12">
        <f t="shared" si="73"/>
        <v>302707.66266138991</v>
      </c>
      <c r="AM182" s="124">
        <f t="shared" si="67"/>
        <v>0.16765399449166576</v>
      </c>
      <c r="AN182" s="72"/>
      <c r="AO182" s="59">
        <v>179</v>
      </c>
      <c r="AP182" s="125">
        <f t="shared" si="68"/>
        <v>20866.945860004227</v>
      </c>
      <c r="AQ182" s="125">
        <f t="shared" si="74"/>
        <v>248112.14672840471</v>
      </c>
    </row>
    <row r="183" spans="19:43" x14ac:dyDescent="0.25">
      <c r="S183" s="9" t="str">
        <f t="shared" si="58"/>
        <v/>
      </c>
      <c r="T183" s="59">
        <v>14</v>
      </c>
      <c r="U183" s="59">
        <v>12</v>
      </c>
      <c r="V183" s="3" t="s">
        <v>61</v>
      </c>
      <c r="W183" s="23">
        <f>'Análise Técnica'!$C$3</f>
        <v>750</v>
      </c>
      <c r="X183" s="23">
        <f t="shared" si="78"/>
        <v>797.92972795534013</v>
      </c>
      <c r="Y183" s="54">
        <f t="shared" si="76"/>
        <v>0</v>
      </c>
      <c r="Z183" s="54">
        <f t="shared" si="77"/>
        <v>47.929727955340127</v>
      </c>
      <c r="AA183" s="54">
        <f t="shared" si="61"/>
        <v>100</v>
      </c>
      <c r="AB183" s="54">
        <f t="shared" si="62"/>
        <v>0</v>
      </c>
      <c r="AC183" s="54">
        <f t="shared" si="69"/>
        <v>87.648710110231491</v>
      </c>
      <c r="AD183" s="58">
        <f t="shared" si="70"/>
        <v>0</v>
      </c>
      <c r="AE183" s="2">
        <f t="shared" si="63"/>
        <v>2753.619022741555</v>
      </c>
      <c r="AF183" s="2">
        <f t="shared" si="64"/>
        <v>367.14920303220731</v>
      </c>
      <c r="AG183" s="12">
        <f t="shared" si="71"/>
        <v>2386.4698197093476</v>
      </c>
      <c r="AH183" s="2">
        <f t="shared" si="72"/>
        <v>0</v>
      </c>
      <c r="AI183" s="12">
        <f t="shared" si="65"/>
        <v>2386.4698197093476</v>
      </c>
      <c r="AJ183" s="12">
        <f t="shared" si="75"/>
        <v>250498.61654811405</v>
      </c>
      <c r="AK183" s="86">
        <f t="shared" si="66"/>
        <v>0.8666666666666667</v>
      </c>
      <c r="AL183" s="12">
        <f t="shared" si="73"/>
        <v>305461.28168413148</v>
      </c>
      <c r="AM183" s="124">
        <f t="shared" si="67"/>
        <v>0.16765399449166576</v>
      </c>
      <c r="AN183" s="72"/>
      <c r="AO183" s="59">
        <v>180</v>
      </c>
      <c r="AP183" s="125">
        <f t="shared" si="68"/>
        <v>20933.870793838669</v>
      </c>
      <c r="AQ183" s="125">
        <f t="shared" si="74"/>
        <v>250498.61654811405</v>
      </c>
    </row>
    <row r="184" spans="19:43" x14ac:dyDescent="0.25">
      <c r="S184" s="9" t="str">
        <f t="shared" si="58"/>
        <v/>
      </c>
      <c r="T184" s="59">
        <v>15</v>
      </c>
      <c r="U184" s="59">
        <v>1</v>
      </c>
      <c r="V184" s="3" t="s">
        <v>50</v>
      </c>
      <c r="W184" s="23">
        <f>'Análise Técnica'!$C$3</f>
        <v>750</v>
      </c>
      <c r="X184" s="23">
        <f t="shared" si="78"/>
        <v>817.62867362882878</v>
      </c>
      <c r="Y184" s="54">
        <f t="shared" si="76"/>
        <v>0</v>
      </c>
      <c r="Z184" s="54">
        <f t="shared" si="77"/>
        <v>67.628673628828778</v>
      </c>
      <c r="AA184" s="54">
        <f t="shared" si="61"/>
        <v>100</v>
      </c>
      <c r="AB184" s="54">
        <f t="shared" si="62"/>
        <v>0</v>
      </c>
      <c r="AC184" s="54">
        <f t="shared" si="69"/>
        <v>155.27738373906027</v>
      </c>
      <c r="AD184" s="58">
        <f t="shared" si="70"/>
        <v>0</v>
      </c>
      <c r="AE184" s="2">
        <f t="shared" si="63"/>
        <v>2973.9085445608794</v>
      </c>
      <c r="AF184" s="2">
        <f t="shared" si="64"/>
        <v>396.52113927478393</v>
      </c>
      <c r="AG184" s="12">
        <f t="shared" si="71"/>
        <v>2577.3874052860956</v>
      </c>
      <c r="AH184" s="2">
        <f t="shared" si="72"/>
        <v>177.93117806000001</v>
      </c>
      <c r="AI184" s="12">
        <f t="shared" si="65"/>
        <v>2399.4562272260955</v>
      </c>
      <c r="AJ184" s="12">
        <f t="shared" si="75"/>
        <v>252898.07277534014</v>
      </c>
      <c r="AK184" s="86">
        <f t="shared" si="66"/>
        <v>0.8666666666666667</v>
      </c>
      <c r="AL184" s="12">
        <f t="shared" si="73"/>
        <v>308435.19022869237</v>
      </c>
      <c r="AM184" s="124">
        <f t="shared" si="67"/>
        <v>0.18106631405099904</v>
      </c>
      <c r="AN184" s="72"/>
      <c r="AO184" s="59">
        <v>181</v>
      </c>
      <c r="AP184" s="125">
        <f t="shared" si="68"/>
        <v>20780.695826499657</v>
      </c>
      <c r="AQ184" s="125">
        <f t="shared" si="74"/>
        <v>252898.07277534014</v>
      </c>
    </row>
    <row r="185" spans="19:43" x14ac:dyDescent="0.25">
      <c r="S185" s="9" t="str">
        <f t="shared" si="58"/>
        <v/>
      </c>
      <c r="T185" s="59">
        <v>15</v>
      </c>
      <c r="U185" s="59">
        <v>2</v>
      </c>
      <c r="V185" s="3" t="s">
        <v>51</v>
      </c>
      <c r="W185" s="23">
        <f>'Análise Técnica'!$C$3</f>
        <v>750</v>
      </c>
      <c r="X185" s="23">
        <f t="shared" si="78"/>
        <v>861.14145453392314</v>
      </c>
      <c r="Y185" s="54">
        <f t="shared" si="76"/>
        <v>0</v>
      </c>
      <c r="Z185" s="54">
        <f t="shared" si="77"/>
        <v>111.14145453392314</v>
      </c>
      <c r="AA185" s="54">
        <f t="shared" si="61"/>
        <v>100</v>
      </c>
      <c r="AB185" s="54">
        <f t="shared" si="62"/>
        <v>0</v>
      </c>
      <c r="AC185" s="54">
        <f t="shared" si="69"/>
        <v>266.41883827298341</v>
      </c>
      <c r="AD185" s="58">
        <f t="shared" si="70"/>
        <v>0</v>
      </c>
      <c r="AE185" s="2">
        <f t="shared" si="63"/>
        <v>2973.9085445608794</v>
      </c>
      <c r="AF185" s="2">
        <f t="shared" si="64"/>
        <v>396.52113927478393</v>
      </c>
      <c r="AG185" s="12">
        <f t="shared" si="71"/>
        <v>2577.3874052860956</v>
      </c>
      <c r="AH185" s="2">
        <f t="shared" si="72"/>
        <v>177.93117806000001</v>
      </c>
      <c r="AI185" s="12">
        <f t="shared" si="65"/>
        <v>2399.4562272260955</v>
      </c>
      <c r="AJ185" s="12">
        <f t="shared" si="75"/>
        <v>255297.52900256624</v>
      </c>
      <c r="AK185" s="86">
        <f t="shared" si="66"/>
        <v>0.8666666666666667</v>
      </c>
      <c r="AL185" s="12">
        <f t="shared" si="73"/>
        <v>311409.09877325327</v>
      </c>
      <c r="AM185" s="124">
        <f t="shared" si="67"/>
        <v>0.18106631405099904</v>
      </c>
      <c r="AN185" s="72"/>
      <c r="AO185" s="59">
        <v>182</v>
      </c>
      <c r="AP185" s="125">
        <f t="shared" si="68"/>
        <v>20848.000538884324</v>
      </c>
      <c r="AQ185" s="125">
        <f t="shared" si="74"/>
        <v>255297.52900256624</v>
      </c>
    </row>
    <row r="186" spans="19:43" x14ac:dyDescent="0.25">
      <c r="S186" s="9" t="str">
        <f t="shared" si="58"/>
        <v/>
      </c>
      <c r="T186" s="59">
        <v>15</v>
      </c>
      <c r="U186" s="59">
        <v>3</v>
      </c>
      <c r="V186" s="3" t="s">
        <v>52</v>
      </c>
      <c r="W186" s="23">
        <f>'Análise Técnica'!$C$3</f>
        <v>750</v>
      </c>
      <c r="X186" s="23">
        <f t="shared" si="78"/>
        <v>722.65160548002609</v>
      </c>
      <c r="Y186" s="54">
        <f t="shared" si="76"/>
        <v>27.348394519973908</v>
      </c>
      <c r="Z186" s="54">
        <f t="shared" si="77"/>
        <v>0</v>
      </c>
      <c r="AA186" s="54">
        <f t="shared" si="61"/>
        <v>100</v>
      </c>
      <c r="AB186" s="54">
        <f t="shared" si="62"/>
        <v>0</v>
      </c>
      <c r="AC186" s="54">
        <f t="shared" si="69"/>
        <v>266.41883827298341</v>
      </c>
      <c r="AD186" s="58">
        <f t="shared" si="70"/>
        <v>0</v>
      </c>
      <c r="AE186" s="2">
        <f t="shared" si="63"/>
        <v>2973.9085445608794</v>
      </c>
      <c r="AF186" s="2">
        <f t="shared" si="64"/>
        <v>396.52113927478393</v>
      </c>
      <c r="AG186" s="12">
        <f t="shared" si="71"/>
        <v>2577.3874052860956</v>
      </c>
      <c r="AH186" s="2">
        <f t="shared" si="72"/>
        <v>177.93117806000001</v>
      </c>
      <c r="AI186" s="12">
        <f t="shared" si="65"/>
        <v>2399.4562272260955</v>
      </c>
      <c r="AJ186" s="12">
        <f t="shared" si="75"/>
        <v>257696.98522979234</v>
      </c>
      <c r="AK186" s="86">
        <f t="shared" si="66"/>
        <v>0.8666666666666667</v>
      </c>
      <c r="AL186" s="12">
        <f t="shared" si="73"/>
        <v>314383.00731781416</v>
      </c>
      <c r="AM186" s="124">
        <f t="shared" si="67"/>
        <v>0.18106631405099904</v>
      </c>
      <c r="AN186" s="72"/>
      <c r="AO186" s="59">
        <v>183</v>
      </c>
      <c r="AP186" s="125">
        <f t="shared" si="68"/>
        <v>20915.495947954085</v>
      </c>
      <c r="AQ186" s="125">
        <f t="shared" si="74"/>
        <v>257696.98522979234</v>
      </c>
    </row>
    <row r="187" spans="19:43" x14ac:dyDescent="0.25">
      <c r="S187" s="9" t="str">
        <f t="shared" ref="S187:S250" si="79">IF(AND(AJ187&gt;0,AJ186&lt;0),"Payback","")</f>
        <v/>
      </c>
      <c r="T187" s="59">
        <v>15</v>
      </c>
      <c r="U187" s="59">
        <v>4</v>
      </c>
      <c r="V187" s="3" t="s">
        <v>53</v>
      </c>
      <c r="W187" s="23">
        <f>'Análise Técnica'!$C$3</f>
        <v>750</v>
      </c>
      <c r="X187" s="23">
        <f t="shared" si="78"/>
        <v>640.82459151138573</v>
      </c>
      <c r="Y187" s="54">
        <f t="shared" si="76"/>
        <v>109.17540848861427</v>
      </c>
      <c r="Z187" s="54">
        <f t="shared" si="77"/>
        <v>0</v>
      </c>
      <c r="AA187" s="54">
        <f t="shared" si="61"/>
        <v>100</v>
      </c>
      <c r="AB187" s="54">
        <f t="shared" si="62"/>
        <v>9.1754084886142664</v>
      </c>
      <c r="AC187" s="54">
        <f t="shared" si="69"/>
        <v>257.24342978436914</v>
      </c>
      <c r="AD187" s="58">
        <f t="shared" si="70"/>
        <v>0</v>
      </c>
      <c r="AE187" s="2">
        <f t="shared" si="63"/>
        <v>2973.9085445608794</v>
      </c>
      <c r="AF187" s="2">
        <f t="shared" si="64"/>
        <v>396.52113927478393</v>
      </c>
      <c r="AG187" s="12">
        <f t="shared" si="71"/>
        <v>2577.3874052860956</v>
      </c>
      <c r="AH187" s="2">
        <f t="shared" si="72"/>
        <v>177.93117806000001</v>
      </c>
      <c r="AI187" s="12">
        <f t="shared" si="65"/>
        <v>2399.4562272260955</v>
      </c>
      <c r="AJ187" s="12">
        <f t="shared" si="75"/>
        <v>260096.44145701843</v>
      </c>
      <c r="AK187" s="86">
        <f t="shared" si="66"/>
        <v>0.8666666666666667</v>
      </c>
      <c r="AL187" s="12">
        <f t="shared" si="73"/>
        <v>317356.91586237506</v>
      </c>
      <c r="AM187" s="124">
        <f t="shared" si="67"/>
        <v>0.18106631405099904</v>
      </c>
      <c r="AN187" s="72"/>
      <c r="AO187" s="59">
        <v>184</v>
      </c>
      <c r="AP187" s="125">
        <f t="shared" si="68"/>
        <v>20983.182594016213</v>
      </c>
      <c r="AQ187" s="125">
        <f t="shared" si="74"/>
        <v>260096.44145701843</v>
      </c>
    </row>
    <row r="188" spans="19:43" x14ac:dyDescent="0.25">
      <c r="S188" s="9" t="str">
        <f t="shared" si="79"/>
        <v/>
      </c>
      <c r="T188" s="59">
        <v>15</v>
      </c>
      <c r="U188" s="59">
        <v>5</v>
      </c>
      <c r="V188" s="3" t="s">
        <v>54</v>
      </c>
      <c r="W188" s="23">
        <f>'Análise Técnica'!$C$3</f>
        <v>750</v>
      </c>
      <c r="X188" s="23">
        <f t="shared" si="78"/>
        <v>527.73947111245911</v>
      </c>
      <c r="Y188" s="54">
        <f t="shared" si="76"/>
        <v>222.26052888754089</v>
      </c>
      <c r="Z188" s="54">
        <f t="shared" si="77"/>
        <v>0</v>
      </c>
      <c r="AA188" s="54">
        <f t="shared" si="61"/>
        <v>100</v>
      </c>
      <c r="AB188" s="54">
        <f t="shared" si="62"/>
        <v>122.26052888754089</v>
      </c>
      <c r="AC188" s="54">
        <f t="shared" si="69"/>
        <v>134.98290089682826</v>
      </c>
      <c r="AD188" s="58">
        <f t="shared" si="70"/>
        <v>0</v>
      </c>
      <c r="AE188" s="2">
        <f t="shared" si="63"/>
        <v>2973.9085445608794</v>
      </c>
      <c r="AF188" s="2">
        <f t="shared" si="64"/>
        <v>396.52113927478393</v>
      </c>
      <c r="AG188" s="12">
        <f t="shared" si="71"/>
        <v>2577.3874052860956</v>
      </c>
      <c r="AH188" s="2">
        <f t="shared" si="72"/>
        <v>177.93117806000001</v>
      </c>
      <c r="AI188" s="12">
        <f t="shared" si="65"/>
        <v>2399.4562272260955</v>
      </c>
      <c r="AJ188" s="12">
        <f t="shared" si="75"/>
        <v>262495.89768424456</v>
      </c>
      <c r="AK188" s="86">
        <f t="shared" si="66"/>
        <v>0.8666666666666667</v>
      </c>
      <c r="AL188" s="12">
        <f t="shared" si="73"/>
        <v>320330.82440693595</v>
      </c>
      <c r="AM188" s="124">
        <f t="shared" si="67"/>
        <v>0.18106631405099904</v>
      </c>
      <c r="AN188" s="72"/>
      <c r="AO188" s="59">
        <v>185</v>
      </c>
      <c r="AP188" s="125">
        <f t="shared" si="68"/>
        <v>21051.061018908844</v>
      </c>
      <c r="AQ188" s="125">
        <f t="shared" si="74"/>
        <v>262495.89768424456</v>
      </c>
    </row>
    <row r="189" spans="19:43" x14ac:dyDescent="0.25">
      <c r="S189" s="9" t="str">
        <f t="shared" si="79"/>
        <v/>
      </c>
      <c r="T189" s="59">
        <v>15</v>
      </c>
      <c r="U189" s="59">
        <v>6</v>
      </c>
      <c r="V189" s="3" t="s">
        <v>55</v>
      </c>
      <c r="W189" s="23">
        <f>'Análise Técnica'!$C$3</f>
        <v>750</v>
      </c>
      <c r="X189" s="23">
        <f t="shared" si="78"/>
        <v>488.0487588003802</v>
      </c>
      <c r="Y189" s="54">
        <f t="shared" si="76"/>
        <v>261.9512411996198</v>
      </c>
      <c r="Z189" s="54">
        <f t="shared" si="77"/>
        <v>0</v>
      </c>
      <c r="AA189" s="54">
        <f t="shared" si="61"/>
        <v>100</v>
      </c>
      <c r="AB189" s="54">
        <f t="shared" si="62"/>
        <v>161.9512411996198</v>
      </c>
      <c r="AC189" s="54">
        <f t="shared" si="69"/>
        <v>0</v>
      </c>
      <c r="AD189" s="58">
        <f t="shared" si="70"/>
        <v>26.968340302791546</v>
      </c>
      <c r="AE189" s="2">
        <f t="shared" si="63"/>
        <v>2973.9085445608794</v>
      </c>
      <c r="AF189" s="2">
        <f t="shared" si="64"/>
        <v>503.45630948691377</v>
      </c>
      <c r="AG189" s="12">
        <f t="shared" si="71"/>
        <v>2470.4522350739658</v>
      </c>
      <c r="AH189" s="2">
        <f t="shared" si="72"/>
        <v>177.93117806000001</v>
      </c>
      <c r="AI189" s="12">
        <f t="shared" si="65"/>
        <v>2292.5210570139657</v>
      </c>
      <c r="AJ189" s="12">
        <f t="shared" si="75"/>
        <v>264788.4187412585</v>
      </c>
      <c r="AK189" s="86">
        <f t="shared" si="66"/>
        <v>0.83070887959627793</v>
      </c>
      <c r="AL189" s="12">
        <f t="shared" si="73"/>
        <v>323304.73295149684</v>
      </c>
      <c r="AM189" s="124">
        <f t="shared" si="67"/>
        <v>0.17355391716684601</v>
      </c>
      <c r="AN189" s="72"/>
      <c r="AO189" s="59">
        <v>186</v>
      </c>
      <c r="AP189" s="125">
        <f t="shared" si="68"/>
        <v>21119.131766005343</v>
      </c>
      <c r="AQ189" s="125">
        <f t="shared" si="74"/>
        <v>264788.4187412585</v>
      </c>
    </row>
    <row r="190" spans="19:43" x14ac:dyDescent="0.25">
      <c r="S190" s="9" t="str">
        <f t="shared" si="79"/>
        <v/>
      </c>
      <c r="T190" s="59">
        <v>15</v>
      </c>
      <c r="U190" s="59">
        <v>7</v>
      </c>
      <c r="V190" s="3" t="s">
        <v>56</v>
      </c>
      <c r="W190" s="23">
        <f>'Análise Técnica'!$C$3</f>
        <v>750</v>
      </c>
      <c r="X190" s="23">
        <f t="shared" si="78"/>
        <v>487.98193941938314</v>
      </c>
      <c r="Y190" s="54">
        <f t="shared" si="76"/>
        <v>262.01806058061686</v>
      </c>
      <c r="Z190" s="54">
        <f t="shared" si="77"/>
        <v>0</v>
      </c>
      <c r="AA190" s="54">
        <f t="shared" si="61"/>
        <v>100</v>
      </c>
      <c r="AB190" s="54">
        <f t="shared" si="62"/>
        <v>162.01806058061686</v>
      </c>
      <c r="AC190" s="54">
        <f t="shared" si="69"/>
        <v>0</v>
      </c>
      <c r="AD190" s="58">
        <f t="shared" si="70"/>
        <v>162.01806058061686</v>
      </c>
      <c r="AE190" s="2">
        <f t="shared" si="63"/>
        <v>2973.9085445608794</v>
      </c>
      <c r="AF190" s="2">
        <f t="shared" si="64"/>
        <v>1038.9569989199554</v>
      </c>
      <c r="AG190" s="12">
        <f t="shared" si="71"/>
        <v>1934.951545640924</v>
      </c>
      <c r="AH190" s="2">
        <f t="shared" si="72"/>
        <v>177.93117806000001</v>
      </c>
      <c r="AI190" s="12">
        <f t="shared" si="65"/>
        <v>1757.0203675809239</v>
      </c>
      <c r="AJ190" s="12">
        <f t="shared" si="75"/>
        <v>266545.43910883943</v>
      </c>
      <c r="AK190" s="86">
        <f t="shared" si="66"/>
        <v>0.65064258589251089</v>
      </c>
      <c r="AL190" s="12">
        <f t="shared" si="73"/>
        <v>326278.64149605774</v>
      </c>
      <c r="AM190" s="124">
        <f t="shared" si="67"/>
        <v>0.1359339862986548</v>
      </c>
      <c r="AN190" s="72"/>
      <c r="AO190" s="59">
        <v>187</v>
      </c>
      <c r="AP190" s="125">
        <f t="shared" si="68"/>
        <v>21187.395380218608</v>
      </c>
      <c r="AQ190" s="125">
        <f t="shared" si="74"/>
        <v>266545.43910883943</v>
      </c>
    </row>
    <row r="191" spans="19:43" x14ac:dyDescent="0.25">
      <c r="S191" s="9" t="str">
        <f t="shared" si="79"/>
        <v/>
      </c>
      <c r="T191" s="59">
        <v>15</v>
      </c>
      <c r="U191" s="59">
        <v>8</v>
      </c>
      <c r="V191" s="3" t="s">
        <v>57</v>
      </c>
      <c r="W191" s="23">
        <f>'Análise Técnica'!$C$3</f>
        <v>750</v>
      </c>
      <c r="X191" s="23">
        <f t="shared" si="78"/>
        <v>603.43246590559568</v>
      </c>
      <c r="Y191" s="54">
        <f t="shared" si="76"/>
        <v>146.56753409440432</v>
      </c>
      <c r="Z191" s="54">
        <f t="shared" si="77"/>
        <v>0</v>
      </c>
      <c r="AA191" s="54">
        <f t="shared" si="61"/>
        <v>100</v>
      </c>
      <c r="AB191" s="54">
        <f t="shared" si="62"/>
        <v>46.567534094404323</v>
      </c>
      <c r="AC191" s="54">
        <f t="shared" si="69"/>
        <v>0</v>
      </c>
      <c r="AD191" s="58">
        <f t="shared" si="70"/>
        <v>46.567534094404323</v>
      </c>
      <c r="AE191" s="2">
        <f t="shared" si="63"/>
        <v>2973.9085445608794</v>
      </c>
      <c r="AF191" s="2">
        <f t="shared" si="64"/>
        <v>581.17125599808935</v>
      </c>
      <c r="AG191" s="12">
        <f t="shared" si="71"/>
        <v>2392.7372885627901</v>
      </c>
      <c r="AH191" s="2">
        <f t="shared" si="72"/>
        <v>177.93117806000001</v>
      </c>
      <c r="AI191" s="12">
        <f t="shared" si="65"/>
        <v>2214.80611050279</v>
      </c>
      <c r="AJ191" s="12">
        <f t="shared" si="75"/>
        <v>268760.24521934224</v>
      </c>
      <c r="AK191" s="86">
        <f t="shared" si="66"/>
        <v>0.80457662120746087</v>
      </c>
      <c r="AL191" s="12">
        <f t="shared" si="73"/>
        <v>329252.55004061863</v>
      </c>
      <c r="AM191" s="124">
        <f t="shared" si="67"/>
        <v>0.16809429596958669</v>
      </c>
      <c r="AN191" s="72"/>
      <c r="AO191" s="59">
        <v>188</v>
      </c>
      <c r="AP191" s="125">
        <f t="shared" si="68"/>
        <v>21255.852408005481</v>
      </c>
      <c r="AQ191" s="125">
        <f t="shared" si="74"/>
        <v>268760.24521934224</v>
      </c>
    </row>
    <row r="192" spans="19:43" x14ac:dyDescent="0.25">
      <c r="S192" s="9" t="str">
        <f t="shared" si="79"/>
        <v/>
      </c>
      <c r="T192" s="59">
        <v>15</v>
      </c>
      <c r="U192" s="59">
        <v>9</v>
      </c>
      <c r="V192" s="3" t="s">
        <v>58</v>
      </c>
      <c r="W192" s="23">
        <f>'Análise Técnica'!$C$3</f>
        <v>750</v>
      </c>
      <c r="X192" s="23">
        <f t="shared" si="78"/>
        <v>612.9208180071364</v>
      </c>
      <c r="Y192" s="54">
        <f t="shared" si="76"/>
        <v>137.0791819928636</v>
      </c>
      <c r="Z192" s="54">
        <f t="shared" si="77"/>
        <v>0</v>
      </c>
      <c r="AA192" s="54">
        <f t="shared" si="61"/>
        <v>100</v>
      </c>
      <c r="AB192" s="54">
        <f t="shared" si="62"/>
        <v>37.079181992863596</v>
      </c>
      <c r="AC192" s="54">
        <f t="shared" si="69"/>
        <v>0</v>
      </c>
      <c r="AD192" s="58">
        <f t="shared" si="70"/>
        <v>37.079181992863596</v>
      </c>
      <c r="AE192" s="2">
        <f t="shared" si="63"/>
        <v>2973.9085445608794</v>
      </c>
      <c r="AF192" s="2">
        <f t="shared" si="64"/>
        <v>543.54793414665721</v>
      </c>
      <c r="AG192" s="12">
        <f t="shared" si="71"/>
        <v>2430.3606104142223</v>
      </c>
      <c r="AH192" s="2">
        <f t="shared" si="72"/>
        <v>177.93117806000001</v>
      </c>
      <c r="AI192" s="12">
        <f t="shared" si="65"/>
        <v>2252.4294323542222</v>
      </c>
      <c r="AJ192" s="12">
        <f t="shared" si="75"/>
        <v>271012.67465169646</v>
      </c>
      <c r="AK192" s="86">
        <f t="shared" si="66"/>
        <v>0.81722775734284858</v>
      </c>
      <c r="AL192" s="12">
        <f t="shared" si="73"/>
        <v>332226.45858517953</v>
      </c>
      <c r="AM192" s="124">
        <f t="shared" si="67"/>
        <v>0.17073740511026983</v>
      </c>
      <c r="AN192" s="72"/>
      <c r="AO192" s="59">
        <v>189</v>
      </c>
      <c r="AP192" s="125">
        <f t="shared" si="68"/>
        <v>21324.503397371089</v>
      </c>
      <c r="AQ192" s="125">
        <f t="shared" si="74"/>
        <v>271012.67465169646</v>
      </c>
    </row>
    <row r="193" spans="19:43" x14ac:dyDescent="0.25">
      <c r="S193" s="9" t="str">
        <f t="shared" si="79"/>
        <v/>
      </c>
      <c r="T193" s="59">
        <v>15</v>
      </c>
      <c r="U193" s="59">
        <v>10</v>
      </c>
      <c r="V193" s="3" t="s">
        <v>59</v>
      </c>
      <c r="W193" s="23">
        <f>'Análise Técnica'!$C$3</f>
        <v>750</v>
      </c>
      <c r="X193" s="23">
        <f t="shared" si="78"/>
        <v>685.67376003641539</v>
      </c>
      <c r="Y193" s="54">
        <f t="shared" si="76"/>
        <v>64.326239963584612</v>
      </c>
      <c r="Z193" s="54">
        <f t="shared" si="77"/>
        <v>0</v>
      </c>
      <c r="AA193" s="54">
        <f t="shared" si="61"/>
        <v>100</v>
      </c>
      <c r="AB193" s="54">
        <f t="shared" si="62"/>
        <v>0</v>
      </c>
      <c r="AC193" s="54">
        <f t="shared" si="69"/>
        <v>0</v>
      </c>
      <c r="AD193" s="58">
        <f t="shared" si="70"/>
        <v>0</v>
      </c>
      <c r="AE193" s="2">
        <f t="shared" si="63"/>
        <v>2973.9085445608794</v>
      </c>
      <c r="AF193" s="2">
        <f t="shared" si="64"/>
        <v>396.52113927478393</v>
      </c>
      <c r="AG193" s="12">
        <f t="shared" si="71"/>
        <v>2577.3874052860956</v>
      </c>
      <c r="AH193" s="2">
        <f t="shared" si="72"/>
        <v>177.93117806000001</v>
      </c>
      <c r="AI193" s="12">
        <f t="shared" si="65"/>
        <v>2399.4562272260955</v>
      </c>
      <c r="AJ193" s="12">
        <f t="shared" si="75"/>
        <v>273412.13087892253</v>
      </c>
      <c r="AK193" s="86">
        <f t="shared" si="66"/>
        <v>0.8666666666666667</v>
      </c>
      <c r="AL193" s="12">
        <f t="shared" si="73"/>
        <v>335200.36712974042</v>
      </c>
      <c r="AM193" s="124">
        <f t="shared" si="67"/>
        <v>0.18106631405099904</v>
      </c>
      <c r="AN193" s="72"/>
      <c r="AO193" s="59">
        <v>190</v>
      </c>
      <c r="AP193" s="125">
        <f t="shared" si="68"/>
        <v>21393.348897873228</v>
      </c>
      <c r="AQ193" s="125">
        <f t="shared" si="74"/>
        <v>273412.13087892253</v>
      </c>
    </row>
    <row r="194" spans="19:43" x14ac:dyDescent="0.25">
      <c r="S194" s="9" t="str">
        <f t="shared" si="79"/>
        <v/>
      </c>
      <c r="T194" s="59">
        <v>15</v>
      </c>
      <c r="U194" s="59">
        <v>11</v>
      </c>
      <c r="V194" s="3" t="s">
        <v>60</v>
      </c>
      <c r="W194" s="23">
        <f>'Análise Técnica'!$C$3</f>
        <v>750</v>
      </c>
      <c r="X194" s="23">
        <f t="shared" si="78"/>
        <v>690.61839423017614</v>
      </c>
      <c r="Y194" s="54">
        <f t="shared" si="76"/>
        <v>59.381605769823864</v>
      </c>
      <c r="Z194" s="54">
        <f t="shared" si="77"/>
        <v>0</v>
      </c>
      <c r="AA194" s="54">
        <f t="shared" si="61"/>
        <v>100</v>
      </c>
      <c r="AB194" s="54">
        <f t="shared" si="62"/>
        <v>0</v>
      </c>
      <c r="AC194" s="54">
        <f t="shared" si="69"/>
        <v>0</v>
      </c>
      <c r="AD194" s="58">
        <f t="shared" si="70"/>
        <v>0</v>
      </c>
      <c r="AE194" s="2">
        <f t="shared" si="63"/>
        <v>2973.9085445608794</v>
      </c>
      <c r="AF194" s="2">
        <f t="shared" si="64"/>
        <v>396.52113927478393</v>
      </c>
      <c r="AG194" s="12">
        <f t="shared" si="71"/>
        <v>2577.3874052860956</v>
      </c>
      <c r="AH194" s="2">
        <f t="shared" si="72"/>
        <v>177.93117806000001</v>
      </c>
      <c r="AI194" s="12">
        <f t="shared" si="65"/>
        <v>2399.4562272260955</v>
      </c>
      <c r="AJ194" s="12">
        <f t="shared" si="75"/>
        <v>275811.5871061486</v>
      </c>
      <c r="AK194" s="86">
        <f t="shared" si="66"/>
        <v>0.8666666666666667</v>
      </c>
      <c r="AL194" s="12">
        <f t="shared" si="73"/>
        <v>338174.27567430132</v>
      </c>
      <c r="AM194" s="124">
        <f t="shared" si="67"/>
        <v>0.18106631405099904</v>
      </c>
      <c r="AN194" s="72"/>
      <c r="AO194" s="59">
        <v>191</v>
      </c>
      <c r="AP194" s="125">
        <f t="shared" si="68"/>
        <v>21462.38946062679</v>
      </c>
      <c r="AQ194" s="125">
        <f t="shared" si="74"/>
        <v>275811.5871061486</v>
      </c>
    </row>
    <row r="195" spans="19:43" x14ac:dyDescent="0.25">
      <c r="S195" s="9" t="str">
        <f t="shared" si="79"/>
        <v/>
      </c>
      <c r="T195" s="59">
        <v>15</v>
      </c>
      <c r="U195" s="59">
        <v>12</v>
      </c>
      <c r="V195" s="3" t="s">
        <v>61</v>
      </c>
      <c r="W195" s="23">
        <f>'Análise Técnica'!$C$3</f>
        <v>750</v>
      </c>
      <c r="X195" s="23">
        <f t="shared" si="78"/>
        <v>792.34421985965275</v>
      </c>
      <c r="Y195" s="54">
        <f t="shared" si="76"/>
        <v>0</v>
      </c>
      <c r="Z195" s="54">
        <f t="shared" si="77"/>
        <v>42.344219859652753</v>
      </c>
      <c r="AA195" s="54">
        <f t="shared" si="61"/>
        <v>100</v>
      </c>
      <c r="AB195" s="54">
        <f t="shared" si="62"/>
        <v>0</v>
      </c>
      <c r="AC195" s="54">
        <f t="shared" si="69"/>
        <v>42.344219859652753</v>
      </c>
      <c r="AD195" s="58">
        <f t="shared" si="70"/>
        <v>0</v>
      </c>
      <c r="AE195" s="2">
        <f t="shared" si="63"/>
        <v>2973.9085445608794</v>
      </c>
      <c r="AF195" s="2">
        <f t="shared" si="64"/>
        <v>396.52113927478393</v>
      </c>
      <c r="AG195" s="12">
        <f t="shared" si="71"/>
        <v>2577.3874052860956</v>
      </c>
      <c r="AH195" s="2">
        <f t="shared" si="72"/>
        <v>177.93117806000001</v>
      </c>
      <c r="AI195" s="12">
        <f t="shared" si="65"/>
        <v>2399.4562272260955</v>
      </c>
      <c r="AJ195" s="12">
        <f t="shared" si="75"/>
        <v>278211.04333337466</v>
      </c>
      <c r="AK195" s="86">
        <f t="shared" si="66"/>
        <v>0.8666666666666667</v>
      </c>
      <c r="AL195" s="12">
        <f t="shared" si="73"/>
        <v>341148.18421886221</v>
      </c>
      <c r="AM195" s="124">
        <f t="shared" si="67"/>
        <v>0.18106631405099904</v>
      </c>
      <c r="AN195" s="72"/>
      <c r="AO195" s="59">
        <v>192</v>
      </c>
      <c r="AP195" s="125">
        <f t="shared" si="68"/>
        <v>21531.625638308156</v>
      </c>
      <c r="AQ195" s="125">
        <f t="shared" si="74"/>
        <v>278211.04333337466</v>
      </c>
    </row>
    <row r="196" spans="19:43" x14ac:dyDescent="0.25">
      <c r="S196" s="9" t="str">
        <f t="shared" si="79"/>
        <v/>
      </c>
      <c r="T196" s="59">
        <v>16</v>
      </c>
      <c r="U196" s="59">
        <v>1</v>
      </c>
      <c r="V196" s="3" t="s">
        <v>50</v>
      </c>
      <c r="W196" s="23">
        <f>'Análise Técnica'!$C$3</f>
        <v>750</v>
      </c>
      <c r="X196" s="23">
        <f t="shared" si="78"/>
        <v>811.90527291342698</v>
      </c>
      <c r="Y196" s="54">
        <f t="shared" si="76"/>
        <v>0</v>
      </c>
      <c r="Z196" s="54">
        <f t="shared" si="77"/>
        <v>61.905272913426984</v>
      </c>
      <c r="AA196" s="54">
        <f t="shared" ref="AA196:AA259" si="80">$C$7</f>
        <v>100</v>
      </c>
      <c r="AB196" s="54">
        <f t="shared" ref="AB196:AB259" si="81">IF(Y196-$C$7&gt;0,Y196-$C$7,0)</f>
        <v>0</v>
      </c>
      <c r="AC196" s="54">
        <f t="shared" si="69"/>
        <v>104.24949277307974</v>
      </c>
      <c r="AD196" s="58">
        <f t="shared" si="70"/>
        <v>0</v>
      </c>
      <c r="AE196" s="2">
        <f t="shared" ref="AE196:AE259" si="82">($C$10*(1+$C$30)^T196)</f>
        <v>3211.8212281257497</v>
      </c>
      <c r="AF196" s="2">
        <f t="shared" ref="AF196:AF259" si="83">IF(Z196&gt;0,((AA196*$C$8)*((1+$C$30)^T196)),((AA196+AD196)*$C$8)*(1+$C$30)^T196)</f>
        <v>428.24283041676665</v>
      </c>
      <c r="AG196" s="12">
        <f t="shared" si="71"/>
        <v>2783.5783977089832</v>
      </c>
      <c r="AH196" s="2">
        <f t="shared" si="72"/>
        <v>0</v>
      </c>
      <c r="AI196" s="12">
        <f t="shared" ref="AI196:AI259" si="84">AG196-AH196</f>
        <v>2783.5783977089832</v>
      </c>
      <c r="AJ196" s="12">
        <f t="shared" si="75"/>
        <v>280994.62173108367</v>
      </c>
      <c r="AK196" s="86">
        <f t="shared" ref="AK196:AK259" si="85">1-(AF196/AE196)</f>
        <v>0.8666666666666667</v>
      </c>
      <c r="AL196" s="12">
        <f t="shared" si="73"/>
        <v>344360.00544698798</v>
      </c>
      <c r="AM196" s="124">
        <f t="shared" ref="AM196:AM259" si="86">AG196/$C$4</f>
        <v>0.19555161917507896</v>
      </c>
      <c r="AN196" s="72"/>
      <c r="AO196" s="59">
        <v>193</v>
      </c>
      <c r="AP196" s="125">
        <f t="shared" ref="AP196:AP259" si="87">($C$4*(1+($C$36-$C$39))^AO196)-AE196</f>
        <v>21363.145301594745</v>
      </c>
      <c r="AQ196" s="125">
        <f t="shared" si="74"/>
        <v>280994.62173108367</v>
      </c>
    </row>
    <row r="197" spans="19:43" x14ac:dyDescent="0.25">
      <c r="S197" s="9" t="str">
        <f t="shared" si="79"/>
        <v/>
      </c>
      <c r="T197" s="59">
        <v>16</v>
      </c>
      <c r="U197" s="59">
        <v>2</v>
      </c>
      <c r="V197" s="3" t="s">
        <v>51</v>
      </c>
      <c r="W197" s="23">
        <f>'Análise Técnica'!$C$3</f>
        <v>750</v>
      </c>
      <c r="X197" s="23">
        <f t="shared" si="78"/>
        <v>855.1134643521857</v>
      </c>
      <c r="Y197" s="54">
        <f t="shared" si="76"/>
        <v>0</v>
      </c>
      <c r="Z197" s="54">
        <f t="shared" si="77"/>
        <v>105.1134643521857</v>
      </c>
      <c r="AA197" s="54">
        <f t="shared" si="80"/>
        <v>100</v>
      </c>
      <c r="AB197" s="54">
        <f t="shared" si="81"/>
        <v>0</v>
      </c>
      <c r="AC197" s="54">
        <f t="shared" ref="AC197:AC260" si="88">IF(AC196-(Y197-$C$7)&gt;0,IF(Y197&gt;0,IF(Y197&lt;$C$7,AC196,AC196-(Y197-$C$7)),Z197+AC196),0)</f>
        <v>209.36295712526544</v>
      </c>
      <c r="AD197" s="58">
        <f t="shared" ref="AD197:AD260" si="89">IF(AB197-AC196&lt;0,0,AB197-AC196)</f>
        <v>0</v>
      </c>
      <c r="AE197" s="2">
        <f t="shared" si="82"/>
        <v>3211.8212281257497</v>
      </c>
      <c r="AF197" s="2">
        <f t="shared" si="83"/>
        <v>428.24283041676665</v>
      </c>
      <c r="AG197" s="12">
        <f t="shared" ref="AG197:AG260" si="90">AE197-AF197</f>
        <v>2783.5783977089832</v>
      </c>
      <c r="AH197" s="2">
        <f t="shared" ref="AH197:AH260" si="91">$C$28/12*($C$4*((1+$C$29)^T197))+IF($C$31=T197,$C$33/12,0)</f>
        <v>0</v>
      </c>
      <c r="AI197" s="12">
        <f t="shared" si="84"/>
        <v>2783.5783977089832</v>
      </c>
      <c r="AJ197" s="12">
        <f t="shared" si="75"/>
        <v>283778.20012879267</v>
      </c>
      <c r="AK197" s="86">
        <f t="shared" si="85"/>
        <v>0.8666666666666667</v>
      </c>
      <c r="AL197" s="12">
        <f t="shared" ref="AL197:AL260" si="92">AL196+AE197</f>
        <v>347571.82667511376</v>
      </c>
      <c r="AM197" s="124">
        <f t="shared" si="86"/>
        <v>0.19555161917507896</v>
      </c>
      <c r="AN197" s="72"/>
      <c r="AO197" s="59">
        <v>194</v>
      </c>
      <c r="AP197" s="125">
        <f t="shared" si="87"/>
        <v>21432.774373428951</v>
      </c>
      <c r="AQ197" s="125">
        <f t="shared" ref="AQ197:AQ260" si="93">AJ197</f>
        <v>283778.20012879267</v>
      </c>
    </row>
    <row r="198" spans="19:43" x14ac:dyDescent="0.25">
      <c r="S198" s="9" t="str">
        <f t="shared" si="79"/>
        <v/>
      </c>
      <c r="T198" s="59">
        <v>16</v>
      </c>
      <c r="U198" s="59">
        <v>3</v>
      </c>
      <c r="V198" s="3" t="s">
        <v>52</v>
      </c>
      <c r="W198" s="23">
        <f>'Análise Técnica'!$C$3</f>
        <v>750</v>
      </c>
      <c r="X198" s="23">
        <f t="shared" si="78"/>
        <v>717.59304424166589</v>
      </c>
      <c r="Y198" s="54">
        <f t="shared" si="76"/>
        <v>32.406955758334107</v>
      </c>
      <c r="Z198" s="54">
        <f t="shared" si="77"/>
        <v>0</v>
      </c>
      <c r="AA198" s="54">
        <f t="shared" si="80"/>
        <v>100</v>
      </c>
      <c r="AB198" s="54">
        <f t="shared" si="81"/>
        <v>0</v>
      </c>
      <c r="AC198" s="54">
        <f t="shared" si="88"/>
        <v>209.36295712526544</v>
      </c>
      <c r="AD198" s="58">
        <f t="shared" si="89"/>
        <v>0</v>
      </c>
      <c r="AE198" s="2">
        <f t="shared" si="82"/>
        <v>3211.8212281257497</v>
      </c>
      <c r="AF198" s="2">
        <f t="shared" si="83"/>
        <v>428.24283041676665</v>
      </c>
      <c r="AG198" s="12">
        <f t="shared" si="90"/>
        <v>2783.5783977089832</v>
      </c>
      <c r="AH198" s="2">
        <f t="shared" si="91"/>
        <v>0</v>
      </c>
      <c r="AI198" s="12">
        <f t="shared" si="84"/>
        <v>2783.5783977089832</v>
      </c>
      <c r="AJ198" s="12">
        <f t="shared" si="75"/>
        <v>286561.77852650167</v>
      </c>
      <c r="AK198" s="86">
        <f t="shared" si="85"/>
        <v>0.8666666666666667</v>
      </c>
      <c r="AL198" s="12">
        <f t="shared" si="92"/>
        <v>350783.64790323953</v>
      </c>
      <c r="AM198" s="124">
        <f t="shared" si="86"/>
        <v>0.19555161917507896</v>
      </c>
      <c r="AN198" s="72"/>
      <c r="AO198" s="59">
        <v>195</v>
      </c>
      <c r="AP198" s="125">
        <f t="shared" si="87"/>
        <v>21502.600727633355</v>
      </c>
      <c r="AQ198" s="125">
        <f t="shared" si="93"/>
        <v>286561.77852650167</v>
      </c>
    </row>
    <row r="199" spans="19:43" x14ac:dyDescent="0.25">
      <c r="S199" s="9" t="str">
        <f t="shared" si="79"/>
        <v/>
      </c>
      <c r="T199" s="59">
        <v>16</v>
      </c>
      <c r="U199" s="59">
        <v>4</v>
      </c>
      <c r="V199" s="3" t="s">
        <v>53</v>
      </c>
      <c r="W199" s="23">
        <f>'Análise Técnica'!$C$3</f>
        <v>750</v>
      </c>
      <c r="X199" s="23">
        <f t="shared" si="78"/>
        <v>636.33881937080605</v>
      </c>
      <c r="Y199" s="54">
        <f t="shared" si="76"/>
        <v>113.66118062919395</v>
      </c>
      <c r="Z199" s="54">
        <f t="shared" si="77"/>
        <v>0</v>
      </c>
      <c r="AA199" s="54">
        <f t="shared" si="80"/>
        <v>100</v>
      </c>
      <c r="AB199" s="54">
        <f t="shared" si="81"/>
        <v>13.66118062919395</v>
      </c>
      <c r="AC199" s="54">
        <f t="shared" si="88"/>
        <v>195.70177649607149</v>
      </c>
      <c r="AD199" s="58">
        <f t="shared" si="89"/>
        <v>0</v>
      </c>
      <c r="AE199" s="2">
        <f t="shared" si="82"/>
        <v>3211.8212281257497</v>
      </c>
      <c r="AF199" s="2">
        <f t="shared" si="83"/>
        <v>428.24283041676665</v>
      </c>
      <c r="AG199" s="12">
        <f t="shared" si="90"/>
        <v>2783.5783977089832</v>
      </c>
      <c r="AH199" s="2">
        <f t="shared" si="91"/>
        <v>0</v>
      </c>
      <c r="AI199" s="12">
        <f t="shared" si="84"/>
        <v>2783.5783977089832</v>
      </c>
      <c r="AJ199" s="12">
        <f t="shared" ref="AJ199:AJ262" si="94">AJ198+AI199</f>
        <v>289345.35692421068</v>
      </c>
      <c r="AK199" s="86">
        <f t="shared" si="85"/>
        <v>0.8666666666666667</v>
      </c>
      <c r="AL199" s="12">
        <f t="shared" si="92"/>
        <v>353995.4691313653</v>
      </c>
      <c r="AM199" s="124">
        <f t="shared" si="86"/>
        <v>0.19555161917507896</v>
      </c>
      <c r="AN199" s="72"/>
      <c r="AO199" s="59">
        <v>196</v>
      </c>
      <c r="AP199" s="125">
        <f t="shared" si="87"/>
        <v>21572.624923174673</v>
      </c>
      <c r="AQ199" s="125">
        <f t="shared" si="93"/>
        <v>289345.35692421068</v>
      </c>
    </row>
    <row r="200" spans="19:43" x14ac:dyDescent="0.25">
      <c r="S200" s="9" t="str">
        <f t="shared" si="79"/>
        <v/>
      </c>
      <c r="T200" s="59">
        <v>16</v>
      </c>
      <c r="U200" s="59">
        <v>5</v>
      </c>
      <c r="V200" s="3" t="s">
        <v>54</v>
      </c>
      <c r="W200" s="23">
        <f>'Análise Técnica'!$C$3</f>
        <v>750</v>
      </c>
      <c r="X200" s="23">
        <f t="shared" si="78"/>
        <v>524.04529481467193</v>
      </c>
      <c r="Y200" s="54">
        <f t="shared" si="76"/>
        <v>225.95470518532807</v>
      </c>
      <c r="Z200" s="54">
        <f t="shared" si="77"/>
        <v>0</v>
      </c>
      <c r="AA200" s="54">
        <f t="shared" si="80"/>
        <v>100</v>
      </c>
      <c r="AB200" s="54">
        <f t="shared" si="81"/>
        <v>125.95470518532807</v>
      </c>
      <c r="AC200" s="54">
        <f t="shared" si="88"/>
        <v>69.747071310743422</v>
      </c>
      <c r="AD200" s="58">
        <f t="shared" si="89"/>
        <v>0</v>
      </c>
      <c r="AE200" s="2">
        <f t="shared" si="82"/>
        <v>3211.8212281257497</v>
      </c>
      <c r="AF200" s="2">
        <f t="shared" si="83"/>
        <v>428.24283041676665</v>
      </c>
      <c r="AG200" s="12">
        <f t="shared" si="90"/>
        <v>2783.5783977089832</v>
      </c>
      <c r="AH200" s="2">
        <f t="shared" si="91"/>
        <v>0</v>
      </c>
      <c r="AI200" s="12">
        <f t="shared" si="84"/>
        <v>2783.5783977089832</v>
      </c>
      <c r="AJ200" s="12">
        <f t="shared" si="94"/>
        <v>292128.93532191968</v>
      </c>
      <c r="AK200" s="86">
        <f t="shared" si="85"/>
        <v>0.8666666666666667</v>
      </c>
      <c r="AL200" s="12">
        <f t="shared" si="92"/>
        <v>357207.29035949107</v>
      </c>
      <c r="AM200" s="124">
        <f t="shared" si="86"/>
        <v>0.19555161917507896</v>
      </c>
      <c r="AN200" s="72"/>
      <c r="AO200" s="59">
        <v>197</v>
      </c>
      <c r="AP200" s="125">
        <f t="shared" si="87"/>
        <v>21642.847520603354</v>
      </c>
      <c r="AQ200" s="125">
        <f t="shared" si="93"/>
        <v>292128.93532191968</v>
      </c>
    </row>
    <row r="201" spans="19:43" x14ac:dyDescent="0.25">
      <c r="S201" s="9" t="str">
        <f t="shared" si="79"/>
        <v/>
      </c>
      <c r="T201" s="59">
        <v>16</v>
      </c>
      <c r="U201" s="59">
        <v>6</v>
      </c>
      <c r="V201" s="3" t="s">
        <v>55</v>
      </c>
      <c r="W201" s="23">
        <f>'Análise Técnica'!$C$3</f>
        <v>750</v>
      </c>
      <c r="X201" s="23">
        <f t="shared" si="78"/>
        <v>484.63241748877755</v>
      </c>
      <c r="Y201" s="54">
        <f t="shared" si="76"/>
        <v>265.36758251122245</v>
      </c>
      <c r="Z201" s="54">
        <f t="shared" si="77"/>
        <v>0</v>
      </c>
      <c r="AA201" s="54">
        <f t="shared" si="80"/>
        <v>100</v>
      </c>
      <c r="AB201" s="54">
        <f t="shared" si="81"/>
        <v>165.36758251122245</v>
      </c>
      <c r="AC201" s="54">
        <f t="shared" si="88"/>
        <v>0</v>
      </c>
      <c r="AD201" s="58">
        <f t="shared" si="89"/>
        <v>95.620511200479029</v>
      </c>
      <c r="AE201" s="2">
        <f t="shared" si="82"/>
        <v>3211.8212281257497</v>
      </c>
      <c r="AF201" s="2">
        <f t="shared" si="83"/>
        <v>837.73081404067943</v>
      </c>
      <c r="AG201" s="12">
        <f t="shared" si="90"/>
        <v>2374.0904140850703</v>
      </c>
      <c r="AH201" s="2">
        <f t="shared" si="91"/>
        <v>0</v>
      </c>
      <c r="AI201" s="12">
        <f t="shared" si="84"/>
        <v>2374.0904140850703</v>
      </c>
      <c r="AJ201" s="12">
        <f t="shared" si="94"/>
        <v>294503.02573600475</v>
      </c>
      <c r="AK201" s="86">
        <f t="shared" si="85"/>
        <v>0.73917265173269464</v>
      </c>
      <c r="AL201" s="12">
        <f t="shared" si="92"/>
        <v>360419.11158761685</v>
      </c>
      <c r="AM201" s="124">
        <f t="shared" si="86"/>
        <v>0.16678431795722903</v>
      </c>
      <c r="AN201" s="72"/>
      <c r="AO201" s="59">
        <v>198</v>
      </c>
      <c r="AP201" s="125">
        <f t="shared" si="87"/>
        <v>21713.269082058086</v>
      </c>
      <c r="AQ201" s="125">
        <f t="shared" si="93"/>
        <v>294503.02573600475</v>
      </c>
    </row>
    <row r="202" spans="19:43" x14ac:dyDescent="0.25">
      <c r="S202" s="9" t="str">
        <f t="shared" si="79"/>
        <v/>
      </c>
      <c r="T202" s="59">
        <v>16</v>
      </c>
      <c r="U202" s="59">
        <v>7</v>
      </c>
      <c r="V202" s="3" t="s">
        <v>56</v>
      </c>
      <c r="W202" s="23">
        <f>'Análise Técnica'!$C$3</f>
        <v>750</v>
      </c>
      <c r="X202" s="23">
        <f t="shared" si="78"/>
        <v>484.56606584344746</v>
      </c>
      <c r="Y202" s="54">
        <f t="shared" si="76"/>
        <v>265.43393415655254</v>
      </c>
      <c r="Z202" s="54">
        <f t="shared" si="77"/>
        <v>0</v>
      </c>
      <c r="AA202" s="54">
        <f t="shared" si="80"/>
        <v>100</v>
      </c>
      <c r="AB202" s="54">
        <f t="shared" si="81"/>
        <v>165.43393415655254</v>
      </c>
      <c r="AC202" s="54">
        <f t="shared" si="88"/>
        <v>0</v>
      </c>
      <c r="AD202" s="58">
        <f t="shared" si="89"/>
        <v>165.43393415655254</v>
      </c>
      <c r="AE202" s="2">
        <f t="shared" si="82"/>
        <v>3211.8212281257497</v>
      </c>
      <c r="AF202" s="2">
        <f t="shared" si="83"/>
        <v>1136.7017925185974</v>
      </c>
      <c r="AG202" s="12">
        <f t="shared" si="90"/>
        <v>2075.1194356071524</v>
      </c>
      <c r="AH202" s="2">
        <f t="shared" si="91"/>
        <v>0</v>
      </c>
      <c r="AI202" s="12">
        <f t="shared" si="84"/>
        <v>2075.1194356071524</v>
      </c>
      <c r="AJ202" s="12">
        <f t="shared" si="94"/>
        <v>296578.14517161192</v>
      </c>
      <c r="AK202" s="86">
        <f t="shared" si="85"/>
        <v>0.64608808779126325</v>
      </c>
      <c r="AL202" s="12">
        <f t="shared" si="92"/>
        <v>363630.93281574262</v>
      </c>
      <c r="AM202" s="124">
        <f t="shared" si="86"/>
        <v>0.14578104426612934</v>
      </c>
      <c r="AN202" s="72"/>
      <c r="AO202" s="59">
        <v>199</v>
      </c>
      <c r="AP202" s="125">
        <f t="shared" si="87"/>
        <v>21783.890171270272</v>
      </c>
      <c r="AQ202" s="125">
        <f t="shared" si="93"/>
        <v>296578.14517161192</v>
      </c>
    </row>
    <row r="203" spans="19:43" x14ac:dyDescent="0.25">
      <c r="S203" s="9" t="str">
        <f t="shared" si="79"/>
        <v/>
      </c>
      <c r="T203" s="59">
        <v>16</v>
      </c>
      <c r="U203" s="59">
        <v>8</v>
      </c>
      <c r="V203" s="3" t="s">
        <v>57</v>
      </c>
      <c r="W203" s="23">
        <f>'Análise Técnica'!$C$3</f>
        <v>750</v>
      </c>
      <c r="X203" s="23">
        <f t="shared" si="78"/>
        <v>599.20843864425649</v>
      </c>
      <c r="Y203" s="54">
        <f t="shared" si="76"/>
        <v>150.79156135574351</v>
      </c>
      <c r="Z203" s="54">
        <f t="shared" si="77"/>
        <v>0</v>
      </c>
      <c r="AA203" s="54">
        <f t="shared" si="80"/>
        <v>100</v>
      </c>
      <c r="AB203" s="54">
        <f t="shared" si="81"/>
        <v>50.791561355743511</v>
      </c>
      <c r="AC203" s="54">
        <f t="shared" si="88"/>
        <v>0</v>
      </c>
      <c r="AD203" s="58">
        <f t="shared" si="89"/>
        <v>50.791561355743511</v>
      </c>
      <c r="AE203" s="2">
        <f t="shared" si="82"/>
        <v>3211.8212281257497</v>
      </c>
      <c r="AF203" s="2">
        <f t="shared" si="83"/>
        <v>645.75405037947132</v>
      </c>
      <c r="AG203" s="12">
        <f t="shared" si="90"/>
        <v>2566.0671777462785</v>
      </c>
      <c r="AH203" s="2">
        <f t="shared" si="91"/>
        <v>0</v>
      </c>
      <c r="AI203" s="12">
        <f t="shared" si="84"/>
        <v>2566.0671777462785</v>
      </c>
      <c r="AJ203" s="12">
        <f t="shared" si="94"/>
        <v>299144.21234935819</v>
      </c>
      <c r="AK203" s="86">
        <f t="shared" si="85"/>
        <v>0.79894458485900866</v>
      </c>
      <c r="AL203" s="12">
        <f t="shared" si="92"/>
        <v>366842.75404386839</v>
      </c>
      <c r="AM203" s="124">
        <f t="shared" si="86"/>
        <v>0.18027104676962355</v>
      </c>
      <c r="AN203" s="72"/>
      <c r="AO203" s="59">
        <v>200</v>
      </c>
      <c r="AP203" s="125">
        <f t="shared" si="87"/>
        <v>21854.71135356856</v>
      </c>
      <c r="AQ203" s="125">
        <f t="shared" si="93"/>
        <v>299144.21234935819</v>
      </c>
    </row>
    <row r="204" spans="19:43" x14ac:dyDescent="0.25">
      <c r="S204" s="9" t="str">
        <f t="shared" si="79"/>
        <v/>
      </c>
      <c r="T204" s="59">
        <v>16</v>
      </c>
      <c r="U204" s="59">
        <v>9</v>
      </c>
      <c r="V204" s="3" t="s">
        <v>58</v>
      </c>
      <c r="W204" s="23">
        <f>'Análise Técnica'!$C$3</f>
        <v>750</v>
      </c>
      <c r="X204" s="23">
        <f t="shared" si="78"/>
        <v>608.63037228108647</v>
      </c>
      <c r="Y204" s="54">
        <f t="shared" si="76"/>
        <v>141.36962771891353</v>
      </c>
      <c r="Z204" s="54">
        <f t="shared" si="77"/>
        <v>0</v>
      </c>
      <c r="AA204" s="54">
        <f t="shared" si="80"/>
        <v>100</v>
      </c>
      <c r="AB204" s="54">
        <f t="shared" si="81"/>
        <v>41.369627718913534</v>
      </c>
      <c r="AC204" s="54">
        <f t="shared" si="88"/>
        <v>0</v>
      </c>
      <c r="AD204" s="58">
        <f t="shared" si="89"/>
        <v>41.369627718913534</v>
      </c>
      <c r="AE204" s="2">
        <f t="shared" si="82"/>
        <v>3211.8212281257497</v>
      </c>
      <c r="AF204" s="2">
        <f t="shared" si="83"/>
        <v>605.40529509312125</v>
      </c>
      <c r="AG204" s="12">
        <f t="shared" si="90"/>
        <v>2606.4159330326283</v>
      </c>
      <c r="AH204" s="2">
        <f t="shared" si="91"/>
        <v>0</v>
      </c>
      <c r="AI204" s="12">
        <f t="shared" si="84"/>
        <v>2606.4159330326283</v>
      </c>
      <c r="AJ204" s="12">
        <f t="shared" si="94"/>
        <v>301750.62828239083</v>
      </c>
      <c r="AK204" s="86">
        <f t="shared" si="85"/>
        <v>0.81150716304144854</v>
      </c>
      <c r="AL204" s="12">
        <f t="shared" si="92"/>
        <v>370054.57527199417</v>
      </c>
      <c r="AM204" s="124">
        <f t="shared" si="86"/>
        <v>0.18310562273645775</v>
      </c>
      <c r="AN204" s="72"/>
      <c r="AO204" s="59">
        <v>201</v>
      </c>
      <c r="AP204" s="125">
        <f t="shared" si="87"/>
        <v>21925.73319588336</v>
      </c>
      <c r="AQ204" s="125">
        <f t="shared" si="93"/>
        <v>301750.62828239083</v>
      </c>
    </row>
    <row r="205" spans="19:43" x14ac:dyDescent="0.25">
      <c r="S205" s="9" t="str">
        <f t="shared" si="79"/>
        <v/>
      </c>
      <c r="T205" s="59">
        <v>16</v>
      </c>
      <c r="U205" s="59">
        <v>10</v>
      </c>
      <c r="V205" s="3" t="s">
        <v>59</v>
      </c>
      <c r="W205" s="23">
        <f>'Análise Técnica'!$C$3</f>
        <v>750</v>
      </c>
      <c r="X205" s="23">
        <f t="shared" si="78"/>
        <v>680.87404371616049</v>
      </c>
      <c r="Y205" s="54">
        <f t="shared" si="76"/>
        <v>69.125956283839514</v>
      </c>
      <c r="Z205" s="54">
        <f t="shared" si="77"/>
        <v>0</v>
      </c>
      <c r="AA205" s="54">
        <f t="shared" si="80"/>
        <v>100</v>
      </c>
      <c r="AB205" s="54">
        <f t="shared" si="81"/>
        <v>0</v>
      </c>
      <c r="AC205" s="54">
        <f t="shared" si="88"/>
        <v>0</v>
      </c>
      <c r="AD205" s="58">
        <f t="shared" si="89"/>
        <v>0</v>
      </c>
      <c r="AE205" s="2">
        <f t="shared" si="82"/>
        <v>3211.8212281257497</v>
      </c>
      <c r="AF205" s="2">
        <f t="shared" si="83"/>
        <v>428.24283041676665</v>
      </c>
      <c r="AG205" s="12">
        <f t="shared" si="90"/>
        <v>2783.5783977089832</v>
      </c>
      <c r="AH205" s="2">
        <f t="shared" si="91"/>
        <v>0</v>
      </c>
      <c r="AI205" s="12">
        <f t="shared" si="84"/>
        <v>2783.5783977089832</v>
      </c>
      <c r="AJ205" s="12">
        <f t="shared" si="94"/>
        <v>304534.20668009983</v>
      </c>
      <c r="AK205" s="86">
        <f t="shared" si="85"/>
        <v>0.8666666666666667</v>
      </c>
      <c r="AL205" s="12">
        <f t="shared" si="92"/>
        <v>373266.39650011994</v>
      </c>
      <c r="AM205" s="124">
        <f t="shared" si="86"/>
        <v>0.19555161917507896</v>
      </c>
      <c r="AN205" s="72"/>
      <c r="AO205" s="59">
        <v>202</v>
      </c>
      <c r="AP205" s="125">
        <f t="shared" si="87"/>
        <v>21996.956266751389</v>
      </c>
      <c r="AQ205" s="125">
        <f t="shared" si="93"/>
        <v>304534.20668009983</v>
      </c>
    </row>
    <row r="206" spans="19:43" x14ac:dyDescent="0.25">
      <c r="S206" s="9" t="str">
        <f t="shared" si="79"/>
        <v/>
      </c>
      <c r="T206" s="59">
        <v>16</v>
      </c>
      <c r="U206" s="59">
        <v>11</v>
      </c>
      <c r="V206" s="3" t="s">
        <v>60</v>
      </c>
      <c r="W206" s="23">
        <f>'Análise Técnica'!$C$3</f>
        <v>750</v>
      </c>
      <c r="X206" s="23">
        <f t="shared" si="78"/>
        <v>685.78406547056488</v>
      </c>
      <c r="Y206" s="54">
        <f t="shared" si="76"/>
        <v>64.215934529435117</v>
      </c>
      <c r="Z206" s="54">
        <f t="shared" si="77"/>
        <v>0</v>
      </c>
      <c r="AA206" s="54">
        <f t="shared" si="80"/>
        <v>100</v>
      </c>
      <c r="AB206" s="54">
        <f t="shared" si="81"/>
        <v>0</v>
      </c>
      <c r="AC206" s="54">
        <f t="shared" si="88"/>
        <v>0</v>
      </c>
      <c r="AD206" s="58">
        <f t="shared" si="89"/>
        <v>0</v>
      </c>
      <c r="AE206" s="2">
        <f t="shared" si="82"/>
        <v>3211.8212281257497</v>
      </c>
      <c r="AF206" s="2">
        <f t="shared" si="83"/>
        <v>428.24283041676665</v>
      </c>
      <c r="AG206" s="12">
        <f t="shared" si="90"/>
        <v>2783.5783977089832</v>
      </c>
      <c r="AH206" s="2">
        <f t="shared" si="91"/>
        <v>0</v>
      </c>
      <c r="AI206" s="12">
        <f t="shared" si="84"/>
        <v>2783.5783977089832</v>
      </c>
      <c r="AJ206" s="12">
        <f t="shared" si="94"/>
        <v>307317.78507780883</v>
      </c>
      <c r="AK206" s="86">
        <f t="shared" si="85"/>
        <v>0.8666666666666667</v>
      </c>
      <c r="AL206" s="12">
        <f t="shared" si="92"/>
        <v>376478.21772824571</v>
      </c>
      <c r="AM206" s="124">
        <f t="shared" si="86"/>
        <v>0.19555161917507896</v>
      </c>
      <c r="AN206" s="72"/>
      <c r="AO206" s="59">
        <v>203</v>
      </c>
      <c r="AP206" s="125">
        <f t="shared" si="87"/>
        <v>22068.3811363202</v>
      </c>
      <c r="AQ206" s="125">
        <f t="shared" si="93"/>
        <v>307317.78507780883</v>
      </c>
    </row>
    <row r="207" spans="19:43" x14ac:dyDescent="0.25">
      <c r="S207" s="9" t="str">
        <f t="shared" si="79"/>
        <v/>
      </c>
      <c r="T207" s="59">
        <v>16</v>
      </c>
      <c r="U207" s="59">
        <v>12</v>
      </c>
      <c r="V207" s="3" t="s">
        <v>61</v>
      </c>
      <c r="W207" s="23">
        <f>'Análise Técnica'!$C$3</f>
        <v>750</v>
      </c>
      <c r="X207" s="23">
        <f t="shared" si="78"/>
        <v>786.79781032063522</v>
      </c>
      <c r="Y207" s="54">
        <f t="shared" si="76"/>
        <v>0</v>
      </c>
      <c r="Z207" s="54">
        <f t="shared" si="77"/>
        <v>36.797810320635222</v>
      </c>
      <c r="AA207" s="54">
        <f t="shared" si="80"/>
        <v>100</v>
      </c>
      <c r="AB207" s="54">
        <f t="shared" si="81"/>
        <v>0</v>
      </c>
      <c r="AC207" s="54">
        <f t="shared" si="88"/>
        <v>36.797810320635222</v>
      </c>
      <c r="AD207" s="58">
        <f t="shared" si="89"/>
        <v>0</v>
      </c>
      <c r="AE207" s="2">
        <f t="shared" si="82"/>
        <v>3211.8212281257497</v>
      </c>
      <c r="AF207" s="2">
        <f t="shared" si="83"/>
        <v>428.24283041676665</v>
      </c>
      <c r="AG207" s="12">
        <f t="shared" si="90"/>
        <v>2783.5783977089832</v>
      </c>
      <c r="AH207" s="2">
        <f t="shared" si="91"/>
        <v>0</v>
      </c>
      <c r="AI207" s="12">
        <f t="shared" si="84"/>
        <v>2783.5783977089832</v>
      </c>
      <c r="AJ207" s="12">
        <f t="shared" si="94"/>
        <v>310101.36347551784</v>
      </c>
      <c r="AK207" s="86">
        <f t="shared" si="85"/>
        <v>0.8666666666666667</v>
      </c>
      <c r="AL207" s="12">
        <f t="shared" si="92"/>
        <v>379690.03895637149</v>
      </c>
      <c r="AM207" s="124">
        <f t="shared" si="86"/>
        <v>0.19555161917507896</v>
      </c>
      <c r="AN207" s="72"/>
      <c r="AO207" s="59">
        <v>204</v>
      </c>
      <c r="AP207" s="125">
        <f t="shared" si="87"/>
        <v>22140.008376352798</v>
      </c>
      <c r="AQ207" s="125">
        <f t="shared" si="93"/>
        <v>310101.36347551784</v>
      </c>
    </row>
    <row r="208" spans="19:43" x14ac:dyDescent="0.25">
      <c r="S208" s="9" t="str">
        <f t="shared" si="79"/>
        <v/>
      </c>
      <c r="T208" s="59">
        <v>17</v>
      </c>
      <c r="U208" s="59">
        <v>1</v>
      </c>
      <c r="V208" s="3" t="s">
        <v>50</v>
      </c>
      <c r="W208" s="23">
        <f>'Análise Técnica'!$C$3</f>
        <v>750</v>
      </c>
      <c r="X208" s="23">
        <f t="shared" si="78"/>
        <v>806.22193600303297</v>
      </c>
      <c r="Y208" s="54">
        <f t="shared" si="76"/>
        <v>0</v>
      </c>
      <c r="Z208" s="54">
        <f t="shared" si="77"/>
        <v>56.221936003032965</v>
      </c>
      <c r="AA208" s="54">
        <f t="shared" si="80"/>
        <v>100</v>
      </c>
      <c r="AB208" s="54">
        <f t="shared" si="81"/>
        <v>0</v>
      </c>
      <c r="AC208" s="54">
        <f t="shared" si="88"/>
        <v>93.019746323668187</v>
      </c>
      <c r="AD208" s="58">
        <f t="shared" si="89"/>
        <v>0</v>
      </c>
      <c r="AE208" s="2">
        <f t="shared" si="82"/>
        <v>3468.7669263758098</v>
      </c>
      <c r="AF208" s="2">
        <f t="shared" si="83"/>
        <v>462.50225685010798</v>
      </c>
      <c r="AG208" s="12">
        <f t="shared" si="90"/>
        <v>3006.2646695257017</v>
      </c>
      <c r="AH208" s="2">
        <f t="shared" si="91"/>
        <v>0</v>
      </c>
      <c r="AI208" s="12">
        <f t="shared" si="84"/>
        <v>3006.2646695257017</v>
      </c>
      <c r="AJ208" s="12">
        <f t="shared" si="94"/>
        <v>313107.62814504356</v>
      </c>
      <c r="AK208" s="86">
        <f t="shared" si="85"/>
        <v>0.8666666666666667</v>
      </c>
      <c r="AL208" s="12">
        <f t="shared" si="92"/>
        <v>383158.80588274729</v>
      </c>
      <c r="AM208" s="124">
        <f t="shared" si="86"/>
        <v>0.21119574870908528</v>
      </c>
      <c r="AN208" s="72"/>
      <c r="AO208" s="59">
        <v>205</v>
      </c>
      <c r="AP208" s="125">
        <f t="shared" si="87"/>
        <v>21954.892861982091</v>
      </c>
      <c r="AQ208" s="125">
        <f t="shared" si="93"/>
        <v>313107.62814504356</v>
      </c>
    </row>
    <row r="209" spans="19:43" x14ac:dyDescent="0.25">
      <c r="S209" s="9" t="str">
        <f t="shared" si="79"/>
        <v/>
      </c>
      <c r="T209" s="59">
        <v>17</v>
      </c>
      <c r="U209" s="59">
        <v>2</v>
      </c>
      <c r="V209" s="3" t="s">
        <v>51</v>
      </c>
      <c r="W209" s="23">
        <f>'Análise Técnica'!$C$3</f>
        <v>750</v>
      </c>
      <c r="X209" s="23">
        <f t="shared" si="78"/>
        <v>849.12767010172035</v>
      </c>
      <c r="Y209" s="54">
        <f t="shared" si="76"/>
        <v>0</v>
      </c>
      <c r="Z209" s="54">
        <f t="shared" si="77"/>
        <v>99.127670101720355</v>
      </c>
      <c r="AA209" s="54">
        <f t="shared" si="80"/>
        <v>100</v>
      </c>
      <c r="AB209" s="54">
        <f t="shared" si="81"/>
        <v>0</v>
      </c>
      <c r="AC209" s="54">
        <f t="shared" si="88"/>
        <v>192.14741642538854</v>
      </c>
      <c r="AD209" s="58">
        <f t="shared" si="89"/>
        <v>0</v>
      </c>
      <c r="AE209" s="2">
        <f t="shared" si="82"/>
        <v>3468.7669263758098</v>
      </c>
      <c r="AF209" s="2">
        <f t="shared" si="83"/>
        <v>462.50225685010798</v>
      </c>
      <c r="AG209" s="12">
        <f t="shared" si="90"/>
        <v>3006.2646695257017</v>
      </c>
      <c r="AH209" s="2">
        <f t="shared" si="91"/>
        <v>0</v>
      </c>
      <c r="AI209" s="12">
        <f t="shared" si="84"/>
        <v>3006.2646695257017</v>
      </c>
      <c r="AJ209" s="12">
        <f t="shared" si="94"/>
        <v>316113.89281456929</v>
      </c>
      <c r="AK209" s="86">
        <f t="shared" si="85"/>
        <v>0.8666666666666667</v>
      </c>
      <c r="AL209" s="12">
        <f t="shared" si="92"/>
        <v>386627.57280912308</v>
      </c>
      <c r="AM209" s="124">
        <f t="shared" si="86"/>
        <v>0.21119574870908528</v>
      </c>
      <c r="AN209" s="72"/>
      <c r="AO209" s="59">
        <v>206</v>
      </c>
      <c r="AP209" s="125">
        <f t="shared" si="87"/>
        <v>22026.926564715774</v>
      </c>
      <c r="AQ209" s="125">
        <f t="shared" si="93"/>
        <v>316113.89281456929</v>
      </c>
    </row>
    <row r="210" spans="19:43" x14ac:dyDescent="0.25">
      <c r="S210" s="9" t="str">
        <f t="shared" si="79"/>
        <v/>
      </c>
      <c r="T210" s="59">
        <v>17</v>
      </c>
      <c r="U210" s="59">
        <v>3</v>
      </c>
      <c r="V210" s="3" t="s">
        <v>52</v>
      </c>
      <c r="W210" s="23">
        <f>'Análise Técnica'!$C$3</f>
        <v>750</v>
      </c>
      <c r="X210" s="23">
        <f t="shared" si="78"/>
        <v>712.56989293197421</v>
      </c>
      <c r="Y210" s="54">
        <f t="shared" si="76"/>
        <v>37.430107068025791</v>
      </c>
      <c r="Z210" s="54">
        <f t="shared" si="77"/>
        <v>0</v>
      </c>
      <c r="AA210" s="54">
        <f t="shared" si="80"/>
        <v>100</v>
      </c>
      <c r="AB210" s="54">
        <f t="shared" si="81"/>
        <v>0</v>
      </c>
      <c r="AC210" s="54">
        <f t="shared" si="88"/>
        <v>192.14741642538854</v>
      </c>
      <c r="AD210" s="58">
        <f t="shared" si="89"/>
        <v>0</v>
      </c>
      <c r="AE210" s="2">
        <f t="shared" si="82"/>
        <v>3468.7669263758098</v>
      </c>
      <c r="AF210" s="2">
        <f t="shared" si="83"/>
        <v>462.50225685010798</v>
      </c>
      <c r="AG210" s="12">
        <f t="shared" si="90"/>
        <v>3006.2646695257017</v>
      </c>
      <c r="AH210" s="2">
        <f t="shared" si="91"/>
        <v>0</v>
      </c>
      <c r="AI210" s="12">
        <f t="shared" si="84"/>
        <v>3006.2646695257017</v>
      </c>
      <c r="AJ210" s="12">
        <f t="shared" si="94"/>
        <v>319120.15748409502</v>
      </c>
      <c r="AK210" s="86">
        <f t="shared" si="85"/>
        <v>0.8666666666666667</v>
      </c>
      <c r="AL210" s="12">
        <f t="shared" si="92"/>
        <v>390096.33973549888</v>
      </c>
      <c r="AM210" s="124">
        <f t="shared" si="86"/>
        <v>0.21119574870908528</v>
      </c>
      <c r="AN210" s="72"/>
      <c r="AO210" s="59">
        <v>207</v>
      </c>
      <c r="AP210" s="125">
        <f t="shared" si="87"/>
        <v>22099.164362940533</v>
      </c>
      <c r="AQ210" s="125">
        <f t="shared" si="93"/>
        <v>319120.15748409502</v>
      </c>
    </row>
    <row r="211" spans="19:43" x14ac:dyDescent="0.25">
      <c r="S211" s="9" t="str">
        <f t="shared" si="79"/>
        <v/>
      </c>
      <c r="T211" s="59">
        <v>17</v>
      </c>
      <c r="U211" s="59">
        <v>4</v>
      </c>
      <c r="V211" s="3" t="s">
        <v>53</v>
      </c>
      <c r="W211" s="23">
        <f>'Análise Técnica'!$C$3</f>
        <v>750</v>
      </c>
      <c r="X211" s="23">
        <f t="shared" si="78"/>
        <v>631.88444763521045</v>
      </c>
      <c r="Y211" s="54">
        <f t="shared" si="76"/>
        <v>118.11555236478955</v>
      </c>
      <c r="Z211" s="54">
        <f t="shared" si="77"/>
        <v>0</v>
      </c>
      <c r="AA211" s="54">
        <f t="shared" si="80"/>
        <v>100</v>
      </c>
      <c r="AB211" s="54">
        <f t="shared" si="81"/>
        <v>18.115552364789551</v>
      </c>
      <c r="AC211" s="54">
        <f t="shared" si="88"/>
        <v>174.03186406059899</v>
      </c>
      <c r="AD211" s="58">
        <f t="shared" si="89"/>
        <v>0</v>
      </c>
      <c r="AE211" s="2">
        <f t="shared" si="82"/>
        <v>3468.7669263758098</v>
      </c>
      <c r="AF211" s="2">
        <f t="shared" si="83"/>
        <v>462.50225685010798</v>
      </c>
      <c r="AG211" s="12">
        <f t="shared" si="90"/>
        <v>3006.2646695257017</v>
      </c>
      <c r="AH211" s="2">
        <f t="shared" si="91"/>
        <v>0</v>
      </c>
      <c r="AI211" s="12">
        <f t="shared" si="84"/>
        <v>3006.2646695257017</v>
      </c>
      <c r="AJ211" s="12">
        <f t="shared" si="94"/>
        <v>322126.42215362075</v>
      </c>
      <c r="AK211" s="86">
        <f t="shared" si="85"/>
        <v>0.8666666666666667</v>
      </c>
      <c r="AL211" s="12">
        <f t="shared" si="92"/>
        <v>393565.10666187468</v>
      </c>
      <c r="AM211" s="124">
        <f t="shared" si="86"/>
        <v>0.21119574870908528</v>
      </c>
      <c r="AN211" s="72"/>
      <c r="AO211" s="59">
        <v>208</v>
      </c>
      <c r="AP211" s="125">
        <f t="shared" si="87"/>
        <v>22171.606834926934</v>
      </c>
      <c r="AQ211" s="125">
        <f t="shared" si="93"/>
        <v>322126.42215362075</v>
      </c>
    </row>
    <row r="212" spans="19:43" x14ac:dyDescent="0.25">
      <c r="S212" s="9" t="str">
        <f t="shared" si="79"/>
        <v/>
      </c>
      <c r="T212" s="59">
        <v>17</v>
      </c>
      <c r="U212" s="59">
        <v>5</v>
      </c>
      <c r="V212" s="3" t="s">
        <v>54</v>
      </c>
      <c r="W212" s="23">
        <f>'Análise Técnica'!$C$3</f>
        <v>750</v>
      </c>
      <c r="X212" s="23">
        <f t="shared" si="78"/>
        <v>520.37697775096922</v>
      </c>
      <c r="Y212" s="54">
        <f t="shared" ref="Y212:Y275" si="95">IF(X212-W212&lt;0,W212-X212,0)</f>
        <v>229.62302224903078</v>
      </c>
      <c r="Z212" s="54">
        <f t="shared" ref="Z212:Z275" si="96">IF(X212-W212&gt;0,X212-W212,0)</f>
        <v>0</v>
      </c>
      <c r="AA212" s="54">
        <f t="shared" si="80"/>
        <v>100</v>
      </c>
      <c r="AB212" s="54">
        <f t="shared" si="81"/>
        <v>129.62302224903078</v>
      </c>
      <c r="AC212" s="54">
        <f t="shared" si="88"/>
        <v>44.408841811568209</v>
      </c>
      <c r="AD212" s="58">
        <f t="shared" si="89"/>
        <v>0</v>
      </c>
      <c r="AE212" s="2">
        <f t="shared" si="82"/>
        <v>3468.7669263758098</v>
      </c>
      <c r="AF212" s="2">
        <f t="shared" si="83"/>
        <v>462.50225685010798</v>
      </c>
      <c r="AG212" s="12">
        <f t="shared" si="90"/>
        <v>3006.2646695257017</v>
      </c>
      <c r="AH212" s="2">
        <f t="shared" si="91"/>
        <v>0</v>
      </c>
      <c r="AI212" s="12">
        <f t="shared" si="84"/>
        <v>3006.2646695257017</v>
      </c>
      <c r="AJ212" s="12">
        <f t="shared" si="94"/>
        <v>325132.68682314648</v>
      </c>
      <c r="AK212" s="86">
        <f t="shared" si="85"/>
        <v>0.8666666666666667</v>
      </c>
      <c r="AL212" s="12">
        <f t="shared" si="92"/>
        <v>397033.87358825048</v>
      </c>
      <c r="AM212" s="124">
        <f t="shared" si="86"/>
        <v>0.21119574870908528</v>
      </c>
      <c r="AN212" s="72"/>
      <c r="AO212" s="59">
        <v>209</v>
      </c>
      <c r="AP212" s="125">
        <f t="shared" si="87"/>
        <v>22244.254560583955</v>
      </c>
      <c r="AQ212" s="125">
        <f t="shared" si="93"/>
        <v>325132.68682314648</v>
      </c>
    </row>
    <row r="213" spans="19:43" x14ac:dyDescent="0.25">
      <c r="S213" s="9" t="str">
        <f t="shared" si="79"/>
        <v/>
      </c>
      <c r="T213" s="59">
        <v>17</v>
      </c>
      <c r="U213" s="59">
        <v>6</v>
      </c>
      <c r="V213" s="3" t="s">
        <v>55</v>
      </c>
      <c r="W213" s="23">
        <f>'Análise Técnica'!$C$3</f>
        <v>750</v>
      </c>
      <c r="X213" s="23">
        <f t="shared" si="78"/>
        <v>481.23999056635608</v>
      </c>
      <c r="Y213" s="54">
        <f t="shared" si="95"/>
        <v>268.76000943364392</v>
      </c>
      <c r="Z213" s="54">
        <f t="shared" si="96"/>
        <v>0</v>
      </c>
      <c r="AA213" s="54">
        <f t="shared" si="80"/>
        <v>100</v>
      </c>
      <c r="AB213" s="54">
        <f t="shared" si="81"/>
        <v>168.76000943364392</v>
      </c>
      <c r="AC213" s="54">
        <f t="shared" si="88"/>
        <v>0</v>
      </c>
      <c r="AD213" s="58">
        <f t="shared" si="89"/>
        <v>124.35116762207571</v>
      </c>
      <c r="AE213" s="2">
        <f t="shared" si="82"/>
        <v>3468.7669263758098</v>
      </c>
      <c r="AF213" s="2">
        <f t="shared" si="83"/>
        <v>1037.629213521669</v>
      </c>
      <c r="AG213" s="12">
        <f t="shared" si="90"/>
        <v>2431.1377128541408</v>
      </c>
      <c r="AH213" s="2">
        <f t="shared" si="91"/>
        <v>0</v>
      </c>
      <c r="AI213" s="12">
        <f t="shared" si="84"/>
        <v>2431.1377128541408</v>
      </c>
      <c r="AJ213" s="12">
        <f t="shared" si="94"/>
        <v>327563.82453600061</v>
      </c>
      <c r="AK213" s="86">
        <f t="shared" si="85"/>
        <v>0.70086510983723227</v>
      </c>
      <c r="AL213" s="12">
        <f t="shared" si="92"/>
        <v>400502.64051462628</v>
      </c>
      <c r="AM213" s="124">
        <f t="shared" si="86"/>
        <v>0.17079199801863412</v>
      </c>
      <c r="AN213" s="72"/>
      <c r="AO213" s="59">
        <v>210</v>
      </c>
      <c r="AP213" s="125">
        <f t="shared" si="87"/>
        <v>22317.108121463672</v>
      </c>
      <c r="AQ213" s="125">
        <f t="shared" si="93"/>
        <v>327563.82453600061</v>
      </c>
    </row>
    <row r="214" spans="19:43" x14ac:dyDescent="0.25">
      <c r="S214" s="9" t="str">
        <f t="shared" si="79"/>
        <v/>
      </c>
      <c r="T214" s="59">
        <v>17</v>
      </c>
      <c r="U214" s="59">
        <v>7</v>
      </c>
      <c r="V214" s="3" t="s">
        <v>56</v>
      </c>
      <c r="W214" s="23">
        <f>'Análise Técnica'!$C$3</f>
        <v>750</v>
      </c>
      <c r="X214" s="23">
        <f t="shared" si="78"/>
        <v>481.17410338254331</v>
      </c>
      <c r="Y214" s="54">
        <f t="shared" si="95"/>
        <v>268.82589661745669</v>
      </c>
      <c r="Z214" s="54">
        <f t="shared" si="96"/>
        <v>0</v>
      </c>
      <c r="AA214" s="54">
        <f t="shared" si="80"/>
        <v>100</v>
      </c>
      <c r="AB214" s="54">
        <f t="shared" si="81"/>
        <v>168.82589661745669</v>
      </c>
      <c r="AC214" s="54">
        <f t="shared" si="88"/>
        <v>0</v>
      </c>
      <c r="AD214" s="58">
        <f t="shared" si="89"/>
        <v>168.82589661745669</v>
      </c>
      <c r="AE214" s="2">
        <f t="shared" si="82"/>
        <v>3468.7669263758098</v>
      </c>
      <c r="AF214" s="2">
        <f t="shared" si="83"/>
        <v>1243.3258388532754</v>
      </c>
      <c r="AG214" s="12">
        <f t="shared" si="90"/>
        <v>2225.4410875225344</v>
      </c>
      <c r="AH214" s="2">
        <f t="shared" si="91"/>
        <v>0</v>
      </c>
      <c r="AI214" s="12">
        <f t="shared" si="84"/>
        <v>2225.4410875225344</v>
      </c>
      <c r="AJ214" s="12">
        <f t="shared" si="94"/>
        <v>329789.26562352316</v>
      </c>
      <c r="AK214" s="86">
        <f t="shared" si="85"/>
        <v>0.64156547117672436</v>
      </c>
      <c r="AL214" s="12">
        <f t="shared" si="92"/>
        <v>403971.40744100208</v>
      </c>
      <c r="AM214" s="124">
        <f t="shared" si="86"/>
        <v>0.15634142311276775</v>
      </c>
      <c r="AN214" s="72"/>
      <c r="AO214" s="59">
        <v>211</v>
      </c>
      <c r="AP214" s="125">
        <f t="shared" si="87"/>
        <v>22390.168100765881</v>
      </c>
      <c r="AQ214" s="125">
        <f t="shared" si="93"/>
        <v>329789.26562352316</v>
      </c>
    </row>
    <row r="215" spans="19:43" x14ac:dyDescent="0.25">
      <c r="S215" s="9" t="str">
        <f t="shared" si="79"/>
        <v/>
      </c>
      <c r="T215" s="59">
        <v>17</v>
      </c>
      <c r="U215" s="59">
        <v>8</v>
      </c>
      <c r="V215" s="3" t="s">
        <v>57</v>
      </c>
      <c r="W215" s="23">
        <f>'Análise Técnica'!$C$3</f>
        <v>750</v>
      </c>
      <c r="X215" s="23">
        <f t="shared" si="78"/>
        <v>595.01397957374672</v>
      </c>
      <c r="Y215" s="54">
        <f t="shared" si="95"/>
        <v>154.98602042625328</v>
      </c>
      <c r="Z215" s="54">
        <f t="shared" si="96"/>
        <v>0</v>
      </c>
      <c r="AA215" s="54">
        <f t="shared" si="80"/>
        <v>100</v>
      </c>
      <c r="AB215" s="54">
        <f t="shared" si="81"/>
        <v>54.986020426253276</v>
      </c>
      <c r="AC215" s="54">
        <f t="shared" si="88"/>
        <v>0</v>
      </c>
      <c r="AD215" s="58">
        <f t="shared" si="89"/>
        <v>54.986020426253276</v>
      </c>
      <c r="AE215" s="2">
        <f t="shared" si="82"/>
        <v>3468.7669263758098</v>
      </c>
      <c r="AF215" s="2">
        <f t="shared" si="83"/>
        <v>716.81384227359081</v>
      </c>
      <c r="AG215" s="12">
        <f t="shared" si="90"/>
        <v>2751.9530841022188</v>
      </c>
      <c r="AH215" s="2">
        <f t="shared" si="91"/>
        <v>0</v>
      </c>
      <c r="AI215" s="12">
        <f t="shared" si="84"/>
        <v>2751.9530841022188</v>
      </c>
      <c r="AJ215" s="12">
        <f t="shared" si="94"/>
        <v>332541.21870762535</v>
      </c>
      <c r="AK215" s="86">
        <f t="shared" si="85"/>
        <v>0.79335197276499558</v>
      </c>
      <c r="AL215" s="12">
        <f t="shared" si="92"/>
        <v>407440.17436737788</v>
      </c>
      <c r="AM215" s="124">
        <f t="shared" si="86"/>
        <v>0.19332988139761509</v>
      </c>
      <c r="AN215" s="72"/>
      <c r="AO215" s="59">
        <v>212</v>
      </c>
      <c r="AP215" s="125">
        <f t="shared" si="87"/>
        <v>22463.435083342785</v>
      </c>
      <c r="AQ215" s="125">
        <f t="shared" si="93"/>
        <v>332541.21870762535</v>
      </c>
    </row>
    <row r="216" spans="19:43" x14ac:dyDescent="0.25">
      <c r="S216" s="9" t="str">
        <f t="shared" si="79"/>
        <v/>
      </c>
      <c r="T216" s="59">
        <v>17</v>
      </c>
      <c r="U216" s="59">
        <v>9</v>
      </c>
      <c r="V216" s="3" t="s">
        <v>58</v>
      </c>
      <c r="W216" s="23">
        <f>'Análise Técnica'!$C$3</f>
        <v>750</v>
      </c>
      <c r="X216" s="23">
        <f t="shared" si="78"/>
        <v>604.36995967511882</v>
      </c>
      <c r="Y216" s="54">
        <f t="shared" si="95"/>
        <v>145.63004032488118</v>
      </c>
      <c r="Z216" s="54">
        <f t="shared" si="96"/>
        <v>0</v>
      </c>
      <c r="AA216" s="54">
        <f t="shared" si="80"/>
        <v>100</v>
      </c>
      <c r="AB216" s="54">
        <f t="shared" si="81"/>
        <v>45.630040324881179</v>
      </c>
      <c r="AC216" s="54">
        <f t="shared" si="88"/>
        <v>0</v>
      </c>
      <c r="AD216" s="58">
        <f t="shared" si="89"/>
        <v>45.630040324881179</v>
      </c>
      <c r="AE216" s="2">
        <f t="shared" si="82"/>
        <v>3468.7669263758098</v>
      </c>
      <c r="AF216" s="2">
        <f t="shared" si="83"/>
        <v>673.54222315429774</v>
      </c>
      <c r="AG216" s="12">
        <f t="shared" si="90"/>
        <v>2795.2247032215118</v>
      </c>
      <c r="AH216" s="2">
        <f t="shared" si="91"/>
        <v>0</v>
      </c>
      <c r="AI216" s="12">
        <f t="shared" si="84"/>
        <v>2795.2247032215118</v>
      </c>
      <c r="AJ216" s="12">
        <f t="shared" si="94"/>
        <v>335336.44341084687</v>
      </c>
      <c r="AK216" s="86">
        <f t="shared" si="85"/>
        <v>0.80582661290015845</v>
      </c>
      <c r="AL216" s="12">
        <f t="shared" si="92"/>
        <v>410908.94129375368</v>
      </c>
      <c r="AM216" s="124">
        <f t="shared" si="86"/>
        <v>0.19636979404748675</v>
      </c>
      <c r="AN216" s="72"/>
      <c r="AO216" s="59">
        <v>213</v>
      </c>
      <c r="AP216" s="125">
        <f t="shared" si="87"/>
        <v>22536.90965570365</v>
      </c>
      <c r="AQ216" s="125">
        <f t="shared" si="93"/>
        <v>335336.44341084687</v>
      </c>
    </row>
    <row r="217" spans="19:43" x14ac:dyDescent="0.25">
      <c r="S217" s="9" t="str">
        <f t="shared" si="79"/>
        <v/>
      </c>
      <c r="T217" s="59">
        <v>17</v>
      </c>
      <c r="U217" s="59">
        <v>10</v>
      </c>
      <c r="V217" s="3" t="s">
        <v>59</v>
      </c>
      <c r="W217" s="23">
        <f>'Análise Técnica'!$C$3</f>
        <v>750</v>
      </c>
      <c r="X217" s="23">
        <f t="shared" si="78"/>
        <v>676.10792541014735</v>
      </c>
      <c r="Y217" s="54">
        <f t="shared" si="95"/>
        <v>73.892074589852655</v>
      </c>
      <c r="Z217" s="54">
        <f t="shared" si="96"/>
        <v>0</v>
      </c>
      <c r="AA217" s="54">
        <f t="shared" si="80"/>
        <v>100</v>
      </c>
      <c r="AB217" s="54">
        <f t="shared" si="81"/>
        <v>0</v>
      </c>
      <c r="AC217" s="54">
        <f t="shared" si="88"/>
        <v>0</v>
      </c>
      <c r="AD217" s="58">
        <f t="shared" si="89"/>
        <v>0</v>
      </c>
      <c r="AE217" s="2">
        <f t="shared" si="82"/>
        <v>3468.7669263758098</v>
      </c>
      <c r="AF217" s="2">
        <f t="shared" si="83"/>
        <v>462.50225685010798</v>
      </c>
      <c r="AG217" s="12">
        <f t="shared" si="90"/>
        <v>3006.2646695257017</v>
      </c>
      <c r="AH217" s="2">
        <f t="shared" si="91"/>
        <v>0</v>
      </c>
      <c r="AI217" s="12">
        <f t="shared" si="84"/>
        <v>3006.2646695257017</v>
      </c>
      <c r="AJ217" s="12">
        <f t="shared" si="94"/>
        <v>338342.7080803726</v>
      </c>
      <c r="AK217" s="86">
        <f t="shared" si="85"/>
        <v>0.8666666666666667</v>
      </c>
      <c r="AL217" s="12">
        <f t="shared" si="92"/>
        <v>414377.70822012948</v>
      </c>
      <c r="AM217" s="124">
        <f t="shared" si="86"/>
        <v>0.21119574870908528</v>
      </c>
      <c r="AN217" s="72"/>
      <c r="AO217" s="59">
        <v>214</v>
      </c>
      <c r="AP217" s="125">
        <f t="shared" si="87"/>
        <v>22610.592406019543</v>
      </c>
      <c r="AQ217" s="125">
        <f t="shared" si="93"/>
        <v>338342.7080803726</v>
      </c>
    </row>
    <row r="218" spans="19:43" x14ac:dyDescent="0.25">
      <c r="S218" s="9" t="str">
        <f t="shared" si="79"/>
        <v/>
      </c>
      <c r="T218" s="59">
        <v>17</v>
      </c>
      <c r="U218" s="59">
        <v>11</v>
      </c>
      <c r="V218" s="3" t="s">
        <v>60</v>
      </c>
      <c r="W218" s="23">
        <f>'Análise Técnica'!$C$3</f>
        <v>750</v>
      </c>
      <c r="X218" s="23">
        <f t="shared" si="78"/>
        <v>680.98357701227087</v>
      </c>
      <c r="Y218" s="54">
        <f t="shared" si="95"/>
        <v>69.016422987729129</v>
      </c>
      <c r="Z218" s="54">
        <f t="shared" si="96"/>
        <v>0</v>
      </c>
      <c r="AA218" s="54">
        <f t="shared" si="80"/>
        <v>100</v>
      </c>
      <c r="AB218" s="54">
        <f t="shared" si="81"/>
        <v>0</v>
      </c>
      <c r="AC218" s="54">
        <f t="shared" si="88"/>
        <v>0</v>
      </c>
      <c r="AD218" s="58">
        <f t="shared" si="89"/>
        <v>0</v>
      </c>
      <c r="AE218" s="2">
        <f t="shared" si="82"/>
        <v>3468.7669263758098</v>
      </c>
      <c r="AF218" s="2">
        <f t="shared" si="83"/>
        <v>462.50225685010798</v>
      </c>
      <c r="AG218" s="12">
        <f t="shared" si="90"/>
        <v>3006.2646695257017</v>
      </c>
      <c r="AH218" s="2">
        <f t="shared" si="91"/>
        <v>0</v>
      </c>
      <c r="AI218" s="12">
        <f t="shared" si="84"/>
        <v>3006.2646695257017</v>
      </c>
      <c r="AJ218" s="12">
        <f t="shared" si="94"/>
        <v>341348.97274989833</v>
      </c>
      <c r="AK218" s="86">
        <f t="shared" si="85"/>
        <v>0.8666666666666667</v>
      </c>
      <c r="AL218" s="12">
        <f t="shared" si="92"/>
        <v>417846.47514650528</v>
      </c>
      <c r="AM218" s="124">
        <f t="shared" si="86"/>
        <v>0.21119574870908528</v>
      </c>
      <c r="AN218" s="72"/>
      <c r="AO218" s="59">
        <v>215</v>
      </c>
      <c r="AP218" s="125">
        <f t="shared" si="87"/>
        <v>22684.483924127999</v>
      </c>
      <c r="AQ218" s="125">
        <f t="shared" si="93"/>
        <v>341348.97274989833</v>
      </c>
    </row>
    <row r="219" spans="19:43" x14ac:dyDescent="0.25">
      <c r="S219" s="9" t="str">
        <f t="shared" si="79"/>
        <v/>
      </c>
      <c r="T219" s="59">
        <v>17</v>
      </c>
      <c r="U219" s="59">
        <v>12</v>
      </c>
      <c r="V219" s="3" t="s">
        <v>61</v>
      </c>
      <c r="W219" s="23">
        <f>'Análise Técnica'!$C$3</f>
        <v>750</v>
      </c>
      <c r="X219" s="23">
        <f t="shared" si="78"/>
        <v>781.29022564839079</v>
      </c>
      <c r="Y219" s="54">
        <f t="shared" si="95"/>
        <v>0</v>
      </c>
      <c r="Z219" s="54">
        <f t="shared" si="96"/>
        <v>31.290225648390788</v>
      </c>
      <c r="AA219" s="54">
        <f t="shared" si="80"/>
        <v>100</v>
      </c>
      <c r="AB219" s="54">
        <f t="shared" si="81"/>
        <v>0</v>
      </c>
      <c r="AC219" s="54">
        <f t="shared" si="88"/>
        <v>31.290225648390788</v>
      </c>
      <c r="AD219" s="58">
        <f t="shared" si="89"/>
        <v>0</v>
      </c>
      <c r="AE219" s="2">
        <f t="shared" si="82"/>
        <v>3468.7669263758098</v>
      </c>
      <c r="AF219" s="2">
        <f t="shared" si="83"/>
        <v>462.50225685010798</v>
      </c>
      <c r="AG219" s="12">
        <f t="shared" si="90"/>
        <v>3006.2646695257017</v>
      </c>
      <c r="AH219" s="2">
        <f t="shared" si="91"/>
        <v>0</v>
      </c>
      <c r="AI219" s="12">
        <f t="shared" si="84"/>
        <v>3006.2646695257017</v>
      </c>
      <c r="AJ219" s="12">
        <f t="shared" si="94"/>
        <v>344355.23741942405</v>
      </c>
      <c r="AK219" s="86">
        <f t="shared" si="85"/>
        <v>0.8666666666666667</v>
      </c>
      <c r="AL219" s="12">
        <f t="shared" si="92"/>
        <v>421315.24207288108</v>
      </c>
      <c r="AM219" s="124">
        <f t="shared" si="86"/>
        <v>0.21119574870908528</v>
      </c>
      <c r="AN219" s="72"/>
      <c r="AO219" s="59">
        <v>216</v>
      </c>
      <c r="AP219" s="125">
        <f t="shared" si="87"/>
        <v>22758.58480153776</v>
      </c>
      <c r="AQ219" s="125">
        <f t="shared" si="93"/>
        <v>344355.23741942405</v>
      </c>
    </row>
    <row r="220" spans="19:43" x14ac:dyDescent="0.25">
      <c r="S220" s="9" t="str">
        <f t="shared" si="79"/>
        <v/>
      </c>
      <c r="T220" s="59">
        <v>18</v>
      </c>
      <c r="U220" s="59">
        <v>1</v>
      </c>
      <c r="V220" s="3" t="s">
        <v>50</v>
      </c>
      <c r="W220" s="23">
        <f>'Análise Técnica'!$C$3</f>
        <v>750</v>
      </c>
      <c r="X220" s="23">
        <f t="shared" ref="X220:X283" si="97">X208*((1-$C$27))</f>
        <v>800.57838245101175</v>
      </c>
      <c r="Y220" s="54">
        <f t="shared" si="95"/>
        <v>0</v>
      </c>
      <c r="Z220" s="54">
        <f t="shared" si="96"/>
        <v>50.578382451011748</v>
      </c>
      <c r="AA220" s="54">
        <f t="shared" si="80"/>
        <v>100</v>
      </c>
      <c r="AB220" s="54">
        <f t="shared" si="81"/>
        <v>0</v>
      </c>
      <c r="AC220" s="54">
        <f t="shared" si="88"/>
        <v>81.868608099402536</v>
      </c>
      <c r="AD220" s="58">
        <f t="shared" si="89"/>
        <v>0</v>
      </c>
      <c r="AE220" s="2">
        <f t="shared" si="82"/>
        <v>3746.268280485875</v>
      </c>
      <c r="AF220" s="2">
        <f t="shared" si="83"/>
        <v>499.50243739811668</v>
      </c>
      <c r="AG220" s="12">
        <f t="shared" si="90"/>
        <v>3246.7658430877582</v>
      </c>
      <c r="AH220" s="2">
        <f t="shared" si="91"/>
        <v>0</v>
      </c>
      <c r="AI220" s="12">
        <f t="shared" si="84"/>
        <v>3246.7658430877582</v>
      </c>
      <c r="AJ220" s="12">
        <f t="shared" si="94"/>
        <v>347602.0032625118</v>
      </c>
      <c r="AK220" s="86">
        <f t="shared" si="85"/>
        <v>0.8666666666666667</v>
      </c>
      <c r="AL220" s="12">
        <f t="shared" si="92"/>
        <v>425061.51035336696</v>
      </c>
      <c r="AM220" s="124">
        <f t="shared" si="86"/>
        <v>0.22809140860581212</v>
      </c>
      <c r="AN220" s="72"/>
      <c r="AO220" s="59">
        <v>217</v>
      </c>
      <c r="AP220" s="125">
        <f t="shared" si="87"/>
        <v>22555.394277323452</v>
      </c>
      <c r="AQ220" s="125">
        <f t="shared" si="93"/>
        <v>347602.0032625118</v>
      </c>
    </row>
    <row r="221" spans="19:43" x14ac:dyDescent="0.25">
      <c r="S221" s="9" t="str">
        <f t="shared" si="79"/>
        <v/>
      </c>
      <c r="T221" s="59">
        <v>18</v>
      </c>
      <c r="U221" s="59">
        <v>2</v>
      </c>
      <c r="V221" s="3" t="s">
        <v>51</v>
      </c>
      <c r="W221" s="23">
        <f>'Análise Técnica'!$C$3</f>
        <v>750</v>
      </c>
      <c r="X221" s="23">
        <f t="shared" si="97"/>
        <v>843.18377641100835</v>
      </c>
      <c r="Y221" s="54">
        <f t="shared" si="95"/>
        <v>0</v>
      </c>
      <c r="Z221" s="54">
        <f t="shared" si="96"/>
        <v>93.183776411008353</v>
      </c>
      <c r="AA221" s="54">
        <f t="shared" si="80"/>
        <v>100</v>
      </c>
      <c r="AB221" s="54">
        <f t="shared" si="81"/>
        <v>0</v>
      </c>
      <c r="AC221" s="54">
        <f t="shared" si="88"/>
        <v>175.05238451041089</v>
      </c>
      <c r="AD221" s="58">
        <f t="shared" si="89"/>
        <v>0</v>
      </c>
      <c r="AE221" s="2">
        <f t="shared" si="82"/>
        <v>3746.268280485875</v>
      </c>
      <c r="AF221" s="2">
        <f t="shared" si="83"/>
        <v>499.50243739811668</v>
      </c>
      <c r="AG221" s="12">
        <f t="shared" si="90"/>
        <v>3246.7658430877582</v>
      </c>
      <c r="AH221" s="2">
        <f t="shared" si="91"/>
        <v>0</v>
      </c>
      <c r="AI221" s="12">
        <f t="shared" si="84"/>
        <v>3246.7658430877582</v>
      </c>
      <c r="AJ221" s="12">
        <f t="shared" si="94"/>
        <v>350848.76910559955</v>
      </c>
      <c r="AK221" s="86">
        <f t="shared" si="85"/>
        <v>0.8666666666666667</v>
      </c>
      <c r="AL221" s="12">
        <f t="shared" si="92"/>
        <v>428807.77863385284</v>
      </c>
      <c r="AM221" s="124">
        <f t="shared" si="86"/>
        <v>0.22809140860581212</v>
      </c>
      <c r="AN221" s="72"/>
      <c r="AO221" s="59">
        <v>218</v>
      </c>
      <c r="AP221" s="125">
        <f t="shared" si="87"/>
        <v>22629.915654570574</v>
      </c>
      <c r="AQ221" s="125">
        <f t="shared" si="93"/>
        <v>350848.76910559955</v>
      </c>
    </row>
    <row r="222" spans="19:43" x14ac:dyDescent="0.25">
      <c r="S222" s="9" t="str">
        <f t="shared" si="79"/>
        <v/>
      </c>
      <c r="T222" s="59">
        <v>18</v>
      </c>
      <c r="U222" s="59">
        <v>3</v>
      </c>
      <c r="V222" s="3" t="s">
        <v>52</v>
      </c>
      <c r="W222" s="23">
        <f>'Análise Técnica'!$C$3</f>
        <v>750</v>
      </c>
      <c r="X222" s="23">
        <f t="shared" si="97"/>
        <v>707.5819036814504</v>
      </c>
      <c r="Y222" s="54">
        <f t="shared" si="95"/>
        <v>42.418096318549601</v>
      </c>
      <c r="Z222" s="54">
        <f t="shared" si="96"/>
        <v>0</v>
      </c>
      <c r="AA222" s="54">
        <f t="shared" si="80"/>
        <v>100</v>
      </c>
      <c r="AB222" s="54">
        <f t="shared" si="81"/>
        <v>0</v>
      </c>
      <c r="AC222" s="54">
        <f t="shared" si="88"/>
        <v>175.05238451041089</v>
      </c>
      <c r="AD222" s="58">
        <f t="shared" si="89"/>
        <v>0</v>
      </c>
      <c r="AE222" s="2">
        <f t="shared" si="82"/>
        <v>3746.268280485875</v>
      </c>
      <c r="AF222" s="2">
        <f t="shared" si="83"/>
        <v>499.50243739811668</v>
      </c>
      <c r="AG222" s="12">
        <f t="shared" si="90"/>
        <v>3246.7658430877582</v>
      </c>
      <c r="AH222" s="2">
        <f t="shared" si="91"/>
        <v>0</v>
      </c>
      <c r="AI222" s="12">
        <f t="shared" si="84"/>
        <v>3246.7658430877582</v>
      </c>
      <c r="AJ222" s="12">
        <f t="shared" si="94"/>
        <v>354095.5349486873</v>
      </c>
      <c r="AK222" s="86">
        <f t="shared" si="85"/>
        <v>0.8666666666666667</v>
      </c>
      <c r="AL222" s="12">
        <f t="shared" si="92"/>
        <v>432554.04691433872</v>
      </c>
      <c r="AM222" s="124">
        <f t="shared" si="86"/>
        <v>0.22809140860581212</v>
      </c>
      <c r="AN222" s="72"/>
      <c r="AO222" s="59">
        <v>219</v>
      </c>
      <c r="AP222" s="125">
        <f t="shared" si="87"/>
        <v>22704.648175719896</v>
      </c>
      <c r="AQ222" s="125">
        <f t="shared" si="93"/>
        <v>354095.5349486873</v>
      </c>
    </row>
    <row r="223" spans="19:43" x14ac:dyDescent="0.25">
      <c r="S223" s="9" t="str">
        <f t="shared" si="79"/>
        <v/>
      </c>
      <c r="T223" s="59">
        <v>18</v>
      </c>
      <c r="U223" s="59">
        <v>4</v>
      </c>
      <c r="V223" s="3" t="s">
        <v>53</v>
      </c>
      <c r="W223" s="23">
        <f>'Análise Técnica'!$C$3</f>
        <v>750</v>
      </c>
      <c r="X223" s="23">
        <f t="shared" si="97"/>
        <v>627.46125650176396</v>
      </c>
      <c r="Y223" s="54">
        <f t="shared" si="95"/>
        <v>122.53874349823604</v>
      </c>
      <c r="Z223" s="54">
        <f t="shared" si="96"/>
        <v>0</v>
      </c>
      <c r="AA223" s="54">
        <f t="shared" si="80"/>
        <v>100</v>
      </c>
      <c r="AB223" s="54">
        <f t="shared" si="81"/>
        <v>22.538743498236045</v>
      </c>
      <c r="AC223" s="54">
        <f t="shared" si="88"/>
        <v>152.51364101217484</v>
      </c>
      <c r="AD223" s="58">
        <f t="shared" si="89"/>
        <v>0</v>
      </c>
      <c r="AE223" s="2">
        <f t="shared" si="82"/>
        <v>3746.268280485875</v>
      </c>
      <c r="AF223" s="2">
        <f t="shared" si="83"/>
        <v>499.50243739811668</v>
      </c>
      <c r="AG223" s="12">
        <f t="shared" si="90"/>
        <v>3246.7658430877582</v>
      </c>
      <c r="AH223" s="2">
        <f t="shared" si="91"/>
        <v>0</v>
      </c>
      <c r="AI223" s="12">
        <f t="shared" si="84"/>
        <v>3246.7658430877582</v>
      </c>
      <c r="AJ223" s="12">
        <f t="shared" si="94"/>
        <v>357342.30079177505</v>
      </c>
      <c r="AK223" s="86">
        <f t="shared" si="85"/>
        <v>0.8666666666666667</v>
      </c>
      <c r="AL223" s="12">
        <f t="shared" si="92"/>
        <v>436300.31519482459</v>
      </c>
      <c r="AM223" s="124">
        <f t="shared" si="86"/>
        <v>0.22809140860581212</v>
      </c>
      <c r="AN223" s="72"/>
      <c r="AO223" s="59">
        <v>220</v>
      </c>
      <c r="AP223" s="125">
        <f t="shared" si="87"/>
        <v>22779.592439012475</v>
      </c>
      <c r="AQ223" s="125">
        <f t="shared" si="93"/>
        <v>357342.30079177505</v>
      </c>
    </row>
    <row r="224" spans="19:43" x14ac:dyDescent="0.25">
      <c r="S224" s="9" t="str">
        <f t="shared" si="79"/>
        <v/>
      </c>
      <c r="T224" s="59">
        <v>18</v>
      </c>
      <c r="U224" s="59">
        <v>5</v>
      </c>
      <c r="V224" s="3" t="s">
        <v>54</v>
      </c>
      <c r="W224" s="23">
        <f>'Análise Técnica'!$C$3</f>
        <v>750</v>
      </c>
      <c r="X224" s="23">
        <f t="shared" si="97"/>
        <v>516.73433890671242</v>
      </c>
      <c r="Y224" s="54">
        <f t="shared" si="95"/>
        <v>233.26566109328758</v>
      </c>
      <c r="Z224" s="54">
        <f t="shared" si="96"/>
        <v>0</v>
      </c>
      <c r="AA224" s="54">
        <f t="shared" si="80"/>
        <v>100</v>
      </c>
      <c r="AB224" s="54">
        <f t="shared" si="81"/>
        <v>133.26566109328758</v>
      </c>
      <c r="AC224" s="54">
        <f t="shared" si="88"/>
        <v>19.247979918887268</v>
      </c>
      <c r="AD224" s="58">
        <f t="shared" si="89"/>
        <v>0</v>
      </c>
      <c r="AE224" s="2">
        <f t="shared" si="82"/>
        <v>3746.268280485875</v>
      </c>
      <c r="AF224" s="2">
        <f t="shared" si="83"/>
        <v>499.50243739811668</v>
      </c>
      <c r="AG224" s="12">
        <f t="shared" si="90"/>
        <v>3246.7658430877582</v>
      </c>
      <c r="AH224" s="2">
        <f t="shared" si="91"/>
        <v>0</v>
      </c>
      <c r="AI224" s="12">
        <f t="shared" si="84"/>
        <v>3246.7658430877582</v>
      </c>
      <c r="AJ224" s="12">
        <f t="shared" si="94"/>
        <v>360589.0666348628</v>
      </c>
      <c r="AK224" s="86">
        <f t="shared" si="85"/>
        <v>0.8666666666666667</v>
      </c>
      <c r="AL224" s="12">
        <f t="shared" si="92"/>
        <v>440046.58347531047</v>
      </c>
      <c r="AM224" s="124">
        <f t="shared" si="86"/>
        <v>0.22809140860581212</v>
      </c>
      <c r="AN224" s="72"/>
      <c r="AO224" s="59">
        <v>221</v>
      </c>
      <c r="AP224" s="125">
        <f t="shared" si="87"/>
        <v>22854.749044384389</v>
      </c>
      <c r="AQ224" s="125">
        <f t="shared" si="93"/>
        <v>360589.0666348628</v>
      </c>
    </row>
    <row r="225" spans="19:43" x14ac:dyDescent="0.25">
      <c r="S225" s="9" t="str">
        <f t="shared" si="79"/>
        <v/>
      </c>
      <c r="T225" s="59">
        <v>18</v>
      </c>
      <c r="U225" s="59">
        <v>6</v>
      </c>
      <c r="V225" s="3" t="s">
        <v>55</v>
      </c>
      <c r="W225" s="23">
        <f>'Análise Técnica'!$C$3</f>
        <v>750</v>
      </c>
      <c r="X225" s="23">
        <f t="shared" si="97"/>
        <v>477.87131063239161</v>
      </c>
      <c r="Y225" s="54">
        <f t="shared" si="95"/>
        <v>272.12868936760839</v>
      </c>
      <c r="Z225" s="54">
        <f t="shared" si="96"/>
        <v>0</v>
      </c>
      <c r="AA225" s="54">
        <f t="shared" si="80"/>
        <v>100</v>
      </c>
      <c r="AB225" s="54">
        <f t="shared" si="81"/>
        <v>172.12868936760839</v>
      </c>
      <c r="AC225" s="54">
        <f t="shared" si="88"/>
        <v>0</v>
      </c>
      <c r="AD225" s="58">
        <f t="shared" si="89"/>
        <v>152.88070944872112</v>
      </c>
      <c r="AE225" s="2">
        <f t="shared" si="82"/>
        <v>3746.268280485875</v>
      </c>
      <c r="AF225" s="2">
        <f t="shared" si="83"/>
        <v>1263.1453074060114</v>
      </c>
      <c r="AG225" s="12">
        <f t="shared" si="90"/>
        <v>2483.1229730798636</v>
      </c>
      <c r="AH225" s="2">
        <f t="shared" si="91"/>
        <v>0</v>
      </c>
      <c r="AI225" s="12">
        <f t="shared" si="84"/>
        <v>2483.1229730798636</v>
      </c>
      <c r="AJ225" s="12">
        <f t="shared" si="94"/>
        <v>363072.18960794265</v>
      </c>
      <c r="AK225" s="86">
        <f t="shared" si="85"/>
        <v>0.66282572073503854</v>
      </c>
      <c r="AL225" s="12">
        <f t="shared" si="92"/>
        <v>443792.85175579635</v>
      </c>
      <c r="AM225" s="124">
        <f t="shared" si="86"/>
        <v>0.17444406034917415</v>
      </c>
      <c r="AN225" s="72"/>
      <c r="AO225" s="59">
        <v>222</v>
      </c>
      <c r="AP225" s="125">
        <f t="shared" si="87"/>
        <v>22930.118593471521</v>
      </c>
      <c r="AQ225" s="125">
        <f t="shared" si="93"/>
        <v>363072.18960794265</v>
      </c>
    </row>
    <row r="226" spans="19:43" x14ac:dyDescent="0.25">
      <c r="S226" s="9" t="str">
        <f t="shared" si="79"/>
        <v/>
      </c>
      <c r="T226" s="59">
        <v>18</v>
      </c>
      <c r="U226" s="59">
        <v>7</v>
      </c>
      <c r="V226" s="3" t="s">
        <v>56</v>
      </c>
      <c r="W226" s="23">
        <f>'Análise Técnica'!$C$3</f>
        <v>750</v>
      </c>
      <c r="X226" s="23">
        <f t="shared" si="97"/>
        <v>477.80588465886552</v>
      </c>
      <c r="Y226" s="54">
        <f t="shared" si="95"/>
        <v>272.19411534113448</v>
      </c>
      <c r="Z226" s="54">
        <f t="shared" si="96"/>
        <v>0</v>
      </c>
      <c r="AA226" s="54">
        <f t="shared" si="80"/>
        <v>100</v>
      </c>
      <c r="AB226" s="54">
        <f t="shared" si="81"/>
        <v>172.19411534113448</v>
      </c>
      <c r="AC226" s="54">
        <f t="shared" si="88"/>
        <v>0</v>
      </c>
      <c r="AD226" s="58">
        <f t="shared" si="89"/>
        <v>172.19411534113448</v>
      </c>
      <c r="AE226" s="2">
        <f t="shared" si="82"/>
        <v>3746.268280485875</v>
      </c>
      <c r="AF226" s="2">
        <f t="shared" si="83"/>
        <v>1359.6162405832076</v>
      </c>
      <c r="AG226" s="12">
        <f t="shared" si="90"/>
        <v>2386.6520399026676</v>
      </c>
      <c r="AH226" s="2">
        <f t="shared" si="91"/>
        <v>0</v>
      </c>
      <c r="AI226" s="12">
        <f t="shared" si="84"/>
        <v>2386.6520399026676</v>
      </c>
      <c r="AJ226" s="12">
        <f t="shared" si="94"/>
        <v>365458.84164784534</v>
      </c>
      <c r="AK226" s="86">
        <f t="shared" si="85"/>
        <v>0.63707451287848738</v>
      </c>
      <c r="AL226" s="12">
        <f t="shared" si="92"/>
        <v>447539.12003628223</v>
      </c>
      <c r="AM226" s="124">
        <f t="shared" si="86"/>
        <v>0.16766679580305668</v>
      </c>
      <c r="AN226" s="72"/>
      <c r="AO226" s="59">
        <v>223</v>
      </c>
      <c r="AP226" s="125">
        <f t="shared" si="87"/>
        <v>23005.701689614401</v>
      </c>
      <c r="AQ226" s="125">
        <f t="shared" si="93"/>
        <v>365458.84164784534</v>
      </c>
    </row>
    <row r="227" spans="19:43" x14ac:dyDescent="0.25">
      <c r="S227" s="9" t="str">
        <f t="shared" si="79"/>
        <v/>
      </c>
      <c r="T227" s="59">
        <v>18</v>
      </c>
      <c r="U227" s="59">
        <v>8</v>
      </c>
      <c r="V227" s="3" t="s">
        <v>57</v>
      </c>
      <c r="W227" s="23">
        <f>'Análise Técnica'!$C$3</f>
        <v>750</v>
      </c>
      <c r="X227" s="23">
        <f t="shared" si="97"/>
        <v>590.84888171673049</v>
      </c>
      <c r="Y227" s="54">
        <f t="shared" si="95"/>
        <v>159.15111828326951</v>
      </c>
      <c r="Z227" s="54">
        <f t="shared" si="96"/>
        <v>0</v>
      </c>
      <c r="AA227" s="54">
        <f t="shared" si="80"/>
        <v>100</v>
      </c>
      <c r="AB227" s="54">
        <f t="shared" si="81"/>
        <v>59.151118283269511</v>
      </c>
      <c r="AC227" s="54">
        <f t="shared" si="88"/>
        <v>0</v>
      </c>
      <c r="AD227" s="58">
        <f t="shared" si="89"/>
        <v>59.151118283269511</v>
      </c>
      <c r="AE227" s="2">
        <f t="shared" si="82"/>
        <v>3746.268280485875</v>
      </c>
      <c r="AF227" s="2">
        <f t="shared" si="83"/>
        <v>794.96371497129087</v>
      </c>
      <c r="AG227" s="12">
        <f t="shared" si="90"/>
        <v>2951.3045655145843</v>
      </c>
      <c r="AH227" s="2">
        <f t="shared" si="91"/>
        <v>0</v>
      </c>
      <c r="AI227" s="12">
        <f t="shared" si="84"/>
        <v>2951.3045655145843</v>
      </c>
      <c r="AJ227" s="12">
        <f t="shared" si="94"/>
        <v>368410.14621335996</v>
      </c>
      <c r="AK227" s="86">
        <f t="shared" si="85"/>
        <v>0.78779850895564063</v>
      </c>
      <c r="AL227" s="12">
        <f t="shared" si="92"/>
        <v>451285.38831676811</v>
      </c>
      <c r="AM227" s="124">
        <f t="shared" si="86"/>
        <v>0.20733469800605836</v>
      </c>
      <c r="AN227" s="72"/>
      <c r="AO227" s="59">
        <v>224</v>
      </c>
      <c r="AP227" s="125">
        <f t="shared" si="87"/>
        <v>23081.498937863016</v>
      </c>
      <c r="AQ227" s="125">
        <f t="shared" si="93"/>
        <v>368410.14621335996</v>
      </c>
    </row>
    <row r="228" spans="19:43" x14ac:dyDescent="0.25">
      <c r="S228" s="9" t="str">
        <f t="shared" si="79"/>
        <v/>
      </c>
      <c r="T228" s="59">
        <v>18</v>
      </c>
      <c r="U228" s="59">
        <v>9</v>
      </c>
      <c r="V228" s="3" t="s">
        <v>58</v>
      </c>
      <c r="W228" s="23">
        <f>'Análise Técnica'!$C$3</f>
        <v>750</v>
      </c>
      <c r="X228" s="23">
        <f t="shared" si="97"/>
        <v>600.139369957393</v>
      </c>
      <c r="Y228" s="54">
        <f t="shared" si="95"/>
        <v>149.860630042607</v>
      </c>
      <c r="Z228" s="54">
        <f t="shared" si="96"/>
        <v>0</v>
      </c>
      <c r="AA228" s="54">
        <f t="shared" si="80"/>
        <v>100</v>
      </c>
      <c r="AB228" s="54">
        <f t="shared" si="81"/>
        <v>49.860630042606999</v>
      </c>
      <c r="AC228" s="54">
        <f t="shared" si="88"/>
        <v>0</v>
      </c>
      <c r="AD228" s="58">
        <f t="shared" si="89"/>
        <v>49.860630042606999</v>
      </c>
      <c r="AE228" s="2">
        <f t="shared" si="82"/>
        <v>3746.268280485875</v>
      </c>
      <c r="AF228" s="2">
        <f t="shared" si="83"/>
        <v>748.55749976299626</v>
      </c>
      <c r="AG228" s="12">
        <f t="shared" si="90"/>
        <v>2997.7107807228786</v>
      </c>
      <c r="AH228" s="2">
        <f t="shared" si="91"/>
        <v>0</v>
      </c>
      <c r="AI228" s="12">
        <f t="shared" si="84"/>
        <v>2997.7107807228786</v>
      </c>
      <c r="AJ228" s="12">
        <f t="shared" si="94"/>
        <v>371407.85699408286</v>
      </c>
      <c r="AK228" s="86">
        <f t="shared" si="85"/>
        <v>0.80018582660985738</v>
      </c>
      <c r="AL228" s="12">
        <f t="shared" si="92"/>
        <v>455031.65659725398</v>
      </c>
      <c r="AM228" s="124">
        <f t="shared" si="86"/>
        <v>0.21059482192828671</v>
      </c>
      <c r="AN228" s="72"/>
      <c r="AO228" s="59">
        <v>225</v>
      </c>
      <c r="AP228" s="125">
        <f t="shared" si="87"/>
        <v>23157.51094498167</v>
      </c>
      <c r="AQ228" s="125">
        <f t="shared" si="93"/>
        <v>371407.85699408286</v>
      </c>
    </row>
    <row r="229" spans="19:43" x14ac:dyDescent="0.25">
      <c r="S229" s="9" t="str">
        <f t="shared" si="79"/>
        <v/>
      </c>
      <c r="T229" s="59">
        <v>18</v>
      </c>
      <c r="U229" s="59">
        <v>10</v>
      </c>
      <c r="V229" s="3" t="s">
        <v>59</v>
      </c>
      <c r="W229" s="23">
        <f>'Análise Técnica'!$C$3</f>
        <v>750</v>
      </c>
      <c r="X229" s="23">
        <f t="shared" si="97"/>
        <v>671.37516993227632</v>
      </c>
      <c r="Y229" s="54">
        <f t="shared" si="95"/>
        <v>78.624830067723678</v>
      </c>
      <c r="Z229" s="54">
        <f t="shared" si="96"/>
        <v>0</v>
      </c>
      <c r="AA229" s="54">
        <f t="shared" si="80"/>
        <v>100</v>
      </c>
      <c r="AB229" s="54">
        <f t="shared" si="81"/>
        <v>0</v>
      </c>
      <c r="AC229" s="54">
        <f t="shared" si="88"/>
        <v>0</v>
      </c>
      <c r="AD229" s="58">
        <f t="shared" si="89"/>
        <v>0</v>
      </c>
      <c r="AE229" s="2">
        <f t="shared" si="82"/>
        <v>3746.268280485875</v>
      </c>
      <c r="AF229" s="2">
        <f t="shared" si="83"/>
        <v>499.50243739811668</v>
      </c>
      <c r="AG229" s="12">
        <f t="shared" si="90"/>
        <v>3246.7658430877582</v>
      </c>
      <c r="AH229" s="2">
        <f t="shared" si="91"/>
        <v>0</v>
      </c>
      <c r="AI229" s="12">
        <f t="shared" si="84"/>
        <v>3246.7658430877582</v>
      </c>
      <c r="AJ229" s="12">
        <f t="shared" si="94"/>
        <v>374654.62283717061</v>
      </c>
      <c r="AK229" s="86">
        <f t="shared" si="85"/>
        <v>0.8666666666666667</v>
      </c>
      <c r="AL229" s="12">
        <f t="shared" si="92"/>
        <v>458777.92487773986</v>
      </c>
      <c r="AM229" s="124">
        <f t="shared" si="86"/>
        <v>0.22809140860581212</v>
      </c>
      <c r="AN229" s="72"/>
      <c r="AO229" s="59">
        <v>226</v>
      </c>
      <c r="AP229" s="125">
        <f t="shared" si="87"/>
        <v>23233.738319453831</v>
      </c>
      <c r="AQ229" s="125">
        <f t="shared" si="93"/>
        <v>374654.62283717061</v>
      </c>
    </row>
    <row r="230" spans="19:43" x14ac:dyDescent="0.25">
      <c r="S230" s="9" t="str">
        <f t="shared" si="79"/>
        <v/>
      </c>
      <c r="T230" s="59">
        <v>18</v>
      </c>
      <c r="U230" s="59">
        <v>11</v>
      </c>
      <c r="V230" s="3" t="s">
        <v>60</v>
      </c>
      <c r="W230" s="23">
        <f>'Análise Técnica'!$C$3</f>
        <v>750</v>
      </c>
      <c r="X230" s="23">
        <f t="shared" si="97"/>
        <v>676.21669197318499</v>
      </c>
      <c r="Y230" s="54">
        <f t="shared" si="95"/>
        <v>73.783308026815007</v>
      </c>
      <c r="Z230" s="54">
        <f t="shared" si="96"/>
        <v>0</v>
      </c>
      <c r="AA230" s="54">
        <f t="shared" si="80"/>
        <v>100</v>
      </c>
      <c r="AB230" s="54">
        <f t="shared" si="81"/>
        <v>0</v>
      </c>
      <c r="AC230" s="54">
        <f t="shared" si="88"/>
        <v>0</v>
      </c>
      <c r="AD230" s="58">
        <f t="shared" si="89"/>
        <v>0</v>
      </c>
      <c r="AE230" s="2">
        <f t="shared" si="82"/>
        <v>3746.268280485875</v>
      </c>
      <c r="AF230" s="2">
        <f t="shared" si="83"/>
        <v>499.50243739811668</v>
      </c>
      <c r="AG230" s="12">
        <f t="shared" si="90"/>
        <v>3246.7658430877582</v>
      </c>
      <c r="AH230" s="2">
        <f t="shared" si="91"/>
        <v>0</v>
      </c>
      <c r="AI230" s="12">
        <f t="shared" si="84"/>
        <v>3246.7658430877582</v>
      </c>
      <c r="AJ230" s="12">
        <f t="shared" si="94"/>
        <v>377901.38868025836</v>
      </c>
      <c r="AK230" s="86">
        <f t="shared" si="85"/>
        <v>0.8666666666666667</v>
      </c>
      <c r="AL230" s="12">
        <f t="shared" si="92"/>
        <v>462524.19315822574</v>
      </c>
      <c r="AM230" s="124">
        <f t="shared" si="86"/>
        <v>0.22809140860581212</v>
      </c>
      <c r="AN230" s="72"/>
      <c r="AO230" s="59">
        <v>227</v>
      </c>
      <c r="AP230" s="125">
        <f t="shared" si="87"/>
        <v>23310.181671486986</v>
      </c>
      <c r="AQ230" s="125">
        <f t="shared" si="93"/>
        <v>377901.38868025836</v>
      </c>
    </row>
    <row r="231" spans="19:43" x14ac:dyDescent="0.25">
      <c r="S231" s="9" t="str">
        <f t="shared" si="79"/>
        <v/>
      </c>
      <c r="T231" s="59">
        <v>18</v>
      </c>
      <c r="U231" s="59">
        <v>12</v>
      </c>
      <c r="V231" s="3" t="s">
        <v>61</v>
      </c>
      <c r="W231" s="23">
        <f>'Análise Técnica'!$C$3</f>
        <v>750</v>
      </c>
      <c r="X231" s="23">
        <f t="shared" si="97"/>
        <v>775.82119406885204</v>
      </c>
      <c r="Y231" s="54">
        <f t="shared" si="95"/>
        <v>0</v>
      </c>
      <c r="Z231" s="54">
        <f t="shared" si="96"/>
        <v>25.821194068852037</v>
      </c>
      <c r="AA231" s="54">
        <f t="shared" si="80"/>
        <v>100</v>
      </c>
      <c r="AB231" s="54">
        <f t="shared" si="81"/>
        <v>0</v>
      </c>
      <c r="AC231" s="54">
        <f t="shared" si="88"/>
        <v>25.821194068852037</v>
      </c>
      <c r="AD231" s="58">
        <f t="shared" si="89"/>
        <v>0</v>
      </c>
      <c r="AE231" s="2">
        <f t="shared" si="82"/>
        <v>3746.268280485875</v>
      </c>
      <c r="AF231" s="2">
        <f t="shared" si="83"/>
        <v>499.50243739811668</v>
      </c>
      <c r="AG231" s="12">
        <f t="shared" si="90"/>
        <v>3246.7658430877582</v>
      </c>
      <c r="AH231" s="2">
        <f t="shared" si="91"/>
        <v>0</v>
      </c>
      <c r="AI231" s="12">
        <f t="shared" si="84"/>
        <v>3246.7658430877582</v>
      </c>
      <c r="AJ231" s="12">
        <f t="shared" si="94"/>
        <v>381148.15452334611</v>
      </c>
      <c r="AK231" s="86">
        <f t="shared" si="85"/>
        <v>0.8666666666666667</v>
      </c>
      <c r="AL231" s="12">
        <f t="shared" si="92"/>
        <v>466270.46143871162</v>
      </c>
      <c r="AM231" s="124">
        <f t="shared" si="86"/>
        <v>0.22809140860581212</v>
      </c>
      <c r="AN231" s="72"/>
      <c r="AO231" s="59">
        <v>228</v>
      </c>
      <c r="AP231" s="125">
        <f t="shared" si="87"/>
        <v>23386.841613017576</v>
      </c>
      <c r="AQ231" s="125">
        <f t="shared" si="93"/>
        <v>381148.15452334611</v>
      </c>
    </row>
    <row r="232" spans="19:43" x14ac:dyDescent="0.25">
      <c r="S232" s="9" t="str">
        <f t="shared" si="79"/>
        <v/>
      </c>
      <c r="T232" s="59">
        <v>19</v>
      </c>
      <c r="U232" s="59">
        <v>1</v>
      </c>
      <c r="V232" s="3" t="s">
        <v>50</v>
      </c>
      <c r="W232" s="23">
        <f>'Análise Técnica'!$C$3</f>
        <v>750</v>
      </c>
      <c r="X232" s="23">
        <f t="shared" si="97"/>
        <v>794.97433377385471</v>
      </c>
      <c r="Y232" s="54">
        <f t="shared" si="95"/>
        <v>0</v>
      </c>
      <c r="Z232" s="54">
        <f t="shared" si="96"/>
        <v>44.97433377385471</v>
      </c>
      <c r="AA232" s="54">
        <f t="shared" si="80"/>
        <v>100</v>
      </c>
      <c r="AB232" s="54">
        <f t="shared" si="81"/>
        <v>0</v>
      </c>
      <c r="AC232" s="54">
        <f t="shared" si="88"/>
        <v>70.795527842706747</v>
      </c>
      <c r="AD232" s="58">
        <f t="shared" si="89"/>
        <v>0</v>
      </c>
      <c r="AE232" s="2">
        <f t="shared" si="82"/>
        <v>4045.9697429247453</v>
      </c>
      <c r="AF232" s="2">
        <f t="shared" si="83"/>
        <v>539.46263238996607</v>
      </c>
      <c r="AG232" s="12">
        <f t="shared" si="90"/>
        <v>3506.5071105347793</v>
      </c>
      <c r="AH232" s="2">
        <f t="shared" si="91"/>
        <v>0</v>
      </c>
      <c r="AI232" s="12">
        <f t="shared" si="84"/>
        <v>3506.5071105347793</v>
      </c>
      <c r="AJ232" s="12">
        <f t="shared" si="94"/>
        <v>384654.66163388087</v>
      </c>
      <c r="AK232" s="86">
        <f t="shared" si="85"/>
        <v>0.8666666666666667</v>
      </c>
      <c r="AL232" s="12">
        <f t="shared" si="92"/>
        <v>470316.43118163635</v>
      </c>
      <c r="AM232" s="124">
        <f t="shared" si="86"/>
        <v>0.24633872129427711</v>
      </c>
      <c r="AN232" s="72"/>
      <c r="AO232" s="59">
        <v>229</v>
      </c>
      <c r="AP232" s="125">
        <f t="shared" si="87"/>
        <v>23164.017295276961</v>
      </c>
      <c r="AQ232" s="125">
        <f t="shared" si="93"/>
        <v>384654.66163388087</v>
      </c>
    </row>
    <row r="233" spans="19:43" x14ac:dyDescent="0.25">
      <c r="S233" s="9" t="str">
        <f t="shared" si="79"/>
        <v/>
      </c>
      <c r="T233" s="59">
        <v>19</v>
      </c>
      <c r="U233" s="59">
        <v>2</v>
      </c>
      <c r="V233" s="3" t="s">
        <v>51</v>
      </c>
      <c r="W233" s="23">
        <f>'Análise Técnica'!$C$3</f>
        <v>750</v>
      </c>
      <c r="X233" s="23">
        <f t="shared" si="97"/>
        <v>837.2814899761313</v>
      </c>
      <c r="Y233" s="54">
        <f t="shared" si="95"/>
        <v>0</v>
      </c>
      <c r="Z233" s="54">
        <f t="shared" si="96"/>
        <v>87.281489976131297</v>
      </c>
      <c r="AA233" s="54">
        <f t="shared" si="80"/>
        <v>100</v>
      </c>
      <c r="AB233" s="54">
        <f t="shared" si="81"/>
        <v>0</v>
      </c>
      <c r="AC233" s="54">
        <f t="shared" si="88"/>
        <v>158.07701781883804</v>
      </c>
      <c r="AD233" s="58">
        <f t="shared" si="89"/>
        <v>0</v>
      </c>
      <c r="AE233" s="2">
        <f t="shared" si="82"/>
        <v>4045.9697429247453</v>
      </c>
      <c r="AF233" s="2">
        <f t="shared" si="83"/>
        <v>539.46263238996607</v>
      </c>
      <c r="AG233" s="12">
        <f t="shared" si="90"/>
        <v>3506.5071105347793</v>
      </c>
      <c r="AH233" s="2">
        <f t="shared" si="91"/>
        <v>0</v>
      </c>
      <c r="AI233" s="12">
        <f t="shared" si="84"/>
        <v>3506.5071105347793</v>
      </c>
      <c r="AJ233" s="12">
        <f t="shared" si="94"/>
        <v>388161.16874441563</v>
      </c>
      <c r="AK233" s="86">
        <f t="shared" si="85"/>
        <v>0.8666666666666667</v>
      </c>
      <c r="AL233" s="12">
        <f t="shared" si="92"/>
        <v>474362.40092456108</v>
      </c>
      <c r="AM233" s="124">
        <f t="shared" si="86"/>
        <v>0.24633872129427711</v>
      </c>
      <c r="AN233" s="72"/>
      <c r="AO233" s="59">
        <v>230</v>
      </c>
      <c r="AP233" s="125">
        <f t="shared" si="87"/>
        <v>23241.112258551868</v>
      </c>
      <c r="AQ233" s="125">
        <f t="shared" si="93"/>
        <v>388161.16874441563</v>
      </c>
    </row>
    <row r="234" spans="19:43" x14ac:dyDescent="0.25">
      <c r="S234" s="9" t="str">
        <f t="shared" si="79"/>
        <v/>
      </c>
      <c r="T234" s="59">
        <v>19</v>
      </c>
      <c r="U234" s="59">
        <v>3</v>
      </c>
      <c r="V234" s="3" t="s">
        <v>52</v>
      </c>
      <c r="W234" s="23">
        <f>'Análise Técnica'!$C$3</f>
        <v>750</v>
      </c>
      <c r="X234" s="23">
        <f t="shared" si="97"/>
        <v>702.62883035568029</v>
      </c>
      <c r="Y234" s="54">
        <f t="shared" si="95"/>
        <v>47.371169644319707</v>
      </c>
      <c r="Z234" s="54">
        <f t="shared" si="96"/>
        <v>0</v>
      </c>
      <c r="AA234" s="54">
        <f t="shared" si="80"/>
        <v>100</v>
      </c>
      <c r="AB234" s="54">
        <f t="shared" si="81"/>
        <v>0</v>
      </c>
      <c r="AC234" s="54">
        <f t="shared" si="88"/>
        <v>158.07701781883804</v>
      </c>
      <c r="AD234" s="58">
        <f t="shared" si="89"/>
        <v>0</v>
      </c>
      <c r="AE234" s="2">
        <f t="shared" si="82"/>
        <v>4045.9697429247453</v>
      </c>
      <c r="AF234" s="2">
        <f t="shared" si="83"/>
        <v>539.46263238996607</v>
      </c>
      <c r="AG234" s="12">
        <f t="shared" si="90"/>
        <v>3506.5071105347793</v>
      </c>
      <c r="AH234" s="2">
        <f t="shared" si="91"/>
        <v>0</v>
      </c>
      <c r="AI234" s="12">
        <f t="shared" si="84"/>
        <v>3506.5071105347793</v>
      </c>
      <c r="AJ234" s="12">
        <f t="shared" si="94"/>
        <v>391667.67585495039</v>
      </c>
      <c r="AK234" s="86">
        <f t="shared" si="85"/>
        <v>0.8666666666666667</v>
      </c>
      <c r="AL234" s="12">
        <f t="shared" si="92"/>
        <v>478408.37066748581</v>
      </c>
      <c r="AM234" s="124">
        <f t="shared" si="86"/>
        <v>0.24633872129427711</v>
      </c>
      <c r="AN234" s="72"/>
      <c r="AO234" s="59">
        <v>231</v>
      </c>
      <c r="AP234" s="125">
        <f t="shared" si="87"/>
        <v>23318.425657556054</v>
      </c>
      <c r="AQ234" s="125">
        <f t="shared" si="93"/>
        <v>391667.67585495039</v>
      </c>
    </row>
    <row r="235" spans="19:43" x14ac:dyDescent="0.25">
      <c r="S235" s="9" t="str">
        <f t="shared" si="79"/>
        <v/>
      </c>
      <c r="T235" s="59">
        <v>19</v>
      </c>
      <c r="U235" s="59">
        <v>4</v>
      </c>
      <c r="V235" s="3" t="s">
        <v>53</v>
      </c>
      <c r="W235" s="23">
        <f>'Análise Técnica'!$C$3</f>
        <v>750</v>
      </c>
      <c r="X235" s="23">
        <f t="shared" si="97"/>
        <v>623.06902770625163</v>
      </c>
      <c r="Y235" s="54">
        <f t="shared" si="95"/>
        <v>126.93097229374837</v>
      </c>
      <c r="Z235" s="54">
        <f t="shared" si="96"/>
        <v>0</v>
      </c>
      <c r="AA235" s="54">
        <f t="shared" si="80"/>
        <v>100</v>
      </c>
      <c r="AB235" s="54">
        <f t="shared" si="81"/>
        <v>26.930972293748368</v>
      </c>
      <c r="AC235" s="54">
        <f t="shared" si="88"/>
        <v>131.14604552508968</v>
      </c>
      <c r="AD235" s="58">
        <f t="shared" si="89"/>
        <v>0</v>
      </c>
      <c r="AE235" s="2">
        <f t="shared" si="82"/>
        <v>4045.9697429247453</v>
      </c>
      <c r="AF235" s="2">
        <f t="shared" si="83"/>
        <v>539.46263238996607</v>
      </c>
      <c r="AG235" s="12">
        <f t="shared" si="90"/>
        <v>3506.5071105347793</v>
      </c>
      <c r="AH235" s="2">
        <f t="shared" si="91"/>
        <v>0</v>
      </c>
      <c r="AI235" s="12">
        <f t="shared" si="84"/>
        <v>3506.5071105347793</v>
      </c>
      <c r="AJ235" s="12">
        <f t="shared" si="94"/>
        <v>395174.18296548515</v>
      </c>
      <c r="AK235" s="86">
        <f t="shared" si="85"/>
        <v>0.8666666666666667</v>
      </c>
      <c r="AL235" s="12">
        <f t="shared" si="92"/>
        <v>482454.34041041054</v>
      </c>
      <c r="AM235" s="124">
        <f t="shared" si="86"/>
        <v>0.24633872129427711</v>
      </c>
      <c r="AN235" s="72"/>
      <c r="AO235" s="59">
        <v>232</v>
      </c>
      <c r="AP235" s="125">
        <f t="shared" si="87"/>
        <v>23395.958111190743</v>
      </c>
      <c r="AQ235" s="125">
        <f t="shared" si="93"/>
        <v>395174.18296548515</v>
      </c>
    </row>
    <row r="236" spans="19:43" x14ac:dyDescent="0.25">
      <c r="S236" s="9" t="str">
        <f t="shared" si="79"/>
        <v/>
      </c>
      <c r="T236" s="59">
        <v>19</v>
      </c>
      <c r="U236" s="59">
        <v>5</v>
      </c>
      <c r="V236" s="3" t="s">
        <v>54</v>
      </c>
      <c r="W236" s="23">
        <f>'Análise Técnica'!$C$3</f>
        <v>750</v>
      </c>
      <c r="X236" s="23">
        <f t="shared" si="97"/>
        <v>513.11719853436546</v>
      </c>
      <c r="Y236" s="54">
        <f t="shared" si="95"/>
        <v>236.88280146563454</v>
      </c>
      <c r="Z236" s="54">
        <f t="shared" si="96"/>
        <v>0</v>
      </c>
      <c r="AA236" s="54">
        <f t="shared" si="80"/>
        <v>100</v>
      </c>
      <c r="AB236" s="54">
        <f t="shared" si="81"/>
        <v>136.88280146563454</v>
      </c>
      <c r="AC236" s="54">
        <f t="shared" si="88"/>
        <v>0</v>
      </c>
      <c r="AD236" s="58">
        <f t="shared" si="89"/>
        <v>5.7367559405448674</v>
      </c>
      <c r="AE236" s="2">
        <f t="shared" si="82"/>
        <v>4045.9697429247453</v>
      </c>
      <c r="AF236" s="2">
        <f t="shared" si="83"/>
        <v>570.41028700061713</v>
      </c>
      <c r="AG236" s="12">
        <f t="shared" si="90"/>
        <v>3475.5594559241281</v>
      </c>
      <c r="AH236" s="2">
        <f t="shared" si="91"/>
        <v>0</v>
      </c>
      <c r="AI236" s="12">
        <f t="shared" si="84"/>
        <v>3475.5594559241281</v>
      </c>
      <c r="AJ236" s="12">
        <f t="shared" si="94"/>
        <v>398649.74242140929</v>
      </c>
      <c r="AK236" s="86">
        <f t="shared" si="85"/>
        <v>0.85901765874594016</v>
      </c>
      <c r="AL236" s="12">
        <f t="shared" si="92"/>
        <v>486500.31015333527</v>
      </c>
      <c r="AM236" s="124">
        <f t="shared" si="86"/>
        <v>0.24416459033616761</v>
      </c>
      <c r="AN236" s="72"/>
      <c r="AO236" s="59">
        <v>233</v>
      </c>
      <c r="AP236" s="125">
        <f t="shared" si="87"/>
        <v>23473.710240110733</v>
      </c>
      <c r="AQ236" s="125">
        <f t="shared" si="93"/>
        <v>398649.74242140929</v>
      </c>
    </row>
    <row r="237" spans="19:43" x14ac:dyDescent="0.25">
      <c r="S237" s="9" t="str">
        <f t="shared" si="79"/>
        <v/>
      </c>
      <c r="T237" s="59">
        <v>19</v>
      </c>
      <c r="U237" s="59">
        <v>6</v>
      </c>
      <c r="V237" s="3" t="s">
        <v>55</v>
      </c>
      <c r="W237" s="23">
        <f>'Análise Técnica'!$C$3</f>
        <v>750</v>
      </c>
      <c r="X237" s="23">
        <f t="shared" si="97"/>
        <v>474.52621145796485</v>
      </c>
      <c r="Y237" s="54">
        <f t="shared" si="95"/>
        <v>275.47378854203515</v>
      </c>
      <c r="Z237" s="54">
        <f t="shared" si="96"/>
        <v>0</v>
      </c>
      <c r="AA237" s="54">
        <f t="shared" si="80"/>
        <v>100</v>
      </c>
      <c r="AB237" s="54">
        <f t="shared" si="81"/>
        <v>175.47378854203515</v>
      </c>
      <c r="AC237" s="54">
        <f t="shared" si="88"/>
        <v>0</v>
      </c>
      <c r="AD237" s="58">
        <f t="shared" si="89"/>
        <v>175.47378854203515</v>
      </c>
      <c r="AE237" s="2">
        <f t="shared" si="82"/>
        <v>4045.9697429247453</v>
      </c>
      <c r="AF237" s="2">
        <f t="shared" si="83"/>
        <v>1486.0781512132316</v>
      </c>
      <c r="AG237" s="12">
        <f t="shared" si="90"/>
        <v>2559.8915917115137</v>
      </c>
      <c r="AH237" s="2">
        <f t="shared" si="91"/>
        <v>0</v>
      </c>
      <c r="AI237" s="12">
        <f t="shared" si="84"/>
        <v>2559.8915917115137</v>
      </c>
      <c r="AJ237" s="12">
        <f t="shared" si="94"/>
        <v>401209.63401312078</v>
      </c>
      <c r="AK237" s="86">
        <f t="shared" si="85"/>
        <v>0.63270161527728641</v>
      </c>
      <c r="AL237" s="12">
        <f t="shared" si="92"/>
        <v>490546.27989626001</v>
      </c>
      <c r="AM237" s="124">
        <f t="shared" si="86"/>
        <v>0.17983720023257355</v>
      </c>
      <c r="AN237" s="72"/>
      <c r="AO237" s="59">
        <v>234</v>
      </c>
      <c r="AP237" s="125">
        <f t="shared" si="87"/>
        <v>23551.682666729343</v>
      </c>
      <c r="AQ237" s="125">
        <f t="shared" si="93"/>
        <v>401209.63401312078</v>
      </c>
    </row>
    <row r="238" spans="19:43" x14ac:dyDescent="0.25">
      <c r="S238" s="9" t="str">
        <f t="shared" si="79"/>
        <v/>
      </c>
      <c r="T238" s="59">
        <v>19</v>
      </c>
      <c r="U238" s="59">
        <v>7</v>
      </c>
      <c r="V238" s="3" t="s">
        <v>56</v>
      </c>
      <c r="W238" s="23">
        <f>'Análise Técnica'!$C$3</f>
        <v>750</v>
      </c>
      <c r="X238" s="23">
        <f t="shared" si="97"/>
        <v>474.46124346625345</v>
      </c>
      <c r="Y238" s="54">
        <f t="shared" si="95"/>
        <v>275.53875653374655</v>
      </c>
      <c r="Z238" s="54">
        <f t="shared" si="96"/>
        <v>0</v>
      </c>
      <c r="AA238" s="54">
        <f t="shared" si="80"/>
        <v>100</v>
      </c>
      <c r="AB238" s="54">
        <f t="shared" si="81"/>
        <v>175.53875653374655</v>
      </c>
      <c r="AC238" s="54">
        <f t="shared" si="88"/>
        <v>0</v>
      </c>
      <c r="AD238" s="58">
        <f t="shared" si="89"/>
        <v>175.53875653374655</v>
      </c>
      <c r="AE238" s="2">
        <f t="shared" si="82"/>
        <v>4045.9697429247453</v>
      </c>
      <c r="AF238" s="2">
        <f t="shared" si="83"/>
        <v>1486.4286292515287</v>
      </c>
      <c r="AG238" s="12">
        <f t="shared" si="90"/>
        <v>2559.5411136732164</v>
      </c>
      <c r="AH238" s="2">
        <f t="shared" si="91"/>
        <v>0</v>
      </c>
      <c r="AI238" s="12">
        <f t="shared" si="84"/>
        <v>2559.5411136732164</v>
      </c>
      <c r="AJ238" s="12">
        <f t="shared" si="94"/>
        <v>403769.17512679403</v>
      </c>
      <c r="AK238" s="86">
        <f t="shared" si="85"/>
        <v>0.63261499128833787</v>
      </c>
      <c r="AL238" s="12">
        <f t="shared" si="92"/>
        <v>494592.24963918474</v>
      </c>
      <c r="AM238" s="124">
        <f t="shared" si="86"/>
        <v>0.17981257849103008</v>
      </c>
      <c r="AN238" s="72"/>
      <c r="AO238" s="59">
        <v>235</v>
      </c>
      <c r="AP238" s="125">
        <f t="shared" si="87"/>
        <v>23629.876015223359</v>
      </c>
      <c r="AQ238" s="125">
        <f t="shared" si="93"/>
        <v>403769.17512679403</v>
      </c>
    </row>
    <row r="239" spans="19:43" x14ac:dyDescent="0.25">
      <c r="S239" s="9" t="str">
        <f t="shared" si="79"/>
        <v/>
      </c>
      <c r="T239" s="59">
        <v>19</v>
      </c>
      <c r="U239" s="59">
        <v>8</v>
      </c>
      <c r="V239" s="3" t="s">
        <v>57</v>
      </c>
      <c r="W239" s="23">
        <f>'Análise Técnica'!$C$3</f>
        <v>750</v>
      </c>
      <c r="X239" s="23">
        <f t="shared" si="97"/>
        <v>586.71293954471332</v>
      </c>
      <c r="Y239" s="54">
        <f t="shared" si="95"/>
        <v>163.28706045528668</v>
      </c>
      <c r="Z239" s="54">
        <f t="shared" si="96"/>
        <v>0</v>
      </c>
      <c r="AA239" s="54">
        <f t="shared" si="80"/>
        <v>100</v>
      </c>
      <c r="AB239" s="54">
        <f t="shared" si="81"/>
        <v>63.287060455286678</v>
      </c>
      <c r="AC239" s="54">
        <f t="shared" si="88"/>
        <v>0</v>
      </c>
      <c r="AD239" s="58">
        <f t="shared" si="89"/>
        <v>63.287060455286678</v>
      </c>
      <c r="AE239" s="2">
        <f t="shared" si="82"/>
        <v>4045.9697429247453</v>
      </c>
      <c r="AF239" s="2">
        <f t="shared" si="83"/>
        <v>880.87267468428479</v>
      </c>
      <c r="AG239" s="12">
        <f t="shared" si="90"/>
        <v>3165.0970682404604</v>
      </c>
      <c r="AH239" s="2">
        <f t="shared" si="91"/>
        <v>0</v>
      </c>
      <c r="AI239" s="12">
        <f t="shared" si="84"/>
        <v>3165.0970682404604</v>
      </c>
      <c r="AJ239" s="12">
        <f t="shared" si="94"/>
        <v>406934.27219503449</v>
      </c>
      <c r="AK239" s="86">
        <f t="shared" si="85"/>
        <v>0.78228391939295105</v>
      </c>
      <c r="AL239" s="12">
        <f t="shared" si="92"/>
        <v>498638.21938210947</v>
      </c>
      <c r="AM239" s="124">
        <f t="shared" si="86"/>
        <v>0.22235402352961722</v>
      </c>
      <c r="AN239" s="72"/>
      <c r="AO239" s="59">
        <v>236</v>
      </c>
      <c r="AP239" s="125">
        <f t="shared" si="87"/>
        <v>23708.290911538104</v>
      </c>
      <c r="AQ239" s="125">
        <f t="shared" si="93"/>
        <v>406934.27219503449</v>
      </c>
    </row>
    <row r="240" spans="19:43" x14ac:dyDescent="0.25">
      <c r="S240" s="9" t="str">
        <f t="shared" si="79"/>
        <v/>
      </c>
      <c r="T240" s="59">
        <v>19</v>
      </c>
      <c r="U240" s="59">
        <v>9</v>
      </c>
      <c r="V240" s="3" t="s">
        <v>58</v>
      </c>
      <c r="W240" s="23">
        <f>'Análise Técnica'!$C$3</f>
        <v>750</v>
      </c>
      <c r="X240" s="23">
        <f t="shared" si="97"/>
        <v>595.93839436769122</v>
      </c>
      <c r="Y240" s="54">
        <f t="shared" si="95"/>
        <v>154.06160563230878</v>
      </c>
      <c r="Z240" s="54">
        <f t="shared" si="96"/>
        <v>0</v>
      </c>
      <c r="AA240" s="54">
        <f t="shared" si="80"/>
        <v>100</v>
      </c>
      <c r="AB240" s="54">
        <f t="shared" si="81"/>
        <v>54.061605632308783</v>
      </c>
      <c r="AC240" s="54">
        <f t="shared" si="88"/>
        <v>0</v>
      </c>
      <c r="AD240" s="58">
        <f t="shared" si="89"/>
        <v>54.061605632308783</v>
      </c>
      <c r="AE240" s="2">
        <f t="shared" si="82"/>
        <v>4045.9697429247453</v>
      </c>
      <c r="AF240" s="2">
        <f t="shared" si="83"/>
        <v>831.10479324630114</v>
      </c>
      <c r="AG240" s="12">
        <f t="shared" si="90"/>
        <v>3214.8649496784442</v>
      </c>
      <c r="AH240" s="2">
        <f t="shared" si="91"/>
        <v>0</v>
      </c>
      <c r="AI240" s="12">
        <f t="shared" si="84"/>
        <v>3214.8649496784442</v>
      </c>
      <c r="AJ240" s="12">
        <f t="shared" si="94"/>
        <v>410149.13714471291</v>
      </c>
      <c r="AK240" s="86">
        <f t="shared" si="85"/>
        <v>0.79458452582358829</v>
      </c>
      <c r="AL240" s="12">
        <f t="shared" si="92"/>
        <v>502684.1891250342</v>
      </c>
      <c r="AM240" s="124">
        <f t="shared" si="86"/>
        <v>0.22585031082877183</v>
      </c>
      <c r="AN240" s="72"/>
      <c r="AO240" s="59">
        <v>237</v>
      </c>
      <c r="AP240" s="125">
        <f t="shared" si="87"/>
        <v>23786.927983392416</v>
      </c>
      <c r="AQ240" s="125">
        <f t="shared" si="93"/>
        <v>410149.13714471291</v>
      </c>
    </row>
    <row r="241" spans="19:43" x14ac:dyDescent="0.25">
      <c r="S241" s="9" t="str">
        <f t="shared" si="79"/>
        <v/>
      </c>
      <c r="T241" s="59">
        <v>19</v>
      </c>
      <c r="U241" s="59">
        <v>10</v>
      </c>
      <c r="V241" s="3" t="s">
        <v>59</v>
      </c>
      <c r="W241" s="23">
        <f>'Análise Técnica'!$C$3</f>
        <v>750</v>
      </c>
      <c r="X241" s="23">
        <f t="shared" si="97"/>
        <v>666.67554374275039</v>
      </c>
      <c r="Y241" s="54">
        <f t="shared" si="95"/>
        <v>83.324456257249608</v>
      </c>
      <c r="Z241" s="54">
        <f t="shared" si="96"/>
        <v>0</v>
      </c>
      <c r="AA241" s="54">
        <f t="shared" si="80"/>
        <v>100</v>
      </c>
      <c r="AB241" s="54">
        <f t="shared" si="81"/>
        <v>0</v>
      </c>
      <c r="AC241" s="54">
        <f t="shared" si="88"/>
        <v>0</v>
      </c>
      <c r="AD241" s="58">
        <f t="shared" si="89"/>
        <v>0</v>
      </c>
      <c r="AE241" s="2">
        <f t="shared" si="82"/>
        <v>4045.9697429247453</v>
      </c>
      <c r="AF241" s="2">
        <f t="shared" si="83"/>
        <v>539.46263238996607</v>
      </c>
      <c r="AG241" s="12">
        <f t="shared" si="90"/>
        <v>3506.5071105347793</v>
      </c>
      <c r="AH241" s="2">
        <f t="shared" si="91"/>
        <v>0</v>
      </c>
      <c r="AI241" s="12">
        <f t="shared" si="84"/>
        <v>3506.5071105347793</v>
      </c>
      <c r="AJ241" s="12">
        <f t="shared" si="94"/>
        <v>413655.64425524767</v>
      </c>
      <c r="AK241" s="86">
        <f t="shared" si="85"/>
        <v>0.8666666666666667</v>
      </c>
      <c r="AL241" s="12">
        <f t="shared" si="92"/>
        <v>506730.15886795893</v>
      </c>
      <c r="AM241" s="124">
        <f t="shared" si="86"/>
        <v>0.24633872129427711</v>
      </c>
      <c r="AN241" s="72"/>
      <c r="AO241" s="59">
        <v>238</v>
      </c>
      <c r="AP241" s="125">
        <f t="shared" si="87"/>
        <v>23865.78786028365</v>
      </c>
      <c r="AQ241" s="125">
        <f t="shared" si="93"/>
        <v>413655.64425524767</v>
      </c>
    </row>
    <row r="242" spans="19:43" x14ac:dyDescent="0.25">
      <c r="S242" s="9" t="str">
        <f t="shared" si="79"/>
        <v/>
      </c>
      <c r="T242" s="59">
        <v>19</v>
      </c>
      <c r="U242" s="59">
        <v>11</v>
      </c>
      <c r="V242" s="3" t="s">
        <v>60</v>
      </c>
      <c r="W242" s="23">
        <f>'Análise Técnica'!$C$3</f>
        <v>750</v>
      </c>
      <c r="X242" s="23">
        <f t="shared" si="97"/>
        <v>671.48317512937274</v>
      </c>
      <c r="Y242" s="54">
        <f t="shared" si="95"/>
        <v>78.516824870627261</v>
      </c>
      <c r="Z242" s="54">
        <f t="shared" si="96"/>
        <v>0</v>
      </c>
      <c r="AA242" s="54">
        <f t="shared" si="80"/>
        <v>100</v>
      </c>
      <c r="AB242" s="54">
        <f t="shared" si="81"/>
        <v>0</v>
      </c>
      <c r="AC242" s="54">
        <f t="shared" si="88"/>
        <v>0</v>
      </c>
      <c r="AD242" s="58">
        <f t="shared" si="89"/>
        <v>0</v>
      </c>
      <c r="AE242" s="2">
        <f t="shared" si="82"/>
        <v>4045.9697429247453</v>
      </c>
      <c r="AF242" s="2">
        <f t="shared" si="83"/>
        <v>539.46263238996607</v>
      </c>
      <c r="AG242" s="12">
        <f t="shared" si="90"/>
        <v>3506.5071105347793</v>
      </c>
      <c r="AH242" s="2">
        <f t="shared" si="91"/>
        <v>0</v>
      </c>
      <c r="AI242" s="12">
        <f t="shared" si="84"/>
        <v>3506.5071105347793</v>
      </c>
      <c r="AJ242" s="12">
        <f t="shared" si="94"/>
        <v>417162.15136578243</v>
      </c>
      <c r="AK242" s="86">
        <f t="shared" si="85"/>
        <v>0.8666666666666667</v>
      </c>
      <c r="AL242" s="12">
        <f t="shared" si="92"/>
        <v>510776.12861088366</v>
      </c>
      <c r="AM242" s="124">
        <f t="shared" si="86"/>
        <v>0.24633872129427711</v>
      </c>
      <c r="AN242" s="72"/>
      <c r="AO242" s="59">
        <v>239</v>
      </c>
      <c r="AP242" s="125">
        <f t="shared" si="87"/>
        <v>23944.871173492738</v>
      </c>
      <c r="AQ242" s="125">
        <f t="shared" si="93"/>
        <v>417162.15136578243</v>
      </c>
    </row>
    <row r="243" spans="19:43" x14ac:dyDescent="0.25">
      <c r="S243" s="9" t="str">
        <f t="shared" si="79"/>
        <v/>
      </c>
      <c r="T243" s="59">
        <v>19</v>
      </c>
      <c r="U243" s="59">
        <v>12</v>
      </c>
      <c r="V243" s="3" t="s">
        <v>61</v>
      </c>
      <c r="W243" s="23">
        <f>'Análise Técnica'!$C$3</f>
        <v>750</v>
      </c>
      <c r="X243" s="23">
        <f t="shared" si="97"/>
        <v>770.39044571037005</v>
      </c>
      <c r="Y243" s="54">
        <f t="shared" si="95"/>
        <v>0</v>
      </c>
      <c r="Z243" s="54">
        <f t="shared" si="96"/>
        <v>20.390445710370045</v>
      </c>
      <c r="AA243" s="54">
        <f t="shared" si="80"/>
        <v>100</v>
      </c>
      <c r="AB243" s="54">
        <f t="shared" si="81"/>
        <v>0</v>
      </c>
      <c r="AC243" s="54">
        <f t="shared" si="88"/>
        <v>20.390445710370045</v>
      </c>
      <c r="AD243" s="58">
        <f t="shared" si="89"/>
        <v>0</v>
      </c>
      <c r="AE243" s="2">
        <f t="shared" si="82"/>
        <v>4045.9697429247453</v>
      </c>
      <c r="AF243" s="2">
        <f t="shared" si="83"/>
        <v>539.46263238996607</v>
      </c>
      <c r="AG243" s="12">
        <f t="shared" si="90"/>
        <v>3506.5071105347793</v>
      </c>
      <c r="AH243" s="2">
        <f t="shared" si="91"/>
        <v>0</v>
      </c>
      <c r="AI243" s="12">
        <f t="shared" si="84"/>
        <v>3506.5071105347793</v>
      </c>
      <c r="AJ243" s="12">
        <f t="shared" si="94"/>
        <v>420668.65847631718</v>
      </c>
      <c r="AK243" s="86">
        <f t="shared" si="85"/>
        <v>0.8666666666666667</v>
      </c>
      <c r="AL243" s="12">
        <f t="shared" si="92"/>
        <v>514822.0983538084</v>
      </c>
      <c r="AM243" s="124">
        <f t="shared" si="86"/>
        <v>0.24633872129427711</v>
      </c>
      <c r="AN243" s="72"/>
      <c r="AO243" s="59">
        <v>240</v>
      </c>
      <c r="AP243" s="125">
        <f t="shared" si="87"/>
        <v>24024.178556089257</v>
      </c>
      <c r="AQ243" s="125">
        <f t="shared" si="93"/>
        <v>420668.65847631718</v>
      </c>
    </row>
    <row r="244" spans="19:43" x14ac:dyDescent="0.25">
      <c r="S244" s="9" t="str">
        <f t="shared" si="79"/>
        <v/>
      </c>
      <c r="T244" s="59">
        <v>20</v>
      </c>
      <c r="U244" s="59">
        <v>1</v>
      </c>
      <c r="V244" s="3" t="s">
        <v>50</v>
      </c>
      <c r="W244" s="23">
        <f>'Análise Técnica'!$C$3</f>
        <v>750</v>
      </c>
      <c r="X244" s="23">
        <f t="shared" si="97"/>
        <v>789.40951343743768</v>
      </c>
      <c r="Y244" s="54">
        <f t="shared" si="95"/>
        <v>0</v>
      </c>
      <c r="Z244" s="54">
        <f t="shared" si="96"/>
        <v>39.409513437437681</v>
      </c>
      <c r="AA244" s="54">
        <f t="shared" si="80"/>
        <v>100</v>
      </c>
      <c r="AB244" s="54">
        <f t="shared" si="81"/>
        <v>0</v>
      </c>
      <c r="AC244" s="54">
        <f t="shared" si="88"/>
        <v>59.799959147807726</v>
      </c>
      <c r="AD244" s="58">
        <f t="shared" si="89"/>
        <v>0</v>
      </c>
      <c r="AE244" s="2">
        <f t="shared" si="82"/>
        <v>4369.6473223587245</v>
      </c>
      <c r="AF244" s="2">
        <f t="shared" si="83"/>
        <v>582.61964298116334</v>
      </c>
      <c r="AG244" s="12">
        <f t="shared" si="90"/>
        <v>3787.0276793775611</v>
      </c>
      <c r="AH244" s="2">
        <f t="shared" si="91"/>
        <v>0</v>
      </c>
      <c r="AI244" s="12">
        <f t="shared" si="84"/>
        <v>3787.0276793775611</v>
      </c>
      <c r="AJ244" s="12">
        <f t="shared" si="94"/>
        <v>424455.68615569477</v>
      </c>
      <c r="AK244" s="86">
        <f t="shared" si="85"/>
        <v>0.8666666666666667</v>
      </c>
      <c r="AL244" s="12">
        <f t="shared" si="92"/>
        <v>519191.74567616713</v>
      </c>
      <c r="AM244" s="124">
        <f t="shared" si="86"/>
        <v>0.26604581899781926</v>
      </c>
      <c r="AN244" s="72"/>
      <c r="AO244" s="59">
        <v>241</v>
      </c>
      <c r="AP244" s="125">
        <f t="shared" si="87"/>
        <v>23780.03306350248</v>
      </c>
      <c r="AQ244" s="125">
        <f t="shared" si="93"/>
        <v>424455.68615569477</v>
      </c>
    </row>
    <row r="245" spans="19:43" x14ac:dyDescent="0.25">
      <c r="S245" s="9" t="str">
        <f t="shared" si="79"/>
        <v/>
      </c>
      <c r="T245" s="59">
        <v>20</v>
      </c>
      <c r="U245" s="59">
        <v>2</v>
      </c>
      <c r="V245" s="3" t="s">
        <v>51</v>
      </c>
      <c r="W245" s="23">
        <f>'Análise Técnica'!$C$3</f>
        <v>750</v>
      </c>
      <c r="X245" s="23">
        <f t="shared" si="97"/>
        <v>831.42051954629835</v>
      </c>
      <c r="Y245" s="54">
        <f t="shared" si="95"/>
        <v>0</v>
      </c>
      <c r="Z245" s="54">
        <f t="shared" si="96"/>
        <v>81.420519546298351</v>
      </c>
      <c r="AA245" s="54">
        <f t="shared" si="80"/>
        <v>100</v>
      </c>
      <c r="AB245" s="54">
        <f t="shared" si="81"/>
        <v>0</v>
      </c>
      <c r="AC245" s="54">
        <f t="shared" si="88"/>
        <v>141.22047869410608</v>
      </c>
      <c r="AD245" s="58">
        <f t="shared" si="89"/>
        <v>0</v>
      </c>
      <c r="AE245" s="2">
        <f t="shared" si="82"/>
        <v>4369.6473223587245</v>
      </c>
      <c r="AF245" s="2">
        <f t="shared" si="83"/>
        <v>582.61964298116334</v>
      </c>
      <c r="AG245" s="12">
        <f t="shared" si="90"/>
        <v>3787.0276793775611</v>
      </c>
      <c r="AH245" s="2">
        <f t="shared" si="91"/>
        <v>0</v>
      </c>
      <c r="AI245" s="12">
        <f t="shared" si="84"/>
        <v>3787.0276793775611</v>
      </c>
      <c r="AJ245" s="12">
        <f t="shared" si="94"/>
        <v>428242.71383507235</v>
      </c>
      <c r="AK245" s="86">
        <f t="shared" si="85"/>
        <v>0.8666666666666667</v>
      </c>
      <c r="AL245" s="12">
        <f t="shared" si="92"/>
        <v>523561.39299852587</v>
      </c>
      <c r="AM245" s="124">
        <f t="shared" si="86"/>
        <v>0.26604581899781926</v>
      </c>
      <c r="AN245" s="72"/>
      <c r="AO245" s="59">
        <v>242</v>
      </c>
      <c r="AP245" s="125">
        <f t="shared" si="87"/>
        <v>23859.790491262422</v>
      </c>
      <c r="AQ245" s="125">
        <f t="shared" si="93"/>
        <v>428242.71383507235</v>
      </c>
    </row>
    <row r="246" spans="19:43" x14ac:dyDescent="0.25">
      <c r="S246" s="9" t="str">
        <f t="shared" si="79"/>
        <v/>
      </c>
      <c r="T246" s="59">
        <v>20</v>
      </c>
      <c r="U246" s="59">
        <v>3</v>
      </c>
      <c r="V246" s="3" t="s">
        <v>52</v>
      </c>
      <c r="W246" s="23">
        <f>'Análise Técnica'!$C$3</f>
        <v>750</v>
      </c>
      <c r="X246" s="23">
        <f t="shared" si="97"/>
        <v>697.71042854319057</v>
      </c>
      <c r="Y246" s="54">
        <f t="shared" si="95"/>
        <v>52.289571456809426</v>
      </c>
      <c r="Z246" s="54">
        <f t="shared" si="96"/>
        <v>0</v>
      </c>
      <c r="AA246" s="54">
        <f t="shared" si="80"/>
        <v>100</v>
      </c>
      <c r="AB246" s="54">
        <f t="shared" si="81"/>
        <v>0</v>
      </c>
      <c r="AC246" s="54">
        <f t="shared" si="88"/>
        <v>141.22047869410608</v>
      </c>
      <c r="AD246" s="58">
        <f t="shared" si="89"/>
        <v>0</v>
      </c>
      <c r="AE246" s="2">
        <f t="shared" si="82"/>
        <v>4369.6473223587245</v>
      </c>
      <c r="AF246" s="2">
        <f t="shared" si="83"/>
        <v>582.61964298116334</v>
      </c>
      <c r="AG246" s="12">
        <f t="shared" si="90"/>
        <v>3787.0276793775611</v>
      </c>
      <c r="AH246" s="2">
        <f t="shared" si="91"/>
        <v>0</v>
      </c>
      <c r="AI246" s="12">
        <f t="shared" si="84"/>
        <v>3787.0276793775611</v>
      </c>
      <c r="AJ246" s="12">
        <f t="shared" si="94"/>
        <v>432029.74151444994</v>
      </c>
      <c r="AK246" s="86">
        <f t="shared" si="85"/>
        <v>0.8666666666666667</v>
      </c>
      <c r="AL246" s="12">
        <f t="shared" si="92"/>
        <v>527931.04032088455</v>
      </c>
      <c r="AM246" s="124">
        <f t="shared" si="86"/>
        <v>0.26604581899781926</v>
      </c>
      <c r="AN246" s="72"/>
      <c r="AO246" s="59">
        <v>243</v>
      </c>
      <c r="AP246" s="125">
        <f t="shared" si="87"/>
        <v>23939.773898401018</v>
      </c>
      <c r="AQ246" s="125">
        <f t="shared" si="93"/>
        <v>432029.74151444994</v>
      </c>
    </row>
    <row r="247" spans="19:43" x14ac:dyDescent="0.25">
      <c r="S247" s="9" t="str">
        <f t="shared" si="79"/>
        <v/>
      </c>
      <c r="T247" s="59">
        <v>20</v>
      </c>
      <c r="U247" s="59">
        <v>4</v>
      </c>
      <c r="V247" s="3" t="s">
        <v>53</v>
      </c>
      <c r="W247" s="23">
        <f>'Análise Técnica'!$C$3</f>
        <v>750</v>
      </c>
      <c r="X247" s="23">
        <f t="shared" si="97"/>
        <v>618.70754451230789</v>
      </c>
      <c r="Y247" s="54">
        <f t="shared" si="95"/>
        <v>131.29245548769211</v>
      </c>
      <c r="Z247" s="54">
        <f t="shared" si="96"/>
        <v>0</v>
      </c>
      <c r="AA247" s="54">
        <f t="shared" si="80"/>
        <v>100</v>
      </c>
      <c r="AB247" s="54">
        <f t="shared" si="81"/>
        <v>31.292455487692109</v>
      </c>
      <c r="AC247" s="54">
        <f t="shared" si="88"/>
        <v>109.92802320641397</v>
      </c>
      <c r="AD247" s="58">
        <f t="shared" si="89"/>
        <v>0</v>
      </c>
      <c r="AE247" s="2">
        <f t="shared" si="82"/>
        <v>4369.6473223587245</v>
      </c>
      <c r="AF247" s="2">
        <f t="shared" si="83"/>
        <v>582.61964298116334</v>
      </c>
      <c r="AG247" s="12">
        <f t="shared" si="90"/>
        <v>3787.0276793775611</v>
      </c>
      <c r="AH247" s="2">
        <f t="shared" si="91"/>
        <v>0</v>
      </c>
      <c r="AI247" s="12">
        <f t="shared" si="84"/>
        <v>3787.0276793775611</v>
      </c>
      <c r="AJ247" s="12">
        <f t="shared" si="94"/>
        <v>435816.76919382752</v>
      </c>
      <c r="AK247" s="86">
        <f t="shared" si="85"/>
        <v>0.8666666666666667</v>
      </c>
      <c r="AL247" s="12">
        <f t="shared" si="92"/>
        <v>532300.68764324323</v>
      </c>
      <c r="AM247" s="124">
        <f t="shared" si="86"/>
        <v>0.26604581899781926</v>
      </c>
      <c r="AN247" s="72"/>
      <c r="AO247" s="59">
        <v>244</v>
      </c>
      <c r="AP247" s="125">
        <f t="shared" si="87"/>
        <v>24019.983925193166</v>
      </c>
      <c r="AQ247" s="125">
        <f t="shared" si="93"/>
        <v>435816.76919382752</v>
      </c>
    </row>
    <row r="248" spans="19:43" x14ac:dyDescent="0.25">
      <c r="S248" s="9" t="str">
        <f t="shared" si="79"/>
        <v/>
      </c>
      <c r="T248" s="59">
        <v>20</v>
      </c>
      <c r="U248" s="59">
        <v>5</v>
      </c>
      <c r="V248" s="3" t="s">
        <v>54</v>
      </c>
      <c r="W248" s="23">
        <f>'Análise Técnica'!$C$3</f>
        <v>750</v>
      </c>
      <c r="X248" s="23">
        <f t="shared" si="97"/>
        <v>509.52537814462488</v>
      </c>
      <c r="Y248" s="54">
        <f t="shared" si="95"/>
        <v>240.47462185537512</v>
      </c>
      <c r="Z248" s="54">
        <f t="shared" si="96"/>
        <v>0</v>
      </c>
      <c r="AA248" s="54">
        <f t="shared" si="80"/>
        <v>100</v>
      </c>
      <c r="AB248" s="54">
        <f t="shared" si="81"/>
        <v>140.47462185537512</v>
      </c>
      <c r="AC248" s="54">
        <f t="shared" si="88"/>
        <v>0</v>
      </c>
      <c r="AD248" s="58">
        <f t="shared" si="89"/>
        <v>30.546598648961151</v>
      </c>
      <c r="AE248" s="2">
        <f t="shared" si="82"/>
        <v>4369.6473223587245</v>
      </c>
      <c r="AF248" s="2">
        <f t="shared" si="83"/>
        <v>760.59012697262972</v>
      </c>
      <c r="AG248" s="12">
        <f t="shared" si="90"/>
        <v>3609.0571953860949</v>
      </c>
      <c r="AH248" s="2">
        <f t="shared" si="91"/>
        <v>0</v>
      </c>
      <c r="AI248" s="12">
        <f t="shared" si="84"/>
        <v>3609.0571953860949</v>
      </c>
      <c r="AJ248" s="12">
        <f t="shared" si="94"/>
        <v>439425.82638921362</v>
      </c>
      <c r="AK248" s="86">
        <f t="shared" si="85"/>
        <v>0.82593786846805173</v>
      </c>
      <c r="AL248" s="12">
        <f t="shared" si="92"/>
        <v>536670.33496560191</v>
      </c>
      <c r="AM248" s="124">
        <f t="shared" si="86"/>
        <v>0.25354305768218766</v>
      </c>
      <c r="AN248" s="72"/>
      <c r="AO248" s="59">
        <v>245</v>
      </c>
      <c r="AP248" s="125">
        <f t="shared" si="87"/>
        <v>24100.421213727899</v>
      </c>
      <c r="AQ248" s="125">
        <f t="shared" si="93"/>
        <v>439425.82638921362</v>
      </c>
    </row>
    <row r="249" spans="19:43" x14ac:dyDescent="0.25">
      <c r="S249" s="9" t="str">
        <f t="shared" si="79"/>
        <v/>
      </c>
      <c r="T249" s="59">
        <v>20</v>
      </c>
      <c r="U249" s="59">
        <v>6</v>
      </c>
      <c r="V249" s="3" t="s">
        <v>55</v>
      </c>
      <c r="W249" s="23">
        <f>'Análise Técnica'!$C$3</f>
        <v>750</v>
      </c>
      <c r="X249" s="23">
        <f t="shared" si="97"/>
        <v>471.20452797775908</v>
      </c>
      <c r="Y249" s="54">
        <f t="shared" si="95"/>
        <v>278.79547202224092</v>
      </c>
      <c r="Z249" s="54">
        <f t="shared" si="96"/>
        <v>0</v>
      </c>
      <c r="AA249" s="54">
        <f t="shared" si="80"/>
        <v>100</v>
      </c>
      <c r="AB249" s="54">
        <f t="shared" si="81"/>
        <v>178.79547202224092</v>
      </c>
      <c r="AC249" s="54">
        <f t="shared" si="88"/>
        <v>0</v>
      </c>
      <c r="AD249" s="58">
        <f t="shared" si="89"/>
        <v>178.79547202224092</v>
      </c>
      <c r="AE249" s="2">
        <f t="shared" si="82"/>
        <v>4369.6473223587245</v>
      </c>
      <c r="AF249" s="2">
        <f t="shared" si="83"/>
        <v>1624.3171837436291</v>
      </c>
      <c r="AG249" s="12">
        <f t="shared" si="90"/>
        <v>2745.3301386150952</v>
      </c>
      <c r="AH249" s="2">
        <f t="shared" si="91"/>
        <v>0</v>
      </c>
      <c r="AI249" s="12">
        <f t="shared" si="84"/>
        <v>2745.3301386150952</v>
      </c>
      <c r="AJ249" s="12">
        <f t="shared" si="94"/>
        <v>442171.15652782872</v>
      </c>
      <c r="AK249" s="86">
        <f t="shared" si="85"/>
        <v>0.6282727039703454</v>
      </c>
      <c r="AL249" s="12">
        <f t="shared" si="92"/>
        <v>541039.98228796059</v>
      </c>
      <c r="AM249" s="124">
        <f t="shared" si="86"/>
        <v>0.19286460701742114</v>
      </c>
      <c r="AN249" s="72"/>
      <c r="AO249" s="59">
        <v>246</v>
      </c>
      <c r="AP249" s="125">
        <f t="shared" si="87"/>
        <v>24181.08640791347</v>
      </c>
      <c r="AQ249" s="125">
        <f t="shared" si="93"/>
        <v>442171.15652782872</v>
      </c>
    </row>
    <row r="250" spans="19:43" x14ac:dyDescent="0.25">
      <c r="S250" s="9" t="str">
        <f t="shared" si="79"/>
        <v/>
      </c>
      <c r="T250" s="59">
        <v>20</v>
      </c>
      <c r="U250" s="59">
        <v>7</v>
      </c>
      <c r="V250" s="3" t="s">
        <v>56</v>
      </c>
      <c r="W250" s="23">
        <f>'Análise Técnica'!$C$3</f>
        <v>750</v>
      </c>
      <c r="X250" s="23">
        <f t="shared" si="97"/>
        <v>471.14001476198968</v>
      </c>
      <c r="Y250" s="54">
        <f t="shared" si="95"/>
        <v>278.85998523801032</v>
      </c>
      <c r="Z250" s="54">
        <f t="shared" si="96"/>
        <v>0</v>
      </c>
      <c r="AA250" s="54">
        <f t="shared" si="80"/>
        <v>100</v>
      </c>
      <c r="AB250" s="54">
        <f t="shared" si="81"/>
        <v>178.85998523801032</v>
      </c>
      <c r="AC250" s="54">
        <f t="shared" si="88"/>
        <v>0</v>
      </c>
      <c r="AD250" s="58">
        <f t="shared" si="89"/>
        <v>178.85998523801032</v>
      </c>
      <c r="AE250" s="2">
        <f t="shared" si="82"/>
        <v>4369.6473223587245</v>
      </c>
      <c r="AF250" s="2">
        <f t="shared" si="83"/>
        <v>1624.6930504110203</v>
      </c>
      <c r="AG250" s="12">
        <f t="shared" si="90"/>
        <v>2744.954271947704</v>
      </c>
      <c r="AH250" s="2">
        <f t="shared" si="91"/>
        <v>0</v>
      </c>
      <c r="AI250" s="12">
        <f t="shared" si="84"/>
        <v>2744.954271947704</v>
      </c>
      <c r="AJ250" s="12">
        <f t="shared" si="94"/>
        <v>444916.11079977645</v>
      </c>
      <c r="AK250" s="86">
        <f t="shared" si="85"/>
        <v>0.62818668634931951</v>
      </c>
      <c r="AL250" s="12">
        <f t="shared" si="92"/>
        <v>545409.62961031927</v>
      </c>
      <c r="AM250" s="124">
        <f t="shared" si="86"/>
        <v>0.19283820167692028</v>
      </c>
      <c r="AN250" s="72"/>
      <c r="AO250" s="59">
        <v>247</v>
      </c>
      <c r="AP250" s="125">
        <f t="shared" si="87"/>
        <v>24261.980153482578</v>
      </c>
      <c r="AQ250" s="125">
        <f t="shared" si="93"/>
        <v>444916.11079977645</v>
      </c>
    </row>
    <row r="251" spans="19:43" x14ac:dyDescent="0.25">
      <c r="S251" s="9" t="str">
        <f t="shared" ref="S251:S303" si="98">IF(AND(AJ251&gt;0,AJ250&lt;0),"Payback","")</f>
        <v/>
      </c>
      <c r="T251" s="59">
        <v>20</v>
      </c>
      <c r="U251" s="59">
        <v>8</v>
      </c>
      <c r="V251" s="3" t="s">
        <v>57</v>
      </c>
      <c r="W251" s="23">
        <f>'Análise Técnica'!$C$3</f>
        <v>750</v>
      </c>
      <c r="X251" s="23">
        <f t="shared" si="97"/>
        <v>582.6059489679003</v>
      </c>
      <c r="Y251" s="54">
        <f t="shared" si="95"/>
        <v>167.3940510320997</v>
      </c>
      <c r="Z251" s="54">
        <f t="shared" si="96"/>
        <v>0</v>
      </c>
      <c r="AA251" s="54">
        <f t="shared" si="80"/>
        <v>100</v>
      </c>
      <c r="AB251" s="54">
        <f t="shared" si="81"/>
        <v>67.394051032099696</v>
      </c>
      <c r="AC251" s="54">
        <f t="shared" si="88"/>
        <v>0</v>
      </c>
      <c r="AD251" s="58">
        <f t="shared" si="89"/>
        <v>67.394051032099696</v>
      </c>
      <c r="AE251" s="2">
        <f t="shared" si="82"/>
        <v>4369.6473223587245</v>
      </c>
      <c r="AF251" s="2">
        <f t="shared" si="83"/>
        <v>975.27062249492553</v>
      </c>
      <c r="AG251" s="12">
        <f t="shared" si="90"/>
        <v>3394.3766998637989</v>
      </c>
      <c r="AH251" s="2">
        <f t="shared" si="91"/>
        <v>0</v>
      </c>
      <c r="AI251" s="12">
        <f t="shared" si="84"/>
        <v>3394.3766998637989</v>
      </c>
      <c r="AJ251" s="12">
        <f t="shared" si="94"/>
        <v>448310.48749964027</v>
      </c>
      <c r="AK251" s="86">
        <f t="shared" si="85"/>
        <v>0.77680793195720044</v>
      </c>
      <c r="AL251" s="12">
        <f t="shared" si="92"/>
        <v>549779.27693267795</v>
      </c>
      <c r="AM251" s="124">
        <f t="shared" si="86"/>
        <v>0.23846134899410265</v>
      </c>
      <c r="AN251" s="72"/>
      <c r="AO251" s="59">
        <v>248</v>
      </c>
      <c r="AP251" s="125">
        <f t="shared" si="87"/>
        <v>24343.103097997464</v>
      </c>
      <c r="AQ251" s="125">
        <f t="shared" si="93"/>
        <v>448310.48749964027</v>
      </c>
    </row>
    <row r="252" spans="19:43" x14ac:dyDescent="0.25">
      <c r="S252" s="9" t="str">
        <f t="shared" si="98"/>
        <v/>
      </c>
      <c r="T252" s="59">
        <v>20</v>
      </c>
      <c r="U252" s="59">
        <v>9</v>
      </c>
      <c r="V252" s="3" t="s">
        <v>58</v>
      </c>
      <c r="W252" s="23">
        <f>'Análise Técnica'!$C$3</f>
        <v>750</v>
      </c>
      <c r="X252" s="23">
        <f t="shared" si="97"/>
        <v>591.76682560711743</v>
      </c>
      <c r="Y252" s="54">
        <f t="shared" si="95"/>
        <v>158.23317439288257</v>
      </c>
      <c r="Z252" s="54">
        <f t="shared" si="96"/>
        <v>0</v>
      </c>
      <c r="AA252" s="54">
        <f t="shared" si="80"/>
        <v>100</v>
      </c>
      <c r="AB252" s="54">
        <f t="shared" si="81"/>
        <v>58.233174392882574</v>
      </c>
      <c r="AC252" s="54">
        <f t="shared" si="88"/>
        <v>0</v>
      </c>
      <c r="AD252" s="58">
        <f t="shared" si="89"/>
        <v>58.233174392882574</v>
      </c>
      <c r="AE252" s="2">
        <f t="shared" si="82"/>
        <v>4369.6473223587245</v>
      </c>
      <c r="AF252" s="2">
        <f t="shared" si="83"/>
        <v>921.89755572557397</v>
      </c>
      <c r="AG252" s="12">
        <f t="shared" si="90"/>
        <v>3447.7497666331506</v>
      </c>
      <c r="AH252" s="2">
        <f t="shared" si="91"/>
        <v>0</v>
      </c>
      <c r="AI252" s="12">
        <f t="shared" si="84"/>
        <v>3447.7497666331506</v>
      </c>
      <c r="AJ252" s="12">
        <f t="shared" si="94"/>
        <v>451758.23726627341</v>
      </c>
      <c r="AK252" s="86">
        <f t="shared" si="85"/>
        <v>0.78902243414282325</v>
      </c>
      <c r="AL252" s="12">
        <f t="shared" si="92"/>
        <v>554148.92425503663</v>
      </c>
      <c r="AM252" s="124">
        <f t="shared" si="86"/>
        <v>0.24221090734520806</v>
      </c>
      <c r="AN252" s="72"/>
      <c r="AO252" s="59">
        <v>249</v>
      </c>
      <c r="AP252" s="125">
        <f t="shared" si="87"/>
        <v>24424.455890855137</v>
      </c>
      <c r="AQ252" s="125">
        <f t="shared" si="93"/>
        <v>451758.23726627341</v>
      </c>
    </row>
    <row r="253" spans="19:43" x14ac:dyDescent="0.25">
      <c r="S253" s="9" t="str">
        <f t="shared" si="98"/>
        <v/>
      </c>
      <c r="T253" s="59">
        <v>20</v>
      </c>
      <c r="U253" s="59">
        <v>10</v>
      </c>
      <c r="V253" s="3" t="s">
        <v>59</v>
      </c>
      <c r="W253" s="23">
        <f>'Análise Técnica'!$C$3</f>
        <v>750</v>
      </c>
      <c r="X253" s="23">
        <f t="shared" si="97"/>
        <v>662.00881493655118</v>
      </c>
      <c r="Y253" s="54">
        <f t="shared" si="95"/>
        <v>87.991185063448825</v>
      </c>
      <c r="Z253" s="54">
        <f t="shared" si="96"/>
        <v>0</v>
      </c>
      <c r="AA253" s="54">
        <f t="shared" si="80"/>
        <v>100</v>
      </c>
      <c r="AB253" s="54">
        <f t="shared" si="81"/>
        <v>0</v>
      </c>
      <c r="AC253" s="54">
        <f t="shared" si="88"/>
        <v>0</v>
      </c>
      <c r="AD253" s="58">
        <f t="shared" si="89"/>
        <v>0</v>
      </c>
      <c r="AE253" s="2">
        <f t="shared" si="82"/>
        <v>4369.6473223587245</v>
      </c>
      <c r="AF253" s="2">
        <f t="shared" si="83"/>
        <v>582.61964298116334</v>
      </c>
      <c r="AG253" s="12">
        <f t="shared" si="90"/>
        <v>3787.0276793775611</v>
      </c>
      <c r="AH253" s="2">
        <f t="shared" si="91"/>
        <v>0</v>
      </c>
      <c r="AI253" s="12">
        <f t="shared" si="84"/>
        <v>3787.0276793775611</v>
      </c>
      <c r="AJ253" s="12">
        <f t="shared" si="94"/>
        <v>455545.264945651</v>
      </c>
      <c r="AK253" s="86">
        <f t="shared" si="85"/>
        <v>0.8666666666666667</v>
      </c>
      <c r="AL253" s="12">
        <f t="shared" si="92"/>
        <v>558518.57157739531</v>
      </c>
      <c r="AM253" s="124">
        <f t="shared" si="86"/>
        <v>0.26604581899781926</v>
      </c>
      <c r="AN253" s="72"/>
      <c r="AO253" s="59">
        <v>250</v>
      </c>
      <c r="AP253" s="125">
        <f t="shared" si="87"/>
        <v>24506.039183292571</v>
      </c>
      <c r="AQ253" s="125">
        <f t="shared" si="93"/>
        <v>455545.264945651</v>
      </c>
    </row>
    <row r="254" spans="19:43" x14ac:dyDescent="0.25">
      <c r="S254" s="9" t="str">
        <f t="shared" si="98"/>
        <v/>
      </c>
      <c r="T254" s="59">
        <v>20</v>
      </c>
      <c r="U254" s="59">
        <v>11</v>
      </c>
      <c r="V254" s="3" t="s">
        <v>60</v>
      </c>
      <c r="W254" s="23">
        <f>'Análise Técnica'!$C$3</f>
        <v>750</v>
      </c>
      <c r="X254" s="23">
        <f t="shared" si="97"/>
        <v>666.78279290346711</v>
      </c>
      <c r="Y254" s="54">
        <f t="shared" si="95"/>
        <v>83.217207096532888</v>
      </c>
      <c r="Z254" s="54">
        <f t="shared" si="96"/>
        <v>0</v>
      </c>
      <c r="AA254" s="54">
        <f t="shared" si="80"/>
        <v>100</v>
      </c>
      <c r="AB254" s="54">
        <f t="shared" si="81"/>
        <v>0</v>
      </c>
      <c r="AC254" s="54">
        <f t="shared" si="88"/>
        <v>0</v>
      </c>
      <c r="AD254" s="58">
        <f t="shared" si="89"/>
        <v>0</v>
      </c>
      <c r="AE254" s="2">
        <f t="shared" si="82"/>
        <v>4369.6473223587245</v>
      </c>
      <c r="AF254" s="2">
        <f t="shared" si="83"/>
        <v>582.61964298116334</v>
      </c>
      <c r="AG254" s="12">
        <f t="shared" si="90"/>
        <v>3787.0276793775611</v>
      </c>
      <c r="AH254" s="2">
        <f t="shared" si="91"/>
        <v>0</v>
      </c>
      <c r="AI254" s="12">
        <f t="shared" si="84"/>
        <v>3787.0276793775611</v>
      </c>
      <c r="AJ254" s="12">
        <f t="shared" si="94"/>
        <v>459332.29262502858</v>
      </c>
      <c r="AK254" s="86">
        <f t="shared" si="85"/>
        <v>0.8666666666666667</v>
      </c>
      <c r="AL254" s="12">
        <f t="shared" si="92"/>
        <v>562888.21889975399</v>
      </c>
      <c r="AM254" s="124">
        <f t="shared" si="86"/>
        <v>0.26604581899781926</v>
      </c>
      <c r="AN254" s="72"/>
      <c r="AO254" s="59">
        <v>251</v>
      </c>
      <c r="AP254" s="125">
        <f t="shared" si="87"/>
        <v>24587.853628391913</v>
      </c>
      <c r="AQ254" s="125">
        <f t="shared" si="93"/>
        <v>459332.29262502858</v>
      </c>
    </row>
    <row r="255" spans="19:43" x14ac:dyDescent="0.25">
      <c r="S255" s="9" t="str">
        <f t="shared" si="98"/>
        <v/>
      </c>
      <c r="T255" s="59">
        <v>20</v>
      </c>
      <c r="U255" s="59">
        <v>12</v>
      </c>
      <c r="V255" s="3" t="s">
        <v>61</v>
      </c>
      <c r="W255" s="23">
        <f>'Análise Técnica'!$C$3</f>
        <v>750</v>
      </c>
      <c r="X255" s="23">
        <f t="shared" si="97"/>
        <v>764.99771259039744</v>
      </c>
      <c r="Y255" s="54">
        <f t="shared" si="95"/>
        <v>0</v>
      </c>
      <c r="Z255" s="54">
        <f t="shared" si="96"/>
        <v>14.997712590397441</v>
      </c>
      <c r="AA255" s="54">
        <f t="shared" si="80"/>
        <v>100</v>
      </c>
      <c r="AB255" s="54">
        <f t="shared" si="81"/>
        <v>0</v>
      </c>
      <c r="AC255" s="54">
        <f t="shared" si="88"/>
        <v>14.997712590397441</v>
      </c>
      <c r="AD255" s="58">
        <f t="shared" si="89"/>
        <v>0</v>
      </c>
      <c r="AE255" s="2">
        <f t="shared" si="82"/>
        <v>4369.6473223587245</v>
      </c>
      <c r="AF255" s="2">
        <f t="shared" si="83"/>
        <v>582.61964298116334</v>
      </c>
      <c r="AG255" s="12">
        <f t="shared" si="90"/>
        <v>3787.0276793775611</v>
      </c>
      <c r="AH255" s="2">
        <f t="shared" si="91"/>
        <v>0</v>
      </c>
      <c r="AI255" s="12">
        <f t="shared" si="84"/>
        <v>3787.0276793775611</v>
      </c>
      <c r="AJ255" s="12">
        <f t="shared" si="94"/>
        <v>463119.32030440617</v>
      </c>
      <c r="AK255" s="86">
        <f t="shared" si="85"/>
        <v>0.8666666666666667</v>
      </c>
      <c r="AL255" s="12">
        <f t="shared" si="92"/>
        <v>567257.86622211267</v>
      </c>
      <c r="AM255" s="124">
        <f t="shared" si="86"/>
        <v>0.26604581899781926</v>
      </c>
      <c r="AN255" s="72"/>
      <c r="AO255" s="59">
        <v>252</v>
      </c>
      <c r="AP255" s="125">
        <f t="shared" si="87"/>
        <v>24669.899881085705</v>
      </c>
      <c r="AQ255" s="125">
        <f t="shared" si="93"/>
        <v>463119.32030440617</v>
      </c>
    </row>
    <row r="256" spans="19:43" x14ac:dyDescent="0.25">
      <c r="S256" s="9" t="str">
        <f t="shared" si="98"/>
        <v/>
      </c>
      <c r="T256" s="59">
        <v>21</v>
      </c>
      <c r="U256" s="59">
        <v>1</v>
      </c>
      <c r="V256" s="3" t="s">
        <v>50</v>
      </c>
      <c r="W256" s="23">
        <f>'Análise Técnica'!$C$3</f>
        <v>750</v>
      </c>
      <c r="X256" s="23">
        <f t="shared" si="97"/>
        <v>783.88364684337557</v>
      </c>
      <c r="Y256" s="54">
        <f t="shared" si="95"/>
        <v>0</v>
      </c>
      <c r="Z256" s="54">
        <f t="shared" si="96"/>
        <v>33.883646843375573</v>
      </c>
      <c r="AA256" s="54">
        <f t="shared" si="80"/>
        <v>100</v>
      </c>
      <c r="AB256" s="54">
        <f t="shared" si="81"/>
        <v>0</v>
      </c>
      <c r="AC256" s="54">
        <f t="shared" si="88"/>
        <v>48.881359433773014</v>
      </c>
      <c r="AD256" s="58">
        <f t="shared" si="89"/>
        <v>0</v>
      </c>
      <c r="AE256" s="2">
        <f t="shared" si="82"/>
        <v>4719.219108147423</v>
      </c>
      <c r="AF256" s="2">
        <f t="shared" si="83"/>
        <v>629.22921441965639</v>
      </c>
      <c r="AG256" s="12">
        <f t="shared" si="90"/>
        <v>4089.9898937277667</v>
      </c>
      <c r="AH256" s="2">
        <f t="shared" si="91"/>
        <v>0</v>
      </c>
      <c r="AI256" s="12">
        <f t="shared" si="84"/>
        <v>4089.9898937277667</v>
      </c>
      <c r="AJ256" s="12">
        <f t="shared" si="94"/>
        <v>467209.31019813393</v>
      </c>
      <c r="AK256" s="86">
        <f t="shared" si="85"/>
        <v>0.8666666666666667</v>
      </c>
      <c r="AL256" s="12">
        <f t="shared" si="92"/>
        <v>571977.0853302601</v>
      </c>
      <c r="AM256" s="124">
        <f t="shared" si="86"/>
        <v>0.28732948451764484</v>
      </c>
      <c r="AN256" s="72"/>
      <c r="AO256" s="59">
        <v>253</v>
      </c>
      <c r="AP256" s="125">
        <f t="shared" si="87"/>
        <v>24402.606812373437</v>
      </c>
      <c r="AQ256" s="125">
        <f t="shared" si="93"/>
        <v>467209.31019813393</v>
      </c>
    </row>
    <row r="257" spans="19:43" x14ac:dyDescent="0.25">
      <c r="S257" s="9" t="str">
        <f t="shared" si="98"/>
        <v/>
      </c>
      <c r="T257" s="59">
        <v>21</v>
      </c>
      <c r="U257" s="59">
        <v>2</v>
      </c>
      <c r="V257" s="3" t="s">
        <v>51</v>
      </c>
      <c r="W257" s="23">
        <f>'Análise Técnica'!$C$3</f>
        <v>750</v>
      </c>
      <c r="X257" s="23">
        <f t="shared" si="97"/>
        <v>825.60057590947429</v>
      </c>
      <c r="Y257" s="54">
        <f t="shared" si="95"/>
        <v>0</v>
      </c>
      <c r="Z257" s="54">
        <f t="shared" si="96"/>
        <v>75.600575909474287</v>
      </c>
      <c r="AA257" s="54">
        <f t="shared" si="80"/>
        <v>100</v>
      </c>
      <c r="AB257" s="54">
        <f t="shared" si="81"/>
        <v>0</v>
      </c>
      <c r="AC257" s="54">
        <f t="shared" si="88"/>
        <v>124.4819353432473</v>
      </c>
      <c r="AD257" s="58">
        <f t="shared" si="89"/>
        <v>0</v>
      </c>
      <c r="AE257" s="2">
        <f t="shared" si="82"/>
        <v>4719.219108147423</v>
      </c>
      <c r="AF257" s="2">
        <f t="shared" si="83"/>
        <v>629.22921441965639</v>
      </c>
      <c r="AG257" s="12">
        <f t="shared" si="90"/>
        <v>4089.9898937277667</v>
      </c>
      <c r="AH257" s="2">
        <f t="shared" si="91"/>
        <v>0</v>
      </c>
      <c r="AI257" s="12">
        <f t="shared" si="84"/>
        <v>4089.9898937277667</v>
      </c>
      <c r="AJ257" s="12">
        <f t="shared" si="94"/>
        <v>471299.30009186169</v>
      </c>
      <c r="AK257" s="86">
        <f t="shared" si="85"/>
        <v>0.8666666666666667</v>
      </c>
      <c r="AL257" s="12">
        <f t="shared" si="92"/>
        <v>576696.30443840753</v>
      </c>
      <c r="AM257" s="124">
        <f t="shared" si="86"/>
        <v>0.28732948451764484</v>
      </c>
      <c r="AN257" s="72"/>
      <c r="AO257" s="59">
        <v>254</v>
      </c>
      <c r="AP257" s="125">
        <f t="shared" si="87"/>
        <v>24485.118652481578</v>
      </c>
      <c r="AQ257" s="125">
        <f t="shared" si="93"/>
        <v>471299.30009186169</v>
      </c>
    </row>
    <row r="258" spans="19:43" x14ac:dyDescent="0.25">
      <c r="S258" s="9" t="str">
        <f t="shared" si="98"/>
        <v/>
      </c>
      <c r="T258" s="59">
        <v>21</v>
      </c>
      <c r="U258" s="59">
        <v>3</v>
      </c>
      <c r="V258" s="3" t="s">
        <v>52</v>
      </c>
      <c r="W258" s="23">
        <f>'Análise Técnica'!$C$3</f>
        <v>750</v>
      </c>
      <c r="X258" s="23">
        <f t="shared" si="97"/>
        <v>692.82645554338819</v>
      </c>
      <c r="Y258" s="54">
        <f t="shared" si="95"/>
        <v>57.173544456611808</v>
      </c>
      <c r="Z258" s="54">
        <f t="shared" si="96"/>
        <v>0</v>
      </c>
      <c r="AA258" s="54">
        <f t="shared" si="80"/>
        <v>100</v>
      </c>
      <c r="AB258" s="54">
        <f t="shared" si="81"/>
        <v>0</v>
      </c>
      <c r="AC258" s="54">
        <f t="shared" si="88"/>
        <v>124.4819353432473</v>
      </c>
      <c r="AD258" s="58">
        <f t="shared" si="89"/>
        <v>0</v>
      </c>
      <c r="AE258" s="2">
        <f t="shared" si="82"/>
        <v>4719.219108147423</v>
      </c>
      <c r="AF258" s="2">
        <f t="shared" si="83"/>
        <v>629.22921441965639</v>
      </c>
      <c r="AG258" s="12">
        <f t="shared" si="90"/>
        <v>4089.9898937277667</v>
      </c>
      <c r="AH258" s="2">
        <f t="shared" si="91"/>
        <v>0</v>
      </c>
      <c r="AI258" s="12">
        <f t="shared" si="84"/>
        <v>4089.9898937277667</v>
      </c>
      <c r="AJ258" s="12">
        <f t="shared" si="94"/>
        <v>475389.28998558945</v>
      </c>
      <c r="AK258" s="86">
        <f t="shared" si="85"/>
        <v>0.8666666666666667</v>
      </c>
      <c r="AL258" s="12">
        <f t="shared" si="92"/>
        <v>581415.52354655496</v>
      </c>
      <c r="AM258" s="124">
        <f t="shared" si="86"/>
        <v>0.28732948451764484</v>
      </c>
      <c r="AN258" s="72"/>
      <c r="AO258" s="59">
        <v>255</v>
      </c>
      <c r="AP258" s="125">
        <f t="shared" si="87"/>
        <v>24567.864276136694</v>
      </c>
      <c r="AQ258" s="125">
        <f t="shared" si="93"/>
        <v>475389.28998558945</v>
      </c>
    </row>
    <row r="259" spans="19:43" x14ac:dyDescent="0.25">
      <c r="S259" s="9" t="str">
        <f t="shared" si="98"/>
        <v/>
      </c>
      <c r="T259" s="59">
        <v>21</v>
      </c>
      <c r="U259" s="59">
        <v>4</v>
      </c>
      <c r="V259" s="3" t="s">
        <v>53</v>
      </c>
      <c r="W259" s="23">
        <f>'Análise Técnica'!$C$3</f>
        <v>750</v>
      </c>
      <c r="X259" s="23">
        <f t="shared" si="97"/>
        <v>614.37659170072175</v>
      </c>
      <c r="Y259" s="54">
        <f t="shared" si="95"/>
        <v>135.62340829927825</v>
      </c>
      <c r="Z259" s="54">
        <f t="shared" si="96"/>
        <v>0</v>
      </c>
      <c r="AA259" s="54">
        <f t="shared" si="80"/>
        <v>100</v>
      </c>
      <c r="AB259" s="54">
        <f t="shared" si="81"/>
        <v>35.623408299278253</v>
      </c>
      <c r="AC259" s="54">
        <f t="shared" si="88"/>
        <v>88.858527043969048</v>
      </c>
      <c r="AD259" s="58">
        <f t="shared" si="89"/>
        <v>0</v>
      </c>
      <c r="AE259" s="2">
        <f t="shared" si="82"/>
        <v>4719.219108147423</v>
      </c>
      <c r="AF259" s="2">
        <f t="shared" si="83"/>
        <v>629.22921441965639</v>
      </c>
      <c r="AG259" s="12">
        <f t="shared" si="90"/>
        <v>4089.9898937277667</v>
      </c>
      <c r="AH259" s="2">
        <f t="shared" si="91"/>
        <v>0</v>
      </c>
      <c r="AI259" s="12">
        <f t="shared" si="84"/>
        <v>4089.9898937277667</v>
      </c>
      <c r="AJ259" s="12">
        <f t="shared" si="94"/>
        <v>479479.27987931721</v>
      </c>
      <c r="AK259" s="86">
        <f t="shared" si="85"/>
        <v>0.8666666666666667</v>
      </c>
      <c r="AL259" s="12">
        <f t="shared" si="92"/>
        <v>586134.74265470239</v>
      </c>
      <c r="AM259" s="124">
        <f t="shared" si="86"/>
        <v>0.28732948451764484</v>
      </c>
      <c r="AN259" s="72"/>
      <c r="AO259" s="59">
        <v>256</v>
      </c>
      <c r="AP259" s="125">
        <f t="shared" si="87"/>
        <v>24650.844345725498</v>
      </c>
      <c r="AQ259" s="125">
        <f t="shared" si="93"/>
        <v>479479.27987931721</v>
      </c>
    </row>
    <row r="260" spans="19:43" x14ac:dyDescent="0.25">
      <c r="S260" s="9" t="str">
        <f t="shared" si="98"/>
        <v/>
      </c>
      <c r="T260" s="59">
        <v>21</v>
      </c>
      <c r="U260" s="59">
        <v>5</v>
      </c>
      <c r="V260" s="3" t="s">
        <v>54</v>
      </c>
      <c r="W260" s="23">
        <f>'Análise Técnica'!$C$3</f>
        <v>750</v>
      </c>
      <c r="X260" s="23">
        <f t="shared" si="97"/>
        <v>505.95870049761248</v>
      </c>
      <c r="Y260" s="54">
        <f t="shared" si="95"/>
        <v>244.04129950238752</v>
      </c>
      <c r="Z260" s="54">
        <f t="shared" si="96"/>
        <v>0</v>
      </c>
      <c r="AA260" s="54">
        <f t="shared" ref="AA260:AA303" si="99">$C$7</f>
        <v>100</v>
      </c>
      <c r="AB260" s="54">
        <f t="shared" ref="AB260:AB303" si="100">IF(Y260-$C$7&gt;0,Y260-$C$7,0)</f>
        <v>144.04129950238752</v>
      </c>
      <c r="AC260" s="54">
        <f t="shared" si="88"/>
        <v>0</v>
      </c>
      <c r="AD260" s="58">
        <f t="shared" si="89"/>
        <v>55.182772458418469</v>
      </c>
      <c r="AE260" s="2">
        <f t="shared" ref="AE260:AE303" si="101">($C$10*(1+$C$30)^T260)</f>
        <v>4719.219108147423</v>
      </c>
      <c r="AF260" s="2">
        <f t="shared" ref="AF260:AF303" si="102">IF(Z260&gt;0,((AA260*$C$8)*((1+$C$30)^T260)),((AA260+AD260)*$C$8)*(1+$C$30)^T260)</f>
        <v>976.4553400547494</v>
      </c>
      <c r="AG260" s="12">
        <f t="shared" si="90"/>
        <v>3742.7637680926737</v>
      </c>
      <c r="AH260" s="2">
        <f t="shared" si="91"/>
        <v>0</v>
      </c>
      <c r="AI260" s="12">
        <f t="shared" ref="AI260:AI303" si="103">AG260-AH260</f>
        <v>3742.7637680926737</v>
      </c>
      <c r="AJ260" s="12">
        <f t="shared" si="94"/>
        <v>483222.04364740988</v>
      </c>
      <c r="AK260" s="86">
        <f t="shared" ref="AK260:AK303" si="104">1-(AF260/AE260)</f>
        <v>0.79308963672210875</v>
      </c>
      <c r="AL260" s="12">
        <f t="shared" si="92"/>
        <v>590853.96176284982</v>
      </c>
      <c r="AM260" s="124">
        <f t="shared" ref="AM260:AM303" si="105">AG260/$C$4</f>
        <v>0.2629361959565189</v>
      </c>
      <c r="AN260" s="72"/>
      <c r="AO260" s="59">
        <v>257</v>
      </c>
      <c r="AP260" s="125">
        <f t="shared" ref="AP260:AP303" si="106">($C$4*(1+($C$36-$C$39))^AO260)-AE260</f>
        <v>24734.059525511468</v>
      </c>
      <c r="AQ260" s="125">
        <f t="shared" si="93"/>
        <v>483222.04364740988</v>
      </c>
    </row>
    <row r="261" spans="19:43" x14ac:dyDescent="0.25">
      <c r="S261" s="9" t="str">
        <f t="shared" si="98"/>
        <v/>
      </c>
      <c r="T261" s="59">
        <v>21</v>
      </c>
      <c r="U261" s="59">
        <v>6</v>
      </c>
      <c r="V261" s="3" t="s">
        <v>55</v>
      </c>
      <c r="W261" s="23">
        <f>'Análise Técnica'!$C$3</f>
        <v>750</v>
      </c>
      <c r="X261" s="23">
        <f t="shared" si="97"/>
        <v>467.90609628191476</v>
      </c>
      <c r="Y261" s="54">
        <f t="shared" si="95"/>
        <v>282.09390371808524</v>
      </c>
      <c r="Z261" s="54">
        <f t="shared" si="96"/>
        <v>0</v>
      </c>
      <c r="AA261" s="54">
        <f t="shared" si="99"/>
        <v>100</v>
      </c>
      <c r="AB261" s="54">
        <f t="shared" si="100"/>
        <v>182.09390371808524</v>
      </c>
      <c r="AC261" s="54">
        <f t="shared" ref="AC261:AC303" si="107">IF(AC260-(Y261-$C$7)&gt;0,IF(Y261&gt;0,IF(Y261&lt;$C$7,AC260,AC260-(Y261-$C$7)),Z261+AC260),0)</f>
        <v>0</v>
      </c>
      <c r="AD261" s="58">
        <f t="shared" ref="AD261:AD303" si="108">IF(AB261-AC260&lt;0,0,AB261-AC260)</f>
        <v>182.09390371808524</v>
      </c>
      <c r="AE261" s="2">
        <f t="shared" si="101"/>
        <v>4719.219108147423</v>
      </c>
      <c r="AF261" s="2">
        <f t="shared" si="102"/>
        <v>1775.0172542910495</v>
      </c>
      <c r="AG261" s="12">
        <f t="shared" ref="AG261:AG303" si="109">AE261-AF261</f>
        <v>2944.2018538563734</v>
      </c>
      <c r="AH261" s="2">
        <f t="shared" ref="AH261:AH303" si="110">$C$28/12*($C$4*((1+$C$29)^T261))+IF($C$31=T261,$C$33/12,0)</f>
        <v>0</v>
      </c>
      <c r="AI261" s="12">
        <f t="shared" si="103"/>
        <v>2944.2018538563734</v>
      </c>
      <c r="AJ261" s="12">
        <f t="shared" si="94"/>
        <v>486166.24550126627</v>
      </c>
      <c r="AK261" s="86">
        <f t="shared" si="104"/>
        <v>0.62387479504255305</v>
      </c>
      <c r="AL261" s="12">
        <f t="shared" ref="AL261:AL303" si="111">AL260+AE261</f>
        <v>595573.18087099725</v>
      </c>
      <c r="AM261" s="124">
        <f t="shared" si="105"/>
        <v>0.20683571914976318</v>
      </c>
      <c r="AN261" s="72"/>
      <c r="AO261" s="59">
        <v>258</v>
      </c>
      <c r="AP261" s="125">
        <f t="shared" si="106"/>
        <v>24817.510481640165</v>
      </c>
      <c r="AQ261" s="125">
        <f t="shared" ref="AQ261:AQ303" si="112">AJ261</f>
        <v>486166.24550126627</v>
      </c>
    </row>
    <row r="262" spans="19:43" x14ac:dyDescent="0.25">
      <c r="S262" s="9" t="str">
        <f t="shared" si="98"/>
        <v/>
      </c>
      <c r="T262" s="59">
        <v>21</v>
      </c>
      <c r="U262" s="59">
        <v>7</v>
      </c>
      <c r="V262" s="3" t="s">
        <v>56</v>
      </c>
      <c r="W262" s="23">
        <f>'Análise Técnica'!$C$3</f>
        <v>750</v>
      </c>
      <c r="X262" s="23">
        <f t="shared" si="97"/>
        <v>467.84203465865573</v>
      </c>
      <c r="Y262" s="54">
        <f t="shared" si="95"/>
        <v>282.15796534134427</v>
      </c>
      <c r="Z262" s="54">
        <f t="shared" si="96"/>
        <v>0</v>
      </c>
      <c r="AA262" s="54">
        <f t="shared" si="99"/>
        <v>100</v>
      </c>
      <c r="AB262" s="54">
        <f t="shared" si="100"/>
        <v>182.15796534134427</v>
      </c>
      <c r="AC262" s="54">
        <f t="shared" si="107"/>
        <v>0</v>
      </c>
      <c r="AD262" s="58">
        <f t="shared" si="108"/>
        <v>182.15796534134427</v>
      </c>
      <c r="AE262" s="2">
        <f t="shared" si="101"/>
        <v>4719.219108147423</v>
      </c>
      <c r="AF262" s="2">
        <f t="shared" si="102"/>
        <v>1775.4203487398267</v>
      </c>
      <c r="AG262" s="12">
        <f t="shared" si="109"/>
        <v>2943.7987594075962</v>
      </c>
      <c r="AH262" s="2">
        <f t="shared" si="110"/>
        <v>0</v>
      </c>
      <c r="AI262" s="12">
        <f t="shared" si="103"/>
        <v>2943.7987594075962</v>
      </c>
      <c r="AJ262" s="12">
        <f t="shared" si="94"/>
        <v>489110.04426067387</v>
      </c>
      <c r="AK262" s="86">
        <f t="shared" si="104"/>
        <v>0.62378937954487435</v>
      </c>
      <c r="AL262" s="12">
        <f t="shared" si="111"/>
        <v>600292.39997914468</v>
      </c>
      <c r="AM262" s="124">
        <f t="shared" si="105"/>
        <v>0.20680740100639644</v>
      </c>
      <c r="AN262" s="72"/>
      <c r="AO262" s="59">
        <v>259</v>
      </c>
      <c r="AP262" s="125">
        <f t="shared" si="106"/>
        <v>24901.197882144566</v>
      </c>
      <c r="AQ262" s="125">
        <f t="shared" si="112"/>
        <v>489110.04426067387</v>
      </c>
    </row>
    <row r="263" spans="19:43" x14ac:dyDescent="0.25">
      <c r="S263" s="9" t="str">
        <f t="shared" si="98"/>
        <v/>
      </c>
      <c r="T263" s="59">
        <v>21</v>
      </c>
      <c r="U263" s="59">
        <v>8</v>
      </c>
      <c r="V263" s="3" t="s">
        <v>57</v>
      </c>
      <c r="W263" s="23">
        <f>'Análise Técnica'!$C$3</f>
        <v>750</v>
      </c>
      <c r="X263" s="23">
        <f t="shared" si="97"/>
        <v>578.52770732512499</v>
      </c>
      <c r="Y263" s="54">
        <f t="shared" si="95"/>
        <v>171.47229267487501</v>
      </c>
      <c r="Z263" s="54">
        <f t="shared" si="96"/>
        <v>0</v>
      </c>
      <c r="AA263" s="54">
        <f t="shared" si="99"/>
        <v>100</v>
      </c>
      <c r="AB263" s="54">
        <f t="shared" si="100"/>
        <v>71.472292674875007</v>
      </c>
      <c r="AC263" s="54">
        <f t="shared" si="107"/>
        <v>0</v>
      </c>
      <c r="AD263" s="58">
        <f t="shared" si="108"/>
        <v>71.472292674875007</v>
      </c>
      <c r="AE263" s="2">
        <f t="shared" si="101"/>
        <v>4719.219108147423</v>
      </c>
      <c r="AF263" s="2">
        <f t="shared" si="102"/>
        <v>1078.9537601454899</v>
      </c>
      <c r="AG263" s="12">
        <f t="shared" si="109"/>
        <v>3640.265348001933</v>
      </c>
      <c r="AH263" s="2">
        <f t="shared" si="110"/>
        <v>0</v>
      </c>
      <c r="AI263" s="12">
        <f t="shared" si="103"/>
        <v>3640.265348001933</v>
      </c>
      <c r="AJ263" s="12">
        <f t="shared" ref="AJ263:AJ303" si="113">AJ262+AI263</f>
        <v>492750.30960867577</v>
      </c>
      <c r="AK263" s="86">
        <f t="shared" si="104"/>
        <v>0.77137027643349998</v>
      </c>
      <c r="AL263" s="12">
        <f t="shared" si="111"/>
        <v>605011.61908729211</v>
      </c>
      <c r="AM263" s="124">
        <f t="shared" si="105"/>
        <v>0.25573548911523547</v>
      </c>
      <c r="AN263" s="72"/>
      <c r="AO263" s="59">
        <v>260</v>
      </c>
      <c r="AP263" s="125">
        <f t="shared" si="106"/>
        <v>24985.122396950392</v>
      </c>
      <c r="AQ263" s="125">
        <f t="shared" si="112"/>
        <v>492750.30960867577</v>
      </c>
    </row>
    <row r="264" spans="19:43" x14ac:dyDescent="0.25">
      <c r="S264" s="9" t="str">
        <f t="shared" si="98"/>
        <v/>
      </c>
      <c r="T264" s="59">
        <v>21</v>
      </c>
      <c r="U264" s="59">
        <v>9</v>
      </c>
      <c r="V264" s="3" t="s">
        <v>58</v>
      </c>
      <c r="W264" s="23">
        <f>'Análise Técnica'!$C$3</f>
        <v>750</v>
      </c>
      <c r="X264" s="23">
        <f t="shared" si="97"/>
        <v>587.62445782786756</v>
      </c>
      <c r="Y264" s="54">
        <f t="shared" si="95"/>
        <v>162.37554217213244</v>
      </c>
      <c r="Z264" s="54">
        <f t="shared" si="96"/>
        <v>0</v>
      </c>
      <c r="AA264" s="54">
        <f t="shared" si="99"/>
        <v>100</v>
      </c>
      <c r="AB264" s="54">
        <f t="shared" si="100"/>
        <v>62.375542172132441</v>
      </c>
      <c r="AC264" s="54">
        <f t="shared" si="107"/>
        <v>0</v>
      </c>
      <c r="AD264" s="58">
        <f t="shared" si="108"/>
        <v>62.375542172132441</v>
      </c>
      <c r="AE264" s="2">
        <f t="shared" si="101"/>
        <v>4719.219108147423</v>
      </c>
      <c r="AF264" s="2">
        <f t="shared" si="102"/>
        <v>1021.7143484193668</v>
      </c>
      <c r="AG264" s="12">
        <f t="shared" si="109"/>
        <v>3697.5047597280563</v>
      </c>
      <c r="AH264" s="2">
        <f t="shared" si="110"/>
        <v>0</v>
      </c>
      <c r="AI264" s="12">
        <f t="shared" si="103"/>
        <v>3697.5047597280563</v>
      </c>
      <c r="AJ264" s="12">
        <f t="shared" si="113"/>
        <v>496447.81436840381</v>
      </c>
      <c r="AK264" s="86">
        <f t="shared" si="104"/>
        <v>0.78349927710382339</v>
      </c>
      <c r="AL264" s="12">
        <f t="shared" si="111"/>
        <v>609730.83819543954</v>
      </c>
      <c r="AM264" s="124">
        <f t="shared" si="105"/>
        <v>0.25975666547329496</v>
      </c>
      <c r="AN264" s="72"/>
      <c r="AO264" s="59">
        <v>261</v>
      </c>
      <c r="AP264" s="125">
        <f t="shared" si="106"/>
        <v>25069.2846978815</v>
      </c>
      <c r="AQ264" s="125">
        <f t="shared" si="112"/>
        <v>496447.81436840381</v>
      </c>
    </row>
    <row r="265" spans="19:43" x14ac:dyDescent="0.25">
      <c r="S265" s="9" t="str">
        <f t="shared" si="98"/>
        <v/>
      </c>
      <c r="T265" s="59">
        <v>21</v>
      </c>
      <c r="U265" s="59">
        <v>10</v>
      </c>
      <c r="V265" s="3" t="s">
        <v>59</v>
      </c>
      <c r="W265" s="23">
        <f>'Análise Técnica'!$C$3</f>
        <v>750</v>
      </c>
      <c r="X265" s="23">
        <f t="shared" si="97"/>
        <v>657.37475323199533</v>
      </c>
      <c r="Y265" s="54">
        <f t="shared" si="95"/>
        <v>92.625246768004672</v>
      </c>
      <c r="Z265" s="54">
        <f t="shared" si="96"/>
        <v>0</v>
      </c>
      <c r="AA265" s="54">
        <f t="shared" si="99"/>
        <v>100</v>
      </c>
      <c r="AB265" s="54">
        <f t="shared" si="100"/>
        <v>0</v>
      </c>
      <c r="AC265" s="54">
        <f t="shared" si="107"/>
        <v>0</v>
      </c>
      <c r="AD265" s="58">
        <f t="shared" si="108"/>
        <v>0</v>
      </c>
      <c r="AE265" s="2">
        <f t="shared" si="101"/>
        <v>4719.219108147423</v>
      </c>
      <c r="AF265" s="2">
        <f t="shared" si="102"/>
        <v>629.22921441965639</v>
      </c>
      <c r="AG265" s="12">
        <f t="shared" si="109"/>
        <v>4089.9898937277667</v>
      </c>
      <c r="AH265" s="2">
        <f t="shared" si="110"/>
        <v>0</v>
      </c>
      <c r="AI265" s="12">
        <f t="shared" si="103"/>
        <v>4089.9898937277667</v>
      </c>
      <c r="AJ265" s="12">
        <f t="shared" si="113"/>
        <v>500537.80426213157</v>
      </c>
      <c r="AK265" s="86">
        <f t="shared" si="104"/>
        <v>0.8666666666666667</v>
      </c>
      <c r="AL265" s="12">
        <f t="shared" si="111"/>
        <v>614450.05730358697</v>
      </c>
      <c r="AM265" s="124">
        <f t="shared" si="105"/>
        <v>0.28732948451764484</v>
      </c>
      <c r="AN265" s="72"/>
      <c r="AO265" s="59">
        <v>262</v>
      </c>
      <c r="AP265" s="125">
        <f t="shared" si="106"/>
        <v>25153.685458665248</v>
      </c>
      <c r="AQ265" s="125">
        <f t="shared" si="112"/>
        <v>500537.80426213157</v>
      </c>
    </row>
    <row r="266" spans="19:43" x14ac:dyDescent="0.25">
      <c r="S266" s="9" t="str">
        <f t="shared" si="98"/>
        <v/>
      </c>
      <c r="T266" s="59">
        <v>21</v>
      </c>
      <c r="U266" s="59">
        <v>11</v>
      </c>
      <c r="V266" s="3" t="s">
        <v>60</v>
      </c>
      <c r="W266" s="23">
        <f>'Análise Técnica'!$C$3</f>
        <v>750</v>
      </c>
      <c r="X266" s="23">
        <f t="shared" si="97"/>
        <v>662.11531335314282</v>
      </c>
      <c r="Y266" s="54">
        <f t="shared" si="95"/>
        <v>87.884686646857176</v>
      </c>
      <c r="Z266" s="54">
        <f t="shared" si="96"/>
        <v>0</v>
      </c>
      <c r="AA266" s="54">
        <f t="shared" si="99"/>
        <v>100</v>
      </c>
      <c r="AB266" s="54">
        <f t="shared" si="100"/>
        <v>0</v>
      </c>
      <c r="AC266" s="54">
        <f t="shared" si="107"/>
        <v>0</v>
      </c>
      <c r="AD266" s="58">
        <f t="shared" si="108"/>
        <v>0</v>
      </c>
      <c r="AE266" s="2">
        <f t="shared" si="101"/>
        <v>4719.219108147423</v>
      </c>
      <c r="AF266" s="2">
        <f t="shared" si="102"/>
        <v>629.22921441965639</v>
      </c>
      <c r="AG266" s="12">
        <f t="shared" si="109"/>
        <v>4089.9898937277667</v>
      </c>
      <c r="AH266" s="2">
        <f t="shared" si="110"/>
        <v>0</v>
      </c>
      <c r="AI266" s="12">
        <f t="shared" si="103"/>
        <v>4089.9898937277667</v>
      </c>
      <c r="AJ266" s="12">
        <f t="shared" si="113"/>
        <v>504627.79415585933</v>
      </c>
      <c r="AK266" s="86">
        <f t="shared" si="104"/>
        <v>0.8666666666666667</v>
      </c>
      <c r="AL266" s="12">
        <f t="shared" si="111"/>
        <v>619169.2764117344</v>
      </c>
      <c r="AM266" s="124">
        <f t="shared" si="105"/>
        <v>0.28732948451764484</v>
      </c>
      <c r="AN266" s="72"/>
      <c r="AO266" s="59">
        <v>263</v>
      </c>
      <c r="AP266" s="125">
        <f t="shared" si="106"/>
        <v>25238.325354937882</v>
      </c>
      <c r="AQ266" s="125">
        <f t="shared" si="112"/>
        <v>504627.79415585933</v>
      </c>
    </row>
    <row r="267" spans="19:43" x14ac:dyDescent="0.25">
      <c r="S267" s="9" t="str">
        <f t="shared" si="98"/>
        <v/>
      </c>
      <c r="T267" s="59">
        <v>21</v>
      </c>
      <c r="U267" s="59">
        <v>12</v>
      </c>
      <c r="V267" s="3" t="s">
        <v>61</v>
      </c>
      <c r="W267" s="23">
        <f>'Análise Técnica'!$C$3</f>
        <v>750</v>
      </c>
      <c r="X267" s="23">
        <f t="shared" si="97"/>
        <v>759.6427286022647</v>
      </c>
      <c r="Y267" s="54">
        <f t="shared" si="95"/>
        <v>0</v>
      </c>
      <c r="Z267" s="54">
        <f t="shared" si="96"/>
        <v>9.6427286022646967</v>
      </c>
      <c r="AA267" s="54">
        <f t="shared" si="99"/>
        <v>100</v>
      </c>
      <c r="AB267" s="54">
        <f t="shared" si="100"/>
        <v>0</v>
      </c>
      <c r="AC267" s="54">
        <f t="shared" si="107"/>
        <v>9.6427286022646967</v>
      </c>
      <c r="AD267" s="58">
        <f t="shared" si="108"/>
        <v>0</v>
      </c>
      <c r="AE267" s="2">
        <f t="shared" si="101"/>
        <v>4719.219108147423</v>
      </c>
      <c r="AF267" s="2">
        <f t="shared" si="102"/>
        <v>629.22921441965639</v>
      </c>
      <c r="AG267" s="12">
        <f t="shared" si="109"/>
        <v>4089.9898937277667</v>
      </c>
      <c r="AH267" s="2">
        <f t="shared" si="110"/>
        <v>0</v>
      </c>
      <c r="AI267" s="12">
        <f t="shared" si="103"/>
        <v>4089.9898937277667</v>
      </c>
      <c r="AJ267" s="12">
        <f t="shared" si="113"/>
        <v>508717.78404958709</v>
      </c>
      <c r="AK267" s="86">
        <f t="shared" si="104"/>
        <v>0.8666666666666667</v>
      </c>
      <c r="AL267" s="12">
        <f t="shared" si="111"/>
        <v>623888.49551988184</v>
      </c>
      <c r="AM267" s="124">
        <f t="shared" si="105"/>
        <v>0.28732948451764484</v>
      </c>
      <c r="AN267" s="72"/>
      <c r="AO267" s="59">
        <v>264</v>
      </c>
      <c r="AP267" s="125">
        <f t="shared" si="106"/>
        <v>25323.205064249953</v>
      </c>
      <c r="AQ267" s="125">
        <f t="shared" si="112"/>
        <v>508717.78404958709</v>
      </c>
    </row>
    <row r="268" spans="19:43" x14ac:dyDescent="0.25">
      <c r="S268" s="9" t="str">
        <f t="shared" si="98"/>
        <v/>
      </c>
      <c r="T268" s="59">
        <v>22</v>
      </c>
      <c r="U268" s="59">
        <v>1</v>
      </c>
      <c r="V268" s="3" t="s">
        <v>50</v>
      </c>
      <c r="W268" s="23">
        <f>'Análise Técnica'!$C$3</f>
        <v>750</v>
      </c>
      <c r="X268" s="23">
        <f t="shared" si="97"/>
        <v>778.39646131547192</v>
      </c>
      <c r="Y268" s="54">
        <f t="shared" si="95"/>
        <v>0</v>
      </c>
      <c r="Z268" s="54">
        <f t="shared" si="96"/>
        <v>28.396461315471925</v>
      </c>
      <c r="AA268" s="54">
        <f t="shared" si="99"/>
        <v>100</v>
      </c>
      <c r="AB268" s="54">
        <f t="shared" si="100"/>
        <v>0</v>
      </c>
      <c r="AC268" s="54">
        <f t="shared" si="107"/>
        <v>38.039189917736621</v>
      </c>
      <c r="AD268" s="58">
        <f t="shared" si="108"/>
        <v>0</v>
      </c>
      <c r="AE268" s="2">
        <f t="shared" si="101"/>
        <v>5096.7566367992176</v>
      </c>
      <c r="AF268" s="2">
        <f t="shared" si="102"/>
        <v>679.56755157322903</v>
      </c>
      <c r="AG268" s="12">
        <f t="shared" si="109"/>
        <v>4417.1890852259885</v>
      </c>
      <c r="AH268" s="2">
        <f t="shared" si="110"/>
        <v>0</v>
      </c>
      <c r="AI268" s="12">
        <f t="shared" si="103"/>
        <v>4417.1890852259885</v>
      </c>
      <c r="AJ268" s="12">
        <f t="shared" si="113"/>
        <v>513134.97313481307</v>
      </c>
      <c r="AK268" s="86">
        <f t="shared" si="104"/>
        <v>0.8666666666666667</v>
      </c>
      <c r="AL268" s="12">
        <f t="shared" si="111"/>
        <v>628985.25215668103</v>
      </c>
      <c r="AM268" s="124">
        <f t="shared" si="105"/>
        <v>0.31031584327905648</v>
      </c>
      <c r="AN268" s="72"/>
      <c r="AO268" s="59">
        <v>265</v>
      </c>
      <c r="AP268" s="125">
        <f t="shared" si="106"/>
        <v>25030.787737419952</v>
      </c>
      <c r="AQ268" s="125">
        <f t="shared" si="112"/>
        <v>513134.97313481307</v>
      </c>
    </row>
    <row r="269" spans="19:43" x14ac:dyDescent="0.25">
      <c r="S269" s="9" t="str">
        <f t="shared" si="98"/>
        <v/>
      </c>
      <c r="T269" s="59">
        <v>22</v>
      </c>
      <c r="U269" s="59">
        <v>2</v>
      </c>
      <c r="V269" s="3" t="s">
        <v>51</v>
      </c>
      <c r="W269" s="23">
        <f>'Análise Técnica'!$C$3</f>
        <v>750</v>
      </c>
      <c r="X269" s="23">
        <f t="shared" si="97"/>
        <v>819.82137187810793</v>
      </c>
      <c r="Y269" s="54">
        <f t="shared" si="95"/>
        <v>0</v>
      </c>
      <c r="Z269" s="54">
        <f t="shared" si="96"/>
        <v>69.821371878107925</v>
      </c>
      <c r="AA269" s="54">
        <f t="shared" si="99"/>
        <v>100</v>
      </c>
      <c r="AB269" s="54">
        <f t="shared" si="100"/>
        <v>0</v>
      </c>
      <c r="AC269" s="54">
        <f t="shared" si="107"/>
        <v>107.86056179584455</v>
      </c>
      <c r="AD269" s="58">
        <f t="shared" si="108"/>
        <v>0</v>
      </c>
      <c r="AE269" s="2">
        <f t="shared" si="101"/>
        <v>5096.7566367992176</v>
      </c>
      <c r="AF269" s="2">
        <f t="shared" si="102"/>
        <v>679.56755157322903</v>
      </c>
      <c r="AG269" s="12">
        <f t="shared" si="109"/>
        <v>4417.1890852259885</v>
      </c>
      <c r="AH269" s="2">
        <f t="shared" si="110"/>
        <v>0</v>
      </c>
      <c r="AI269" s="12">
        <f t="shared" si="103"/>
        <v>4417.1890852259885</v>
      </c>
      <c r="AJ269" s="12">
        <f t="shared" si="113"/>
        <v>517552.16222003906</v>
      </c>
      <c r="AK269" s="86">
        <f t="shared" si="104"/>
        <v>0.8666666666666667</v>
      </c>
      <c r="AL269" s="12">
        <f t="shared" si="111"/>
        <v>634082.00879348023</v>
      </c>
      <c r="AM269" s="124">
        <f t="shared" si="105"/>
        <v>0.31031584327905648</v>
      </c>
      <c r="AN269" s="72"/>
      <c r="AO269" s="59">
        <v>266</v>
      </c>
      <c r="AP269" s="125">
        <f t="shared" si="106"/>
        <v>25116.149113146908</v>
      </c>
      <c r="AQ269" s="125">
        <f t="shared" si="112"/>
        <v>517552.16222003906</v>
      </c>
    </row>
    <row r="270" spans="19:43" x14ac:dyDescent="0.25">
      <c r="S270" s="9" t="str">
        <f t="shared" si="98"/>
        <v/>
      </c>
      <c r="T270" s="59">
        <v>22</v>
      </c>
      <c r="U270" s="59">
        <v>3</v>
      </c>
      <c r="V270" s="3" t="s">
        <v>52</v>
      </c>
      <c r="W270" s="23">
        <f>'Análise Técnica'!$C$3</f>
        <v>750</v>
      </c>
      <c r="X270" s="23">
        <f t="shared" si="97"/>
        <v>687.97667035458448</v>
      </c>
      <c r="Y270" s="54">
        <f t="shared" si="95"/>
        <v>62.023329645415515</v>
      </c>
      <c r="Z270" s="54">
        <f t="shared" si="96"/>
        <v>0</v>
      </c>
      <c r="AA270" s="54">
        <f t="shared" si="99"/>
        <v>100</v>
      </c>
      <c r="AB270" s="54">
        <f t="shared" si="100"/>
        <v>0</v>
      </c>
      <c r="AC270" s="54">
        <f t="shared" si="107"/>
        <v>107.86056179584455</v>
      </c>
      <c r="AD270" s="58">
        <f t="shared" si="108"/>
        <v>0</v>
      </c>
      <c r="AE270" s="2">
        <f t="shared" si="101"/>
        <v>5096.7566367992176</v>
      </c>
      <c r="AF270" s="2">
        <f t="shared" si="102"/>
        <v>679.56755157322903</v>
      </c>
      <c r="AG270" s="12">
        <f t="shared" si="109"/>
        <v>4417.1890852259885</v>
      </c>
      <c r="AH270" s="2">
        <f t="shared" si="110"/>
        <v>0</v>
      </c>
      <c r="AI270" s="12">
        <f t="shared" si="103"/>
        <v>4417.1890852259885</v>
      </c>
      <c r="AJ270" s="12">
        <f t="shared" si="113"/>
        <v>521969.35130526504</v>
      </c>
      <c r="AK270" s="86">
        <f t="shared" si="104"/>
        <v>0.8666666666666667</v>
      </c>
      <c r="AL270" s="12">
        <f t="shared" si="111"/>
        <v>639178.76543027943</v>
      </c>
      <c r="AM270" s="124">
        <f t="shared" si="105"/>
        <v>0.31031584327905648</v>
      </c>
      <c r="AN270" s="72"/>
      <c r="AO270" s="59">
        <v>267</v>
      </c>
      <c r="AP270" s="125">
        <f t="shared" si="106"/>
        <v>25201.752346105084</v>
      </c>
      <c r="AQ270" s="125">
        <f t="shared" si="112"/>
        <v>521969.35130526504</v>
      </c>
    </row>
    <row r="271" spans="19:43" x14ac:dyDescent="0.25">
      <c r="S271" s="9" t="str">
        <f t="shared" si="98"/>
        <v/>
      </c>
      <c r="T271" s="59">
        <v>22</v>
      </c>
      <c r="U271" s="59">
        <v>4</v>
      </c>
      <c r="V271" s="3" t="s">
        <v>53</v>
      </c>
      <c r="W271" s="23">
        <f>'Análise Técnica'!$C$3</f>
        <v>750</v>
      </c>
      <c r="X271" s="23">
        <f t="shared" si="97"/>
        <v>610.07595555881664</v>
      </c>
      <c r="Y271" s="54">
        <f t="shared" si="95"/>
        <v>139.92404444118336</v>
      </c>
      <c r="Z271" s="54">
        <f t="shared" si="96"/>
        <v>0</v>
      </c>
      <c r="AA271" s="54">
        <f t="shared" si="99"/>
        <v>100</v>
      </c>
      <c r="AB271" s="54">
        <f t="shared" si="100"/>
        <v>39.924044441183355</v>
      </c>
      <c r="AC271" s="54">
        <f t="shared" si="107"/>
        <v>67.936517354661191</v>
      </c>
      <c r="AD271" s="58">
        <f t="shared" si="108"/>
        <v>0</v>
      </c>
      <c r="AE271" s="2">
        <f t="shared" si="101"/>
        <v>5096.7566367992176</v>
      </c>
      <c r="AF271" s="2">
        <f t="shared" si="102"/>
        <v>679.56755157322903</v>
      </c>
      <c r="AG271" s="12">
        <f t="shared" si="109"/>
        <v>4417.1890852259885</v>
      </c>
      <c r="AH271" s="2">
        <f t="shared" si="110"/>
        <v>0</v>
      </c>
      <c r="AI271" s="12">
        <f t="shared" si="103"/>
        <v>4417.1890852259885</v>
      </c>
      <c r="AJ271" s="12">
        <f t="shared" si="113"/>
        <v>526386.54039049102</v>
      </c>
      <c r="AK271" s="86">
        <f t="shared" si="104"/>
        <v>0.8666666666666667</v>
      </c>
      <c r="AL271" s="12">
        <f t="shared" si="111"/>
        <v>644275.52206707862</v>
      </c>
      <c r="AM271" s="124">
        <f t="shared" si="105"/>
        <v>0.31031584327905648</v>
      </c>
      <c r="AN271" s="72"/>
      <c r="AO271" s="59">
        <v>268</v>
      </c>
      <c r="AP271" s="125">
        <f t="shared" si="106"/>
        <v>25287.598121556643</v>
      </c>
      <c r="AQ271" s="125">
        <f t="shared" si="112"/>
        <v>526386.54039049102</v>
      </c>
    </row>
    <row r="272" spans="19:43" x14ac:dyDescent="0.25">
      <c r="S272" s="9" t="str">
        <f t="shared" si="98"/>
        <v/>
      </c>
      <c r="T272" s="59">
        <v>22</v>
      </c>
      <c r="U272" s="59">
        <v>5</v>
      </c>
      <c r="V272" s="3" t="s">
        <v>54</v>
      </c>
      <c r="W272" s="23">
        <f>'Análise Técnica'!$C$3</f>
        <v>750</v>
      </c>
      <c r="X272" s="23">
        <f t="shared" si="97"/>
        <v>502.41698959412918</v>
      </c>
      <c r="Y272" s="54">
        <f t="shared" si="95"/>
        <v>247.58301040587082</v>
      </c>
      <c r="Z272" s="54">
        <f t="shared" si="96"/>
        <v>0</v>
      </c>
      <c r="AA272" s="54">
        <f t="shared" si="99"/>
        <v>100</v>
      </c>
      <c r="AB272" s="54">
        <f t="shared" si="100"/>
        <v>147.58301040587082</v>
      </c>
      <c r="AC272" s="54">
        <f t="shared" si="107"/>
        <v>0</v>
      </c>
      <c r="AD272" s="58">
        <f t="shared" si="108"/>
        <v>79.646493051209632</v>
      </c>
      <c r="AE272" s="2">
        <f t="shared" si="101"/>
        <v>5096.7566367992176</v>
      </c>
      <c r="AF272" s="2">
        <f t="shared" si="102"/>
        <v>1220.8192743152763</v>
      </c>
      <c r="AG272" s="12">
        <f t="shared" si="109"/>
        <v>3875.9373624839413</v>
      </c>
      <c r="AH272" s="2">
        <f t="shared" si="110"/>
        <v>0</v>
      </c>
      <c r="AI272" s="12">
        <f t="shared" si="103"/>
        <v>3875.9373624839413</v>
      </c>
      <c r="AJ272" s="12">
        <f t="shared" si="113"/>
        <v>530262.47775297496</v>
      </c>
      <c r="AK272" s="86">
        <f t="shared" si="104"/>
        <v>0.76047134259838711</v>
      </c>
      <c r="AL272" s="12">
        <f t="shared" si="111"/>
        <v>649372.27870387782</v>
      </c>
      <c r="AM272" s="124">
        <f t="shared" si="105"/>
        <v>0.27229189150150934</v>
      </c>
      <c r="AN272" s="72"/>
      <c r="AO272" s="59">
        <v>269</v>
      </c>
      <c r="AP272" s="125">
        <f t="shared" si="106"/>
        <v>25373.687126705317</v>
      </c>
      <c r="AQ272" s="125">
        <f t="shared" si="112"/>
        <v>530262.47775297496</v>
      </c>
    </row>
    <row r="273" spans="19:43" x14ac:dyDescent="0.25">
      <c r="S273" s="9" t="str">
        <f t="shared" si="98"/>
        <v/>
      </c>
      <c r="T273" s="59">
        <v>22</v>
      </c>
      <c r="U273" s="59">
        <v>6</v>
      </c>
      <c r="V273" s="3" t="s">
        <v>55</v>
      </c>
      <c r="W273" s="23">
        <f>'Análise Técnica'!$C$3</f>
        <v>750</v>
      </c>
      <c r="X273" s="23">
        <f t="shared" si="97"/>
        <v>464.63075360794136</v>
      </c>
      <c r="Y273" s="54">
        <f t="shared" si="95"/>
        <v>285.36924639205864</v>
      </c>
      <c r="Z273" s="54">
        <f t="shared" si="96"/>
        <v>0</v>
      </c>
      <c r="AA273" s="54">
        <f t="shared" si="99"/>
        <v>100</v>
      </c>
      <c r="AB273" s="54">
        <f t="shared" si="100"/>
        <v>185.36924639205864</v>
      </c>
      <c r="AC273" s="54">
        <f t="shared" si="107"/>
        <v>0</v>
      </c>
      <c r="AD273" s="58">
        <f t="shared" si="108"/>
        <v>185.36924639205864</v>
      </c>
      <c r="AE273" s="2">
        <f t="shared" si="101"/>
        <v>5096.7566367992176</v>
      </c>
      <c r="AF273" s="2">
        <f t="shared" si="102"/>
        <v>1939.276800649488</v>
      </c>
      <c r="AG273" s="12">
        <f t="shared" si="109"/>
        <v>3157.4798361497296</v>
      </c>
      <c r="AH273" s="2">
        <f t="shared" si="110"/>
        <v>0</v>
      </c>
      <c r="AI273" s="12">
        <f t="shared" si="103"/>
        <v>3157.4798361497296</v>
      </c>
      <c r="AJ273" s="12">
        <f t="shared" si="113"/>
        <v>533419.95758912468</v>
      </c>
      <c r="AK273" s="86">
        <f t="shared" si="104"/>
        <v>0.61950767147725516</v>
      </c>
      <c r="AL273" s="12">
        <f t="shared" si="111"/>
        <v>654469.03534067702</v>
      </c>
      <c r="AM273" s="124">
        <f t="shared" si="105"/>
        <v>0.22181889864497206</v>
      </c>
      <c r="AN273" s="72"/>
      <c r="AO273" s="59">
        <v>270</v>
      </c>
      <c r="AP273" s="125">
        <f t="shared" si="106"/>
        <v>25460.020050701911</v>
      </c>
      <c r="AQ273" s="125">
        <f t="shared" si="112"/>
        <v>533419.95758912468</v>
      </c>
    </row>
    <row r="274" spans="19:43" x14ac:dyDescent="0.25">
      <c r="S274" s="9" t="str">
        <f t="shared" si="98"/>
        <v/>
      </c>
      <c r="T274" s="59">
        <v>22</v>
      </c>
      <c r="U274" s="59">
        <v>7</v>
      </c>
      <c r="V274" s="3" t="s">
        <v>56</v>
      </c>
      <c r="W274" s="23">
        <f>'Análise Técnica'!$C$3</f>
        <v>750</v>
      </c>
      <c r="X274" s="23">
        <f t="shared" si="97"/>
        <v>464.56714041604516</v>
      </c>
      <c r="Y274" s="54">
        <f t="shared" si="95"/>
        <v>285.43285958395484</v>
      </c>
      <c r="Z274" s="54">
        <f t="shared" si="96"/>
        <v>0</v>
      </c>
      <c r="AA274" s="54">
        <f t="shared" si="99"/>
        <v>100</v>
      </c>
      <c r="AB274" s="54">
        <f t="shared" si="100"/>
        <v>185.43285958395484</v>
      </c>
      <c r="AC274" s="54">
        <f t="shared" si="107"/>
        <v>0</v>
      </c>
      <c r="AD274" s="58">
        <f t="shared" si="108"/>
        <v>185.43285958395484</v>
      </c>
      <c r="AE274" s="2">
        <f t="shared" si="101"/>
        <v>5096.7566367992176</v>
      </c>
      <c r="AF274" s="2">
        <f t="shared" si="102"/>
        <v>1939.7090952601345</v>
      </c>
      <c r="AG274" s="12">
        <f t="shared" si="109"/>
        <v>3157.0475415390829</v>
      </c>
      <c r="AH274" s="2">
        <f t="shared" si="110"/>
        <v>0</v>
      </c>
      <c r="AI274" s="12">
        <f t="shared" si="103"/>
        <v>3157.0475415390829</v>
      </c>
      <c r="AJ274" s="12">
        <f t="shared" si="113"/>
        <v>536577.00513066375</v>
      </c>
      <c r="AK274" s="86">
        <f t="shared" si="104"/>
        <v>0.61942285388806018</v>
      </c>
      <c r="AL274" s="12">
        <f t="shared" si="111"/>
        <v>659565.79197747621</v>
      </c>
      <c r="AM274" s="124">
        <f t="shared" si="105"/>
        <v>0.22178852913529981</v>
      </c>
      <c r="AN274" s="72"/>
      <c r="AO274" s="59">
        <v>271</v>
      </c>
      <c r="AP274" s="125">
        <f t="shared" si="106"/>
        <v>25546.59758464983</v>
      </c>
      <c r="AQ274" s="125">
        <f t="shared" si="112"/>
        <v>536577.00513066375</v>
      </c>
    </row>
    <row r="275" spans="19:43" x14ac:dyDescent="0.25">
      <c r="S275" s="9" t="str">
        <f t="shared" si="98"/>
        <v/>
      </c>
      <c r="T275" s="59">
        <v>22</v>
      </c>
      <c r="U275" s="59">
        <v>8</v>
      </c>
      <c r="V275" s="3" t="s">
        <v>57</v>
      </c>
      <c r="W275" s="23">
        <f>'Análise Técnica'!$C$3</f>
        <v>750</v>
      </c>
      <c r="X275" s="23">
        <f t="shared" si="97"/>
        <v>574.47801337384908</v>
      </c>
      <c r="Y275" s="54">
        <f t="shared" si="95"/>
        <v>175.52198662615092</v>
      </c>
      <c r="Z275" s="54">
        <f t="shared" si="96"/>
        <v>0</v>
      </c>
      <c r="AA275" s="54">
        <f t="shared" si="99"/>
        <v>100</v>
      </c>
      <c r="AB275" s="54">
        <f t="shared" si="100"/>
        <v>75.52198662615092</v>
      </c>
      <c r="AC275" s="54">
        <f t="shared" si="107"/>
        <v>0</v>
      </c>
      <c r="AD275" s="58">
        <f t="shared" si="108"/>
        <v>75.52198662615092</v>
      </c>
      <c r="AE275" s="2">
        <f t="shared" si="101"/>
        <v>5096.7566367992176</v>
      </c>
      <c r="AF275" s="2">
        <f t="shared" si="102"/>
        <v>1192.7904669880243</v>
      </c>
      <c r="AG275" s="12">
        <f t="shared" si="109"/>
        <v>3903.9661698111931</v>
      </c>
      <c r="AH275" s="2">
        <f t="shared" si="110"/>
        <v>0</v>
      </c>
      <c r="AI275" s="12">
        <f t="shared" si="103"/>
        <v>3903.9661698111931</v>
      </c>
      <c r="AJ275" s="12">
        <f t="shared" si="113"/>
        <v>540480.97130047495</v>
      </c>
      <c r="AK275" s="86">
        <f t="shared" si="104"/>
        <v>0.7659706844984655</v>
      </c>
      <c r="AL275" s="12">
        <f t="shared" si="111"/>
        <v>664662.54861427541</v>
      </c>
      <c r="AM275" s="124">
        <f t="shared" si="105"/>
        <v>0.27426096794674315</v>
      </c>
      <c r="AN275" s="72"/>
      <c r="AO275" s="59">
        <v>272</v>
      </c>
      <c r="AP275" s="125">
        <f t="shared" si="106"/>
        <v>25633.420421610608</v>
      </c>
      <c r="AQ275" s="125">
        <f t="shared" si="112"/>
        <v>540480.97130047495</v>
      </c>
    </row>
    <row r="276" spans="19:43" x14ac:dyDescent="0.25">
      <c r="S276" s="9" t="str">
        <f t="shared" si="98"/>
        <v/>
      </c>
      <c r="T276" s="59">
        <v>22</v>
      </c>
      <c r="U276" s="59">
        <v>9</v>
      </c>
      <c r="V276" s="3" t="s">
        <v>58</v>
      </c>
      <c r="W276" s="23">
        <f>'Análise Técnica'!$C$3</f>
        <v>750</v>
      </c>
      <c r="X276" s="23">
        <f t="shared" si="97"/>
        <v>583.51108662307252</v>
      </c>
      <c r="Y276" s="54">
        <f t="shared" ref="Y276:Y303" si="114">IF(X276-W276&lt;0,W276-X276,0)</f>
        <v>166.48891337692748</v>
      </c>
      <c r="Z276" s="54">
        <f t="shared" ref="Z276:Z303" si="115">IF(X276-W276&gt;0,X276-W276,0)</f>
        <v>0</v>
      </c>
      <c r="AA276" s="54">
        <f t="shared" si="99"/>
        <v>100</v>
      </c>
      <c r="AB276" s="54">
        <f t="shared" si="100"/>
        <v>66.488913376927485</v>
      </c>
      <c r="AC276" s="54">
        <f t="shared" si="107"/>
        <v>0</v>
      </c>
      <c r="AD276" s="58">
        <f t="shared" si="108"/>
        <v>66.488913376927485</v>
      </c>
      <c r="AE276" s="2">
        <f t="shared" si="101"/>
        <v>5096.7566367992176</v>
      </c>
      <c r="AF276" s="2">
        <f t="shared" si="102"/>
        <v>1131.4046322764602</v>
      </c>
      <c r="AG276" s="12">
        <f t="shared" si="109"/>
        <v>3965.3520045227574</v>
      </c>
      <c r="AH276" s="2">
        <f t="shared" si="110"/>
        <v>0</v>
      </c>
      <c r="AI276" s="12">
        <f t="shared" si="103"/>
        <v>3965.3520045227574</v>
      </c>
      <c r="AJ276" s="12">
        <f t="shared" si="113"/>
        <v>544446.32330499776</v>
      </c>
      <c r="AK276" s="86">
        <f t="shared" si="104"/>
        <v>0.7780147821640967</v>
      </c>
      <c r="AL276" s="12">
        <f t="shared" si="111"/>
        <v>669759.30525107461</v>
      </c>
      <c r="AM276" s="124">
        <f t="shared" si="105"/>
        <v>0.2785734383201805</v>
      </c>
      <c r="AN276" s="72"/>
      <c r="AO276" s="59">
        <v>273</v>
      </c>
      <c r="AP276" s="125">
        <f t="shared" si="106"/>
        <v>25720.489256609431</v>
      </c>
      <c r="AQ276" s="125">
        <f t="shared" si="112"/>
        <v>544446.32330499776</v>
      </c>
    </row>
    <row r="277" spans="19:43" x14ac:dyDescent="0.25">
      <c r="S277" s="9" t="str">
        <f t="shared" si="98"/>
        <v/>
      </c>
      <c r="T277" s="59">
        <v>22</v>
      </c>
      <c r="U277" s="59">
        <v>10</v>
      </c>
      <c r="V277" s="3" t="s">
        <v>59</v>
      </c>
      <c r="W277" s="23">
        <f>'Análise Técnica'!$C$3</f>
        <v>750</v>
      </c>
      <c r="X277" s="23">
        <f t="shared" si="97"/>
        <v>652.77312995937132</v>
      </c>
      <c r="Y277" s="54">
        <f t="shared" si="114"/>
        <v>97.226870040628683</v>
      </c>
      <c r="Z277" s="54">
        <f t="shared" si="115"/>
        <v>0</v>
      </c>
      <c r="AA277" s="54">
        <f t="shared" si="99"/>
        <v>100</v>
      </c>
      <c r="AB277" s="54">
        <f t="shared" si="100"/>
        <v>0</v>
      </c>
      <c r="AC277" s="54">
        <f t="shared" si="107"/>
        <v>0</v>
      </c>
      <c r="AD277" s="58">
        <f t="shared" si="108"/>
        <v>0</v>
      </c>
      <c r="AE277" s="2">
        <f t="shared" si="101"/>
        <v>5096.7566367992176</v>
      </c>
      <c r="AF277" s="2">
        <f t="shared" si="102"/>
        <v>679.56755157322903</v>
      </c>
      <c r="AG277" s="12">
        <f t="shared" si="109"/>
        <v>4417.1890852259885</v>
      </c>
      <c r="AH277" s="2">
        <f t="shared" si="110"/>
        <v>0</v>
      </c>
      <c r="AI277" s="12">
        <f t="shared" si="103"/>
        <v>4417.1890852259885</v>
      </c>
      <c r="AJ277" s="12">
        <f t="shared" si="113"/>
        <v>548863.5123902238</v>
      </c>
      <c r="AK277" s="86">
        <f t="shared" si="104"/>
        <v>0.8666666666666667</v>
      </c>
      <c r="AL277" s="12">
        <f t="shared" si="111"/>
        <v>674856.0618878738</v>
      </c>
      <c r="AM277" s="124">
        <f t="shared" si="105"/>
        <v>0.31031584327905648</v>
      </c>
      <c r="AN277" s="72"/>
      <c r="AO277" s="59">
        <v>274</v>
      </c>
      <c r="AP277" s="125">
        <f t="shared" si="106"/>
        <v>25807.804786640758</v>
      </c>
      <c r="AQ277" s="125">
        <f t="shared" si="112"/>
        <v>548863.5123902238</v>
      </c>
    </row>
    <row r="278" spans="19:43" x14ac:dyDescent="0.25">
      <c r="S278" s="9" t="str">
        <f t="shared" si="98"/>
        <v/>
      </c>
      <c r="T278" s="59">
        <v>22</v>
      </c>
      <c r="U278" s="59">
        <v>11</v>
      </c>
      <c r="V278" s="3" t="s">
        <v>60</v>
      </c>
      <c r="W278" s="23">
        <f>'Análise Técnica'!$C$3</f>
        <v>750</v>
      </c>
      <c r="X278" s="23">
        <f t="shared" si="97"/>
        <v>657.48050615967077</v>
      </c>
      <c r="Y278" s="54">
        <f t="shared" si="114"/>
        <v>92.519493840329233</v>
      </c>
      <c r="Z278" s="54">
        <f t="shared" si="115"/>
        <v>0</v>
      </c>
      <c r="AA278" s="54">
        <f t="shared" si="99"/>
        <v>100</v>
      </c>
      <c r="AB278" s="54">
        <f t="shared" si="100"/>
        <v>0</v>
      </c>
      <c r="AC278" s="54">
        <f t="shared" si="107"/>
        <v>0</v>
      </c>
      <c r="AD278" s="58">
        <f t="shared" si="108"/>
        <v>0</v>
      </c>
      <c r="AE278" s="2">
        <f t="shared" si="101"/>
        <v>5096.7566367992176</v>
      </c>
      <c r="AF278" s="2">
        <f t="shared" si="102"/>
        <v>679.56755157322903</v>
      </c>
      <c r="AG278" s="12">
        <f t="shared" si="109"/>
        <v>4417.1890852259885</v>
      </c>
      <c r="AH278" s="2">
        <f t="shared" si="110"/>
        <v>0</v>
      </c>
      <c r="AI278" s="12">
        <f t="shared" si="103"/>
        <v>4417.1890852259885</v>
      </c>
      <c r="AJ278" s="12">
        <f t="shared" si="113"/>
        <v>553280.70147544984</v>
      </c>
      <c r="AK278" s="86">
        <f t="shared" si="104"/>
        <v>0.8666666666666667</v>
      </c>
      <c r="AL278" s="12">
        <f t="shared" si="111"/>
        <v>679952.818524673</v>
      </c>
      <c r="AM278" s="124">
        <f t="shared" si="105"/>
        <v>0.31031584327905648</v>
      </c>
      <c r="AN278" s="72"/>
      <c r="AO278" s="59">
        <v>275</v>
      </c>
      <c r="AP278" s="125">
        <f t="shared" si="106"/>
        <v>25895.367710673836</v>
      </c>
      <c r="AQ278" s="125">
        <f t="shared" si="112"/>
        <v>553280.70147544984</v>
      </c>
    </row>
    <row r="279" spans="19:43" x14ac:dyDescent="0.25">
      <c r="S279" s="9" t="str">
        <f t="shared" si="98"/>
        <v/>
      </c>
      <c r="T279" s="59">
        <v>22</v>
      </c>
      <c r="U279" s="59">
        <v>12</v>
      </c>
      <c r="V279" s="3" t="s">
        <v>61</v>
      </c>
      <c r="W279" s="23">
        <f>'Análise Técnica'!$C$3</f>
        <v>750</v>
      </c>
      <c r="X279" s="23">
        <f t="shared" si="97"/>
        <v>754.32522950204884</v>
      </c>
      <c r="Y279" s="54">
        <f t="shared" si="114"/>
        <v>0</v>
      </c>
      <c r="Z279" s="54">
        <f t="shared" si="115"/>
        <v>4.3252295020488418</v>
      </c>
      <c r="AA279" s="54">
        <f t="shared" si="99"/>
        <v>100</v>
      </c>
      <c r="AB279" s="54">
        <f t="shared" si="100"/>
        <v>0</v>
      </c>
      <c r="AC279" s="54">
        <f t="shared" si="107"/>
        <v>4.3252295020488418</v>
      </c>
      <c r="AD279" s="58">
        <f t="shared" si="108"/>
        <v>0</v>
      </c>
      <c r="AE279" s="2">
        <f t="shared" si="101"/>
        <v>5096.7566367992176</v>
      </c>
      <c r="AF279" s="2">
        <f t="shared" si="102"/>
        <v>679.56755157322903</v>
      </c>
      <c r="AG279" s="12">
        <f t="shared" si="109"/>
        <v>4417.1890852259885</v>
      </c>
      <c r="AH279" s="2">
        <f t="shared" si="110"/>
        <v>0</v>
      </c>
      <c r="AI279" s="12">
        <f t="shared" si="103"/>
        <v>4417.1890852259885</v>
      </c>
      <c r="AJ279" s="12">
        <f t="shared" si="113"/>
        <v>557697.89056067588</v>
      </c>
      <c r="AK279" s="86">
        <f t="shared" si="104"/>
        <v>0.8666666666666667</v>
      </c>
      <c r="AL279" s="12">
        <f t="shared" si="111"/>
        <v>685049.5751614722</v>
      </c>
      <c r="AM279" s="124">
        <f t="shared" si="105"/>
        <v>0.31031584327905648</v>
      </c>
      <c r="AN279" s="72"/>
      <c r="AO279" s="59">
        <v>276</v>
      </c>
      <c r="AP279" s="125">
        <f t="shared" si="106"/>
        <v>25983.178729658342</v>
      </c>
      <c r="AQ279" s="125">
        <f t="shared" si="112"/>
        <v>557697.89056067588</v>
      </c>
    </row>
    <row r="280" spans="19:43" x14ac:dyDescent="0.25">
      <c r="S280" s="9" t="str">
        <f t="shared" si="98"/>
        <v/>
      </c>
      <c r="T280" s="59">
        <v>23</v>
      </c>
      <c r="U280" s="59">
        <v>1</v>
      </c>
      <c r="V280" s="3" t="s">
        <v>50</v>
      </c>
      <c r="W280" s="23">
        <f>'Análise Técnica'!$C$3</f>
        <v>750</v>
      </c>
      <c r="X280" s="23">
        <f t="shared" si="97"/>
        <v>772.94768608626362</v>
      </c>
      <c r="Y280" s="54">
        <f t="shared" si="114"/>
        <v>0</v>
      </c>
      <c r="Z280" s="54">
        <f t="shared" si="115"/>
        <v>22.947686086263616</v>
      </c>
      <c r="AA280" s="54">
        <f t="shared" si="99"/>
        <v>100</v>
      </c>
      <c r="AB280" s="54">
        <f t="shared" si="100"/>
        <v>0</v>
      </c>
      <c r="AC280" s="54">
        <f t="shared" si="107"/>
        <v>27.272915588312458</v>
      </c>
      <c r="AD280" s="58">
        <f t="shared" si="108"/>
        <v>0</v>
      </c>
      <c r="AE280" s="2">
        <f t="shared" si="101"/>
        <v>5504.4971677431549</v>
      </c>
      <c r="AF280" s="2">
        <f t="shared" si="102"/>
        <v>733.9329556990873</v>
      </c>
      <c r="AG280" s="12">
        <f t="shared" si="109"/>
        <v>4770.564212044068</v>
      </c>
      <c r="AH280" s="2">
        <f t="shared" si="110"/>
        <v>0</v>
      </c>
      <c r="AI280" s="12">
        <f t="shared" si="103"/>
        <v>4770.564212044068</v>
      </c>
      <c r="AJ280" s="12">
        <f t="shared" si="113"/>
        <v>562468.45477272</v>
      </c>
      <c r="AK280" s="86">
        <f t="shared" si="104"/>
        <v>0.8666666666666667</v>
      </c>
      <c r="AL280" s="12">
        <f t="shared" si="111"/>
        <v>690554.07232921536</v>
      </c>
      <c r="AM280" s="124">
        <f t="shared" si="105"/>
        <v>0.33514111074138098</v>
      </c>
      <c r="AN280" s="72"/>
      <c r="AO280" s="59">
        <v>277</v>
      </c>
      <c r="AP280" s="125">
        <f t="shared" si="106"/>
        <v>25663.498015586032</v>
      </c>
      <c r="AQ280" s="125">
        <f t="shared" si="112"/>
        <v>562468.45477272</v>
      </c>
    </row>
    <row r="281" spans="19:43" x14ac:dyDescent="0.25">
      <c r="S281" s="9" t="str">
        <f t="shared" si="98"/>
        <v/>
      </c>
      <c r="T281" s="59">
        <v>23</v>
      </c>
      <c r="U281" s="59">
        <v>2</v>
      </c>
      <c r="V281" s="3" t="s">
        <v>51</v>
      </c>
      <c r="W281" s="23">
        <f>'Análise Técnica'!$C$3</f>
        <v>750</v>
      </c>
      <c r="X281" s="23">
        <f t="shared" si="97"/>
        <v>814.08262227496118</v>
      </c>
      <c r="Y281" s="54">
        <f t="shared" si="114"/>
        <v>0</v>
      </c>
      <c r="Z281" s="54">
        <f t="shared" si="115"/>
        <v>64.082622274961182</v>
      </c>
      <c r="AA281" s="54">
        <f t="shared" si="99"/>
        <v>100</v>
      </c>
      <c r="AB281" s="54">
        <f t="shared" si="100"/>
        <v>0</v>
      </c>
      <c r="AC281" s="54">
        <f t="shared" si="107"/>
        <v>91.355537863273639</v>
      </c>
      <c r="AD281" s="58">
        <f t="shared" si="108"/>
        <v>0</v>
      </c>
      <c r="AE281" s="2">
        <f t="shared" si="101"/>
        <v>5504.4971677431549</v>
      </c>
      <c r="AF281" s="2">
        <f t="shared" si="102"/>
        <v>733.9329556990873</v>
      </c>
      <c r="AG281" s="12">
        <f t="shared" si="109"/>
        <v>4770.564212044068</v>
      </c>
      <c r="AH281" s="2">
        <f t="shared" si="110"/>
        <v>0</v>
      </c>
      <c r="AI281" s="12">
        <f t="shared" si="103"/>
        <v>4770.564212044068</v>
      </c>
      <c r="AJ281" s="12">
        <f t="shared" si="113"/>
        <v>567239.01898476412</v>
      </c>
      <c r="AK281" s="86">
        <f t="shared" si="104"/>
        <v>0.8666666666666667</v>
      </c>
      <c r="AL281" s="12">
        <f t="shared" si="111"/>
        <v>696058.56949695852</v>
      </c>
      <c r="AM281" s="124">
        <f t="shared" si="105"/>
        <v>0.33514111074138098</v>
      </c>
      <c r="AN281" s="72"/>
      <c r="AO281" s="59">
        <v>278</v>
      </c>
      <c r="AP281" s="125">
        <f t="shared" si="106"/>
        <v>25751.807335272126</v>
      </c>
      <c r="AQ281" s="125">
        <f t="shared" si="112"/>
        <v>567239.01898476412</v>
      </c>
    </row>
    <row r="282" spans="19:43" x14ac:dyDescent="0.25">
      <c r="S282" s="9" t="str">
        <f t="shared" si="98"/>
        <v/>
      </c>
      <c r="T282" s="59">
        <v>23</v>
      </c>
      <c r="U282" s="59">
        <v>3</v>
      </c>
      <c r="V282" s="3" t="s">
        <v>52</v>
      </c>
      <c r="W282" s="23">
        <f>'Análise Técnica'!$C$3</f>
        <v>750</v>
      </c>
      <c r="X282" s="23">
        <f t="shared" si="97"/>
        <v>683.16083366210239</v>
      </c>
      <c r="Y282" s="54">
        <f t="shared" si="114"/>
        <v>66.839166337897609</v>
      </c>
      <c r="Z282" s="54">
        <f t="shared" si="115"/>
        <v>0</v>
      </c>
      <c r="AA282" s="54">
        <f t="shared" si="99"/>
        <v>100</v>
      </c>
      <c r="AB282" s="54">
        <f t="shared" si="100"/>
        <v>0</v>
      </c>
      <c r="AC282" s="54">
        <f t="shared" si="107"/>
        <v>91.355537863273639</v>
      </c>
      <c r="AD282" s="58">
        <f t="shared" si="108"/>
        <v>0</v>
      </c>
      <c r="AE282" s="2">
        <f t="shared" si="101"/>
        <v>5504.4971677431549</v>
      </c>
      <c r="AF282" s="2">
        <f t="shared" si="102"/>
        <v>733.9329556990873</v>
      </c>
      <c r="AG282" s="12">
        <f t="shared" si="109"/>
        <v>4770.564212044068</v>
      </c>
      <c r="AH282" s="2">
        <f t="shared" si="110"/>
        <v>0</v>
      </c>
      <c r="AI282" s="12">
        <f t="shared" si="103"/>
        <v>4770.564212044068</v>
      </c>
      <c r="AJ282" s="12">
        <f t="shared" si="113"/>
        <v>572009.58319680823</v>
      </c>
      <c r="AK282" s="86">
        <f t="shared" si="104"/>
        <v>0.8666666666666667</v>
      </c>
      <c r="AL282" s="12">
        <f t="shared" si="111"/>
        <v>701563.06666470168</v>
      </c>
      <c r="AM282" s="124">
        <f t="shared" si="105"/>
        <v>0.33514111074138098</v>
      </c>
      <c r="AN282" s="72"/>
      <c r="AO282" s="59">
        <v>279</v>
      </c>
      <c r="AP282" s="125">
        <f t="shared" si="106"/>
        <v>25840.366864697338</v>
      </c>
      <c r="AQ282" s="125">
        <f t="shared" si="112"/>
        <v>572009.58319680823</v>
      </c>
    </row>
    <row r="283" spans="19:43" x14ac:dyDescent="0.25">
      <c r="S283" s="9" t="str">
        <f t="shared" si="98"/>
        <v/>
      </c>
      <c r="T283" s="59">
        <v>23</v>
      </c>
      <c r="U283" s="59">
        <v>4</v>
      </c>
      <c r="V283" s="3" t="s">
        <v>53</v>
      </c>
      <c r="W283" s="23">
        <f>'Análise Técnica'!$C$3</f>
        <v>750</v>
      </c>
      <c r="X283" s="23">
        <f t="shared" si="97"/>
        <v>605.80542386990487</v>
      </c>
      <c r="Y283" s="54">
        <f t="shared" si="114"/>
        <v>144.19457613009513</v>
      </c>
      <c r="Z283" s="54">
        <f t="shared" si="115"/>
        <v>0</v>
      </c>
      <c r="AA283" s="54">
        <f t="shared" si="99"/>
        <v>100</v>
      </c>
      <c r="AB283" s="54">
        <f t="shared" si="100"/>
        <v>44.194576130095129</v>
      </c>
      <c r="AC283" s="54">
        <f t="shared" si="107"/>
        <v>47.16096173317851</v>
      </c>
      <c r="AD283" s="58">
        <f t="shared" si="108"/>
        <v>0</v>
      </c>
      <c r="AE283" s="2">
        <f t="shared" si="101"/>
        <v>5504.4971677431549</v>
      </c>
      <c r="AF283" s="2">
        <f t="shared" si="102"/>
        <v>733.9329556990873</v>
      </c>
      <c r="AG283" s="12">
        <f t="shared" si="109"/>
        <v>4770.564212044068</v>
      </c>
      <c r="AH283" s="2">
        <f t="shared" si="110"/>
        <v>0</v>
      </c>
      <c r="AI283" s="12">
        <f t="shared" si="103"/>
        <v>4770.564212044068</v>
      </c>
      <c r="AJ283" s="12">
        <f t="shared" si="113"/>
        <v>576780.14740885235</v>
      </c>
      <c r="AK283" s="86">
        <f t="shared" si="104"/>
        <v>0.8666666666666667</v>
      </c>
      <c r="AL283" s="12">
        <f t="shared" si="111"/>
        <v>707067.56383244484</v>
      </c>
      <c r="AM283" s="124">
        <f t="shared" si="105"/>
        <v>0.33514111074138098</v>
      </c>
      <c r="AN283" s="72"/>
      <c r="AO283" s="59">
        <v>280</v>
      </c>
      <c r="AP283" s="125">
        <f t="shared" si="106"/>
        <v>25929.177312789259</v>
      </c>
      <c r="AQ283" s="125">
        <f t="shared" si="112"/>
        <v>576780.14740885235</v>
      </c>
    </row>
    <row r="284" spans="19:43" x14ac:dyDescent="0.25">
      <c r="S284" s="9" t="str">
        <f t="shared" si="98"/>
        <v/>
      </c>
      <c r="T284" s="59">
        <v>23</v>
      </c>
      <c r="U284" s="59">
        <v>5</v>
      </c>
      <c r="V284" s="3" t="s">
        <v>54</v>
      </c>
      <c r="W284" s="23">
        <f>'Análise Técnica'!$C$3</f>
        <v>750</v>
      </c>
      <c r="X284" s="23">
        <f t="shared" ref="X284:X303" si="116">X272*((1-$C$27))</f>
        <v>498.90007066697029</v>
      </c>
      <c r="Y284" s="54">
        <f t="shared" si="114"/>
        <v>251.09992933302971</v>
      </c>
      <c r="Z284" s="54">
        <f t="shared" si="115"/>
        <v>0</v>
      </c>
      <c r="AA284" s="54">
        <f t="shared" si="99"/>
        <v>100</v>
      </c>
      <c r="AB284" s="54">
        <f t="shared" si="100"/>
        <v>151.09992933302971</v>
      </c>
      <c r="AC284" s="54">
        <f t="shared" si="107"/>
        <v>0</v>
      </c>
      <c r="AD284" s="58">
        <f t="shared" si="108"/>
        <v>103.9389675998512</v>
      </c>
      <c r="AE284" s="2">
        <f t="shared" si="101"/>
        <v>5504.4971677431549</v>
      </c>
      <c r="AF284" s="2">
        <f t="shared" si="102"/>
        <v>1496.7752927277918</v>
      </c>
      <c r="AG284" s="12">
        <f t="shared" si="109"/>
        <v>4007.7218750153634</v>
      </c>
      <c r="AH284" s="2">
        <f t="shared" si="110"/>
        <v>0</v>
      </c>
      <c r="AI284" s="12">
        <f t="shared" si="103"/>
        <v>4007.7218750153634</v>
      </c>
      <c r="AJ284" s="12">
        <f t="shared" si="113"/>
        <v>580787.86928386777</v>
      </c>
      <c r="AK284" s="86">
        <f t="shared" si="104"/>
        <v>0.72808137653353178</v>
      </c>
      <c r="AL284" s="12">
        <f t="shared" si="111"/>
        <v>712572.061000188</v>
      </c>
      <c r="AM284" s="124">
        <f t="shared" si="105"/>
        <v>0.28155000143257092</v>
      </c>
      <c r="AN284" s="72"/>
      <c r="AO284" s="59">
        <v>281</v>
      </c>
      <c r="AP284" s="125">
        <f t="shared" si="106"/>
        <v>26018.239390484094</v>
      </c>
      <c r="AQ284" s="125">
        <f t="shared" si="112"/>
        <v>580787.86928386777</v>
      </c>
    </row>
    <row r="285" spans="19:43" x14ac:dyDescent="0.25">
      <c r="S285" s="9" t="str">
        <f t="shared" si="98"/>
        <v/>
      </c>
      <c r="T285" s="59">
        <v>23</v>
      </c>
      <c r="U285" s="59">
        <v>6</v>
      </c>
      <c r="V285" s="3" t="s">
        <v>55</v>
      </c>
      <c r="W285" s="23">
        <f>'Análise Técnica'!$C$3</f>
        <v>750</v>
      </c>
      <c r="X285" s="23">
        <f t="shared" si="116"/>
        <v>461.37833833268576</v>
      </c>
      <c r="Y285" s="54">
        <f t="shared" si="114"/>
        <v>288.62166166731424</v>
      </c>
      <c r="Z285" s="54">
        <f t="shared" si="115"/>
        <v>0</v>
      </c>
      <c r="AA285" s="54">
        <f t="shared" si="99"/>
        <v>100</v>
      </c>
      <c r="AB285" s="54">
        <f t="shared" si="100"/>
        <v>188.62166166731424</v>
      </c>
      <c r="AC285" s="54">
        <f t="shared" si="107"/>
        <v>0</v>
      </c>
      <c r="AD285" s="58">
        <f t="shared" si="108"/>
        <v>188.62166166731424</v>
      </c>
      <c r="AE285" s="2">
        <f t="shared" si="101"/>
        <v>5504.4971677431549</v>
      </c>
      <c r="AF285" s="2">
        <f t="shared" si="102"/>
        <v>2118.2894922627388</v>
      </c>
      <c r="AG285" s="12">
        <f t="shared" si="109"/>
        <v>3386.2076754804161</v>
      </c>
      <c r="AH285" s="2">
        <f t="shared" si="110"/>
        <v>0</v>
      </c>
      <c r="AI285" s="12">
        <f t="shared" si="103"/>
        <v>3386.2076754804161</v>
      </c>
      <c r="AJ285" s="12">
        <f t="shared" si="113"/>
        <v>584174.07695934817</v>
      </c>
      <c r="AK285" s="86">
        <f t="shared" si="104"/>
        <v>0.61517111777691436</v>
      </c>
      <c r="AL285" s="12">
        <f t="shared" si="111"/>
        <v>718076.55816793116</v>
      </c>
      <c r="AM285" s="124">
        <f t="shared" si="105"/>
        <v>0.23788745966281383</v>
      </c>
      <c r="AN285" s="72"/>
      <c r="AO285" s="59">
        <v>282</v>
      </c>
      <c r="AP285" s="125">
        <f t="shared" si="106"/>
        <v>26107.55381073241</v>
      </c>
      <c r="AQ285" s="125">
        <f t="shared" si="112"/>
        <v>584174.07695934817</v>
      </c>
    </row>
    <row r="286" spans="19:43" x14ac:dyDescent="0.25">
      <c r="S286" s="9" t="str">
        <f t="shared" si="98"/>
        <v/>
      </c>
      <c r="T286" s="59">
        <v>23</v>
      </c>
      <c r="U286" s="59">
        <v>7</v>
      </c>
      <c r="V286" s="3" t="s">
        <v>56</v>
      </c>
      <c r="W286" s="23">
        <f>'Análise Técnica'!$C$3</f>
        <v>750</v>
      </c>
      <c r="X286" s="23">
        <f t="shared" si="116"/>
        <v>461.31517043313283</v>
      </c>
      <c r="Y286" s="54">
        <f t="shared" si="114"/>
        <v>288.68482956686717</v>
      </c>
      <c r="Z286" s="54">
        <f t="shared" si="115"/>
        <v>0</v>
      </c>
      <c r="AA286" s="54">
        <f t="shared" si="99"/>
        <v>100</v>
      </c>
      <c r="AB286" s="54">
        <f t="shared" si="100"/>
        <v>188.68482956686717</v>
      </c>
      <c r="AC286" s="54">
        <f t="shared" si="107"/>
        <v>0</v>
      </c>
      <c r="AD286" s="58">
        <f t="shared" si="108"/>
        <v>188.68482956686717</v>
      </c>
      <c r="AE286" s="2">
        <f t="shared" si="101"/>
        <v>5504.4971677431549</v>
      </c>
      <c r="AF286" s="2">
        <f t="shared" si="102"/>
        <v>2118.7531022949811</v>
      </c>
      <c r="AG286" s="12">
        <f t="shared" si="109"/>
        <v>3385.7440654481738</v>
      </c>
      <c r="AH286" s="2">
        <f t="shared" si="110"/>
        <v>0</v>
      </c>
      <c r="AI286" s="12">
        <f t="shared" si="103"/>
        <v>3385.7440654481738</v>
      </c>
      <c r="AJ286" s="12">
        <f t="shared" si="113"/>
        <v>587559.82102479634</v>
      </c>
      <c r="AK286" s="86">
        <f t="shared" si="104"/>
        <v>0.61508689391084381</v>
      </c>
      <c r="AL286" s="12">
        <f t="shared" si="111"/>
        <v>723581.05533567432</v>
      </c>
      <c r="AM286" s="124">
        <f t="shared" si="105"/>
        <v>0.23785489018586092</v>
      </c>
      <c r="AN286" s="72"/>
      <c r="AO286" s="59">
        <v>283</v>
      </c>
      <c r="AP286" s="125">
        <f t="shared" si="106"/>
        <v>26197.12128850475</v>
      </c>
      <c r="AQ286" s="125">
        <f t="shared" si="112"/>
        <v>587559.82102479634</v>
      </c>
    </row>
    <row r="287" spans="19:43" x14ac:dyDescent="0.25">
      <c r="S287" s="9" t="str">
        <f t="shared" si="98"/>
        <v/>
      </c>
      <c r="T287" s="59">
        <v>23</v>
      </c>
      <c r="U287" s="59">
        <v>8</v>
      </c>
      <c r="V287" s="3" t="s">
        <v>57</v>
      </c>
      <c r="W287" s="23">
        <f>'Análise Técnica'!$C$3</f>
        <v>750</v>
      </c>
      <c r="X287" s="23">
        <f t="shared" si="116"/>
        <v>570.45666728023218</v>
      </c>
      <c r="Y287" s="54">
        <f t="shared" si="114"/>
        <v>179.54333271976782</v>
      </c>
      <c r="Z287" s="54">
        <f t="shared" si="115"/>
        <v>0</v>
      </c>
      <c r="AA287" s="54">
        <f t="shared" si="99"/>
        <v>100</v>
      </c>
      <c r="AB287" s="54">
        <f t="shared" si="100"/>
        <v>79.543332719767818</v>
      </c>
      <c r="AC287" s="54">
        <f t="shared" si="107"/>
        <v>0</v>
      </c>
      <c r="AD287" s="58">
        <f t="shared" si="108"/>
        <v>79.543332719767818</v>
      </c>
      <c r="AE287" s="2">
        <f t="shared" si="101"/>
        <v>5504.4971677431549</v>
      </c>
      <c r="AF287" s="2">
        <f t="shared" si="102"/>
        <v>1317.7276885908386</v>
      </c>
      <c r="AG287" s="12">
        <f t="shared" si="109"/>
        <v>4186.7694791523163</v>
      </c>
      <c r="AH287" s="2">
        <f t="shared" si="110"/>
        <v>0</v>
      </c>
      <c r="AI287" s="12">
        <f t="shared" si="103"/>
        <v>4186.7694791523163</v>
      </c>
      <c r="AJ287" s="12">
        <f t="shared" si="113"/>
        <v>591746.59050394862</v>
      </c>
      <c r="AK287" s="86">
        <f t="shared" si="104"/>
        <v>0.76060888970697627</v>
      </c>
      <c r="AL287" s="12">
        <f t="shared" si="111"/>
        <v>729085.55250341748</v>
      </c>
      <c r="AM287" s="124">
        <f t="shared" si="105"/>
        <v>0.29412843246480525</v>
      </c>
      <c r="AN287" s="72"/>
      <c r="AO287" s="59">
        <v>284</v>
      </c>
      <c r="AP287" s="125">
        <f t="shared" si="106"/>
        <v>26286.942540797449</v>
      </c>
      <c r="AQ287" s="125">
        <f t="shared" si="112"/>
        <v>591746.59050394862</v>
      </c>
    </row>
    <row r="288" spans="19:43" x14ac:dyDescent="0.25">
      <c r="S288" s="9" t="str">
        <f t="shared" si="98"/>
        <v/>
      </c>
      <c r="T288" s="59">
        <v>23</v>
      </c>
      <c r="U288" s="59">
        <v>9</v>
      </c>
      <c r="V288" s="3" t="s">
        <v>58</v>
      </c>
      <c r="W288" s="23">
        <f>'Análise Técnica'!$C$3</f>
        <v>750</v>
      </c>
      <c r="X288" s="23">
        <f t="shared" si="116"/>
        <v>579.42650901671095</v>
      </c>
      <c r="Y288" s="54">
        <f t="shared" si="114"/>
        <v>170.57349098328905</v>
      </c>
      <c r="Z288" s="54">
        <f t="shared" si="115"/>
        <v>0</v>
      </c>
      <c r="AA288" s="54">
        <f t="shared" si="99"/>
        <v>100</v>
      </c>
      <c r="AB288" s="54">
        <f t="shared" si="100"/>
        <v>70.573490983289048</v>
      </c>
      <c r="AC288" s="54">
        <f t="shared" si="107"/>
        <v>0</v>
      </c>
      <c r="AD288" s="58">
        <f t="shared" si="108"/>
        <v>70.573490983289048</v>
      </c>
      <c r="AE288" s="2">
        <f t="shared" si="101"/>
        <v>5504.4971677431549</v>
      </c>
      <c r="AF288" s="2">
        <f t="shared" si="102"/>
        <v>1251.8950640127696</v>
      </c>
      <c r="AG288" s="12">
        <f t="shared" si="109"/>
        <v>4252.6021037303854</v>
      </c>
      <c r="AH288" s="2">
        <f t="shared" si="110"/>
        <v>0</v>
      </c>
      <c r="AI288" s="12">
        <f t="shared" si="103"/>
        <v>4252.6021037303854</v>
      </c>
      <c r="AJ288" s="12">
        <f t="shared" si="113"/>
        <v>595999.19260767906</v>
      </c>
      <c r="AK288" s="86">
        <f t="shared" si="104"/>
        <v>0.77256867868894796</v>
      </c>
      <c r="AL288" s="12">
        <f t="shared" si="111"/>
        <v>734590.04967116064</v>
      </c>
      <c r="AM288" s="124">
        <f t="shared" si="105"/>
        <v>0.29875329819209434</v>
      </c>
      <c r="AN288" s="72"/>
      <c r="AO288" s="59">
        <v>285</v>
      </c>
      <c r="AP288" s="125">
        <f t="shared" si="106"/>
        <v>26377.018286638318</v>
      </c>
      <c r="AQ288" s="125">
        <f t="shared" si="112"/>
        <v>595999.19260767906</v>
      </c>
    </row>
    <row r="289" spans="19:43" x14ac:dyDescent="0.25">
      <c r="S289" s="9" t="str">
        <f t="shared" si="98"/>
        <v/>
      </c>
      <c r="T289" s="59">
        <v>23</v>
      </c>
      <c r="U289" s="59">
        <v>10</v>
      </c>
      <c r="V289" s="3" t="s">
        <v>59</v>
      </c>
      <c r="W289" s="23">
        <f>'Análise Técnica'!$C$3</f>
        <v>750</v>
      </c>
      <c r="X289" s="23">
        <f t="shared" si="116"/>
        <v>648.20371804965566</v>
      </c>
      <c r="Y289" s="54">
        <f t="shared" si="114"/>
        <v>101.79628195034434</v>
      </c>
      <c r="Z289" s="54">
        <f t="shared" si="115"/>
        <v>0</v>
      </c>
      <c r="AA289" s="54">
        <f t="shared" si="99"/>
        <v>100</v>
      </c>
      <c r="AB289" s="54">
        <f t="shared" si="100"/>
        <v>1.796281950344337</v>
      </c>
      <c r="AC289" s="54">
        <f t="shared" si="107"/>
        <v>0</v>
      </c>
      <c r="AD289" s="58">
        <f t="shared" si="108"/>
        <v>1.796281950344337</v>
      </c>
      <c r="AE289" s="2">
        <f t="shared" si="101"/>
        <v>5504.4971677431549</v>
      </c>
      <c r="AF289" s="2">
        <f t="shared" si="102"/>
        <v>747.11646090993872</v>
      </c>
      <c r="AG289" s="12">
        <f t="shared" si="109"/>
        <v>4757.3807068332162</v>
      </c>
      <c r="AH289" s="2">
        <f t="shared" si="110"/>
        <v>0</v>
      </c>
      <c r="AI289" s="12">
        <f t="shared" si="103"/>
        <v>4757.3807068332162</v>
      </c>
      <c r="AJ289" s="12">
        <f t="shared" si="113"/>
        <v>600756.57331451226</v>
      </c>
      <c r="AK289" s="86">
        <f t="shared" si="104"/>
        <v>0.86427162406620761</v>
      </c>
      <c r="AL289" s="12">
        <f t="shared" si="111"/>
        <v>740094.5468389038</v>
      </c>
      <c r="AM289" s="124">
        <f t="shared" si="105"/>
        <v>0.33421494469823776</v>
      </c>
      <c r="AN289" s="72"/>
      <c r="AO289" s="59">
        <v>286</v>
      </c>
      <c r="AP289" s="125">
        <f t="shared" si="106"/>
        <v>26467.349247092388</v>
      </c>
      <c r="AQ289" s="125">
        <f t="shared" si="112"/>
        <v>600756.57331451226</v>
      </c>
    </row>
    <row r="290" spans="19:43" x14ac:dyDescent="0.25">
      <c r="S290" s="9" t="str">
        <f t="shared" si="98"/>
        <v/>
      </c>
      <c r="T290" s="59">
        <v>23</v>
      </c>
      <c r="U290" s="59">
        <v>11</v>
      </c>
      <c r="V290" s="3" t="s">
        <v>60</v>
      </c>
      <c r="W290" s="23">
        <f>'Análise Técnica'!$C$3</f>
        <v>750</v>
      </c>
      <c r="X290" s="23">
        <f t="shared" si="116"/>
        <v>652.87814261655308</v>
      </c>
      <c r="Y290" s="54">
        <f t="shared" si="114"/>
        <v>97.121857383446923</v>
      </c>
      <c r="Z290" s="54">
        <f t="shared" si="115"/>
        <v>0</v>
      </c>
      <c r="AA290" s="54">
        <f t="shared" si="99"/>
        <v>100</v>
      </c>
      <c r="AB290" s="54">
        <f t="shared" si="100"/>
        <v>0</v>
      </c>
      <c r="AC290" s="54">
        <f t="shared" si="107"/>
        <v>0</v>
      </c>
      <c r="AD290" s="58">
        <f t="shared" si="108"/>
        <v>0</v>
      </c>
      <c r="AE290" s="2">
        <f t="shared" si="101"/>
        <v>5504.4971677431549</v>
      </c>
      <c r="AF290" s="2">
        <f t="shared" si="102"/>
        <v>733.9329556990873</v>
      </c>
      <c r="AG290" s="12">
        <f t="shared" si="109"/>
        <v>4770.564212044068</v>
      </c>
      <c r="AH290" s="2">
        <f t="shared" si="110"/>
        <v>0</v>
      </c>
      <c r="AI290" s="12">
        <f t="shared" si="103"/>
        <v>4770.564212044068</v>
      </c>
      <c r="AJ290" s="12">
        <f t="shared" si="113"/>
        <v>605527.13752655638</v>
      </c>
      <c r="AK290" s="86">
        <f t="shared" si="104"/>
        <v>0.8666666666666667</v>
      </c>
      <c r="AL290" s="12">
        <f t="shared" si="111"/>
        <v>745599.04400664696</v>
      </c>
      <c r="AM290" s="124">
        <f t="shared" si="105"/>
        <v>0.33514111074138098</v>
      </c>
      <c r="AN290" s="72"/>
      <c r="AO290" s="59">
        <v>287</v>
      </c>
      <c r="AP290" s="125">
        <f t="shared" si="106"/>
        <v>26557.936145267762</v>
      </c>
      <c r="AQ290" s="125">
        <f t="shared" si="112"/>
        <v>605527.13752655638</v>
      </c>
    </row>
    <row r="291" spans="19:43" x14ac:dyDescent="0.25">
      <c r="S291" s="9" t="str">
        <f t="shared" si="98"/>
        <v/>
      </c>
      <c r="T291" s="59">
        <v>23</v>
      </c>
      <c r="U291" s="59">
        <v>12</v>
      </c>
      <c r="V291" s="3" t="s">
        <v>61</v>
      </c>
      <c r="W291" s="23">
        <f>'Análise Técnica'!$C$3</f>
        <v>750</v>
      </c>
      <c r="X291" s="23">
        <f t="shared" si="116"/>
        <v>749.04495289553449</v>
      </c>
      <c r="Y291" s="54">
        <f t="shared" si="114"/>
        <v>0.95504710446550689</v>
      </c>
      <c r="Z291" s="54">
        <f t="shared" si="115"/>
        <v>0</v>
      </c>
      <c r="AA291" s="54">
        <f t="shared" si="99"/>
        <v>100</v>
      </c>
      <c r="AB291" s="54">
        <f t="shared" si="100"/>
        <v>0</v>
      </c>
      <c r="AC291" s="54">
        <f t="shared" si="107"/>
        <v>0</v>
      </c>
      <c r="AD291" s="58">
        <f t="shared" si="108"/>
        <v>0</v>
      </c>
      <c r="AE291" s="2">
        <f t="shared" si="101"/>
        <v>5504.4971677431549</v>
      </c>
      <c r="AF291" s="2">
        <f t="shared" si="102"/>
        <v>733.9329556990873</v>
      </c>
      <c r="AG291" s="12">
        <f t="shared" si="109"/>
        <v>4770.564212044068</v>
      </c>
      <c r="AH291" s="2">
        <f t="shared" si="110"/>
        <v>0</v>
      </c>
      <c r="AI291" s="12">
        <f t="shared" si="103"/>
        <v>4770.564212044068</v>
      </c>
      <c r="AJ291" s="12">
        <f t="shared" si="113"/>
        <v>610297.7017386005</v>
      </c>
      <c r="AK291" s="86">
        <f t="shared" si="104"/>
        <v>0.8666666666666667</v>
      </c>
      <c r="AL291" s="12">
        <f t="shared" si="111"/>
        <v>751103.54117439012</v>
      </c>
      <c r="AM291" s="124">
        <f t="shared" si="105"/>
        <v>0.33514111074138098</v>
      </c>
      <c r="AN291" s="72"/>
      <c r="AO291" s="59">
        <v>288</v>
      </c>
      <c r="AP291" s="125">
        <f t="shared" si="106"/>
        <v>26648.779706321293</v>
      </c>
      <c r="AQ291" s="125">
        <f t="shared" si="112"/>
        <v>610297.7017386005</v>
      </c>
    </row>
    <row r="292" spans="19:43" x14ac:dyDescent="0.25">
      <c r="S292" s="9" t="str">
        <f t="shared" si="98"/>
        <v/>
      </c>
      <c r="T292" s="59">
        <v>24</v>
      </c>
      <c r="U292" s="59">
        <v>1</v>
      </c>
      <c r="V292" s="3" t="s">
        <v>50</v>
      </c>
      <c r="W292" s="23">
        <f>'Análise Técnica'!$C$3</f>
        <v>750</v>
      </c>
      <c r="X292" s="23">
        <f t="shared" si="116"/>
        <v>767.53705228365982</v>
      </c>
      <c r="Y292" s="54">
        <f t="shared" si="114"/>
        <v>0</v>
      </c>
      <c r="Z292" s="54">
        <f t="shared" si="115"/>
        <v>17.537052283659818</v>
      </c>
      <c r="AA292" s="54">
        <f t="shared" si="99"/>
        <v>100</v>
      </c>
      <c r="AB292" s="54">
        <f t="shared" si="100"/>
        <v>0</v>
      </c>
      <c r="AC292" s="54">
        <f t="shared" si="107"/>
        <v>17.537052283659818</v>
      </c>
      <c r="AD292" s="58">
        <f t="shared" si="108"/>
        <v>0</v>
      </c>
      <c r="AE292" s="2">
        <f t="shared" si="101"/>
        <v>5944.8569411626077</v>
      </c>
      <c r="AF292" s="2">
        <f t="shared" si="102"/>
        <v>792.64759215501431</v>
      </c>
      <c r="AG292" s="12">
        <f t="shared" si="109"/>
        <v>5152.2093490075931</v>
      </c>
      <c r="AH292" s="2">
        <f t="shared" si="110"/>
        <v>0</v>
      </c>
      <c r="AI292" s="12">
        <f t="shared" si="103"/>
        <v>5152.2093490075931</v>
      </c>
      <c r="AJ292" s="12">
        <f t="shared" si="113"/>
        <v>615449.91108760808</v>
      </c>
      <c r="AK292" s="86">
        <f t="shared" si="104"/>
        <v>0.8666666666666667</v>
      </c>
      <c r="AL292" s="12">
        <f t="shared" si="111"/>
        <v>757048.39811555273</v>
      </c>
      <c r="AM292" s="124">
        <f t="shared" si="105"/>
        <v>0.36195239960069148</v>
      </c>
      <c r="AN292" s="72"/>
      <c r="AO292" s="59">
        <v>289</v>
      </c>
      <c r="AP292" s="125">
        <f t="shared" si="106"/>
        <v>26299.520884045014</v>
      </c>
      <c r="AQ292" s="125">
        <f t="shared" si="112"/>
        <v>615449.91108760808</v>
      </c>
    </row>
    <row r="293" spans="19:43" x14ac:dyDescent="0.25">
      <c r="S293" s="9" t="str">
        <f t="shared" si="98"/>
        <v/>
      </c>
      <c r="T293" s="59">
        <v>24</v>
      </c>
      <c r="U293" s="59">
        <v>2</v>
      </c>
      <c r="V293" s="3" t="s">
        <v>51</v>
      </c>
      <c r="W293" s="23">
        <f>'Análise Técnica'!$C$3</f>
        <v>750</v>
      </c>
      <c r="X293" s="23">
        <f t="shared" si="116"/>
        <v>808.38404391903646</v>
      </c>
      <c r="Y293" s="54">
        <f t="shared" si="114"/>
        <v>0</v>
      </c>
      <c r="Z293" s="54">
        <f t="shared" si="115"/>
        <v>58.384043919036458</v>
      </c>
      <c r="AA293" s="54">
        <f t="shared" si="99"/>
        <v>100</v>
      </c>
      <c r="AB293" s="54">
        <f t="shared" si="100"/>
        <v>0</v>
      </c>
      <c r="AC293" s="54">
        <f t="shared" si="107"/>
        <v>75.921096202696276</v>
      </c>
      <c r="AD293" s="58">
        <f t="shared" si="108"/>
        <v>0</v>
      </c>
      <c r="AE293" s="2">
        <f t="shared" si="101"/>
        <v>5944.8569411626077</v>
      </c>
      <c r="AF293" s="2">
        <f t="shared" si="102"/>
        <v>792.64759215501431</v>
      </c>
      <c r="AG293" s="12">
        <f t="shared" si="109"/>
        <v>5152.2093490075931</v>
      </c>
      <c r="AH293" s="2">
        <f t="shared" si="110"/>
        <v>0</v>
      </c>
      <c r="AI293" s="12">
        <f t="shared" si="103"/>
        <v>5152.2093490075931</v>
      </c>
      <c r="AJ293" s="12">
        <f t="shared" si="113"/>
        <v>620602.12043661566</v>
      </c>
      <c r="AK293" s="86">
        <f t="shared" si="104"/>
        <v>0.8666666666666667</v>
      </c>
      <c r="AL293" s="12">
        <f t="shared" si="111"/>
        <v>762993.25505671534</v>
      </c>
      <c r="AM293" s="124">
        <f t="shared" si="105"/>
        <v>0.36195239960069148</v>
      </c>
      <c r="AN293" s="72"/>
      <c r="AO293" s="59">
        <v>290</v>
      </c>
      <c r="AP293" s="125">
        <f t="shared" si="106"/>
        <v>26390.879954549779</v>
      </c>
      <c r="AQ293" s="125">
        <f t="shared" si="112"/>
        <v>620602.12043661566</v>
      </c>
    </row>
    <row r="294" spans="19:43" x14ac:dyDescent="0.25">
      <c r="S294" s="9" t="str">
        <f t="shared" si="98"/>
        <v/>
      </c>
      <c r="T294" s="59">
        <v>24</v>
      </c>
      <c r="U294" s="59">
        <v>3</v>
      </c>
      <c r="V294" s="3" t="s">
        <v>52</v>
      </c>
      <c r="W294" s="23">
        <f>'Análise Técnica'!$C$3</f>
        <v>750</v>
      </c>
      <c r="X294" s="23">
        <f t="shared" si="116"/>
        <v>678.37870782646769</v>
      </c>
      <c r="Y294" s="54">
        <f t="shared" si="114"/>
        <v>71.621292173532311</v>
      </c>
      <c r="Z294" s="54">
        <f t="shared" si="115"/>
        <v>0</v>
      </c>
      <c r="AA294" s="54">
        <f t="shared" si="99"/>
        <v>100</v>
      </c>
      <c r="AB294" s="54">
        <f t="shared" si="100"/>
        <v>0</v>
      </c>
      <c r="AC294" s="54">
        <f t="shared" si="107"/>
        <v>75.921096202696276</v>
      </c>
      <c r="AD294" s="58">
        <f t="shared" si="108"/>
        <v>0</v>
      </c>
      <c r="AE294" s="2">
        <f t="shared" si="101"/>
        <v>5944.8569411626077</v>
      </c>
      <c r="AF294" s="2">
        <f t="shared" si="102"/>
        <v>792.64759215501431</v>
      </c>
      <c r="AG294" s="12">
        <f t="shared" si="109"/>
        <v>5152.2093490075931</v>
      </c>
      <c r="AH294" s="2">
        <f t="shared" si="110"/>
        <v>0</v>
      </c>
      <c r="AI294" s="12">
        <f t="shared" si="103"/>
        <v>5152.2093490075931</v>
      </c>
      <c r="AJ294" s="12">
        <f t="shared" si="113"/>
        <v>625754.32978562324</v>
      </c>
      <c r="AK294" s="86">
        <f t="shared" si="104"/>
        <v>0.8666666666666667</v>
      </c>
      <c r="AL294" s="12">
        <f t="shared" si="111"/>
        <v>768938.11199787795</v>
      </c>
      <c r="AM294" s="124">
        <f t="shared" si="105"/>
        <v>0.36195239960069148</v>
      </c>
      <c r="AN294" s="72"/>
      <c r="AO294" s="59">
        <v>291</v>
      </c>
      <c r="AP294" s="125">
        <f t="shared" si="106"/>
        <v>26482.497875754289</v>
      </c>
      <c r="AQ294" s="125">
        <f t="shared" si="112"/>
        <v>625754.32978562324</v>
      </c>
    </row>
    <row r="295" spans="19:43" x14ac:dyDescent="0.25">
      <c r="S295" s="9" t="str">
        <f t="shared" si="98"/>
        <v/>
      </c>
      <c r="T295" s="59">
        <v>24</v>
      </c>
      <c r="U295" s="59">
        <v>4</v>
      </c>
      <c r="V295" s="3" t="s">
        <v>53</v>
      </c>
      <c r="W295" s="23">
        <f>'Análise Técnica'!$C$3</f>
        <v>750</v>
      </c>
      <c r="X295" s="23">
        <f t="shared" si="116"/>
        <v>601.56478590281552</v>
      </c>
      <c r="Y295" s="54">
        <f t="shared" si="114"/>
        <v>148.43521409718448</v>
      </c>
      <c r="Z295" s="54">
        <f t="shared" si="115"/>
        <v>0</v>
      </c>
      <c r="AA295" s="54">
        <f t="shared" si="99"/>
        <v>100</v>
      </c>
      <c r="AB295" s="54">
        <f t="shared" si="100"/>
        <v>48.435214097184485</v>
      </c>
      <c r="AC295" s="54">
        <f t="shared" si="107"/>
        <v>27.485882105511791</v>
      </c>
      <c r="AD295" s="58">
        <f t="shared" si="108"/>
        <v>0</v>
      </c>
      <c r="AE295" s="2">
        <f t="shared" si="101"/>
        <v>5944.8569411626077</v>
      </c>
      <c r="AF295" s="2">
        <f t="shared" si="102"/>
        <v>792.64759215501431</v>
      </c>
      <c r="AG295" s="12">
        <f t="shared" si="109"/>
        <v>5152.2093490075931</v>
      </c>
      <c r="AH295" s="2">
        <f t="shared" si="110"/>
        <v>0</v>
      </c>
      <c r="AI295" s="12">
        <f t="shared" si="103"/>
        <v>5152.2093490075931</v>
      </c>
      <c r="AJ295" s="12">
        <f t="shared" si="113"/>
        <v>630906.53913463082</v>
      </c>
      <c r="AK295" s="86">
        <f t="shared" si="104"/>
        <v>0.8666666666666667</v>
      </c>
      <c r="AL295" s="12">
        <f t="shared" si="111"/>
        <v>774882.96893904055</v>
      </c>
      <c r="AM295" s="124">
        <f t="shared" si="105"/>
        <v>0.36195239960069148</v>
      </c>
      <c r="AN295" s="72"/>
      <c r="AO295" s="59">
        <v>292</v>
      </c>
      <c r="AP295" s="125">
        <f t="shared" si="106"/>
        <v>26574.375381068883</v>
      </c>
      <c r="AQ295" s="125">
        <f t="shared" si="112"/>
        <v>630906.53913463082</v>
      </c>
    </row>
    <row r="296" spans="19:43" x14ac:dyDescent="0.25">
      <c r="S296" s="9" t="str">
        <f t="shared" si="98"/>
        <v/>
      </c>
      <c r="T296" s="59">
        <v>24</v>
      </c>
      <c r="U296" s="59">
        <v>5</v>
      </c>
      <c r="V296" s="3" t="s">
        <v>54</v>
      </c>
      <c r="W296" s="23">
        <f>'Análise Técnica'!$C$3</f>
        <v>750</v>
      </c>
      <c r="X296" s="23">
        <f t="shared" si="116"/>
        <v>495.40777017230153</v>
      </c>
      <c r="Y296" s="54">
        <f t="shared" si="114"/>
        <v>254.59222982769847</v>
      </c>
      <c r="Z296" s="54">
        <f t="shared" si="115"/>
        <v>0</v>
      </c>
      <c r="AA296" s="54">
        <f t="shared" si="99"/>
        <v>100</v>
      </c>
      <c r="AB296" s="54">
        <f t="shared" si="100"/>
        <v>154.59222982769847</v>
      </c>
      <c r="AC296" s="54">
        <f t="shared" si="107"/>
        <v>0</v>
      </c>
      <c r="AD296" s="58">
        <f t="shared" si="108"/>
        <v>127.10634772218668</v>
      </c>
      <c r="AE296" s="2">
        <f t="shared" si="101"/>
        <v>5944.8569411626077</v>
      </c>
      <c r="AF296" s="2">
        <f t="shared" si="102"/>
        <v>1800.152996851107</v>
      </c>
      <c r="AG296" s="12">
        <f t="shared" si="109"/>
        <v>4144.7039443115009</v>
      </c>
      <c r="AH296" s="2">
        <f t="shared" si="110"/>
        <v>0</v>
      </c>
      <c r="AI296" s="12">
        <f t="shared" si="103"/>
        <v>4144.7039443115009</v>
      </c>
      <c r="AJ296" s="12">
        <f t="shared" si="113"/>
        <v>635051.24307894229</v>
      </c>
      <c r="AK296" s="86">
        <f t="shared" si="104"/>
        <v>0.69719153637041775</v>
      </c>
      <c r="AL296" s="12">
        <f t="shared" si="111"/>
        <v>780827.82588020316</v>
      </c>
      <c r="AM296" s="124">
        <f t="shared" si="105"/>
        <v>0.29117324950449863</v>
      </c>
      <c r="AN296" s="72"/>
      <c r="AO296" s="59">
        <v>293</v>
      </c>
      <c r="AP296" s="125">
        <f t="shared" si="106"/>
        <v>26666.513205981872</v>
      </c>
      <c r="AQ296" s="125">
        <f t="shared" si="112"/>
        <v>635051.24307894229</v>
      </c>
    </row>
    <row r="297" spans="19:43" x14ac:dyDescent="0.25">
      <c r="S297" s="9" t="str">
        <f t="shared" si="98"/>
        <v/>
      </c>
      <c r="T297" s="59">
        <v>24</v>
      </c>
      <c r="U297" s="59">
        <v>6</v>
      </c>
      <c r="V297" s="3" t="s">
        <v>55</v>
      </c>
      <c r="W297" s="23">
        <f>'Análise Técnica'!$C$3</f>
        <v>750</v>
      </c>
      <c r="X297" s="23">
        <f t="shared" si="116"/>
        <v>458.14868996435695</v>
      </c>
      <c r="Y297" s="54">
        <f t="shared" si="114"/>
        <v>291.85131003564305</v>
      </c>
      <c r="Z297" s="54">
        <f t="shared" si="115"/>
        <v>0</v>
      </c>
      <c r="AA297" s="54">
        <f t="shared" si="99"/>
        <v>100</v>
      </c>
      <c r="AB297" s="54">
        <f t="shared" si="100"/>
        <v>191.85131003564305</v>
      </c>
      <c r="AC297" s="54">
        <f t="shared" si="107"/>
        <v>0</v>
      </c>
      <c r="AD297" s="58">
        <f t="shared" si="108"/>
        <v>191.85131003564305</v>
      </c>
      <c r="AE297" s="2">
        <f t="shared" si="101"/>
        <v>5944.8569411626077</v>
      </c>
      <c r="AF297" s="2">
        <f t="shared" si="102"/>
        <v>2313.3523816703905</v>
      </c>
      <c r="AG297" s="12">
        <f t="shared" si="109"/>
        <v>3631.5045594922171</v>
      </c>
      <c r="AH297" s="2">
        <f t="shared" si="110"/>
        <v>0</v>
      </c>
      <c r="AI297" s="12">
        <f t="shared" si="103"/>
        <v>3631.5045594922171</v>
      </c>
      <c r="AJ297" s="12">
        <f t="shared" si="113"/>
        <v>638682.74763843452</v>
      </c>
      <c r="AK297" s="86">
        <f t="shared" si="104"/>
        <v>0.61086491995247594</v>
      </c>
      <c r="AL297" s="12">
        <f t="shared" si="111"/>
        <v>786772.68282136577</v>
      </c>
      <c r="AM297" s="124">
        <f t="shared" si="105"/>
        <v>0.25512002724078803</v>
      </c>
      <c r="AN297" s="72"/>
      <c r="AO297" s="59">
        <v>294</v>
      </c>
      <c r="AP297" s="125">
        <f t="shared" si="106"/>
        <v>26758.912088065448</v>
      </c>
      <c r="AQ297" s="125">
        <f t="shared" si="112"/>
        <v>638682.74763843452</v>
      </c>
    </row>
    <row r="298" spans="19:43" x14ac:dyDescent="0.25">
      <c r="S298" s="9" t="str">
        <f t="shared" si="98"/>
        <v/>
      </c>
      <c r="T298" s="59">
        <v>24</v>
      </c>
      <c r="U298" s="59">
        <v>7</v>
      </c>
      <c r="V298" s="3" t="s">
        <v>56</v>
      </c>
      <c r="W298" s="23">
        <f>'Análise Técnica'!$C$3</f>
        <v>750</v>
      </c>
      <c r="X298" s="23">
        <f t="shared" si="116"/>
        <v>458.08596424010091</v>
      </c>
      <c r="Y298" s="54">
        <f t="shared" si="114"/>
        <v>291.91403575989909</v>
      </c>
      <c r="Z298" s="54">
        <f t="shared" si="115"/>
        <v>0</v>
      </c>
      <c r="AA298" s="54">
        <f t="shared" si="99"/>
        <v>100</v>
      </c>
      <c r="AB298" s="54">
        <f t="shared" si="100"/>
        <v>191.91403575989909</v>
      </c>
      <c r="AC298" s="54">
        <f t="shared" si="107"/>
        <v>0</v>
      </c>
      <c r="AD298" s="58">
        <f t="shared" si="108"/>
        <v>191.91403575989909</v>
      </c>
      <c r="AE298" s="2">
        <f t="shared" si="101"/>
        <v>5944.8569411626077</v>
      </c>
      <c r="AF298" s="2">
        <f t="shared" si="102"/>
        <v>2313.8495756133675</v>
      </c>
      <c r="AG298" s="12">
        <f t="shared" si="109"/>
        <v>3631.0073655492401</v>
      </c>
      <c r="AH298" s="2">
        <f t="shared" si="110"/>
        <v>0</v>
      </c>
      <c r="AI298" s="12">
        <f t="shared" si="103"/>
        <v>3631.0073655492401</v>
      </c>
      <c r="AJ298" s="12">
        <f t="shared" si="113"/>
        <v>642313.75500398374</v>
      </c>
      <c r="AK298" s="86">
        <f t="shared" si="104"/>
        <v>0.6107812856534679</v>
      </c>
      <c r="AL298" s="12">
        <f t="shared" si="111"/>
        <v>792717.53976252838</v>
      </c>
      <c r="AM298" s="124">
        <f t="shared" si="105"/>
        <v>0.25508509843092475</v>
      </c>
      <c r="AN298" s="72"/>
      <c r="AO298" s="59">
        <v>295</v>
      </c>
      <c r="AP298" s="125">
        <f t="shared" si="106"/>
        <v>26851.572766981597</v>
      </c>
      <c r="AQ298" s="125">
        <f t="shared" si="112"/>
        <v>642313.75500398374</v>
      </c>
    </row>
    <row r="299" spans="19:43" x14ac:dyDescent="0.25">
      <c r="S299" s="9" t="str">
        <f t="shared" si="98"/>
        <v/>
      </c>
      <c r="T299" s="59">
        <v>24</v>
      </c>
      <c r="U299" s="59">
        <v>8</v>
      </c>
      <c r="V299" s="3" t="s">
        <v>57</v>
      </c>
      <c r="W299" s="23">
        <f>'Análise Técnica'!$C$3</f>
        <v>750</v>
      </c>
      <c r="X299" s="23">
        <f t="shared" si="116"/>
        <v>566.46347060927053</v>
      </c>
      <c r="Y299" s="54">
        <f t="shared" si="114"/>
        <v>183.53652939072947</v>
      </c>
      <c r="Z299" s="54">
        <f t="shared" si="115"/>
        <v>0</v>
      </c>
      <c r="AA299" s="54">
        <f t="shared" si="99"/>
        <v>100</v>
      </c>
      <c r="AB299" s="54">
        <f t="shared" si="100"/>
        <v>83.53652939072947</v>
      </c>
      <c r="AC299" s="54">
        <f t="shared" si="107"/>
        <v>0</v>
      </c>
      <c r="AD299" s="58">
        <f t="shared" si="108"/>
        <v>83.53652939072947</v>
      </c>
      <c r="AE299" s="2">
        <f t="shared" si="101"/>
        <v>5944.8569411626077</v>
      </c>
      <c r="AF299" s="2">
        <f t="shared" si="102"/>
        <v>1454.7978809404974</v>
      </c>
      <c r="AG299" s="12">
        <f t="shared" si="109"/>
        <v>4490.05906022211</v>
      </c>
      <c r="AH299" s="2">
        <f t="shared" si="110"/>
        <v>0</v>
      </c>
      <c r="AI299" s="12">
        <f t="shared" si="103"/>
        <v>4490.05906022211</v>
      </c>
      <c r="AJ299" s="12">
        <f t="shared" si="113"/>
        <v>646803.81406420586</v>
      </c>
      <c r="AK299" s="86">
        <f t="shared" si="104"/>
        <v>0.75528462747902736</v>
      </c>
      <c r="AL299" s="12">
        <f t="shared" si="111"/>
        <v>798662.39670369099</v>
      </c>
      <c r="AM299" s="124">
        <f t="shared" si="105"/>
        <v>0.31543509611255571</v>
      </c>
      <c r="AN299" s="72"/>
      <c r="AO299" s="59">
        <v>296</v>
      </c>
      <c r="AP299" s="125">
        <f t="shared" si="106"/>
        <v>26944.495984488</v>
      </c>
      <c r="AQ299" s="125">
        <f t="shared" si="112"/>
        <v>646803.81406420586</v>
      </c>
    </row>
    <row r="300" spans="19:43" x14ac:dyDescent="0.25">
      <c r="S300" s="9" t="str">
        <f t="shared" si="98"/>
        <v/>
      </c>
      <c r="T300" s="59">
        <v>24</v>
      </c>
      <c r="U300" s="59">
        <v>9</v>
      </c>
      <c r="V300" s="3" t="s">
        <v>58</v>
      </c>
      <c r="W300" s="23">
        <f>'Análise Técnica'!$C$3</f>
        <v>750</v>
      </c>
      <c r="X300" s="23">
        <f t="shared" si="116"/>
        <v>575.37052345359393</v>
      </c>
      <c r="Y300" s="54">
        <f t="shared" si="114"/>
        <v>174.62947654640607</v>
      </c>
      <c r="Z300" s="54">
        <f t="shared" si="115"/>
        <v>0</v>
      </c>
      <c r="AA300" s="54">
        <f t="shared" si="99"/>
        <v>100</v>
      </c>
      <c r="AB300" s="54">
        <f t="shared" si="100"/>
        <v>74.629476546406067</v>
      </c>
      <c r="AC300" s="54">
        <f t="shared" si="107"/>
        <v>0</v>
      </c>
      <c r="AD300" s="58">
        <f t="shared" si="108"/>
        <v>74.629476546406067</v>
      </c>
      <c r="AE300" s="2">
        <f t="shared" si="101"/>
        <v>5944.8569411626077</v>
      </c>
      <c r="AF300" s="2">
        <f t="shared" si="102"/>
        <v>1384.1963410379933</v>
      </c>
      <c r="AG300" s="12">
        <f t="shared" si="109"/>
        <v>4560.6606001246146</v>
      </c>
      <c r="AH300" s="2">
        <f t="shared" si="110"/>
        <v>0</v>
      </c>
      <c r="AI300" s="12">
        <f t="shared" si="103"/>
        <v>4560.6606001246146</v>
      </c>
      <c r="AJ300" s="12">
        <f t="shared" si="113"/>
        <v>651364.47466433048</v>
      </c>
      <c r="AK300" s="86">
        <f t="shared" si="104"/>
        <v>0.76716069793812525</v>
      </c>
      <c r="AL300" s="12">
        <f t="shared" si="111"/>
        <v>804607.2536448536</v>
      </c>
      <c r="AM300" s="124">
        <f t="shared" si="105"/>
        <v>0.32039498711312964</v>
      </c>
      <c r="AN300" s="72"/>
      <c r="AO300" s="59">
        <v>297</v>
      </c>
      <c r="AP300" s="125">
        <f t="shared" si="106"/>
        <v>27037.682484444005</v>
      </c>
      <c r="AQ300" s="125">
        <f t="shared" si="112"/>
        <v>651364.47466433048</v>
      </c>
    </row>
    <row r="301" spans="19:43" x14ac:dyDescent="0.25">
      <c r="S301" s="9" t="str">
        <f t="shared" si="98"/>
        <v/>
      </c>
      <c r="T301" s="59">
        <v>24</v>
      </c>
      <c r="U301" s="59">
        <v>10</v>
      </c>
      <c r="V301" s="3" t="s">
        <v>59</v>
      </c>
      <c r="W301" s="23">
        <f>'Análise Técnica'!$C$3</f>
        <v>750</v>
      </c>
      <c r="X301" s="23">
        <f t="shared" si="116"/>
        <v>643.66629202330807</v>
      </c>
      <c r="Y301" s="54">
        <f t="shared" si="114"/>
        <v>106.33370797669193</v>
      </c>
      <c r="Z301" s="54">
        <f t="shared" si="115"/>
        <v>0</v>
      </c>
      <c r="AA301" s="54">
        <f t="shared" si="99"/>
        <v>100</v>
      </c>
      <c r="AB301" s="54">
        <f t="shared" si="100"/>
        <v>6.333707976691926</v>
      </c>
      <c r="AC301" s="54">
        <f t="shared" si="107"/>
        <v>0</v>
      </c>
      <c r="AD301" s="58">
        <f t="shared" si="108"/>
        <v>6.333707976691926</v>
      </c>
      <c r="AE301" s="2">
        <f t="shared" si="101"/>
        <v>5944.8569411626077</v>
      </c>
      <c r="AF301" s="2">
        <f t="shared" si="102"/>
        <v>842.85157592639302</v>
      </c>
      <c r="AG301" s="12">
        <f t="shared" si="109"/>
        <v>5102.0053652362149</v>
      </c>
      <c r="AH301" s="2">
        <f t="shared" si="110"/>
        <v>0</v>
      </c>
      <c r="AI301" s="12">
        <f t="shared" si="103"/>
        <v>5102.0053652362149</v>
      </c>
      <c r="AJ301" s="12">
        <f t="shared" si="113"/>
        <v>656466.48002956668</v>
      </c>
      <c r="AK301" s="86">
        <f t="shared" si="104"/>
        <v>0.8582217226977441</v>
      </c>
      <c r="AL301" s="12">
        <f t="shared" si="111"/>
        <v>810552.11058601621</v>
      </c>
      <c r="AM301" s="124">
        <f t="shared" si="105"/>
        <v>0.35842547529217811</v>
      </c>
      <c r="AN301" s="72"/>
      <c r="AO301" s="59">
        <v>298</v>
      </c>
      <c r="AP301" s="125">
        <f t="shared" si="106"/>
        <v>27131.133012816565</v>
      </c>
      <c r="AQ301" s="125">
        <f t="shared" si="112"/>
        <v>656466.48002956668</v>
      </c>
    </row>
    <row r="302" spans="19:43" x14ac:dyDescent="0.25">
      <c r="S302" s="9" t="str">
        <f t="shared" si="98"/>
        <v/>
      </c>
      <c r="T302" s="59">
        <v>24</v>
      </c>
      <c r="U302" s="59">
        <v>11</v>
      </c>
      <c r="V302" s="3" t="s">
        <v>60</v>
      </c>
      <c r="W302" s="23">
        <f>'Análise Técnica'!$C$3</f>
        <v>750</v>
      </c>
      <c r="X302" s="23">
        <f t="shared" si="116"/>
        <v>648.30799561823721</v>
      </c>
      <c r="Y302" s="54">
        <f t="shared" si="114"/>
        <v>101.69200438176279</v>
      </c>
      <c r="Z302" s="54">
        <f t="shared" si="115"/>
        <v>0</v>
      </c>
      <c r="AA302" s="54">
        <f t="shared" si="99"/>
        <v>100</v>
      </c>
      <c r="AB302" s="54">
        <f t="shared" si="100"/>
        <v>1.6920043817627857</v>
      </c>
      <c r="AC302" s="54">
        <f t="shared" si="107"/>
        <v>0</v>
      </c>
      <c r="AD302" s="58">
        <f t="shared" si="108"/>
        <v>1.6920043817627857</v>
      </c>
      <c r="AE302" s="2">
        <f t="shared" si="101"/>
        <v>5944.8569411626077</v>
      </c>
      <c r="AF302" s="2">
        <f t="shared" si="102"/>
        <v>806.05922414621443</v>
      </c>
      <c r="AG302" s="12">
        <f t="shared" si="109"/>
        <v>5138.7977170163931</v>
      </c>
      <c r="AH302" s="2">
        <f t="shared" si="110"/>
        <v>0</v>
      </c>
      <c r="AI302" s="12">
        <f t="shared" si="103"/>
        <v>5138.7977170163931</v>
      </c>
      <c r="AJ302" s="12">
        <f t="shared" si="113"/>
        <v>661605.2777465831</v>
      </c>
      <c r="AK302" s="86">
        <f t="shared" si="104"/>
        <v>0.86441066082431628</v>
      </c>
      <c r="AL302" s="12">
        <f t="shared" si="111"/>
        <v>816496.96752717881</v>
      </c>
      <c r="AM302" s="124">
        <f t="shared" si="105"/>
        <v>0.36101020722205468</v>
      </c>
      <c r="AN302" s="72"/>
      <c r="AO302" s="59">
        <v>299</v>
      </c>
      <c r="AP302" s="125">
        <f t="shared" si="106"/>
        <v>27224.848317686163</v>
      </c>
      <c r="AQ302" s="125">
        <f t="shared" si="112"/>
        <v>661605.2777465831</v>
      </c>
    </row>
    <row r="303" spans="19:43" x14ac:dyDescent="0.25">
      <c r="S303" s="9" t="str">
        <f t="shared" si="98"/>
        <v/>
      </c>
      <c r="T303" s="59">
        <v>24</v>
      </c>
      <c r="U303" s="59">
        <v>12</v>
      </c>
      <c r="V303" s="3" t="s">
        <v>61</v>
      </c>
      <c r="W303" s="23">
        <f>'Análise Técnica'!$C$3</f>
        <v>750</v>
      </c>
      <c r="X303" s="23">
        <f t="shared" si="116"/>
        <v>743.80163822526572</v>
      </c>
      <c r="Y303" s="54">
        <f t="shared" si="114"/>
        <v>6.1983617747342805</v>
      </c>
      <c r="Z303" s="54">
        <f t="shared" si="115"/>
        <v>0</v>
      </c>
      <c r="AA303" s="54">
        <f t="shared" si="99"/>
        <v>100</v>
      </c>
      <c r="AB303" s="54">
        <f t="shared" si="100"/>
        <v>0</v>
      </c>
      <c r="AC303" s="54">
        <f t="shared" si="107"/>
        <v>0</v>
      </c>
      <c r="AD303" s="58">
        <f t="shared" si="108"/>
        <v>0</v>
      </c>
      <c r="AE303" s="2">
        <f t="shared" si="101"/>
        <v>5944.8569411626077</v>
      </c>
      <c r="AF303" s="2">
        <f t="shared" si="102"/>
        <v>792.64759215501431</v>
      </c>
      <c r="AG303" s="12">
        <f t="shared" si="109"/>
        <v>5152.2093490075931</v>
      </c>
      <c r="AH303" s="2">
        <f t="shared" si="110"/>
        <v>0</v>
      </c>
      <c r="AI303" s="12">
        <f t="shared" si="103"/>
        <v>5152.2093490075931</v>
      </c>
      <c r="AJ303" s="12">
        <f t="shared" si="113"/>
        <v>666757.48709559068</v>
      </c>
      <c r="AK303" s="86">
        <f t="shared" si="104"/>
        <v>0.8666666666666667</v>
      </c>
      <c r="AL303" s="12">
        <f t="shared" si="111"/>
        <v>822441.82446834142</v>
      </c>
      <c r="AM303" s="124">
        <f t="shared" si="105"/>
        <v>0.36195239960069148</v>
      </c>
      <c r="AN303" s="72"/>
      <c r="AO303" s="59">
        <v>300</v>
      </c>
      <c r="AP303" s="125">
        <f t="shared" si="106"/>
        <v>27318.829149252902</v>
      </c>
      <c r="AQ303" s="125">
        <f t="shared" si="112"/>
        <v>666757.48709559068</v>
      </c>
    </row>
    <row r="304" spans="19:43" x14ac:dyDescent="0.25">
      <c r="AQ304" s="72"/>
    </row>
  </sheetData>
  <mergeCells count="4">
    <mergeCell ref="B2:C2"/>
    <mergeCell ref="E2:R2"/>
    <mergeCell ref="E20:P20"/>
    <mergeCell ref="U3:V3"/>
  </mergeCells>
  <conditionalFormatting sqref="C19">
    <cfRule type="cellIs" dxfId="2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C8:C10" unlockedFormula="1"/>
    <ignoredError sqref="AH4:AH303 K47:K4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/>
  <dimension ref="A1:AF856"/>
  <sheetViews>
    <sheetView workbookViewId="0">
      <selection activeCell="V15" sqref="V15"/>
    </sheetView>
  </sheetViews>
  <sheetFormatPr defaultColWidth="9.140625" defaultRowHeight="15" x14ac:dyDescent="0.25"/>
  <cols>
    <col min="1" max="1" width="9.140625" style="184"/>
    <col min="2" max="2" width="9.140625" style="66"/>
    <col min="3" max="3" width="9.28515625" style="66" bestFit="1" customWidth="1"/>
    <col min="4" max="17" width="9.140625" style="66"/>
    <col min="18" max="18" width="18.7109375" style="66" bestFit="1" customWidth="1"/>
    <col min="19" max="19" width="9.140625" style="66"/>
    <col min="20" max="32" width="10.28515625" style="66" customWidth="1"/>
    <col min="33" max="16384" width="9.140625" style="66"/>
  </cols>
  <sheetData>
    <row r="1" spans="1:32" x14ac:dyDescent="0.25">
      <c r="A1" s="168" t="s">
        <v>514</v>
      </c>
      <c r="B1" s="165" t="s">
        <v>46</v>
      </c>
      <c r="C1" s="36" t="s">
        <v>422</v>
      </c>
      <c r="D1" s="36" t="s">
        <v>39</v>
      </c>
      <c r="E1" s="36" t="s">
        <v>28</v>
      </c>
      <c r="F1" s="36" t="s">
        <v>29</v>
      </c>
      <c r="G1" s="36" t="s">
        <v>30</v>
      </c>
      <c r="H1" s="36" t="s">
        <v>31</v>
      </c>
      <c r="I1" s="36" t="s">
        <v>32</v>
      </c>
      <c r="J1" s="36" t="s">
        <v>33</v>
      </c>
      <c r="K1" s="36" t="s">
        <v>34</v>
      </c>
      <c r="L1" s="36" t="s">
        <v>35</v>
      </c>
      <c r="M1" s="36" t="s">
        <v>36</v>
      </c>
      <c r="N1" s="36" t="s">
        <v>37</v>
      </c>
      <c r="O1" s="36" t="s">
        <v>38</v>
      </c>
      <c r="P1" s="36" t="s">
        <v>40</v>
      </c>
    </row>
    <row r="2" spans="1:32" s="10" customFormat="1" x14ac:dyDescent="0.25">
      <c r="A2" s="169">
        <f t="shared" ref="A2:A19" si="0">B2+(C2/100)</f>
        <v>0</v>
      </c>
      <c r="B2" s="166">
        <v>0</v>
      </c>
      <c r="C2" s="32">
        <v>0</v>
      </c>
      <c r="D2" s="33">
        <v>1</v>
      </c>
      <c r="E2" s="33">
        <v>1</v>
      </c>
      <c r="F2" s="33">
        <v>1</v>
      </c>
      <c r="G2" s="33">
        <v>1</v>
      </c>
      <c r="H2" s="33">
        <v>1</v>
      </c>
      <c r="I2" s="33">
        <v>1</v>
      </c>
      <c r="J2" s="33">
        <v>0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4">
        <f>AVERAGE(D2:O2)</f>
        <v>0.91666666666666663</v>
      </c>
      <c r="Q2" s="66"/>
      <c r="R2" s="171" t="s">
        <v>515</v>
      </c>
      <c r="S2" s="172">
        <f>'Análise Técnica'!C8</f>
        <v>23</v>
      </c>
      <c r="T2" s="243" t="s">
        <v>517</v>
      </c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5"/>
    </row>
    <row r="3" spans="1:32" s="10" customFormat="1" x14ac:dyDescent="0.25">
      <c r="A3" s="169">
        <f t="shared" si="0"/>
        <v>0.05</v>
      </c>
      <c r="B3" s="166">
        <v>0</v>
      </c>
      <c r="C3" s="32">
        <v>5</v>
      </c>
      <c r="D3" s="33">
        <v>0.97</v>
      </c>
      <c r="E3" s="33">
        <v>0.98</v>
      </c>
      <c r="F3" s="33">
        <v>1</v>
      </c>
      <c r="G3" s="33">
        <v>1.01</v>
      </c>
      <c r="H3" s="33">
        <v>1.02</v>
      </c>
      <c r="I3" s="33">
        <v>1.02</v>
      </c>
      <c r="J3" s="33">
        <v>1.02</v>
      </c>
      <c r="K3" s="33">
        <v>1.01</v>
      </c>
      <c r="L3" s="33">
        <v>1</v>
      </c>
      <c r="M3" s="33">
        <v>0.98</v>
      </c>
      <c r="N3" s="33">
        <v>0.97</v>
      </c>
      <c r="O3" s="33">
        <v>0.96</v>
      </c>
      <c r="P3" s="34">
        <f t="shared" ref="P3:P20" si="1">AVERAGE(D3:O3)</f>
        <v>0.99500000000000011</v>
      </c>
      <c r="Q3" s="66"/>
      <c r="R3" s="171" t="s">
        <v>513</v>
      </c>
      <c r="S3" s="33">
        <f>'Análise Técnica'!C12</f>
        <v>10</v>
      </c>
      <c r="T3" s="163" t="s">
        <v>50</v>
      </c>
      <c r="U3" s="163" t="s">
        <v>51</v>
      </c>
      <c r="V3" s="163" t="s">
        <v>52</v>
      </c>
      <c r="W3" s="163" t="s">
        <v>53</v>
      </c>
      <c r="X3" s="163" t="s">
        <v>54</v>
      </c>
      <c r="Y3" s="163" t="s">
        <v>55</v>
      </c>
      <c r="Z3" s="163" t="s">
        <v>56</v>
      </c>
      <c r="AA3" s="163" t="s">
        <v>57</v>
      </c>
      <c r="AB3" s="163" t="s">
        <v>58</v>
      </c>
      <c r="AC3" s="163" t="s">
        <v>59</v>
      </c>
      <c r="AD3" s="163" t="s">
        <v>60</v>
      </c>
      <c r="AE3" s="163" t="s">
        <v>61</v>
      </c>
      <c r="AF3" s="163" t="s">
        <v>40</v>
      </c>
    </row>
    <row r="4" spans="1:32" s="10" customFormat="1" x14ac:dyDescent="0.25">
      <c r="A4" s="169">
        <f t="shared" si="0"/>
        <v>0.1</v>
      </c>
      <c r="B4" s="166">
        <v>0</v>
      </c>
      <c r="C4" s="32">
        <v>10</v>
      </c>
      <c r="D4" s="33">
        <v>0.93</v>
      </c>
      <c r="E4" s="33">
        <v>0.95</v>
      </c>
      <c r="F4" s="33">
        <v>0.99</v>
      </c>
      <c r="G4" s="33">
        <v>1.02</v>
      </c>
      <c r="H4" s="33">
        <v>1.04</v>
      </c>
      <c r="I4" s="33">
        <v>1.04</v>
      </c>
      <c r="J4" s="33">
        <v>1.03</v>
      </c>
      <c r="K4" s="33">
        <v>1.01</v>
      </c>
      <c r="L4" s="33">
        <v>0.99</v>
      </c>
      <c r="M4" s="33">
        <v>0.96</v>
      </c>
      <c r="N4" s="33">
        <v>0.93</v>
      </c>
      <c r="O4" s="33">
        <v>0.92</v>
      </c>
      <c r="P4" s="34">
        <f t="shared" si="1"/>
        <v>0.98416666666666675</v>
      </c>
      <c r="Q4" s="66"/>
      <c r="R4" s="171" t="s">
        <v>516</v>
      </c>
      <c r="S4" s="173">
        <f>S2+S3/100</f>
        <v>23.1</v>
      </c>
      <c r="T4" s="33">
        <f>VLOOKUP($S$4,$A$2:$P$856,4,FALSE)</f>
        <v>0.99</v>
      </c>
      <c r="U4" s="33">
        <f>VLOOKUP($S$4,$A$2:$P$856,5,FALSE)</f>
        <v>1.01</v>
      </c>
      <c r="V4" s="33">
        <f>VLOOKUP($S$4,$A$2:$P$856,6,FALSE)</f>
        <v>1.05</v>
      </c>
      <c r="W4" s="33">
        <f>VLOOKUP($S$4,$A$2:$P$856,7,FALSE)</f>
        <v>1.08</v>
      </c>
      <c r="X4" s="33">
        <f>VLOOKUP($S$4,$A$2:$P$856,8,FALSE)</f>
        <v>1.1000000000000001</v>
      </c>
      <c r="Y4" s="33">
        <f>VLOOKUP($S$4,$A$2:$P$856,9,FALSE)</f>
        <v>1.1000000000000001</v>
      </c>
      <c r="Z4" s="33">
        <f>VLOOKUP($S$4,$A$2:$P$856,10,FALSE)</f>
        <v>1.0900000000000001</v>
      </c>
      <c r="AA4" s="33">
        <f>VLOOKUP($S$4,$A$2:$P$856,11,FALSE)</f>
        <v>1.07</v>
      </c>
      <c r="AB4" s="33">
        <f>VLOOKUP($S$4,$A$2:$P$856,12,FALSE)</f>
        <v>1.04</v>
      </c>
      <c r="AC4" s="33">
        <f>VLOOKUP($S$4,$A$2:$P$856,13,FALSE)</f>
        <v>1.01</v>
      </c>
      <c r="AD4" s="33">
        <f>VLOOKUP($S$4,$A$2:$P$856,14,FALSE)</f>
        <v>0.99</v>
      </c>
      <c r="AE4" s="33">
        <f>VLOOKUP($S$4,$A$2:$P$856,15,FALSE)</f>
        <v>0.98</v>
      </c>
      <c r="AF4" s="174">
        <f>VLOOKUP($S$4,$A$2:$P$856,16,FALSE)</f>
        <v>1.0425000000000002</v>
      </c>
    </row>
    <row r="5" spans="1:32" x14ac:dyDescent="0.25">
      <c r="A5" s="169">
        <f t="shared" si="0"/>
        <v>0.15</v>
      </c>
      <c r="B5" s="166">
        <v>0</v>
      </c>
      <c r="C5" s="32">
        <v>15</v>
      </c>
      <c r="D5" s="33">
        <v>0.88</v>
      </c>
      <c r="E5" s="33">
        <v>0.92</v>
      </c>
      <c r="F5" s="33">
        <v>0.97</v>
      </c>
      <c r="G5" s="33">
        <v>1.02</v>
      </c>
      <c r="H5" s="33">
        <v>1.05</v>
      </c>
      <c r="I5" s="33">
        <v>1.05</v>
      </c>
      <c r="J5" s="33">
        <v>1.04</v>
      </c>
      <c r="K5" s="33">
        <v>1.01</v>
      </c>
      <c r="L5" s="33">
        <v>0.97</v>
      </c>
      <c r="M5" s="33">
        <v>0.92</v>
      </c>
      <c r="N5" s="33">
        <v>0.88</v>
      </c>
      <c r="O5" s="33">
        <v>0.87</v>
      </c>
      <c r="P5" s="34">
        <f t="shared" si="1"/>
        <v>0.96499999999999997</v>
      </c>
    </row>
    <row r="6" spans="1:32" x14ac:dyDescent="0.25">
      <c r="A6" s="169">
        <f t="shared" si="0"/>
        <v>0.2</v>
      </c>
      <c r="B6" s="166">
        <v>0</v>
      </c>
      <c r="C6" s="32">
        <v>20</v>
      </c>
      <c r="D6" s="33">
        <v>0.83</v>
      </c>
      <c r="E6" s="33">
        <v>0.88</v>
      </c>
      <c r="F6" s="33">
        <v>0.95</v>
      </c>
      <c r="G6" s="33">
        <v>1.01</v>
      </c>
      <c r="H6" s="33">
        <v>1.05</v>
      </c>
      <c r="I6" s="33">
        <v>1.06</v>
      </c>
      <c r="J6" s="33">
        <v>1.04</v>
      </c>
      <c r="K6" s="33">
        <v>1</v>
      </c>
      <c r="L6" s="33">
        <v>0.95</v>
      </c>
      <c r="M6" s="33">
        <v>0.88</v>
      </c>
      <c r="N6" s="33">
        <v>0.83</v>
      </c>
      <c r="O6" s="33">
        <v>0.81</v>
      </c>
      <c r="P6" s="34">
        <f t="shared" si="1"/>
        <v>0.94083333333333341</v>
      </c>
      <c r="R6" s="179"/>
      <c r="S6" s="180"/>
      <c r="T6" s="246"/>
      <c r="U6" s="246"/>
      <c r="V6" s="246"/>
      <c r="W6" s="246"/>
      <c r="X6" s="246"/>
      <c r="Y6" s="246"/>
      <c r="Z6" s="246"/>
      <c r="AA6" s="246"/>
      <c r="AB6" s="246"/>
      <c r="AC6" s="246"/>
      <c r="AD6" s="246"/>
      <c r="AE6" s="246"/>
      <c r="AF6" s="246"/>
    </row>
    <row r="7" spans="1:32" x14ac:dyDescent="0.25">
      <c r="A7" s="169">
        <f t="shared" si="0"/>
        <v>0.25</v>
      </c>
      <c r="B7" s="166">
        <v>0</v>
      </c>
      <c r="C7" s="32">
        <v>25</v>
      </c>
      <c r="D7" s="33">
        <v>0.77</v>
      </c>
      <c r="E7" s="33">
        <v>0.83</v>
      </c>
      <c r="F7" s="33">
        <v>0.92</v>
      </c>
      <c r="G7" s="33">
        <v>0.99</v>
      </c>
      <c r="H7" s="33">
        <v>1.04</v>
      </c>
      <c r="I7" s="33">
        <v>1.06</v>
      </c>
      <c r="J7" s="33">
        <v>1.03</v>
      </c>
      <c r="K7" s="33">
        <v>0.99</v>
      </c>
      <c r="L7" s="33">
        <v>0.92</v>
      </c>
      <c r="M7" s="33">
        <v>0.84</v>
      </c>
      <c r="N7" s="33">
        <v>0.77</v>
      </c>
      <c r="O7" s="33">
        <v>0.75</v>
      </c>
      <c r="P7" s="34">
        <f t="shared" si="1"/>
        <v>0.90916666666666668</v>
      </c>
      <c r="R7" s="179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</row>
    <row r="8" spans="1:32" x14ac:dyDescent="0.25">
      <c r="A8" s="169">
        <f t="shared" si="0"/>
        <v>0.3</v>
      </c>
      <c r="B8" s="166">
        <v>0</v>
      </c>
      <c r="C8" s="32">
        <v>30</v>
      </c>
      <c r="D8" s="33">
        <v>0.7</v>
      </c>
      <c r="E8" s="33">
        <v>0.78</v>
      </c>
      <c r="F8" s="33">
        <v>0.88</v>
      </c>
      <c r="G8" s="33">
        <v>0.97</v>
      </c>
      <c r="H8" s="33">
        <v>1.03</v>
      </c>
      <c r="I8" s="33">
        <v>1.05</v>
      </c>
      <c r="J8" s="33">
        <v>1.02</v>
      </c>
      <c r="K8" s="33">
        <v>0.97</v>
      </c>
      <c r="L8" s="33">
        <v>0.88</v>
      </c>
      <c r="M8" s="33">
        <v>0.79</v>
      </c>
      <c r="N8" s="33">
        <v>0.71</v>
      </c>
      <c r="O8" s="33">
        <v>0.68</v>
      </c>
      <c r="P8" s="34">
        <f t="shared" si="1"/>
        <v>0.8716666666666667</v>
      </c>
      <c r="R8" s="179"/>
      <c r="S8" s="182"/>
      <c r="AF8" s="183"/>
    </row>
    <row r="9" spans="1:32" x14ac:dyDescent="0.25">
      <c r="A9" s="169">
        <f t="shared" si="0"/>
        <v>0.35</v>
      </c>
      <c r="B9" s="166">
        <v>0</v>
      </c>
      <c r="C9" s="32">
        <v>35</v>
      </c>
      <c r="D9" s="33">
        <v>0.64</v>
      </c>
      <c r="E9" s="33">
        <v>0.72</v>
      </c>
      <c r="F9" s="33">
        <v>0.84</v>
      </c>
      <c r="G9" s="33">
        <v>0.94</v>
      </c>
      <c r="H9" s="33">
        <v>1.02</v>
      </c>
      <c r="I9" s="33">
        <v>1.03</v>
      </c>
      <c r="J9" s="33">
        <v>1</v>
      </c>
      <c r="K9" s="33">
        <v>0.94</v>
      </c>
      <c r="L9" s="33">
        <v>0.84</v>
      </c>
      <c r="M9" s="33">
        <v>0.74</v>
      </c>
      <c r="N9" s="33">
        <v>0.64</v>
      </c>
      <c r="O9" s="33">
        <v>0.61</v>
      </c>
      <c r="P9" s="34">
        <f t="shared" si="1"/>
        <v>0.83000000000000007</v>
      </c>
    </row>
    <row r="10" spans="1:32" x14ac:dyDescent="0.25">
      <c r="A10" s="169">
        <f t="shared" si="0"/>
        <v>0.4</v>
      </c>
      <c r="B10" s="166">
        <v>0</v>
      </c>
      <c r="C10" s="32">
        <v>40</v>
      </c>
      <c r="D10" s="33">
        <v>0.56000000000000005</v>
      </c>
      <c r="E10" s="33">
        <v>0.66</v>
      </c>
      <c r="F10" s="33">
        <v>0.79</v>
      </c>
      <c r="G10" s="33">
        <v>0.91</v>
      </c>
      <c r="H10" s="33">
        <v>0.99</v>
      </c>
      <c r="I10" s="33">
        <v>1.01</v>
      </c>
      <c r="J10" s="33">
        <v>0.98</v>
      </c>
      <c r="K10" s="33">
        <v>0.9</v>
      </c>
      <c r="L10" s="33">
        <v>0.8</v>
      </c>
      <c r="M10" s="33">
        <v>0.68</v>
      </c>
      <c r="N10" s="33">
        <v>0.56999999999999995</v>
      </c>
      <c r="O10" s="33">
        <v>0.53</v>
      </c>
      <c r="P10" s="34">
        <f t="shared" si="1"/>
        <v>0.78166666666666673</v>
      </c>
    </row>
    <row r="11" spans="1:32" x14ac:dyDescent="0.25">
      <c r="A11" s="169">
        <f t="shared" si="0"/>
        <v>0.45</v>
      </c>
      <c r="B11" s="166">
        <v>0</v>
      </c>
      <c r="C11" s="32">
        <v>45</v>
      </c>
      <c r="D11" s="33">
        <v>0.49</v>
      </c>
      <c r="E11" s="33">
        <v>0.59</v>
      </c>
      <c r="F11" s="33">
        <v>0.73</v>
      </c>
      <c r="G11" s="33">
        <v>0.87</v>
      </c>
      <c r="H11" s="33">
        <v>0.96</v>
      </c>
      <c r="I11" s="33">
        <v>0.98</v>
      </c>
      <c r="J11" s="33">
        <v>0.95</v>
      </c>
      <c r="K11" s="33">
        <v>0.87</v>
      </c>
      <c r="L11" s="33">
        <v>0.75</v>
      </c>
      <c r="M11" s="33">
        <v>0.61</v>
      </c>
      <c r="N11" s="33">
        <v>0.5</v>
      </c>
      <c r="O11" s="33">
        <v>0.45</v>
      </c>
      <c r="P11" s="34">
        <f t="shared" si="1"/>
        <v>0.72916666666666663</v>
      </c>
    </row>
    <row r="12" spans="1:32" x14ac:dyDescent="0.25">
      <c r="A12" s="169">
        <f t="shared" si="0"/>
        <v>0.5</v>
      </c>
      <c r="B12" s="166">
        <v>0</v>
      </c>
      <c r="C12" s="32">
        <v>50</v>
      </c>
      <c r="D12" s="33">
        <v>0.41</v>
      </c>
      <c r="E12" s="33">
        <v>0.52</v>
      </c>
      <c r="F12" s="33">
        <v>0.68</v>
      </c>
      <c r="G12" s="33">
        <v>0.82</v>
      </c>
      <c r="H12" s="33">
        <v>0.92</v>
      </c>
      <c r="I12" s="33">
        <v>0.95</v>
      </c>
      <c r="J12" s="33">
        <v>0.91</v>
      </c>
      <c r="K12" s="33">
        <v>0.82</v>
      </c>
      <c r="L12" s="33">
        <v>0.69</v>
      </c>
      <c r="M12" s="33">
        <v>0.54</v>
      </c>
      <c r="N12" s="33">
        <v>0.42</v>
      </c>
      <c r="O12" s="33">
        <v>0.37</v>
      </c>
      <c r="P12" s="34">
        <f t="shared" si="1"/>
        <v>0.67083333333333339</v>
      </c>
    </row>
    <row r="13" spans="1:32" x14ac:dyDescent="0.25">
      <c r="A13" s="169">
        <f t="shared" si="0"/>
        <v>0.55000000000000004</v>
      </c>
      <c r="B13" s="166">
        <v>0</v>
      </c>
      <c r="C13" s="32">
        <v>55</v>
      </c>
      <c r="D13" s="33">
        <v>0.33</v>
      </c>
      <c r="E13" s="33">
        <v>0.45</v>
      </c>
      <c r="F13" s="33">
        <v>0.61</v>
      </c>
      <c r="G13" s="33">
        <v>0.77</v>
      </c>
      <c r="H13" s="33">
        <v>0.88</v>
      </c>
      <c r="I13" s="33">
        <v>0.91</v>
      </c>
      <c r="J13" s="33">
        <v>0.87</v>
      </c>
      <c r="K13" s="33">
        <v>0.77</v>
      </c>
      <c r="L13" s="33">
        <v>0.63</v>
      </c>
      <c r="M13" s="33">
        <v>0.47</v>
      </c>
      <c r="N13" s="33">
        <v>0.34</v>
      </c>
      <c r="O13" s="33">
        <v>0.28000000000000003</v>
      </c>
      <c r="P13" s="34">
        <f t="shared" si="1"/>
        <v>0.60916666666666663</v>
      </c>
    </row>
    <row r="14" spans="1:32" x14ac:dyDescent="0.25">
      <c r="A14" s="169">
        <f t="shared" si="0"/>
        <v>0.6</v>
      </c>
      <c r="B14" s="166">
        <v>0</v>
      </c>
      <c r="C14" s="32">
        <v>60</v>
      </c>
      <c r="D14" s="33">
        <v>0.24</v>
      </c>
      <c r="E14" s="33">
        <v>0.37</v>
      </c>
      <c r="F14" s="33">
        <v>0.55000000000000004</v>
      </c>
      <c r="G14" s="33">
        <v>0.71</v>
      </c>
      <c r="H14" s="33">
        <v>0.83</v>
      </c>
      <c r="I14" s="33">
        <v>0.86</v>
      </c>
      <c r="J14" s="33">
        <v>0.82</v>
      </c>
      <c r="K14" s="33">
        <v>0.72</v>
      </c>
      <c r="L14" s="33">
        <v>0.56999999999999995</v>
      </c>
      <c r="M14" s="33">
        <v>0.4</v>
      </c>
      <c r="N14" s="33">
        <v>0.26</v>
      </c>
      <c r="O14" s="33">
        <v>0.2</v>
      </c>
      <c r="P14" s="34">
        <f t="shared" si="1"/>
        <v>0.54416666666666669</v>
      </c>
    </row>
    <row r="15" spans="1:32" x14ac:dyDescent="0.25">
      <c r="A15" s="169">
        <f t="shared" si="0"/>
        <v>0.65</v>
      </c>
      <c r="B15" s="166">
        <v>0</v>
      </c>
      <c r="C15" s="32">
        <v>65</v>
      </c>
      <c r="D15" s="33">
        <v>0.16</v>
      </c>
      <c r="E15" s="33">
        <v>0.3</v>
      </c>
      <c r="F15" s="33">
        <v>0.48</v>
      </c>
      <c r="G15" s="33">
        <v>0.65</v>
      </c>
      <c r="H15" s="33">
        <v>0.77</v>
      </c>
      <c r="I15" s="33">
        <v>0.81</v>
      </c>
      <c r="J15" s="33">
        <v>0.77</v>
      </c>
      <c r="K15" s="33">
        <v>0.66</v>
      </c>
      <c r="L15" s="33">
        <v>0.5</v>
      </c>
      <c r="M15" s="33">
        <v>0.32</v>
      </c>
      <c r="N15" s="33">
        <v>0.18</v>
      </c>
      <c r="O15" s="33">
        <v>0.13</v>
      </c>
      <c r="P15" s="34">
        <f t="shared" si="1"/>
        <v>0.47749999999999998</v>
      </c>
    </row>
    <row r="16" spans="1:32" x14ac:dyDescent="0.25">
      <c r="A16" s="169">
        <f t="shared" si="0"/>
        <v>0.7</v>
      </c>
      <c r="B16" s="166">
        <v>0</v>
      </c>
      <c r="C16" s="32">
        <v>70</v>
      </c>
      <c r="D16" s="33">
        <v>0.11</v>
      </c>
      <c r="E16" s="33">
        <v>0.22</v>
      </c>
      <c r="F16" s="33">
        <v>0.4</v>
      </c>
      <c r="G16" s="33">
        <v>0.59</v>
      </c>
      <c r="H16" s="33">
        <v>0.72</v>
      </c>
      <c r="I16" s="33">
        <v>0.75</v>
      </c>
      <c r="J16" s="33">
        <v>0.71</v>
      </c>
      <c r="K16" s="33">
        <v>0.6</v>
      </c>
      <c r="L16" s="33">
        <v>0.43</v>
      </c>
      <c r="M16" s="33">
        <v>0.25</v>
      </c>
      <c r="N16" s="33">
        <v>0.13</v>
      </c>
      <c r="O16" s="33">
        <v>0.12</v>
      </c>
      <c r="P16" s="34">
        <f t="shared" si="1"/>
        <v>0.41916666666666663</v>
      </c>
    </row>
    <row r="17" spans="1:16" x14ac:dyDescent="0.25">
      <c r="A17" s="169">
        <f t="shared" si="0"/>
        <v>0.75</v>
      </c>
      <c r="B17" s="166">
        <v>0</v>
      </c>
      <c r="C17" s="32">
        <v>75</v>
      </c>
      <c r="D17" s="33">
        <v>0.11</v>
      </c>
      <c r="E17" s="33">
        <v>0.13</v>
      </c>
      <c r="F17" s="33">
        <v>0.33</v>
      </c>
      <c r="G17" s="33">
        <v>0.52</v>
      </c>
      <c r="H17" s="33">
        <v>0.65</v>
      </c>
      <c r="I17" s="33">
        <v>0.69</v>
      </c>
      <c r="J17" s="33">
        <v>0.65</v>
      </c>
      <c r="K17" s="33">
        <v>0.53</v>
      </c>
      <c r="L17" s="33">
        <v>0.36</v>
      </c>
      <c r="M17" s="33">
        <v>0.17</v>
      </c>
      <c r="N17" s="33">
        <v>0.12</v>
      </c>
      <c r="O17" s="33">
        <v>0.11</v>
      </c>
      <c r="P17" s="34">
        <f t="shared" si="1"/>
        <v>0.36416666666666675</v>
      </c>
    </row>
    <row r="18" spans="1:16" x14ac:dyDescent="0.25">
      <c r="A18" s="169">
        <f t="shared" si="0"/>
        <v>0.8</v>
      </c>
      <c r="B18" s="166">
        <v>0</v>
      </c>
      <c r="C18" s="32">
        <v>80</v>
      </c>
      <c r="D18" s="33">
        <v>0.1</v>
      </c>
      <c r="E18" s="33">
        <v>0.1</v>
      </c>
      <c r="F18" s="33">
        <v>0.25</v>
      </c>
      <c r="G18" s="33">
        <v>0.45</v>
      </c>
      <c r="H18" s="33">
        <v>0.57999999999999996</v>
      </c>
      <c r="I18" s="33">
        <v>0.63</v>
      </c>
      <c r="J18" s="33">
        <v>0.57999999999999996</v>
      </c>
      <c r="K18" s="33">
        <v>0.47</v>
      </c>
      <c r="L18" s="33">
        <v>0.28999999999999998</v>
      </c>
      <c r="M18" s="33">
        <v>0.13</v>
      </c>
      <c r="N18" s="33">
        <v>0.12</v>
      </c>
      <c r="O18" s="33">
        <v>0.1</v>
      </c>
      <c r="P18" s="34">
        <f t="shared" si="1"/>
        <v>0.31666666666666671</v>
      </c>
    </row>
    <row r="19" spans="1:16" x14ac:dyDescent="0.25">
      <c r="A19" s="169">
        <f t="shared" si="0"/>
        <v>0.85</v>
      </c>
      <c r="B19" s="166">
        <v>0</v>
      </c>
      <c r="C19" s="32">
        <v>85</v>
      </c>
      <c r="D19" s="33">
        <v>0.09</v>
      </c>
      <c r="E19" s="33">
        <v>0.09</v>
      </c>
      <c r="F19" s="33">
        <v>0.17</v>
      </c>
      <c r="G19" s="33">
        <v>0.37</v>
      </c>
      <c r="H19" s="33">
        <v>0.51</v>
      </c>
      <c r="I19" s="33">
        <v>0.56000000000000005</v>
      </c>
      <c r="J19" s="33">
        <v>0.52</v>
      </c>
      <c r="K19" s="33">
        <v>0.4</v>
      </c>
      <c r="L19" s="33">
        <v>0.21</v>
      </c>
      <c r="M19" s="33">
        <v>0.12</v>
      </c>
      <c r="N19" s="33">
        <v>0.11</v>
      </c>
      <c r="O19" s="33">
        <v>0.1</v>
      </c>
      <c r="P19" s="34">
        <f t="shared" si="1"/>
        <v>0.27083333333333331</v>
      </c>
    </row>
    <row r="20" spans="1:16" x14ac:dyDescent="0.25">
      <c r="A20" s="169">
        <f>B20+(C20/100)</f>
        <v>0.9</v>
      </c>
      <c r="B20" s="166">
        <v>0</v>
      </c>
      <c r="C20" s="32">
        <v>90</v>
      </c>
      <c r="D20" s="33">
        <v>0.08</v>
      </c>
      <c r="E20" s="33">
        <v>0.08</v>
      </c>
      <c r="F20" s="33">
        <v>0.09</v>
      </c>
      <c r="G20" s="33">
        <v>0.28999999999999998</v>
      </c>
      <c r="H20" s="33">
        <v>0.44</v>
      </c>
      <c r="I20" s="33">
        <v>0.49</v>
      </c>
      <c r="J20" s="33">
        <v>0.45</v>
      </c>
      <c r="K20" s="33">
        <v>0.32</v>
      </c>
      <c r="L20" s="33">
        <v>0.14000000000000001</v>
      </c>
      <c r="M20" s="33">
        <v>0.11</v>
      </c>
      <c r="N20" s="33">
        <v>0.1</v>
      </c>
      <c r="O20" s="33">
        <v>0.09</v>
      </c>
      <c r="P20" s="34">
        <f t="shared" si="1"/>
        <v>0.2233333333333333</v>
      </c>
    </row>
    <row r="21" spans="1:16" x14ac:dyDescent="0.25">
      <c r="A21" s="169">
        <f>B21+(C21/100)</f>
        <v>1</v>
      </c>
      <c r="B21" s="166">
        <v>1</v>
      </c>
      <c r="C21" s="32">
        <v>0</v>
      </c>
      <c r="D21" s="33">
        <v>1</v>
      </c>
      <c r="E21" s="33">
        <v>1</v>
      </c>
      <c r="F21" s="33">
        <v>1</v>
      </c>
      <c r="G21" s="33">
        <v>1</v>
      </c>
      <c r="H21" s="33">
        <v>1</v>
      </c>
      <c r="I21" s="33">
        <v>1</v>
      </c>
      <c r="J21" s="33">
        <v>1</v>
      </c>
      <c r="K21" s="33">
        <v>1</v>
      </c>
      <c r="L21" s="33">
        <v>1</v>
      </c>
      <c r="M21" s="33">
        <v>1</v>
      </c>
      <c r="N21" s="33">
        <v>1</v>
      </c>
      <c r="O21" s="33">
        <v>1</v>
      </c>
      <c r="P21" s="34">
        <f t="shared" ref="P21:P58" si="2">AVERAGE(D21:O21)</f>
        <v>1</v>
      </c>
    </row>
    <row r="22" spans="1:16" x14ac:dyDescent="0.25">
      <c r="A22" s="169">
        <f t="shared" ref="A22:A39" si="3">B22+(C22/100)</f>
        <v>1.05</v>
      </c>
      <c r="B22" s="166">
        <v>1</v>
      </c>
      <c r="C22" s="32">
        <v>5</v>
      </c>
      <c r="D22" s="33">
        <v>0.97</v>
      </c>
      <c r="E22" s="33">
        <v>0.98</v>
      </c>
      <c r="F22" s="33">
        <v>1</v>
      </c>
      <c r="G22" s="33">
        <v>1.01</v>
      </c>
      <c r="H22" s="33">
        <v>1.02</v>
      </c>
      <c r="I22" s="33">
        <v>1.03</v>
      </c>
      <c r="J22" s="33">
        <v>1.02</v>
      </c>
      <c r="K22" s="33">
        <v>1.01</v>
      </c>
      <c r="L22" s="33">
        <v>1</v>
      </c>
      <c r="M22" s="33">
        <v>0.98</v>
      </c>
      <c r="N22" s="33">
        <v>0.97</v>
      </c>
      <c r="O22" s="33">
        <v>0.96</v>
      </c>
      <c r="P22" s="34">
        <f t="shared" si="2"/>
        <v>0.99583333333333357</v>
      </c>
    </row>
    <row r="23" spans="1:16" x14ac:dyDescent="0.25">
      <c r="A23" s="169">
        <f t="shared" si="3"/>
        <v>1.1000000000000001</v>
      </c>
      <c r="B23" s="166">
        <v>1</v>
      </c>
      <c r="C23" s="32">
        <v>10</v>
      </c>
      <c r="D23" s="33">
        <v>0.93</v>
      </c>
      <c r="E23" s="33">
        <v>0.96</v>
      </c>
      <c r="F23" s="33">
        <v>0.99</v>
      </c>
      <c r="G23" s="33">
        <v>1.02</v>
      </c>
      <c r="H23" s="33">
        <v>1.04</v>
      </c>
      <c r="I23" s="33">
        <v>1.04</v>
      </c>
      <c r="J23" s="33">
        <v>1.03</v>
      </c>
      <c r="K23" s="33">
        <v>1.02</v>
      </c>
      <c r="L23" s="33">
        <v>0.99</v>
      </c>
      <c r="M23" s="33">
        <v>0.96</v>
      </c>
      <c r="N23" s="33">
        <v>0.93</v>
      </c>
      <c r="O23" s="33">
        <v>0.92</v>
      </c>
      <c r="P23" s="34">
        <f t="shared" si="2"/>
        <v>0.98583333333333334</v>
      </c>
    </row>
    <row r="24" spans="1:16" x14ac:dyDescent="0.25">
      <c r="A24" s="169">
        <f t="shared" si="3"/>
        <v>1.1499999999999999</v>
      </c>
      <c r="B24" s="166">
        <v>1</v>
      </c>
      <c r="C24" s="32">
        <v>15</v>
      </c>
      <c r="D24" s="33">
        <v>0.88</v>
      </c>
      <c r="E24" s="33">
        <v>0.92</v>
      </c>
      <c r="F24" s="33">
        <v>0.97</v>
      </c>
      <c r="G24" s="33">
        <v>1.02</v>
      </c>
      <c r="H24" s="33">
        <v>1.05</v>
      </c>
      <c r="I24" s="33">
        <v>1.06</v>
      </c>
      <c r="J24" s="33">
        <v>1.04</v>
      </c>
      <c r="K24" s="33">
        <v>1.01</v>
      </c>
      <c r="L24" s="33">
        <v>0.97</v>
      </c>
      <c r="M24" s="33">
        <v>0.93</v>
      </c>
      <c r="N24" s="33">
        <v>0.89</v>
      </c>
      <c r="O24" s="33">
        <v>0.87</v>
      </c>
      <c r="P24" s="34">
        <f t="shared" si="2"/>
        <v>0.96749999999999992</v>
      </c>
    </row>
    <row r="25" spans="1:16" x14ac:dyDescent="0.25">
      <c r="A25" s="169">
        <f t="shared" si="3"/>
        <v>1.2</v>
      </c>
      <c r="B25" s="166">
        <v>1</v>
      </c>
      <c r="C25" s="32">
        <v>20</v>
      </c>
      <c r="D25" s="33">
        <v>0.83</v>
      </c>
      <c r="E25" s="33" t="s">
        <v>418</v>
      </c>
      <c r="F25" s="33">
        <v>0.95</v>
      </c>
      <c r="G25" s="33">
        <v>1.01</v>
      </c>
      <c r="H25" s="33">
        <v>1.05</v>
      </c>
      <c r="I25" s="33">
        <v>1.06</v>
      </c>
      <c r="J25" s="33">
        <v>1.04</v>
      </c>
      <c r="K25" s="33">
        <v>1.01</v>
      </c>
      <c r="L25" s="33">
        <v>0.95</v>
      </c>
      <c r="M25" s="33">
        <v>0.89</v>
      </c>
      <c r="N25" s="33">
        <v>0.84</v>
      </c>
      <c r="O25" s="33">
        <v>0.81</v>
      </c>
      <c r="P25" s="34">
        <f t="shared" si="2"/>
        <v>0.94909090909090921</v>
      </c>
    </row>
    <row r="26" spans="1:16" x14ac:dyDescent="0.25">
      <c r="A26" s="169">
        <f t="shared" si="3"/>
        <v>1.25</v>
      </c>
      <c r="B26" s="166">
        <v>1</v>
      </c>
      <c r="C26" s="32">
        <v>25</v>
      </c>
      <c r="D26" s="33">
        <v>0.77</v>
      </c>
      <c r="E26" s="33">
        <v>0.84</v>
      </c>
      <c r="F26" s="33">
        <v>0.92</v>
      </c>
      <c r="G26" s="33">
        <v>1</v>
      </c>
      <c r="H26" s="33">
        <v>1.05</v>
      </c>
      <c r="I26" s="33">
        <v>1.06</v>
      </c>
      <c r="J26" s="33">
        <v>1.04</v>
      </c>
      <c r="K26" s="33">
        <v>0.99</v>
      </c>
      <c r="L26" s="33">
        <v>0.92</v>
      </c>
      <c r="M26" s="33">
        <v>0.85</v>
      </c>
      <c r="N26" s="33">
        <v>0.78</v>
      </c>
      <c r="O26" s="33">
        <v>0.75</v>
      </c>
      <c r="P26" s="34">
        <f t="shared" si="2"/>
        <v>0.91416666666666668</v>
      </c>
    </row>
    <row r="27" spans="1:16" x14ac:dyDescent="0.25">
      <c r="A27" s="169">
        <f t="shared" si="3"/>
        <v>1.3</v>
      </c>
      <c r="B27" s="166">
        <v>1</v>
      </c>
      <c r="C27" s="32">
        <v>30</v>
      </c>
      <c r="D27" s="33">
        <v>0.71</v>
      </c>
      <c r="E27" s="33">
        <v>0.79</v>
      </c>
      <c r="F27" s="33">
        <v>0.89</v>
      </c>
      <c r="G27" s="33">
        <v>0.98</v>
      </c>
      <c r="H27" s="33">
        <v>1.04</v>
      </c>
      <c r="I27" s="33">
        <v>1.05</v>
      </c>
      <c r="J27" s="33">
        <v>1.03</v>
      </c>
      <c r="K27" s="33">
        <v>0.97</v>
      </c>
      <c r="L27" s="33">
        <v>0.89</v>
      </c>
      <c r="M27" s="33">
        <v>0.8</v>
      </c>
      <c r="N27" s="33">
        <v>0.72</v>
      </c>
      <c r="O27" s="33">
        <v>0.69</v>
      </c>
      <c r="P27" s="34">
        <f t="shared" si="2"/>
        <v>0.88</v>
      </c>
    </row>
    <row r="28" spans="1:16" x14ac:dyDescent="0.25">
      <c r="A28" s="169">
        <f t="shared" si="3"/>
        <v>1.35</v>
      </c>
      <c r="B28" s="166">
        <v>1</v>
      </c>
      <c r="C28" s="32">
        <v>35</v>
      </c>
      <c r="D28" s="33">
        <v>0.65</v>
      </c>
      <c r="E28" s="33">
        <v>0.73</v>
      </c>
      <c r="F28" s="33">
        <v>0.84</v>
      </c>
      <c r="G28" s="33">
        <v>0.95</v>
      </c>
      <c r="H28" s="33">
        <v>1.02</v>
      </c>
      <c r="I28" s="33">
        <v>1.04</v>
      </c>
      <c r="J28" s="33">
        <v>1.01</v>
      </c>
      <c r="K28" s="33">
        <v>0.95</v>
      </c>
      <c r="L28" s="33">
        <v>0.85</v>
      </c>
      <c r="M28" s="33">
        <v>0.74</v>
      </c>
      <c r="N28" s="33">
        <v>0.65</v>
      </c>
      <c r="O28" s="33">
        <v>0.62</v>
      </c>
      <c r="P28" s="34">
        <f t="shared" si="2"/>
        <v>0.83749999999999991</v>
      </c>
    </row>
    <row r="29" spans="1:16" x14ac:dyDescent="0.25">
      <c r="A29" s="169">
        <f t="shared" si="3"/>
        <v>1.4</v>
      </c>
      <c r="B29" s="166">
        <v>1</v>
      </c>
      <c r="C29" s="32">
        <v>40</v>
      </c>
      <c r="D29" s="33">
        <v>0.56999999999999995</v>
      </c>
      <c r="E29" s="33">
        <v>0.67</v>
      </c>
      <c r="F29" s="33">
        <v>0.8</v>
      </c>
      <c r="G29" s="33">
        <v>0.92</v>
      </c>
      <c r="H29" s="33">
        <v>1</v>
      </c>
      <c r="I29" s="33">
        <v>1.02</v>
      </c>
      <c r="J29" s="33">
        <v>0.98</v>
      </c>
      <c r="K29" s="33">
        <v>0.91</v>
      </c>
      <c r="L29" s="33">
        <v>0.81</v>
      </c>
      <c r="M29" s="33">
        <v>0.69</v>
      </c>
      <c r="N29" s="33">
        <v>0.57999999999999996</v>
      </c>
      <c r="O29" s="33">
        <v>0.54</v>
      </c>
      <c r="P29" s="34">
        <f t="shared" si="2"/>
        <v>0.7908333333333335</v>
      </c>
    </row>
    <row r="30" spans="1:16" x14ac:dyDescent="0.25">
      <c r="A30" s="169">
        <f t="shared" si="3"/>
        <v>1.45</v>
      </c>
      <c r="B30" s="166">
        <v>1</v>
      </c>
      <c r="C30" s="32">
        <v>45</v>
      </c>
      <c r="D30" s="33">
        <v>0.5</v>
      </c>
      <c r="E30" s="33">
        <v>0.61</v>
      </c>
      <c r="F30" s="33">
        <v>0.74</v>
      </c>
      <c r="G30" s="33">
        <v>0.88</v>
      </c>
      <c r="H30" s="33">
        <v>0.97</v>
      </c>
      <c r="I30" s="33">
        <v>0.99</v>
      </c>
      <c r="J30" s="33">
        <v>0.95</v>
      </c>
      <c r="K30" s="33">
        <v>0.87</v>
      </c>
      <c r="L30" s="33">
        <v>0.76</v>
      </c>
      <c r="M30" s="33">
        <v>0.62</v>
      </c>
      <c r="N30" s="33">
        <v>0.51</v>
      </c>
      <c r="O30" s="33">
        <v>0.46</v>
      </c>
      <c r="P30" s="34">
        <f t="shared" si="2"/>
        <v>0.7383333333333334</v>
      </c>
    </row>
    <row r="31" spans="1:16" x14ac:dyDescent="0.25">
      <c r="A31" s="169">
        <f t="shared" si="3"/>
        <v>1.5</v>
      </c>
      <c r="B31" s="166">
        <v>1</v>
      </c>
      <c r="C31" s="32">
        <v>50</v>
      </c>
      <c r="D31" s="33">
        <v>0.42</v>
      </c>
      <c r="E31" s="33">
        <v>0.54</v>
      </c>
      <c r="F31" s="33">
        <v>0.69</v>
      </c>
      <c r="G31" s="33">
        <v>0.83</v>
      </c>
      <c r="H31" s="33">
        <v>0.93</v>
      </c>
      <c r="I31" s="33">
        <v>0.96</v>
      </c>
      <c r="J31" s="33">
        <v>0.92</v>
      </c>
      <c r="K31" s="33">
        <v>0.83</v>
      </c>
      <c r="L31" s="33">
        <v>0.7</v>
      </c>
      <c r="M31" s="33">
        <v>0.56000000000000005</v>
      </c>
      <c r="N31" s="33">
        <v>0.43</v>
      </c>
      <c r="O31" s="33">
        <v>0.38</v>
      </c>
      <c r="P31" s="34">
        <f t="shared" si="2"/>
        <v>0.68250000000000011</v>
      </c>
    </row>
    <row r="32" spans="1:16" x14ac:dyDescent="0.25">
      <c r="A32" s="169">
        <f t="shared" si="3"/>
        <v>1.55</v>
      </c>
      <c r="B32" s="166">
        <v>1</v>
      </c>
      <c r="C32" s="32">
        <v>55</v>
      </c>
      <c r="D32" s="33">
        <v>0.34</v>
      </c>
      <c r="E32" s="33">
        <v>0.46</v>
      </c>
      <c r="F32" s="33">
        <v>0.63</v>
      </c>
      <c r="G32" s="33">
        <v>0.78</v>
      </c>
      <c r="H32" s="33">
        <v>0.89</v>
      </c>
      <c r="I32" s="33">
        <v>0.92</v>
      </c>
      <c r="J32" s="33">
        <v>0.88</v>
      </c>
      <c r="K32" s="33">
        <v>0.78</v>
      </c>
      <c r="L32" s="33">
        <v>0.64</v>
      </c>
      <c r="M32" s="33">
        <v>0.49</v>
      </c>
      <c r="N32" s="33">
        <v>0.35</v>
      </c>
      <c r="O32" s="33">
        <v>0.3</v>
      </c>
      <c r="P32" s="34">
        <f t="shared" si="2"/>
        <v>0.6216666666666667</v>
      </c>
    </row>
    <row r="33" spans="1:16" x14ac:dyDescent="0.25">
      <c r="A33" s="169">
        <f t="shared" si="3"/>
        <v>1.6</v>
      </c>
      <c r="B33" s="166">
        <v>1</v>
      </c>
      <c r="C33" s="32">
        <v>60</v>
      </c>
      <c r="D33" s="33">
        <v>0.26</v>
      </c>
      <c r="E33" s="33">
        <v>0.39</v>
      </c>
      <c r="F33" s="33">
        <v>0.56000000000000005</v>
      </c>
      <c r="G33" s="33">
        <v>0.73</v>
      </c>
      <c r="H33" s="33">
        <v>0.84</v>
      </c>
      <c r="I33" s="33">
        <v>0.87</v>
      </c>
      <c r="J33" s="33">
        <v>0.83</v>
      </c>
      <c r="K33" s="33">
        <v>0.73</v>
      </c>
      <c r="L33" s="33">
        <v>0.57999999999999996</v>
      </c>
      <c r="M33" s="33">
        <v>0.41</v>
      </c>
      <c r="N33" s="33">
        <v>0.27</v>
      </c>
      <c r="O33" s="33">
        <v>0.21</v>
      </c>
      <c r="P33" s="34">
        <f t="shared" si="2"/>
        <v>0.55666666666666653</v>
      </c>
    </row>
    <row r="34" spans="1:16" x14ac:dyDescent="0.25">
      <c r="A34" s="169">
        <f t="shared" si="3"/>
        <v>1.65</v>
      </c>
      <c r="B34" s="166">
        <v>1</v>
      </c>
      <c r="C34" s="32">
        <v>65</v>
      </c>
      <c r="D34" s="33">
        <v>0.17</v>
      </c>
      <c r="E34" s="33">
        <v>0.31</v>
      </c>
      <c r="F34" s="33">
        <v>0.49</v>
      </c>
      <c r="G34" s="33">
        <v>0.66</v>
      </c>
      <c r="H34" s="33">
        <v>0.79</v>
      </c>
      <c r="I34" s="33">
        <v>0.82</v>
      </c>
      <c r="J34" s="33">
        <v>0.78</v>
      </c>
      <c r="K34" s="33">
        <v>0.67</v>
      </c>
      <c r="L34" s="33">
        <v>0.51</v>
      </c>
      <c r="M34" s="33">
        <v>0.34</v>
      </c>
      <c r="N34" s="33">
        <v>0.19</v>
      </c>
      <c r="O34" s="33">
        <v>0.13</v>
      </c>
      <c r="P34" s="34">
        <f t="shared" si="2"/>
        <v>0.48833333333333329</v>
      </c>
    </row>
    <row r="35" spans="1:16" x14ac:dyDescent="0.25">
      <c r="A35" s="169">
        <f t="shared" si="3"/>
        <v>1.7</v>
      </c>
      <c r="B35" s="166">
        <v>1</v>
      </c>
      <c r="C35" s="32">
        <v>70</v>
      </c>
      <c r="D35" s="33">
        <v>0.11</v>
      </c>
      <c r="E35" s="33">
        <v>0.23</v>
      </c>
      <c r="F35" s="33">
        <v>0.42</v>
      </c>
      <c r="G35" s="33">
        <v>0.6</v>
      </c>
      <c r="H35" s="33">
        <v>0.73</v>
      </c>
      <c r="I35" s="33">
        <v>0.77</v>
      </c>
      <c r="J35" s="33">
        <v>0.72</v>
      </c>
      <c r="K35" s="33">
        <v>0.61</v>
      </c>
      <c r="L35" s="33">
        <v>0.45</v>
      </c>
      <c r="M35" s="33">
        <v>0.26</v>
      </c>
      <c r="N35" s="33">
        <v>0.13</v>
      </c>
      <c r="O35" s="33">
        <v>0.12</v>
      </c>
      <c r="P35" s="34">
        <f t="shared" si="2"/>
        <v>0.4291666666666667</v>
      </c>
    </row>
    <row r="36" spans="1:16" x14ac:dyDescent="0.25">
      <c r="A36" s="169">
        <f t="shared" si="3"/>
        <v>1.75</v>
      </c>
      <c r="B36" s="166">
        <v>1</v>
      </c>
      <c r="C36" s="32">
        <v>75</v>
      </c>
      <c r="D36" s="33">
        <v>0.11</v>
      </c>
      <c r="E36" s="33">
        <v>0.15</v>
      </c>
      <c r="F36" s="33">
        <v>0.34</v>
      </c>
      <c r="G36" s="33">
        <v>0.53</v>
      </c>
      <c r="H36" s="33">
        <v>0.67</v>
      </c>
      <c r="I36" s="33">
        <v>0.71</v>
      </c>
      <c r="J36" s="33">
        <v>0.66</v>
      </c>
      <c r="K36" s="33">
        <v>0.55000000000000004</v>
      </c>
      <c r="L36" s="33">
        <v>0.37</v>
      </c>
      <c r="M36" s="33">
        <v>0.18</v>
      </c>
      <c r="N36" s="33">
        <v>0.12</v>
      </c>
      <c r="O36" s="33">
        <v>0.11</v>
      </c>
      <c r="P36" s="34">
        <f t="shared" si="2"/>
        <v>0.37500000000000006</v>
      </c>
    </row>
    <row r="37" spans="1:16" x14ac:dyDescent="0.25">
      <c r="A37" s="169">
        <f t="shared" si="3"/>
        <v>1.8</v>
      </c>
      <c r="B37" s="166">
        <v>1</v>
      </c>
      <c r="C37" s="32">
        <v>80</v>
      </c>
      <c r="D37" s="33">
        <v>0.1</v>
      </c>
      <c r="E37" s="33">
        <v>0.1</v>
      </c>
      <c r="F37" s="33">
        <v>0.26</v>
      </c>
      <c r="G37" s="33">
        <v>0.46</v>
      </c>
      <c r="H37" s="33">
        <v>0.6</v>
      </c>
      <c r="I37" s="33">
        <v>0.64</v>
      </c>
      <c r="J37" s="33">
        <v>0.6</v>
      </c>
      <c r="K37" s="33">
        <v>0.48</v>
      </c>
      <c r="L37" s="33">
        <v>0.3</v>
      </c>
      <c r="M37" s="33">
        <v>0.13</v>
      </c>
      <c r="N37" s="33">
        <v>0.11</v>
      </c>
      <c r="O37" s="33">
        <v>0.1</v>
      </c>
      <c r="P37" s="34">
        <f t="shared" si="2"/>
        <v>0.32333333333333331</v>
      </c>
    </row>
    <row r="38" spans="1:16" x14ac:dyDescent="0.25">
      <c r="A38" s="169">
        <f t="shared" si="3"/>
        <v>1.85</v>
      </c>
      <c r="B38" s="166">
        <v>1</v>
      </c>
      <c r="C38" s="32">
        <v>85</v>
      </c>
      <c r="D38" s="33">
        <v>0.09</v>
      </c>
      <c r="E38" s="33">
        <v>0.09</v>
      </c>
      <c r="F38" s="33">
        <v>0.19</v>
      </c>
      <c r="G38" s="33">
        <v>0.39</v>
      </c>
      <c r="H38" s="33">
        <v>0.53</v>
      </c>
      <c r="I38" s="33">
        <v>0.57999999999999996</v>
      </c>
      <c r="J38" s="33">
        <v>0.53</v>
      </c>
      <c r="K38" s="33">
        <v>0.41</v>
      </c>
      <c r="L38" s="33">
        <v>0.23</v>
      </c>
      <c r="M38" s="33">
        <v>0.12</v>
      </c>
      <c r="N38" s="33">
        <v>0.11</v>
      </c>
      <c r="O38" s="33">
        <v>0.1</v>
      </c>
      <c r="P38" s="34">
        <f t="shared" si="2"/>
        <v>0.28083333333333338</v>
      </c>
    </row>
    <row r="39" spans="1:16" x14ac:dyDescent="0.25">
      <c r="A39" s="169">
        <f t="shared" si="3"/>
        <v>1.9</v>
      </c>
      <c r="B39" s="166">
        <v>1</v>
      </c>
      <c r="C39" s="32">
        <v>90</v>
      </c>
      <c r="D39" s="33">
        <v>0.08</v>
      </c>
      <c r="E39" s="33">
        <v>0.08</v>
      </c>
      <c r="F39" s="33">
        <v>1.0999999999999999E-2</v>
      </c>
      <c r="G39" s="33">
        <v>0.31</v>
      </c>
      <c r="H39" s="33">
        <v>0.46</v>
      </c>
      <c r="I39" s="33">
        <v>0.51</v>
      </c>
      <c r="J39" s="33">
        <v>0.46</v>
      </c>
      <c r="K39" s="33">
        <v>0.34</v>
      </c>
      <c r="L39" s="33">
        <v>0.15</v>
      </c>
      <c r="M39" s="33">
        <v>0.11</v>
      </c>
      <c r="N39" s="33">
        <v>0.1</v>
      </c>
      <c r="O39" s="33">
        <v>0.09</v>
      </c>
      <c r="P39" s="34">
        <f t="shared" si="2"/>
        <v>0.2250833333333333</v>
      </c>
    </row>
    <row r="40" spans="1:16" x14ac:dyDescent="0.25">
      <c r="A40" s="169">
        <f>B40+(C40/100)</f>
        <v>2</v>
      </c>
      <c r="B40" s="166">
        <v>2</v>
      </c>
      <c r="C40" s="32">
        <v>0</v>
      </c>
      <c r="D40" s="33">
        <v>1</v>
      </c>
      <c r="E40" s="33">
        <v>1</v>
      </c>
      <c r="F40" s="33">
        <v>1</v>
      </c>
      <c r="G40" s="33">
        <v>1</v>
      </c>
      <c r="H40" s="33">
        <v>1</v>
      </c>
      <c r="I40" s="33">
        <v>1</v>
      </c>
      <c r="J40" s="33">
        <v>1</v>
      </c>
      <c r="K40" s="33">
        <v>1</v>
      </c>
      <c r="L40" s="33">
        <v>1</v>
      </c>
      <c r="M40" s="33">
        <v>1</v>
      </c>
      <c r="N40" s="33">
        <v>1</v>
      </c>
      <c r="O40" s="33">
        <v>1</v>
      </c>
      <c r="P40" s="34">
        <f t="shared" si="2"/>
        <v>1</v>
      </c>
    </row>
    <row r="41" spans="1:16" x14ac:dyDescent="0.25">
      <c r="A41" s="169">
        <f>B41+(C41/100)</f>
        <v>2.0499999999999998</v>
      </c>
      <c r="B41" s="166">
        <v>2</v>
      </c>
      <c r="C41" s="32">
        <v>5</v>
      </c>
      <c r="D41" s="33">
        <v>0.97</v>
      </c>
      <c r="E41" s="33">
        <v>0.98</v>
      </c>
      <c r="F41" s="33">
        <v>1</v>
      </c>
      <c r="G41" s="33">
        <v>1.02</v>
      </c>
      <c r="H41" s="33">
        <v>1.02</v>
      </c>
      <c r="I41" s="33">
        <v>1.03</v>
      </c>
      <c r="J41" s="33">
        <v>1.02</v>
      </c>
      <c r="K41" s="33">
        <v>1.01</v>
      </c>
      <c r="L41" s="33">
        <v>1</v>
      </c>
      <c r="M41" s="33">
        <v>0.98</v>
      </c>
      <c r="N41" s="33">
        <v>0.97</v>
      </c>
      <c r="O41" s="33">
        <v>0.96</v>
      </c>
      <c r="P41" s="34">
        <f t="shared" si="2"/>
        <v>0.9966666666666667</v>
      </c>
    </row>
    <row r="42" spans="1:16" x14ac:dyDescent="0.25">
      <c r="A42" s="169">
        <f>B42+(C42/100)</f>
        <v>2.1</v>
      </c>
      <c r="B42" s="166">
        <v>2</v>
      </c>
      <c r="C42" s="32">
        <v>10</v>
      </c>
      <c r="D42" s="33">
        <v>0.93</v>
      </c>
      <c r="E42" s="33">
        <v>0.96</v>
      </c>
      <c r="F42" s="33">
        <v>0.99</v>
      </c>
      <c r="G42" s="33">
        <v>1.02</v>
      </c>
      <c r="H42" s="33">
        <v>1.04</v>
      </c>
      <c r="I42" s="33">
        <v>1.05</v>
      </c>
      <c r="J42" s="33">
        <v>1.04</v>
      </c>
      <c r="K42" s="33">
        <v>1.02</v>
      </c>
      <c r="L42" s="33">
        <v>0.99</v>
      </c>
      <c r="M42" s="33">
        <v>0.96</v>
      </c>
      <c r="N42" s="33">
        <v>0.93</v>
      </c>
      <c r="O42" s="33">
        <v>0.92</v>
      </c>
      <c r="P42" s="34">
        <f t="shared" si="2"/>
        <v>0.98749999999999993</v>
      </c>
    </row>
    <row r="43" spans="1:16" x14ac:dyDescent="0.25">
      <c r="A43" s="169">
        <f t="shared" ref="A43:A58" si="4">B43+(C43/100)</f>
        <v>2.15</v>
      </c>
      <c r="B43" s="166">
        <v>2</v>
      </c>
      <c r="C43" s="32">
        <v>15</v>
      </c>
      <c r="D43" s="33">
        <v>0.89</v>
      </c>
      <c r="E43" s="33">
        <v>0.93</v>
      </c>
      <c r="F43" s="33">
        <v>0.98</v>
      </c>
      <c r="G43" s="33">
        <v>1.02</v>
      </c>
      <c r="H43" s="33">
        <v>1.05</v>
      </c>
      <c r="I43" s="33">
        <v>1.06</v>
      </c>
      <c r="J43" s="33">
        <v>1.05</v>
      </c>
      <c r="K43" s="33">
        <v>1.02</v>
      </c>
      <c r="L43" s="33">
        <v>0.98</v>
      </c>
      <c r="M43" s="33">
        <v>0.93</v>
      </c>
      <c r="N43" s="33">
        <v>0.89</v>
      </c>
      <c r="O43" s="33">
        <v>0.87</v>
      </c>
      <c r="P43" s="34">
        <f t="shared" si="2"/>
        <v>0.97250000000000003</v>
      </c>
    </row>
    <row r="44" spans="1:16" x14ac:dyDescent="0.25">
      <c r="A44" s="169">
        <f t="shared" si="4"/>
        <v>2.2000000000000002</v>
      </c>
      <c r="B44" s="166">
        <v>2</v>
      </c>
      <c r="C44" s="32">
        <v>20</v>
      </c>
      <c r="D44" s="33">
        <v>0.84</v>
      </c>
      <c r="E44" s="33" t="s">
        <v>419</v>
      </c>
      <c r="F44" s="33">
        <v>0.96</v>
      </c>
      <c r="G44" s="33">
        <v>1.02</v>
      </c>
      <c r="H44" s="33">
        <v>1.06</v>
      </c>
      <c r="I44" s="33">
        <v>1.07</v>
      </c>
      <c r="J44" s="33">
        <v>1.05</v>
      </c>
      <c r="K44" s="33">
        <v>1.01</v>
      </c>
      <c r="L44" s="33">
        <v>0.96</v>
      </c>
      <c r="M44" s="33">
        <v>0.89</v>
      </c>
      <c r="N44" s="33">
        <v>0.84</v>
      </c>
      <c r="O44" s="33">
        <v>0.82</v>
      </c>
      <c r="P44" s="34">
        <f t="shared" si="2"/>
        <v>0.9563636363636363</v>
      </c>
    </row>
    <row r="45" spans="1:16" x14ac:dyDescent="0.25">
      <c r="A45" s="169">
        <f t="shared" si="4"/>
        <v>2.25</v>
      </c>
      <c r="B45" s="166">
        <v>2</v>
      </c>
      <c r="C45" s="32">
        <v>25</v>
      </c>
      <c r="D45" s="33">
        <v>0.78</v>
      </c>
      <c r="E45" s="33">
        <v>0.84</v>
      </c>
      <c r="F45" s="33">
        <v>0.93</v>
      </c>
      <c r="G45" s="33">
        <v>1.01</v>
      </c>
      <c r="H45" s="33">
        <v>1.06</v>
      </c>
      <c r="I45" s="33">
        <v>1.07</v>
      </c>
      <c r="J45" s="33">
        <v>1.04</v>
      </c>
      <c r="K45" s="33">
        <v>1</v>
      </c>
      <c r="L45" s="33">
        <v>0.93</v>
      </c>
      <c r="M45" s="33">
        <v>0.85</v>
      </c>
      <c r="N45" s="33">
        <v>0.79</v>
      </c>
      <c r="O45" s="33">
        <v>0.76</v>
      </c>
      <c r="P45" s="34">
        <f t="shared" si="2"/>
        <v>0.92166666666666675</v>
      </c>
    </row>
    <row r="46" spans="1:16" x14ac:dyDescent="0.25">
      <c r="A46" s="169">
        <f t="shared" si="4"/>
        <v>2.2999999999999998</v>
      </c>
      <c r="B46" s="166">
        <v>2</v>
      </c>
      <c r="C46" s="32">
        <v>30</v>
      </c>
      <c r="D46" s="33">
        <v>0.72</v>
      </c>
      <c r="E46" s="33">
        <v>0.8</v>
      </c>
      <c r="F46" s="33">
        <v>0.89</v>
      </c>
      <c r="G46" s="33">
        <v>0.99</v>
      </c>
      <c r="H46" s="33">
        <v>1.05</v>
      </c>
      <c r="I46" s="33">
        <v>1.06</v>
      </c>
      <c r="J46" s="33">
        <v>1.03</v>
      </c>
      <c r="K46" s="33">
        <v>0.98</v>
      </c>
      <c r="L46" s="33">
        <v>0.9</v>
      </c>
      <c r="M46" s="33">
        <v>0.8</v>
      </c>
      <c r="N46" s="33">
        <v>0.73</v>
      </c>
      <c r="O46" s="33">
        <v>0.69</v>
      </c>
      <c r="P46" s="34">
        <f t="shared" si="2"/>
        <v>0.88666666666666671</v>
      </c>
    </row>
    <row r="47" spans="1:16" x14ac:dyDescent="0.25">
      <c r="A47" s="169">
        <f t="shared" si="4"/>
        <v>2.35</v>
      </c>
      <c r="B47" s="166">
        <v>2</v>
      </c>
      <c r="C47" s="32">
        <v>35</v>
      </c>
      <c r="D47" s="33">
        <v>0.65</v>
      </c>
      <c r="E47" s="33">
        <v>0.74</v>
      </c>
      <c r="F47" s="33">
        <v>0.85</v>
      </c>
      <c r="G47" s="33">
        <v>0.96</v>
      </c>
      <c r="H47" s="33">
        <v>1.03</v>
      </c>
      <c r="I47" s="33">
        <v>1.05</v>
      </c>
      <c r="J47" s="33">
        <v>1.02</v>
      </c>
      <c r="K47" s="33">
        <v>0.95</v>
      </c>
      <c r="L47" s="33">
        <v>0.86</v>
      </c>
      <c r="M47" s="33">
        <v>0.75</v>
      </c>
      <c r="N47" s="33">
        <v>0.66</v>
      </c>
      <c r="O47" s="33">
        <v>0.62</v>
      </c>
      <c r="P47" s="34">
        <f t="shared" si="2"/>
        <v>0.84500000000000008</v>
      </c>
    </row>
    <row r="48" spans="1:16" x14ac:dyDescent="0.25">
      <c r="A48" s="169">
        <f t="shared" si="4"/>
        <v>2.4</v>
      </c>
      <c r="B48" s="166">
        <v>2</v>
      </c>
      <c r="C48" s="32">
        <v>40</v>
      </c>
      <c r="D48" s="33">
        <v>0.57999999999999996</v>
      </c>
      <c r="E48" s="33">
        <v>0.68</v>
      </c>
      <c r="F48" s="33">
        <v>0.81</v>
      </c>
      <c r="G48" s="33">
        <v>0.93</v>
      </c>
      <c r="H48" s="33">
        <v>1.01</v>
      </c>
      <c r="I48" s="33">
        <v>1.03</v>
      </c>
      <c r="J48" s="33">
        <v>0.99</v>
      </c>
      <c r="K48" s="33">
        <v>0.92</v>
      </c>
      <c r="L48" s="33">
        <v>0.81</v>
      </c>
      <c r="M48" s="33">
        <v>0.69</v>
      </c>
      <c r="N48" s="33">
        <v>0.59</v>
      </c>
      <c r="O48" s="33">
        <v>0.55000000000000004</v>
      </c>
      <c r="P48" s="34">
        <f t="shared" si="2"/>
        <v>0.7991666666666668</v>
      </c>
    </row>
    <row r="49" spans="1:16" x14ac:dyDescent="0.25">
      <c r="A49" s="169">
        <f t="shared" si="4"/>
        <v>2.4500000000000002</v>
      </c>
      <c r="B49" s="166">
        <v>2</v>
      </c>
      <c r="C49" s="32">
        <v>45</v>
      </c>
      <c r="D49" s="33">
        <v>0.51</v>
      </c>
      <c r="E49" s="33">
        <v>0.62</v>
      </c>
      <c r="F49" s="33">
        <v>0.75</v>
      </c>
      <c r="G49" s="33">
        <v>0.89</v>
      </c>
      <c r="H49" s="33">
        <v>0.98</v>
      </c>
      <c r="I49" s="33">
        <v>1</v>
      </c>
      <c r="J49" s="33">
        <v>0.96</v>
      </c>
      <c r="K49" s="33">
        <v>0.88</v>
      </c>
      <c r="L49" s="33">
        <v>0.77</v>
      </c>
      <c r="M49" s="33">
        <v>0.63</v>
      </c>
      <c r="N49" s="33">
        <v>0.52</v>
      </c>
      <c r="O49" s="33">
        <v>0.47</v>
      </c>
      <c r="P49" s="34">
        <f t="shared" si="2"/>
        <v>0.74833333333333341</v>
      </c>
    </row>
    <row r="50" spans="1:16" x14ac:dyDescent="0.25">
      <c r="A50" s="169">
        <f t="shared" si="4"/>
        <v>2.5</v>
      </c>
      <c r="B50" s="166">
        <v>2</v>
      </c>
      <c r="C50" s="32">
        <v>50</v>
      </c>
      <c r="D50" s="33">
        <v>0.43</v>
      </c>
      <c r="E50" s="33">
        <v>0.55000000000000004</v>
      </c>
      <c r="F50" s="33">
        <v>0.7</v>
      </c>
      <c r="G50" s="33">
        <v>0.84</v>
      </c>
      <c r="H50" s="33">
        <v>0.94</v>
      </c>
      <c r="I50" s="33">
        <v>0.97</v>
      </c>
      <c r="J50" s="33">
        <v>0.93</v>
      </c>
      <c r="K50" s="33">
        <v>0.84</v>
      </c>
      <c r="L50" s="33">
        <v>0.71</v>
      </c>
      <c r="M50" s="33">
        <v>0.56999999999999995</v>
      </c>
      <c r="N50" s="33">
        <v>0.45</v>
      </c>
      <c r="O50" s="33">
        <v>0.39</v>
      </c>
      <c r="P50" s="34">
        <f t="shared" si="2"/>
        <v>0.69333333333333336</v>
      </c>
    </row>
    <row r="51" spans="1:16" x14ac:dyDescent="0.25">
      <c r="A51" s="169">
        <f t="shared" si="4"/>
        <v>2.5499999999999998</v>
      </c>
      <c r="B51" s="166">
        <v>2</v>
      </c>
      <c r="C51" s="32">
        <v>55</v>
      </c>
      <c r="D51" s="33">
        <v>0.35</v>
      </c>
      <c r="E51" s="33">
        <v>0.48</v>
      </c>
      <c r="F51" s="33">
        <v>0.64</v>
      </c>
      <c r="G51" s="33">
        <v>0.79</v>
      </c>
      <c r="H51" s="33">
        <v>0.9</v>
      </c>
      <c r="I51" s="33">
        <v>0.93</v>
      </c>
      <c r="J51" s="33">
        <v>0.89</v>
      </c>
      <c r="K51" s="33">
        <v>0.79</v>
      </c>
      <c r="L51" s="33">
        <v>0.65</v>
      </c>
      <c r="M51" s="33">
        <v>0.5</v>
      </c>
      <c r="N51" s="33">
        <v>0.37</v>
      </c>
      <c r="O51" s="33">
        <v>0.31</v>
      </c>
      <c r="P51" s="34">
        <f t="shared" si="2"/>
        <v>0.6333333333333333</v>
      </c>
    </row>
    <row r="52" spans="1:16" x14ac:dyDescent="0.25">
      <c r="A52" s="169">
        <f t="shared" si="4"/>
        <v>2.6</v>
      </c>
      <c r="B52" s="166">
        <v>2</v>
      </c>
      <c r="C52" s="32">
        <v>60</v>
      </c>
      <c r="D52" s="33">
        <v>0.27</v>
      </c>
      <c r="E52" s="33">
        <v>0.4</v>
      </c>
      <c r="F52" s="33">
        <v>0.56999999999999995</v>
      </c>
      <c r="G52" s="33">
        <v>0.74</v>
      </c>
      <c r="H52" s="33">
        <v>0.85</v>
      </c>
      <c r="I52" s="33">
        <v>0.88</v>
      </c>
      <c r="J52" s="33">
        <v>0.84</v>
      </c>
      <c r="K52" s="33">
        <v>0.74</v>
      </c>
      <c r="L52" s="33">
        <v>0.59</v>
      </c>
      <c r="M52" s="33">
        <v>0.42</v>
      </c>
      <c r="N52" s="33">
        <v>0.28999999999999998</v>
      </c>
      <c r="O52" s="33">
        <v>0.23</v>
      </c>
      <c r="P52" s="34">
        <f t="shared" si="2"/>
        <v>0.56833333333333336</v>
      </c>
    </row>
    <row r="53" spans="1:16" x14ac:dyDescent="0.25">
      <c r="A53" s="169">
        <f t="shared" si="4"/>
        <v>2.65</v>
      </c>
      <c r="B53" s="166">
        <v>2</v>
      </c>
      <c r="C53" s="32">
        <v>65</v>
      </c>
      <c r="D53" s="33">
        <v>0.19</v>
      </c>
      <c r="E53" s="33">
        <v>0.32</v>
      </c>
      <c r="F53" s="33">
        <v>0.5</v>
      </c>
      <c r="G53" s="33">
        <v>0.68</v>
      </c>
      <c r="H53" s="33">
        <v>0.8</v>
      </c>
      <c r="I53" s="33">
        <v>0.84</v>
      </c>
      <c r="J53" s="33">
        <v>0.79</v>
      </c>
      <c r="K53" s="33">
        <v>0.68</v>
      </c>
      <c r="L53" s="33">
        <v>0.53</v>
      </c>
      <c r="M53" s="33">
        <v>0.35</v>
      </c>
      <c r="N53" s="33">
        <v>0.2</v>
      </c>
      <c r="O53" s="33">
        <v>0.14000000000000001</v>
      </c>
      <c r="P53" s="34">
        <f t="shared" si="2"/>
        <v>0.50166666666666659</v>
      </c>
    </row>
    <row r="54" spans="1:16" x14ac:dyDescent="0.25">
      <c r="A54" s="169">
        <f t="shared" si="4"/>
        <v>2.7</v>
      </c>
      <c r="B54" s="166">
        <v>2</v>
      </c>
      <c r="C54" s="32">
        <v>70</v>
      </c>
      <c r="D54" s="33">
        <v>0.11</v>
      </c>
      <c r="E54" s="33">
        <v>0.24</v>
      </c>
      <c r="F54" s="33">
        <v>0.43</v>
      </c>
      <c r="G54" s="33">
        <v>0.61</v>
      </c>
      <c r="H54" s="33">
        <v>0.74</v>
      </c>
      <c r="I54" s="33">
        <v>0.78</v>
      </c>
      <c r="J54" s="33">
        <v>0.73</v>
      </c>
      <c r="K54" s="33">
        <v>0.62</v>
      </c>
      <c r="L54" s="33">
        <v>0.46</v>
      </c>
      <c r="M54" s="33">
        <v>0.27</v>
      </c>
      <c r="N54" s="33">
        <v>0.13</v>
      </c>
      <c r="O54" s="33">
        <v>0.12</v>
      </c>
      <c r="P54" s="34">
        <f t="shared" si="2"/>
        <v>0.4366666666666667</v>
      </c>
    </row>
    <row r="55" spans="1:16" x14ac:dyDescent="0.25">
      <c r="A55" s="169">
        <f t="shared" si="4"/>
        <v>2.75</v>
      </c>
      <c r="B55" s="166">
        <v>2</v>
      </c>
      <c r="C55" s="32">
        <v>75</v>
      </c>
      <c r="D55" s="33">
        <v>0.11</v>
      </c>
      <c r="E55" s="33">
        <v>0.16</v>
      </c>
      <c r="F55" s="33">
        <v>0.36</v>
      </c>
      <c r="G55" s="33">
        <v>0.55000000000000004</v>
      </c>
      <c r="H55" s="33">
        <v>0.68</v>
      </c>
      <c r="I55" s="33">
        <v>0.72</v>
      </c>
      <c r="J55" s="33">
        <v>0.67</v>
      </c>
      <c r="K55" s="33">
        <v>0.56000000000000005</v>
      </c>
      <c r="L55" s="33">
        <v>0.39</v>
      </c>
      <c r="M55" s="33">
        <v>0.19</v>
      </c>
      <c r="N55" s="33">
        <v>0.12</v>
      </c>
      <c r="O55" s="33">
        <v>0.11</v>
      </c>
      <c r="P55" s="34">
        <f t="shared" si="2"/>
        <v>0.38500000000000006</v>
      </c>
    </row>
    <row r="56" spans="1:16" x14ac:dyDescent="0.25">
      <c r="A56" s="169">
        <f t="shared" si="4"/>
        <v>2.8</v>
      </c>
      <c r="B56" s="166">
        <v>2</v>
      </c>
      <c r="C56" s="32">
        <v>80</v>
      </c>
      <c r="D56" s="33">
        <v>0.1</v>
      </c>
      <c r="E56" s="33">
        <v>0.1</v>
      </c>
      <c r="F56" s="33">
        <v>0.28000000000000003</v>
      </c>
      <c r="G56" s="33">
        <v>0.47</v>
      </c>
      <c r="H56" s="33">
        <v>0.61</v>
      </c>
      <c r="I56" s="33">
        <v>0.66</v>
      </c>
      <c r="J56" s="33">
        <v>0.61</v>
      </c>
      <c r="K56" s="33">
        <v>0.49</v>
      </c>
      <c r="L56" s="33">
        <v>0.31</v>
      </c>
      <c r="M56" s="33">
        <v>0.13</v>
      </c>
      <c r="N56" s="33">
        <v>0.11</v>
      </c>
      <c r="O56" s="33">
        <v>0.1</v>
      </c>
      <c r="P56" s="34">
        <f t="shared" si="2"/>
        <v>0.33083333333333337</v>
      </c>
    </row>
    <row r="57" spans="1:16" x14ac:dyDescent="0.25">
      <c r="A57" s="169">
        <f t="shared" si="4"/>
        <v>2.85</v>
      </c>
      <c r="B57" s="166">
        <v>2</v>
      </c>
      <c r="C57" s="32">
        <v>85</v>
      </c>
      <c r="D57" s="33">
        <v>0.09</v>
      </c>
      <c r="E57" s="33">
        <v>0.09</v>
      </c>
      <c r="F57" s="33">
        <v>0.2</v>
      </c>
      <c r="G57" s="33">
        <v>0.4</v>
      </c>
      <c r="H57" s="33">
        <v>0.54</v>
      </c>
      <c r="I57" s="33">
        <v>0.59</v>
      </c>
      <c r="J57" s="33">
        <v>0.54</v>
      </c>
      <c r="K57" s="33">
        <v>0.42</v>
      </c>
      <c r="L57" s="33">
        <v>0.24</v>
      </c>
      <c r="M57" s="33">
        <v>0.12</v>
      </c>
      <c r="N57" s="33">
        <v>0.11</v>
      </c>
      <c r="O57" s="33">
        <v>0.1</v>
      </c>
      <c r="P57" s="34">
        <f t="shared" si="2"/>
        <v>0.28666666666666668</v>
      </c>
    </row>
    <row r="58" spans="1:16" x14ac:dyDescent="0.25">
      <c r="A58" s="169">
        <f t="shared" si="4"/>
        <v>2.9</v>
      </c>
      <c r="B58" s="166">
        <v>2</v>
      </c>
      <c r="C58" s="32">
        <v>90</v>
      </c>
      <c r="D58" s="33">
        <v>0.08</v>
      </c>
      <c r="E58" s="33">
        <v>0.08</v>
      </c>
      <c r="F58" s="33">
        <v>1.2E-2</v>
      </c>
      <c r="G58" s="33">
        <v>0.32</v>
      </c>
      <c r="H58" s="33">
        <v>0.47</v>
      </c>
      <c r="I58" s="33">
        <v>0.52</v>
      </c>
      <c r="J58" s="33">
        <v>0.47</v>
      </c>
      <c r="K58" s="33">
        <v>0.35</v>
      </c>
      <c r="L58" s="33">
        <v>0.16</v>
      </c>
      <c r="M58" s="33">
        <v>0.11</v>
      </c>
      <c r="N58" s="33">
        <v>0.1</v>
      </c>
      <c r="O58" s="33">
        <v>0.09</v>
      </c>
      <c r="P58" s="34">
        <f t="shared" si="2"/>
        <v>0.23016666666666666</v>
      </c>
    </row>
    <row r="59" spans="1:16" x14ac:dyDescent="0.25">
      <c r="A59" s="169">
        <f>B59+(C59/100)</f>
        <v>3</v>
      </c>
      <c r="B59" s="166">
        <v>3</v>
      </c>
      <c r="C59" s="32">
        <v>0</v>
      </c>
      <c r="D59" s="33">
        <v>1</v>
      </c>
      <c r="E59" s="33">
        <v>1</v>
      </c>
      <c r="F59" s="33">
        <v>1</v>
      </c>
      <c r="G59" s="33">
        <v>1</v>
      </c>
      <c r="H59" s="33">
        <v>1</v>
      </c>
      <c r="I59" s="33">
        <v>1</v>
      </c>
      <c r="J59" s="33">
        <v>1</v>
      </c>
      <c r="K59" s="33">
        <v>1</v>
      </c>
      <c r="L59" s="33">
        <v>1</v>
      </c>
      <c r="M59" s="33">
        <v>1</v>
      </c>
      <c r="N59" s="33">
        <v>1</v>
      </c>
      <c r="O59" s="33">
        <v>1</v>
      </c>
      <c r="P59" s="34">
        <f t="shared" ref="P59:P115" si="5">AVERAGE(D59:O59)</f>
        <v>1</v>
      </c>
    </row>
    <row r="60" spans="1:16" x14ac:dyDescent="0.25">
      <c r="A60" s="169">
        <f>B60+(C60/100)</f>
        <v>3.05</v>
      </c>
      <c r="B60" s="166">
        <v>3</v>
      </c>
      <c r="C60" s="32">
        <v>5</v>
      </c>
      <c r="D60" s="33">
        <v>0.97</v>
      </c>
      <c r="E60" s="33">
        <v>0.98</v>
      </c>
      <c r="F60" s="33">
        <v>1</v>
      </c>
      <c r="G60" s="33">
        <v>1.02</v>
      </c>
      <c r="H60" s="33">
        <v>1.03</v>
      </c>
      <c r="I60" s="33">
        <v>1.03</v>
      </c>
      <c r="J60" s="33">
        <v>1.02</v>
      </c>
      <c r="K60" s="33">
        <v>1.01</v>
      </c>
      <c r="L60" s="33">
        <v>1</v>
      </c>
      <c r="M60" s="33">
        <v>0.98</v>
      </c>
      <c r="N60" s="33">
        <v>0.97</v>
      </c>
      <c r="O60" s="33">
        <v>0.94</v>
      </c>
      <c r="P60" s="34">
        <f t="shared" si="5"/>
        <v>0.99583333333333346</v>
      </c>
    </row>
    <row r="61" spans="1:16" x14ac:dyDescent="0.25">
      <c r="A61" s="169">
        <f>B61+(C61/100)</f>
        <v>3.1</v>
      </c>
      <c r="B61" s="166">
        <v>3</v>
      </c>
      <c r="C61" s="32">
        <v>10</v>
      </c>
      <c r="D61" s="33">
        <v>0.93</v>
      </c>
      <c r="E61" s="33">
        <v>0.96</v>
      </c>
      <c r="F61" s="33">
        <v>0.99</v>
      </c>
      <c r="G61" s="33">
        <v>1.03</v>
      </c>
      <c r="H61" s="33">
        <v>1.05</v>
      </c>
      <c r="I61" s="33">
        <v>1.05</v>
      </c>
      <c r="J61" s="33">
        <v>1.04</v>
      </c>
      <c r="K61" s="33">
        <v>1.02</v>
      </c>
      <c r="L61" s="33">
        <v>0.99</v>
      </c>
      <c r="M61" s="33">
        <v>0.96</v>
      </c>
      <c r="N61" s="33">
        <v>0.94</v>
      </c>
      <c r="O61" s="33">
        <v>0.93</v>
      </c>
      <c r="P61" s="34">
        <f t="shared" si="5"/>
        <v>0.99083333333333323</v>
      </c>
    </row>
    <row r="62" spans="1:16" x14ac:dyDescent="0.25">
      <c r="A62" s="169">
        <f t="shared" ref="A62:A125" si="6">B62+(C62/100)</f>
        <v>3.15</v>
      </c>
      <c r="B62" s="166">
        <v>3</v>
      </c>
      <c r="C62" s="32">
        <v>15</v>
      </c>
      <c r="D62" s="33">
        <v>0.89</v>
      </c>
      <c r="E62" s="33">
        <v>0.93</v>
      </c>
      <c r="F62" s="33">
        <v>0.98</v>
      </c>
      <c r="G62" s="33">
        <v>1.03</v>
      </c>
      <c r="H62" s="33">
        <v>1.06</v>
      </c>
      <c r="I62" s="33">
        <v>1.06</v>
      </c>
      <c r="J62" s="33">
        <v>1.05</v>
      </c>
      <c r="K62" s="33">
        <v>1.02</v>
      </c>
      <c r="L62" s="33">
        <v>0.98</v>
      </c>
      <c r="M62" s="33">
        <v>0.93</v>
      </c>
      <c r="N62" s="33">
        <v>0.89</v>
      </c>
      <c r="O62" s="33">
        <v>0.88</v>
      </c>
      <c r="P62" s="34">
        <f t="shared" si="5"/>
        <v>0.9750000000000002</v>
      </c>
    </row>
    <row r="63" spans="1:16" x14ac:dyDescent="0.25">
      <c r="A63" s="169">
        <f t="shared" si="6"/>
        <v>3.2</v>
      </c>
      <c r="B63" s="166">
        <v>3</v>
      </c>
      <c r="C63" s="32">
        <v>20</v>
      </c>
      <c r="D63" s="33">
        <v>0.84</v>
      </c>
      <c r="E63" s="33">
        <v>0.89</v>
      </c>
      <c r="F63" s="33">
        <v>0.96</v>
      </c>
      <c r="G63" s="33">
        <v>1.02</v>
      </c>
      <c r="H63" s="33">
        <v>1.06</v>
      </c>
      <c r="I63" s="33">
        <v>1.07</v>
      </c>
      <c r="J63" s="33">
        <v>1.05</v>
      </c>
      <c r="K63" s="33">
        <v>1.02</v>
      </c>
      <c r="L63" s="33">
        <v>0.96</v>
      </c>
      <c r="M63" s="33">
        <v>0.9</v>
      </c>
      <c r="N63" s="33">
        <v>0.85</v>
      </c>
      <c r="O63" s="33">
        <v>0.83</v>
      </c>
      <c r="P63" s="34">
        <f t="shared" si="5"/>
        <v>0.95416666666666672</v>
      </c>
    </row>
    <row r="64" spans="1:16" x14ac:dyDescent="0.25">
      <c r="A64" s="169">
        <f t="shared" si="6"/>
        <v>3.25</v>
      </c>
      <c r="B64" s="166">
        <v>3</v>
      </c>
      <c r="C64" s="32">
        <v>25</v>
      </c>
      <c r="D64" s="33">
        <v>0.79</v>
      </c>
      <c r="E64" s="33">
        <v>0.85</v>
      </c>
      <c r="F64" s="33">
        <v>0.93</v>
      </c>
      <c r="G64" s="33">
        <v>1.01</v>
      </c>
      <c r="H64" s="33">
        <v>1.06</v>
      </c>
      <c r="I64" s="33">
        <v>1.07</v>
      </c>
      <c r="J64" s="33">
        <v>1.05</v>
      </c>
      <c r="K64" s="33">
        <v>1</v>
      </c>
      <c r="L64" s="33">
        <v>0.94</v>
      </c>
      <c r="M64" s="33">
        <v>0.86</v>
      </c>
      <c r="N64" s="33">
        <v>0.79</v>
      </c>
      <c r="O64" s="33">
        <v>0.77</v>
      </c>
      <c r="P64" s="34">
        <f t="shared" si="5"/>
        <v>0.92666666666666675</v>
      </c>
    </row>
    <row r="65" spans="1:16" x14ac:dyDescent="0.25">
      <c r="A65" s="169">
        <f t="shared" si="6"/>
        <v>3.3</v>
      </c>
      <c r="B65" s="166">
        <v>3</v>
      </c>
      <c r="C65" s="32">
        <v>30</v>
      </c>
      <c r="D65" s="33">
        <v>0.73</v>
      </c>
      <c r="E65" s="33">
        <v>0.8</v>
      </c>
      <c r="F65" s="33">
        <v>0.9</v>
      </c>
      <c r="G65" s="33">
        <v>0.99</v>
      </c>
      <c r="H65" s="33">
        <v>1.05</v>
      </c>
      <c r="I65" s="33">
        <v>1.07</v>
      </c>
      <c r="J65" s="33">
        <v>1.04</v>
      </c>
      <c r="K65" s="33">
        <v>0.98</v>
      </c>
      <c r="L65" s="33">
        <v>0.9</v>
      </c>
      <c r="M65" s="33">
        <v>0.81</v>
      </c>
      <c r="N65" s="33">
        <v>0.74</v>
      </c>
      <c r="O65" s="33">
        <v>0.7</v>
      </c>
      <c r="P65" s="34">
        <f t="shared" si="5"/>
        <v>0.89250000000000007</v>
      </c>
    </row>
    <row r="66" spans="1:16" x14ac:dyDescent="0.25">
      <c r="A66" s="169">
        <f t="shared" si="6"/>
        <v>3.35</v>
      </c>
      <c r="B66" s="166">
        <v>3</v>
      </c>
      <c r="C66" s="32">
        <v>35</v>
      </c>
      <c r="D66" s="33">
        <v>0.66</v>
      </c>
      <c r="E66" s="33">
        <v>0.75</v>
      </c>
      <c r="F66" s="33">
        <v>0.86</v>
      </c>
      <c r="G66" s="33">
        <v>0.97</v>
      </c>
      <c r="H66" s="33">
        <v>1.04</v>
      </c>
      <c r="I66" s="33">
        <v>1.05</v>
      </c>
      <c r="J66" s="33">
        <v>1.02</v>
      </c>
      <c r="K66" s="33">
        <v>0.96</v>
      </c>
      <c r="L66" s="33">
        <v>0.87</v>
      </c>
      <c r="M66" s="33">
        <v>0.76</v>
      </c>
      <c r="N66" s="33">
        <v>0.67</v>
      </c>
      <c r="O66" s="33">
        <v>0.63</v>
      </c>
      <c r="P66" s="34">
        <f t="shared" si="5"/>
        <v>0.85333333333333339</v>
      </c>
    </row>
    <row r="67" spans="1:16" x14ac:dyDescent="0.25">
      <c r="A67" s="169">
        <f t="shared" si="6"/>
        <v>3.4</v>
      </c>
      <c r="B67" s="166">
        <v>3</v>
      </c>
      <c r="C67" s="32">
        <v>40</v>
      </c>
      <c r="D67" s="33">
        <v>0.59</v>
      </c>
      <c r="E67" s="33">
        <v>0.69</v>
      </c>
      <c r="F67" s="33">
        <v>0.82</v>
      </c>
      <c r="G67" s="33">
        <v>0.94</v>
      </c>
      <c r="H67" s="33">
        <v>1.02</v>
      </c>
      <c r="I67" s="33">
        <v>1.04</v>
      </c>
      <c r="J67" s="33">
        <v>1</v>
      </c>
      <c r="K67" s="33">
        <v>0.93</v>
      </c>
      <c r="L67" s="33">
        <v>0.82</v>
      </c>
      <c r="M67" s="33">
        <v>0.7</v>
      </c>
      <c r="N67" s="33">
        <v>0.6</v>
      </c>
      <c r="O67" s="33">
        <v>0.56000000000000005</v>
      </c>
      <c r="P67" s="34">
        <f t="shared" si="5"/>
        <v>0.80916666666666659</v>
      </c>
    </row>
    <row r="68" spans="1:16" x14ac:dyDescent="0.25">
      <c r="A68" s="169">
        <f t="shared" si="6"/>
        <v>3.45</v>
      </c>
      <c r="B68" s="166">
        <v>3</v>
      </c>
      <c r="C68" s="32">
        <v>45</v>
      </c>
      <c r="D68" s="33">
        <v>0.52</v>
      </c>
      <c r="E68" s="33">
        <v>0.63</v>
      </c>
      <c r="F68" s="33">
        <v>0.76</v>
      </c>
      <c r="G68" s="33">
        <v>0.9</v>
      </c>
      <c r="H68" s="33">
        <v>0.99</v>
      </c>
      <c r="I68" s="33">
        <v>1.01</v>
      </c>
      <c r="J68" s="33">
        <v>0.97</v>
      </c>
      <c r="K68" s="33">
        <v>0.89</v>
      </c>
      <c r="L68" s="33">
        <v>0.77</v>
      </c>
      <c r="M68" s="33">
        <v>0.64</v>
      </c>
      <c r="N68" s="33">
        <v>0.53</v>
      </c>
      <c r="O68" s="33">
        <v>0.49</v>
      </c>
      <c r="P68" s="34">
        <f t="shared" si="5"/>
        <v>0.7583333333333333</v>
      </c>
    </row>
    <row r="69" spans="1:16" x14ac:dyDescent="0.25">
      <c r="A69" s="169">
        <f t="shared" si="6"/>
        <v>3.5</v>
      </c>
      <c r="B69" s="166">
        <v>3</v>
      </c>
      <c r="C69" s="32">
        <v>50</v>
      </c>
      <c r="D69" s="33">
        <v>0.44</v>
      </c>
      <c r="E69" s="33">
        <v>0.56000000000000005</v>
      </c>
      <c r="F69" s="33">
        <v>0.71</v>
      </c>
      <c r="G69" s="33">
        <v>0.85</v>
      </c>
      <c r="H69" s="33">
        <v>0.95</v>
      </c>
      <c r="I69" s="33">
        <v>0.98</v>
      </c>
      <c r="J69" s="33">
        <v>0.94</v>
      </c>
      <c r="K69" s="33">
        <v>0.85</v>
      </c>
      <c r="L69" s="33">
        <v>0.72</v>
      </c>
      <c r="M69" s="33">
        <v>0.57999999999999996</v>
      </c>
      <c r="N69" s="33">
        <v>0.46</v>
      </c>
      <c r="O69" s="33">
        <v>0.41</v>
      </c>
      <c r="P69" s="34">
        <f t="shared" si="5"/>
        <v>0.70416666666666661</v>
      </c>
    </row>
    <row r="70" spans="1:16" x14ac:dyDescent="0.25">
      <c r="A70" s="169">
        <f t="shared" si="6"/>
        <v>3.55</v>
      </c>
      <c r="B70" s="166">
        <v>3</v>
      </c>
      <c r="C70" s="32">
        <v>55</v>
      </c>
      <c r="D70" s="33">
        <v>0.37</v>
      </c>
      <c r="E70" s="33">
        <v>0.49</v>
      </c>
      <c r="F70" s="33">
        <v>0.65</v>
      </c>
      <c r="G70" s="33">
        <v>0.81</v>
      </c>
      <c r="H70" s="33">
        <v>0.91</v>
      </c>
      <c r="I70" s="33">
        <v>0.94</v>
      </c>
      <c r="J70" s="33">
        <v>0.9</v>
      </c>
      <c r="K70" s="33">
        <v>0.8</v>
      </c>
      <c r="L70" s="33">
        <v>0.66</v>
      </c>
      <c r="M70" s="33">
        <v>0.51</v>
      </c>
      <c r="N70" s="33">
        <v>0.38</v>
      </c>
      <c r="O70" s="33">
        <v>0.32</v>
      </c>
      <c r="P70" s="34">
        <f t="shared" si="5"/>
        <v>0.64500000000000002</v>
      </c>
    </row>
    <row r="71" spans="1:16" x14ac:dyDescent="0.25">
      <c r="A71" s="169">
        <f t="shared" si="6"/>
        <v>3.6</v>
      </c>
      <c r="B71" s="166">
        <v>3</v>
      </c>
      <c r="C71" s="32">
        <v>60</v>
      </c>
      <c r="D71" s="33">
        <v>0.28000000000000003</v>
      </c>
      <c r="E71" s="33">
        <v>0.41</v>
      </c>
      <c r="F71" s="33">
        <v>0.57999999999999996</v>
      </c>
      <c r="G71" s="33">
        <v>0.75</v>
      </c>
      <c r="H71" s="33">
        <v>0.87</v>
      </c>
      <c r="I71" s="33">
        <v>0.9</v>
      </c>
      <c r="J71" s="33">
        <v>0.85</v>
      </c>
      <c r="K71" s="33">
        <v>0.75</v>
      </c>
      <c r="L71" s="33">
        <v>0.6</v>
      </c>
      <c r="M71" s="33">
        <v>0.44</v>
      </c>
      <c r="N71" s="33">
        <v>0.3</v>
      </c>
      <c r="O71" s="33">
        <v>0.24</v>
      </c>
      <c r="P71" s="34">
        <f t="shared" si="5"/>
        <v>0.58083333333333331</v>
      </c>
    </row>
    <row r="72" spans="1:16" x14ac:dyDescent="0.25">
      <c r="A72" s="169">
        <f t="shared" si="6"/>
        <v>3.65</v>
      </c>
      <c r="B72" s="166">
        <v>3</v>
      </c>
      <c r="C72" s="32">
        <v>65</v>
      </c>
      <c r="D72" s="33">
        <v>0.2</v>
      </c>
      <c r="E72" s="33">
        <v>0.34</v>
      </c>
      <c r="F72" s="33">
        <v>0.52</v>
      </c>
      <c r="G72" s="33">
        <v>0.69</v>
      </c>
      <c r="H72" s="33">
        <v>0.81</v>
      </c>
      <c r="I72" s="33">
        <v>0.85</v>
      </c>
      <c r="J72" s="33">
        <v>0.8</v>
      </c>
      <c r="K72" s="33">
        <v>0.69</v>
      </c>
      <c r="L72" s="33">
        <v>0.54</v>
      </c>
      <c r="M72" s="33">
        <v>0.36</v>
      </c>
      <c r="N72" s="33">
        <v>0.22</v>
      </c>
      <c r="O72" s="33">
        <v>0.16</v>
      </c>
      <c r="P72" s="34">
        <f t="shared" si="5"/>
        <v>0.51500000000000001</v>
      </c>
    </row>
    <row r="73" spans="1:16" x14ac:dyDescent="0.25">
      <c r="A73" s="169">
        <f t="shared" si="6"/>
        <v>3.7</v>
      </c>
      <c r="B73" s="166">
        <v>3</v>
      </c>
      <c r="C73" s="32">
        <v>70</v>
      </c>
      <c r="D73" s="33">
        <v>0.12</v>
      </c>
      <c r="E73" s="33">
        <v>0.26</v>
      </c>
      <c r="F73" s="33">
        <v>0.44</v>
      </c>
      <c r="G73" s="33">
        <v>0.63</v>
      </c>
      <c r="H73" s="33">
        <v>0.76</v>
      </c>
      <c r="I73" s="33">
        <v>0.79</v>
      </c>
      <c r="J73" s="33">
        <v>0.75</v>
      </c>
      <c r="K73" s="33">
        <v>0.63</v>
      </c>
      <c r="L73" s="33">
        <v>0.47</v>
      </c>
      <c r="M73" s="33">
        <v>0.28999999999999998</v>
      </c>
      <c r="N73" s="33">
        <v>0.14000000000000001</v>
      </c>
      <c r="O73" s="33">
        <v>0.12</v>
      </c>
      <c r="P73" s="34">
        <f t="shared" si="5"/>
        <v>0.44999999999999996</v>
      </c>
    </row>
    <row r="74" spans="1:16" x14ac:dyDescent="0.25">
      <c r="A74" s="169">
        <f t="shared" si="6"/>
        <v>3.75</v>
      </c>
      <c r="B74" s="166">
        <v>3</v>
      </c>
      <c r="C74" s="32">
        <v>75</v>
      </c>
      <c r="D74" s="33">
        <v>0.1</v>
      </c>
      <c r="E74" s="33">
        <v>0.18</v>
      </c>
      <c r="F74" s="33">
        <v>0.37</v>
      </c>
      <c r="G74" s="33">
        <v>0.56000000000000005</v>
      </c>
      <c r="H74" s="33">
        <v>0.69</v>
      </c>
      <c r="I74" s="33">
        <v>0.73</v>
      </c>
      <c r="J74" s="33">
        <v>0.69</v>
      </c>
      <c r="K74" s="33">
        <v>0.56999999999999995</v>
      </c>
      <c r="L74" s="33">
        <v>0.4</v>
      </c>
      <c r="M74" s="33">
        <v>0.21</v>
      </c>
      <c r="N74" s="33">
        <v>0.12</v>
      </c>
      <c r="O74" s="33">
        <v>0.11</v>
      </c>
      <c r="P74" s="34">
        <f t="shared" si="5"/>
        <v>0.39416666666666672</v>
      </c>
    </row>
    <row r="75" spans="1:16" x14ac:dyDescent="0.25">
      <c r="A75" s="169">
        <f t="shared" si="6"/>
        <v>3.8</v>
      </c>
      <c r="B75" s="166">
        <v>3</v>
      </c>
      <c r="C75" s="32">
        <v>80</v>
      </c>
      <c r="D75" s="33">
        <v>0.1</v>
      </c>
      <c r="E75" s="33">
        <v>0.1</v>
      </c>
      <c r="F75" s="33">
        <v>0.28999999999999998</v>
      </c>
      <c r="G75" s="33">
        <v>0.49</v>
      </c>
      <c r="H75" s="33">
        <v>0.63</v>
      </c>
      <c r="I75" s="33">
        <v>0.67</v>
      </c>
      <c r="J75" s="33">
        <v>0.62</v>
      </c>
      <c r="K75" s="33">
        <v>0.5</v>
      </c>
      <c r="L75" s="33">
        <v>0.33</v>
      </c>
      <c r="M75" s="33">
        <v>0.13</v>
      </c>
      <c r="N75" s="33">
        <v>0.11</v>
      </c>
      <c r="O75" s="33">
        <v>0.1</v>
      </c>
      <c r="P75" s="34">
        <f t="shared" si="5"/>
        <v>0.33916666666666662</v>
      </c>
    </row>
    <row r="76" spans="1:16" x14ac:dyDescent="0.25">
      <c r="A76" s="169">
        <f t="shared" si="6"/>
        <v>3.85</v>
      </c>
      <c r="B76" s="166">
        <v>3</v>
      </c>
      <c r="C76" s="32">
        <v>85</v>
      </c>
      <c r="D76" s="33">
        <v>0.09</v>
      </c>
      <c r="E76" s="33">
        <v>0.09</v>
      </c>
      <c r="F76" s="33">
        <v>0.22</v>
      </c>
      <c r="G76" s="33">
        <v>0.41</v>
      </c>
      <c r="H76" s="33">
        <v>0.56000000000000005</v>
      </c>
      <c r="I76" s="33">
        <v>0.6</v>
      </c>
      <c r="J76" s="33">
        <v>0.56000000000000005</v>
      </c>
      <c r="K76" s="33">
        <v>0.43</v>
      </c>
      <c r="L76" s="33">
        <v>0.25</v>
      </c>
      <c r="M76" s="33">
        <v>0.12</v>
      </c>
      <c r="N76" s="33">
        <v>0.11</v>
      </c>
      <c r="O76" s="33">
        <v>0.1</v>
      </c>
      <c r="P76" s="34">
        <f t="shared" si="5"/>
        <v>0.29500000000000004</v>
      </c>
    </row>
    <row r="77" spans="1:16" x14ac:dyDescent="0.25">
      <c r="A77" s="169">
        <f t="shared" si="6"/>
        <v>3.9</v>
      </c>
      <c r="B77" s="166">
        <v>3</v>
      </c>
      <c r="C77" s="32">
        <v>90</v>
      </c>
      <c r="D77" s="33">
        <v>0.08</v>
      </c>
      <c r="E77" s="33">
        <v>0.08</v>
      </c>
      <c r="F77" s="33">
        <v>0.14000000000000001</v>
      </c>
      <c r="G77" s="33">
        <v>0.34</v>
      </c>
      <c r="H77" s="33">
        <v>0.49</v>
      </c>
      <c r="I77" s="33">
        <v>0.53</v>
      </c>
      <c r="J77" s="33">
        <v>0.49</v>
      </c>
      <c r="K77" s="33">
        <v>0.36</v>
      </c>
      <c r="L77" s="33">
        <v>0.18</v>
      </c>
      <c r="M77" s="33">
        <v>0.11</v>
      </c>
      <c r="N77" s="33">
        <v>0.1</v>
      </c>
      <c r="O77" s="33">
        <v>0.09</v>
      </c>
      <c r="P77" s="34">
        <f t="shared" si="5"/>
        <v>0.24916666666666668</v>
      </c>
    </row>
    <row r="78" spans="1:16" x14ac:dyDescent="0.25">
      <c r="A78" s="169">
        <f t="shared" si="6"/>
        <v>4</v>
      </c>
      <c r="B78" s="166">
        <v>4</v>
      </c>
      <c r="C78" s="32">
        <v>0</v>
      </c>
      <c r="D78" s="33">
        <v>1</v>
      </c>
      <c r="E78" s="33">
        <v>1</v>
      </c>
      <c r="F78" s="33">
        <v>1</v>
      </c>
      <c r="G78" s="33">
        <v>1</v>
      </c>
      <c r="H78" s="33">
        <v>1</v>
      </c>
      <c r="I78" s="33">
        <v>1</v>
      </c>
      <c r="J78" s="33">
        <v>1</v>
      </c>
      <c r="K78" s="33">
        <v>1</v>
      </c>
      <c r="L78" s="33">
        <v>1</v>
      </c>
      <c r="M78" s="33">
        <v>1</v>
      </c>
      <c r="N78" s="33">
        <v>1</v>
      </c>
      <c r="O78" s="33">
        <v>1</v>
      </c>
      <c r="P78" s="34">
        <f t="shared" si="5"/>
        <v>1</v>
      </c>
    </row>
    <row r="79" spans="1:16" x14ac:dyDescent="0.25">
      <c r="A79" s="169">
        <f t="shared" si="6"/>
        <v>4.05</v>
      </c>
      <c r="B79" s="166">
        <v>4</v>
      </c>
      <c r="C79" s="32">
        <v>5</v>
      </c>
      <c r="D79" s="33">
        <v>0.97</v>
      </c>
      <c r="E79" s="33">
        <v>0.98</v>
      </c>
      <c r="F79" s="33">
        <v>1</v>
      </c>
      <c r="G79" s="33">
        <v>1.02</v>
      </c>
      <c r="H79" s="33">
        <v>1.03</v>
      </c>
      <c r="I79" s="33">
        <v>1.03</v>
      </c>
      <c r="J79" s="33">
        <v>1.02</v>
      </c>
      <c r="K79" s="33">
        <v>1.01</v>
      </c>
      <c r="L79" s="33">
        <v>1</v>
      </c>
      <c r="M79" s="33">
        <v>0.99</v>
      </c>
      <c r="N79" s="33">
        <v>0.97</v>
      </c>
      <c r="O79" s="33">
        <v>0.97</v>
      </c>
      <c r="P79" s="34">
        <f t="shared" si="5"/>
        <v>0.99916666666666687</v>
      </c>
    </row>
    <row r="80" spans="1:16" x14ac:dyDescent="0.25">
      <c r="A80" s="169">
        <f t="shared" si="6"/>
        <v>4.0999999999999996</v>
      </c>
      <c r="B80" s="166">
        <v>4</v>
      </c>
      <c r="C80" s="32">
        <v>10</v>
      </c>
      <c r="D80" s="33">
        <v>0.94</v>
      </c>
      <c r="E80" s="33">
        <v>0.96</v>
      </c>
      <c r="F80" s="33">
        <v>1</v>
      </c>
      <c r="G80" s="33">
        <v>1.03</v>
      </c>
      <c r="H80" s="33">
        <v>1.05</v>
      </c>
      <c r="I80" s="33">
        <v>1.05</v>
      </c>
      <c r="J80" s="33">
        <v>1.04</v>
      </c>
      <c r="K80" s="33">
        <v>1.02</v>
      </c>
      <c r="L80" s="33">
        <v>1</v>
      </c>
      <c r="M80" s="33">
        <v>0.96</v>
      </c>
      <c r="N80" s="33">
        <v>0.94</v>
      </c>
      <c r="O80" s="33">
        <v>0.93</v>
      </c>
      <c r="P80" s="34">
        <f t="shared" si="5"/>
        <v>0.99333333333333329</v>
      </c>
    </row>
    <row r="81" spans="1:16" x14ac:dyDescent="0.25">
      <c r="A81" s="169">
        <f t="shared" si="6"/>
        <v>4.1500000000000004</v>
      </c>
      <c r="B81" s="166">
        <v>4</v>
      </c>
      <c r="C81" s="32">
        <v>15</v>
      </c>
      <c r="D81" s="33">
        <v>0.9</v>
      </c>
      <c r="E81" s="33">
        <v>0.93</v>
      </c>
      <c r="F81" s="33">
        <v>0.98</v>
      </c>
      <c r="G81" s="33">
        <v>1.03</v>
      </c>
      <c r="H81" s="33">
        <v>1.06</v>
      </c>
      <c r="I81" s="33">
        <v>1.07</v>
      </c>
      <c r="J81" s="33">
        <v>1.05</v>
      </c>
      <c r="K81" s="33">
        <v>1.02</v>
      </c>
      <c r="L81" s="33">
        <v>0.98</v>
      </c>
      <c r="M81" s="33">
        <v>0.94</v>
      </c>
      <c r="N81" s="33">
        <v>0.9</v>
      </c>
      <c r="O81" s="33">
        <v>0.88</v>
      </c>
      <c r="P81" s="34">
        <f t="shared" si="5"/>
        <v>0.9783333333333335</v>
      </c>
    </row>
    <row r="82" spans="1:16" x14ac:dyDescent="0.25">
      <c r="A82" s="169">
        <f t="shared" si="6"/>
        <v>4.2</v>
      </c>
      <c r="B82" s="166">
        <v>4</v>
      </c>
      <c r="C82" s="32">
        <v>20</v>
      </c>
      <c r="D82" s="33">
        <v>0.85</v>
      </c>
      <c r="E82" s="33">
        <v>0.9</v>
      </c>
      <c r="F82" s="33">
        <v>0.96</v>
      </c>
      <c r="G82" s="33">
        <v>1.03</v>
      </c>
      <c r="H82" s="33">
        <v>1.07</v>
      </c>
      <c r="I82" s="33">
        <v>1.08</v>
      </c>
      <c r="J82" s="33">
        <v>1.06</v>
      </c>
      <c r="K82" s="33">
        <v>1.02</v>
      </c>
      <c r="L82" s="33">
        <v>0.97</v>
      </c>
      <c r="M82" s="33">
        <v>0.9</v>
      </c>
      <c r="N82" s="33">
        <v>0.85</v>
      </c>
      <c r="O82" s="33">
        <v>0.83</v>
      </c>
      <c r="P82" s="34">
        <f t="shared" si="5"/>
        <v>0.96000000000000008</v>
      </c>
    </row>
    <row r="83" spans="1:16" x14ac:dyDescent="0.25">
      <c r="A83" s="169">
        <f t="shared" si="6"/>
        <v>4.25</v>
      </c>
      <c r="B83" s="166">
        <v>4</v>
      </c>
      <c r="C83" s="32">
        <v>25</v>
      </c>
      <c r="D83" s="33">
        <v>0.8</v>
      </c>
      <c r="E83" s="33">
        <v>0.86</v>
      </c>
      <c r="F83" s="33">
        <v>0.94</v>
      </c>
      <c r="G83" s="33">
        <v>1.02</v>
      </c>
      <c r="H83" s="33">
        <v>1.07</v>
      </c>
      <c r="I83" s="33">
        <v>1.08</v>
      </c>
      <c r="J83" s="33">
        <v>1.05</v>
      </c>
      <c r="K83" s="33">
        <v>1.01</v>
      </c>
      <c r="L83" s="33">
        <v>0.94</v>
      </c>
      <c r="M83" s="33">
        <v>0.86</v>
      </c>
      <c r="N83" s="33">
        <v>0.8</v>
      </c>
      <c r="O83" s="33">
        <v>0.77</v>
      </c>
      <c r="P83" s="34">
        <f t="shared" si="5"/>
        <v>0.93333333333333324</v>
      </c>
    </row>
    <row r="84" spans="1:16" x14ac:dyDescent="0.25">
      <c r="A84" s="169">
        <f t="shared" si="6"/>
        <v>4.3</v>
      </c>
      <c r="B84" s="166">
        <v>4</v>
      </c>
      <c r="C84" s="32">
        <v>30</v>
      </c>
      <c r="D84" s="33">
        <v>0.74</v>
      </c>
      <c r="E84" s="33">
        <v>0.81</v>
      </c>
      <c r="F84" s="33">
        <v>0.91</v>
      </c>
      <c r="G84" s="33">
        <v>1</v>
      </c>
      <c r="H84" s="33">
        <v>1.06</v>
      </c>
      <c r="I84" s="33">
        <v>1.07</v>
      </c>
      <c r="J84" s="33">
        <v>1.05</v>
      </c>
      <c r="K84" s="33">
        <v>0.99</v>
      </c>
      <c r="L84" s="33">
        <v>0.91</v>
      </c>
      <c r="M84" s="33">
        <v>0.82</v>
      </c>
      <c r="N84" s="33">
        <v>0.74</v>
      </c>
      <c r="O84" s="33">
        <v>0.71</v>
      </c>
      <c r="P84" s="34">
        <f t="shared" si="5"/>
        <v>0.90083333333333326</v>
      </c>
    </row>
    <row r="85" spans="1:16" x14ac:dyDescent="0.25">
      <c r="A85" s="169">
        <f t="shared" si="6"/>
        <v>4.3499999999999996</v>
      </c>
      <c r="B85" s="166">
        <v>4</v>
      </c>
      <c r="C85" s="32">
        <v>35</v>
      </c>
      <c r="D85" s="33">
        <v>0.67</v>
      </c>
      <c r="E85" s="33">
        <v>0.76</v>
      </c>
      <c r="F85" s="33">
        <v>0.87</v>
      </c>
      <c r="G85" s="33">
        <v>0.98</v>
      </c>
      <c r="H85" s="33">
        <v>1.05</v>
      </c>
      <c r="I85" s="33">
        <v>1.06</v>
      </c>
      <c r="J85" s="33">
        <v>1.03</v>
      </c>
      <c r="K85" s="33">
        <v>0.97</v>
      </c>
      <c r="L85" s="33">
        <v>0.87</v>
      </c>
      <c r="M85" s="33">
        <v>0.77</v>
      </c>
      <c r="N85" s="33">
        <v>0.68</v>
      </c>
      <c r="O85" s="33">
        <v>0.64</v>
      </c>
      <c r="P85" s="34">
        <f t="shared" si="5"/>
        <v>0.86249999999999993</v>
      </c>
    </row>
    <row r="86" spans="1:16" x14ac:dyDescent="0.25">
      <c r="A86" s="169">
        <f t="shared" si="6"/>
        <v>4.4000000000000004</v>
      </c>
      <c r="B86" s="166">
        <v>4</v>
      </c>
      <c r="C86" s="32">
        <v>40</v>
      </c>
      <c r="D86" s="33">
        <v>0.6</v>
      </c>
      <c r="E86" s="33">
        <v>0.7</v>
      </c>
      <c r="F86" s="33">
        <v>0.82</v>
      </c>
      <c r="G86" s="33">
        <v>0.95</v>
      </c>
      <c r="H86" s="33">
        <v>1.03</v>
      </c>
      <c r="I86" s="33">
        <v>1.04</v>
      </c>
      <c r="J86" s="33">
        <v>1.01</v>
      </c>
      <c r="K86" s="33">
        <v>0.94</v>
      </c>
      <c r="L86" s="33">
        <v>0.83</v>
      </c>
      <c r="M86" s="33">
        <v>0.71</v>
      </c>
      <c r="N86" s="33">
        <v>0.61</v>
      </c>
      <c r="O86" s="33">
        <v>0.56999999999999995</v>
      </c>
      <c r="P86" s="34">
        <f t="shared" si="5"/>
        <v>0.81749999999999989</v>
      </c>
    </row>
    <row r="87" spans="1:16" x14ac:dyDescent="0.25">
      <c r="A87" s="169">
        <f t="shared" si="6"/>
        <v>4.45</v>
      </c>
      <c r="B87" s="166">
        <v>4</v>
      </c>
      <c r="C87" s="32">
        <v>45</v>
      </c>
      <c r="D87" s="33">
        <v>0.53</v>
      </c>
      <c r="E87" s="33">
        <v>0.64</v>
      </c>
      <c r="F87" s="33">
        <v>0.77</v>
      </c>
      <c r="G87" s="33">
        <v>0.91</v>
      </c>
      <c r="H87" s="33">
        <v>1</v>
      </c>
      <c r="I87" s="33">
        <v>1.02</v>
      </c>
      <c r="J87" s="33">
        <v>0.98</v>
      </c>
      <c r="K87" s="33">
        <v>0.9</v>
      </c>
      <c r="L87" s="33">
        <v>0.78</v>
      </c>
      <c r="M87" s="33">
        <v>0.65</v>
      </c>
      <c r="N87" s="33">
        <v>0.54</v>
      </c>
      <c r="O87" s="33">
        <v>0.5</v>
      </c>
      <c r="P87" s="34">
        <f t="shared" si="5"/>
        <v>0.7683333333333332</v>
      </c>
    </row>
    <row r="88" spans="1:16" x14ac:dyDescent="0.25">
      <c r="A88" s="169">
        <f t="shared" si="6"/>
        <v>4.5</v>
      </c>
      <c r="B88" s="166">
        <v>4</v>
      </c>
      <c r="C88" s="32">
        <v>50</v>
      </c>
      <c r="D88" s="33">
        <v>0.46</v>
      </c>
      <c r="E88" s="33">
        <v>0.56999999999999995</v>
      </c>
      <c r="F88" s="33">
        <v>0.72</v>
      </c>
      <c r="G88" s="33">
        <v>0.87</v>
      </c>
      <c r="H88" s="33">
        <v>0.97</v>
      </c>
      <c r="I88" s="33">
        <v>0.99</v>
      </c>
      <c r="J88" s="33">
        <v>0.95</v>
      </c>
      <c r="K88" s="33">
        <v>0.86</v>
      </c>
      <c r="L88" s="33">
        <v>0.73</v>
      </c>
      <c r="M88" s="33">
        <v>0.59</v>
      </c>
      <c r="N88" s="33">
        <v>0.47</v>
      </c>
      <c r="O88" s="33">
        <v>0.42</v>
      </c>
      <c r="P88" s="34">
        <f t="shared" si="5"/>
        <v>0.71666666666666679</v>
      </c>
    </row>
    <row r="89" spans="1:16" x14ac:dyDescent="0.25">
      <c r="A89" s="169">
        <f t="shared" si="6"/>
        <v>4.55</v>
      </c>
      <c r="B89" s="166">
        <v>4</v>
      </c>
      <c r="C89" s="32">
        <v>55</v>
      </c>
      <c r="D89" s="33">
        <v>0.38</v>
      </c>
      <c r="E89" s="33">
        <v>0.5</v>
      </c>
      <c r="F89" s="33">
        <v>0.66</v>
      </c>
      <c r="G89" s="33">
        <v>0.82</v>
      </c>
      <c r="H89" s="33">
        <v>0.93</v>
      </c>
      <c r="I89" s="33">
        <v>0.95</v>
      </c>
      <c r="J89" s="33">
        <v>0.91</v>
      </c>
      <c r="K89" s="33">
        <v>0.81</v>
      </c>
      <c r="L89" s="33">
        <v>0.67</v>
      </c>
      <c r="M89" s="33">
        <v>0.52</v>
      </c>
      <c r="N89" s="33">
        <v>0.39</v>
      </c>
      <c r="O89" s="33">
        <v>0.34</v>
      </c>
      <c r="P89" s="34">
        <f t="shared" si="5"/>
        <v>0.65666666666666662</v>
      </c>
    </row>
    <row r="90" spans="1:16" x14ac:dyDescent="0.25">
      <c r="A90" s="169">
        <f t="shared" si="6"/>
        <v>4.5999999999999996</v>
      </c>
      <c r="B90" s="166">
        <v>4</v>
      </c>
      <c r="C90" s="32">
        <v>60</v>
      </c>
      <c r="D90" s="33">
        <v>0.3</v>
      </c>
      <c r="E90" s="33">
        <v>0.43</v>
      </c>
      <c r="F90" s="33">
        <v>0.6</v>
      </c>
      <c r="G90" s="33">
        <v>0.76</v>
      </c>
      <c r="H90" s="33">
        <v>0.88</v>
      </c>
      <c r="I90" s="33">
        <v>0.91</v>
      </c>
      <c r="J90" s="33">
        <v>0.86</v>
      </c>
      <c r="K90" s="33">
        <v>0.76</v>
      </c>
      <c r="L90" s="33">
        <v>0.61</v>
      </c>
      <c r="M90" s="33">
        <v>0.45</v>
      </c>
      <c r="N90" s="33">
        <v>0.31</v>
      </c>
      <c r="O90" s="33">
        <v>0.25</v>
      </c>
      <c r="P90" s="34">
        <f t="shared" si="5"/>
        <v>0.59333333333333338</v>
      </c>
    </row>
    <row r="91" spans="1:16" x14ac:dyDescent="0.25">
      <c r="A91" s="169">
        <f t="shared" si="6"/>
        <v>4.6500000000000004</v>
      </c>
      <c r="B91" s="166">
        <v>4</v>
      </c>
      <c r="C91" s="32">
        <v>65</v>
      </c>
      <c r="D91" s="33">
        <v>0.22</v>
      </c>
      <c r="E91" s="33">
        <v>0.35</v>
      </c>
      <c r="F91" s="33">
        <v>0.53</v>
      </c>
      <c r="G91" s="33">
        <v>0.7</v>
      </c>
      <c r="H91" s="33">
        <v>0.83</v>
      </c>
      <c r="I91" s="33">
        <v>0.86</v>
      </c>
      <c r="J91" s="33">
        <v>0.81</v>
      </c>
      <c r="K91" s="33">
        <v>0.71</v>
      </c>
      <c r="L91" s="33">
        <v>0.55000000000000004</v>
      </c>
      <c r="M91" s="33">
        <v>0.37</v>
      </c>
      <c r="N91" s="33">
        <v>0.23</v>
      </c>
      <c r="O91" s="33">
        <v>0.17</v>
      </c>
      <c r="P91" s="34">
        <f t="shared" si="5"/>
        <v>0.52749999999999997</v>
      </c>
    </row>
    <row r="92" spans="1:16" x14ac:dyDescent="0.25">
      <c r="A92" s="169">
        <f t="shared" si="6"/>
        <v>4.7</v>
      </c>
      <c r="B92" s="166">
        <v>4</v>
      </c>
      <c r="C92" s="32">
        <v>70</v>
      </c>
      <c r="D92" s="33">
        <v>0.13</v>
      </c>
      <c r="E92" s="33">
        <v>0.27</v>
      </c>
      <c r="F92" s="33">
        <v>0.46</v>
      </c>
      <c r="G92" s="33">
        <v>0.64</v>
      </c>
      <c r="H92" s="33">
        <v>0.77</v>
      </c>
      <c r="I92" s="33">
        <v>0.81</v>
      </c>
      <c r="J92" s="33">
        <v>0.76</v>
      </c>
      <c r="K92" s="33">
        <v>0.65</v>
      </c>
      <c r="L92" s="33">
        <v>0.48</v>
      </c>
      <c r="M92" s="33">
        <v>0.3</v>
      </c>
      <c r="N92" s="33">
        <v>0.15</v>
      </c>
      <c r="O92" s="33">
        <v>0.12</v>
      </c>
      <c r="P92" s="34">
        <f t="shared" si="5"/>
        <v>0.46166666666666673</v>
      </c>
    </row>
    <row r="93" spans="1:16" x14ac:dyDescent="0.25">
      <c r="A93" s="169">
        <f t="shared" si="6"/>
        <v>4.75</v>
      </c>
      <c r="B93" s="166">
        <v>4</v>
      </c>
      <c r="C93" s="32">
        <v>75</v>
      </c>
      <c r="D93" s="33">
        <v>0.1</v>
      </c>
      <c r="E93" s="33">
        <v>0.19</v>
      </c>
      <c r="F93" s="33">
        <v>0.38</v>
      </c>
      <c r="G93" s="33">
        <v>0.56999999999999995</v>
      </c>
      <c r="H93" s="33">
        <v>0.71</v>
      </c>
      <c r="I93" s="33">
        <v>0.75</v>
      </c>
      <c r="J93" s="33">
        <v>0.7</v>
      </c>
      <c r="K93" s="33">
        <v>0.57999999999999996</v>
      </c>
      <c r="L93" s="33">
        <v>0.41</v>
      </c>
      <c r="M93" s="33">
        <v>0.22</v>
      </c>
      <c r="N93" s="33">
        <v>0.12</v>
      </c>
      <c r="O93" s="33">
        <v>0.11</v>
      </c>
      <c r="P93" s="34">
        <f t="shared" si="5"/>
        <v>0.40333333333333338</v>
      </c>
    </row>
    <row r="94" spans="1:16" x14ac:dyDescent="0.25">
      <c r="A94" s="169">
        <f t="shared" si="6"/>
        <v>4.8</v>
      </c>
      <c r="B94" s="166">
        <v>4</v>
      </c>
      <c r="C94" s="32">
        <v>80</v>
      </c>
      <c r="D94" s="33">
        <v>0.1</v>
      </c>
      <c r="E94" s="33">
        <v>0.11</v>
      </c>
      <c r="F94" s="33">
        <v>0.31</v>
      </c>
      <c r="G94" s="33">
        <v>0.5</v>
      </c>
      <c r="H94" s="33">
        <v>0.64</v>
      </c>
      <c r="I94" s="33">
        <v>0.69</v>
      </c>
      <c r="J94" s="33">
        <v>0.64</v>
      </c>
      <c r="K94" s="33">
        <v>0.52</v>
      </c>
      <c r="L94" s="33">
        <v>0.34</v>
      </c>
      <c r="M94" s="33">
        <v>0.14000000000000001</v>
      </c>
      <c r="N94" s="33">
        <v>0.11</v>
      </c>
      <c r="O94" s="33">
        <v>0.1</v>
      </c>
      <c r="P94" s="34">
        <f t="shared" si="5"/>
        <v>0.35000000000000003</v>
      </c>
    </row>
    <row r="95" spans="1:16" x14ac:dyDescent="0.25">
      <c r="A95" s="169">
        <f t="shared" si="6"/>
        <v>4.8499999999999996</v>
      </c>
      <c r="B95" s="166">
        <v>4</v>
      </c>
      <c r="C95" s="32">
        <v>85</v>
      </c>
      <c r="D95" s="33">
        <v>0.09</v>
      </c>
      <c r="E95" s="33">
        <v>0.09</v>
      </c>
      <c r="F95" s="33">
        <v>0.23</v>
      </c>
      <c r="G95" s="33">
        <v>0.43</v>
      </c>
      <c r="H95" s="33">
        <v>0.56999999999999995</v>
      </c>
      <c r="I95" s="33">
        <v>0.62</v>
      </c>
      <c r="J95" s="33">
        <v>0.56999999999999995</v>
      </c>
      <c r="K95" s="33">
        <v>0.45</v>
      </c>
      <c r="L95" s="33">
        <v>0.26</v>
      </c>
      <c r="M95" s="33">
        <v>0.12</v>
      </c>
      <c r="N95" s="33">
        <v>0.1</v>
      </c>
      <c r="O95" s="33">
        <v>0.09</v>
      </c>
      <c r="P95" s="34">
        <f t="shared" si="5"/>
        <v>0.30166666666666669</v>
      </c>
    </row>
    <row r="96" spans="1:16" x14ac:dyDescent="0.25">
      <c r="A96" s="169">
        <f t="shared" si="6"/>
        <v>4.9000000000000004</v>
      </c>
      <c r="B96" s="166">
        <v>4</v>
      </c>
      <c r="C96" s="32">
        <v>90</v>
      </c>
      <c r="D96" s="33">
        <v>0.08</v>
      </c>
      <c r="E96" s="33">
        <v>0.08</v>
      </c>
      <c r="F96" s="33">
        <v>0.15</v>
      </c>
      <c r="G96" s="33">
        <v>0.35</v>
      </c>
      <c r="H96" s="33">
        <v>0.5</v>
      </c>
      <c r="I96" s="33">
        <v>0.55000000000000004</v>
      </c>
      <c r="J96" s="33">
        <v>0.5</v>
      </c>
      <c r="K96" s="33">
        <v>0.37</v>
      </c>
      <c r="L96" s="33">
        <v>0.19</v>
      </c>
      <c r="M96" s="33">
        <v>0.11</v>
      </c>
      <c r="N96" s="33">
        <v>0.1</v>
      </c>
      <c r="O96" s="33">
        <v>0.09</v>
      </c>
      <c r="P96" s="34">
        <f t="shared" si="5"/>
        <v>0.2558333333333333</v>
      </c>
    </row>
    <row r="97" spans="1:16" x14ac:dyDescent="0.25">
      <c r="A97" s="169">
        <f t="shared" si="6"/>
        <v>5</v>
      </c>
      <c r="B97" s="166">
        <v>5</v>
      </c>
      <c r="C97" s="32">
        <v>0</v>
      </c>
      <c r="D97" s="33">
        <v>1</v>
      </c>
      <c r="E97" s="33">
        <v>1</v>
      </c>
      <c r="F97" s="33">
        <v>1</v>
      </c>
      <c r="G97" s="33">
        <v>1</v>
      </c>
      <c r="H97" s="33">
        <v>1</v>
      </c>
      <c r="I97" s="33">
        <v>1</v>
      </c>
      <c r="J97" s="33">
        <v>1</v>
      </c>
      <c r="K97" s="33">
        <v>1</v>
      </c>
      <c r="L97" s="33">
        <v>1</v>
      </c>
      <c r="M97" s="33">
        <v>1</v>
      </c>
      <c r="N97" s="33">
        <v>1</v>
      </c>
      <c r="O97" s="33">
        <v>1</v>
      </c>
      <c r="P97" s="34">
        <f t="shared" si="5"/>
        <v>1</v>
      </c>
    </row>
    <row r="98" spans="1:16" x14ac:dyDescent="0.25">
      <c r="A98" s="169">
        <f t="shared" si="6"/>
        <v>5.05</v>
      </c>
      <c r="B98" s="166">
        <v>5</v>
      </c>
      <c r="C98" s="32">
        <v>5</v>
      </c>
      <c r="D98" s="33">
        <v>0.97</v>
      </c>
      <c r="E98" s="33">
        <v>0.99</v>
      </c>
      <c r="F98" s="33">
        <v>1</v>
      </c>
      <c r="G98" s="33">
        <v>1.02</v>
      </c>
      <c r="H98" s="33">
        <v>1.03</v>
      </c>
      <c r="I98" s="33">
        <v>1.03</v>
      </c>
      <c r="J98" s="33">
        <v>1.02</v>
      </c>
      <c r="K98" s="33">
        <v>1.02</v>
      </c>
      <c r="L98" s="33">
        <v>1</v>
      </c>
      <c r="M98" s="33">
        <v>0.99</v>
      </c>
      <c r="N98" s="33">
        <v>0.97</v>
      </c>
      <c r="O98" s="33">
        <v>0.97</v>
      </c>
      <c r="P98" s="34">
        <f t="shared" si="5"/>
        <v>1.0008333333333335</v>
      </c>
    </row>
    <row r="99" spans="1:16" x14ac:dyDescent="0.25">
      <c r="A99" s="169">
        <f t="shared" si="6"/>
        <v>5.0999999999999996</v>
      </c>
      <c r="B99" s="166">
        <v>5</v>
      </c>
      <c r="C99" s="32">
        <v>10</v>
      </c>
      <c r="D99" s="33">
        <v>0.94</v>
      </c>
      <c r="E99" s="33">
        <v>0.97</v>
      </c>
      <c r="F99" s="33">
        <v>1</v>
      </c>
      <c r="G99" s="33">
        <v>1.03</v>
      </c>
      <c r="H99" s="33">
        <v>1.05</v>
      </c>
      <c r="I99" s="33">
        <v>1.05</v>
      </c>
      <c r="J99" s="33">
        <v>1.04</v>
      </c>
      <c r="K99" s="33">
        <v>1.02</v>
      </c>
      <c r="L99" s="33">
        <v>1</v>
      </c>
      <c r="M99" s="33">
        <v>0.97</v>
      </c>
      <c r="N99" s="33">
        <v>0.94</v>
      </c>
      <c r="O99" s="33">
        <v>0.93</v>
      </c>
      <c r="P99" s="34">
        <f t="shared" si="5"/>
        <v>0.995</v>
      </c>
    </row>
    <row r="100" spans="1:16" x14ac:dyDescent="0.25">
      <c r="A100" s="169">
        <f t="shared" si="6"/>
        <v>5.15</v>
      </c>
      <c r="B100" s="166">
        <v>5</v>
      </c>
      <c r="C100" s="32">
        <v>15</v>
      </c>
      <c r="D100" s="33">
        <v>0.9</v>
      </c>
      <c r="E100" s="33">
        <v>0.94</v>
      </c>
      <c r="F100" s="33">
        <v>0.99</v>
      </c>
      <c r="G100" s="33">
        <v>1.04</v>
      </c>
      <c r="H100" s="33">
        <v>1.07</v>
      </c>
      <c r="I100" s="33">
        <v>1.07</v>
      </c>
      <c r="J100" s="33">
        <v>1.06</v>
      </c>
      <c r="K100" s="33">
        <v>1.03</v>
      </c>
      <c r="L100" s="33">
        <v>0.99</v>
      </c>
      <c r="M100" s="33">
        <v>0.94</v>
      </c>
      <c r="N100" s="33">
        <v>0.9</v>
      </c>
      <c r="O100" s="33">
        <v>0.89</v>
      </c>
      <c r="P100" s="34">
        <f t="shared" si="5"/>
        <v>0.98499999999999999</v>
      </c>
    </row>
    <row r="101" spans="1:16" x14ac:dyDescent="0.25">
      <c r="A101" s="169">
        <f t="shared" si="6"/>
        <v>5.2</v>
      </c>
      <c r="B101" s="166">
        <v>5</v>
      </c>
      <c r="C101" s="32">
        <v>20</v>
      </c>
      <c r="D101" s="33">
        <v>0.85</v>
      </c>
      <c r="E101" s="33">
        <v>0.9</v>
      </c>
      <c r="F101" s="33">
        <v>0.97</v>
      </c>
      <c r="G101" s="33">
        <v>1.03</v>
      </c>
      <c r="H101" s="33">
        <v>1.07</v>
      </c>
      <c r="I101" s="33">
        <v>1.08</v>
      </c>
      <c r="J101" s="33">
        <v>1.06</v>
      </c>
      <c r="K101" s="33">
        <v>1.02</v>
      </c>
      <c r="L101" s="33">
        <v>0.97</v>
      </c>
      <c r="M101" s="33">
        <v>0.91</v>
      </c>
      <c r="N101" s="33">
        <v>0.86</v>
      </c>
      <c r="O101" s="33">
        <v>0.84</v>
      </c>
      <c r="P101" s="34">
        <f t="shared" si="5"/>
        <v>0.96333333333333337</v>
      </c>
    </row>
    <row r="102" spans="1:16" x14ac:dyDescent="0.25">
      <c r="A102" s="169">
        <f t="shared" si="6"/>
        <v>5.25</v>
      </c>
      <c r="B102" s="166">
        <v>5</v>
      </c>
      <c r="C102" s="32">
        <v>25</v>
      </c>
      <c r="D102" s="33">
        <v>0.8</v>
      </c>
      <c r="E102" s="33">
        <v>0.86</v>
      </c>
      <c r="F102" s="33">
        <v>0.95</v>
      </c>
      <c r="G102" s="33">
        <v>1.02</v>
      </c>
      <c r="H102" s="33">
        <v>1.08</v>
      </c>
      <c r="I102" s="33">
        <v>1.08</v>
      </c>
      <c r="J102" s="33">
        <v>1.06</v>
      </c>
      <c r="K102" s="33">
        <v>1.01</v>
      </c>
      <c r="L102" s="33">
        <v>0.95</v>
      </c>
      <c r="M102" s="33">
        <v>0.87</v>
      </c>
      <c r="N102" s="33">
        <v>0.81</v>
      </c>
      <c r="O102" s="33">
        <v>0.78</v>
      </c>
      <c r="P102" s="34">
        <f t="shared" si="5"/>
        <v>0.93916666666666659</v>
      </c>
    </row>
    <row r="103" spans="1:16" x14ac:dyDescent="0.25">
      <c r="A103" s="169">
        <f t="shared" si="6"/>
        <v>5.3</v>
      </c>
      <c r="B103" s="166">
        <v>5</v>
      </c>
      <c r="C103" s="32">
        <v>30</v>
      </c>
      <c r="D103" s="33">
        <v>0.74</v>
      </c>
      <c r="E103" s="33">
        <v>0.82</v>
      </c>
      <c r="F103" s="33">
        <v>0.91</v>
      </c>
      <c r="G103" s="33">
        <v>1.01</v>
      </c>
      <c r="H103" s="33">
        <v>1.07</v>
      </c>
      <c r="I103" s="33">
        <v>1.08</v>
      </c>
      <c r="J103" s="33">
        <v>1.05</v>
      </c>
      <c r="K103" s="33">
        <v>1</v>
      </c>
      <c r="L103" s="33">
        <v>0.92</v>
      </c>
      <c r="M103" s="33">
        <v>0.83</v>
      </c>
      <c r="N103" s="33">
        <v>0.75</v>
      </c>
      <c r="O103" s="33">
        <v>0.72</v>
      </c>
      <c r="P103" s="34">
        <f t="shared" si="5"/>
        <v>0.90833333333333355</v>
      </c>
    </row>
    <row r="104" spans="1:16" x14ac:dyDescent="0.25">
      <c r="A104" s="169">
        <f t="shared" si="6"/>
        <v>5.35</v>
      </c>
      <c r="B104" s="166">
        <v>5</v>
      </c>
      <c r="C104" s="32">
        <v>35</v>
      </c>
      <c r="D104" s="33">
        <v>0.68</v>
      </c>
      <c r="E104" s="33">
        <v>0.77</v>
      </c>
      <c r="F104" s="33">
        <v>0.88</v>
      </c>
      <c r="G104" s="33">
        <v>0.98</v>
      </c>
      <c r="H104" s="33">
        <v>1.06</v>
      </c>
      <c r="I104" s="33">
        <v>1.07</v>
      </c>
      <c r="J104" s="33">
        <v>1.04</v>
      </c>
      <c r="K104" s="33">
        <v>0.97</v>
      </c>
      <c r="L104" s="33">
        <v>0.88</v>
      </c>
      <c r="M104" s="33">
        <v>0.78</v>
      </c>
      <c r="N104" s="33">
        <v>0.69</v>
      </c>
      <c r="O104" s="33">
        <v>0.65</v>
      </c>
      <c r="P104" s="34">
        <f t="shared" si="5"/>
        <v>0.87083333333333324</v>
      </c>
    </row>
    <row r="105" spans="1:16" x14ac:dyDescent="0.25">
      <c r="A105" s="169">
        <f t="shared" si="6"/>
        <v>5.4</v>
      </c>
      <c r="B105" s="166">
        <v>5</v>
      </c>
      <c r="C105" s="32">
        <v>40</v>
      </c>
      <c r="D105" s="33">
        <v>0.61</v>
      </c>
      <c r="E105" s="33">
        <v>0.71</v>
      </c>
      <c r="F105" s="33">
        <v>0.83</v>
      </c>
      <c r="G105" s="33">
        <v>0.96</v>
      </c>
      <c r="H105" s="33">
        <v>1.04</v>
      </c>
      <c r="I105" s="33">
        <v>1.05</v>
      </c>
      <c r="J105" s="33">
        <v>1.02</v>
      </c>
      <c r="K105" s="33">
        <v>0.94</v>
      </c>
      <c r="L105" s="33">
        <v>0.84</v>
      </c>
      <c r="M105" s="33">
        <v>0.72</v>
      </c>
      <c r="N105" s="33">
        <v>0.62</v>
      </c>
      <c r="O105" s="33">
        <v>0.57999999999999996</v>
      </c>
      <c r="P105" s="34">
        <f t="shared" si="5"/>
        <v>0.82666666666666666</v>
      </c>
    </row>
    <row r="106" spans="1:16" x14ac:dyDescent="0.25">
      <c r="A106" s="169">
        <f t="shared" si="6"/>
        <v>5.45</v>
      </c>
      <c r="B106" s="166">
        <v>5</v>
      </c>
      <c r="C106" s="32">
        <v>45</v>
      </c>
      <c r="D106" s="33">
        <v>0.54</v>
      </c>
      <c r="E106" s="33">
        <v>0.65</v>
      </c>
      <c r="F106" s="33">
        <v>0.78</v>
      </c>
      <c r="G106" s="33">
        <v>0.92</v>
      </c>
      <c r="H106" s="33">
        <v>1.01</v>
      </c>
      <c r="I106" s="33">
        <v>1.03</v>
      </c>
      <c r="J106" s="33">
        <v>0.99</v>
      </c>
      <c r="K106" s="33">
        <v>0.91</v>
      </c>
      <c r="L106" s="33">
        <v>0.79</v>
      </c>
      <c r="M106" s="33">
        <v>0.66</v>
      </c>
      <c r="N106" s="33">
        <v>0.55000000000000004</v>
      </c>
      <c r="O106" s="33">
        <v>0.51</v>
      </c>
      <c r="P106" s="34">
        <f t="shared" si="5"/>
        <v>0.77833333333333343</v>
      </c>
    </row>
    <row r="107" spans="1:16" x14ac:dyDescent="0.25">
      <c r="A107" s="169">
        <f t="shared" si="6"/>
        <v>5.5</v>
      </c>
      <c r="B107" s="166">
        <v>5</v>
      </c>
      <c r="C107" s="32">
        <v>50</v>
      </c>
      <c r="D107" s="33">
        <v>0.47</v>
      </c>
      <c r="E107" s="33">
        <v>0.57999999999999996</v>
      </c>
      <c r="F107" s="33">
        <v>0.73</v>
      </c>
      <c r="G107" s="33">
        <v>0.88</v>
      </c>
      <c r="H107" s="33">
        <v>0.98</v>
      </c>
      <c r="I107" s="33">
        <v>1</v>
      </c>
      <c r="J107" s="33">
        <v>0.96</v>
      </c>
      <c r="K107" s="33">
        <v>0.87</v>
      </c>
      <c r="L107" s="33">
        <v>0.74</v>
      </c>
      <c r="M107" s="33">
        <v>0.6</v>
      </c>
      <c r="N107" s="33">
        <v>0.48</v>
      </c>
      <c r="O107" s="33">
        <v>0.43</v>
      </c>
      <c r="P107" s="34">
        <f t="shared" si="5"/>
        <v>0.72666666666666657</v>
      </c>
    </row>
    <row r="108" spans="1:16" x14ac:dyDescent="0.25">
      <c r="A108" s="169">
        <f t="shared" si="6"/>
        <v>5.55</v>
      </c>
      <c r="B108" s="166">
        <v>5</v>
      </c>
      <c r="C108" s="32">
        <v>55</v>
      </c>
      <c r="D108" s="33">
        <v>0.39</v>
      </c>
      <c r="E108" s="33">
        <v>0.51</v>
      </c>
      <c r="F108" s="33">
        <v>0.67</v>
      </c>
      <c r="G108" s="33">
        <v>0.83</v>
      </c>
      <c r="H108" s="33">
        <v>0.94</v>
      </c>
      <c r="I108" s="33">
        <v>0.96</v>
      </c>
      <c r="J108" s="33">
        <v>0.92</v>
      </c>
      <c r="K108" s="33">
        <v>0.82</v>
      </c>
      <c r="L108" s="33">
        <v>0.68</v>
      </c>
      <c r="M108" s="33">
        <v>0.53</v>
      </c>
      <c r="N108" s="33">
        <v>0.4</v>
      </c>
      <c r="O108" s="33">
        <v>0.35</v>
      </c>
      <c r="P108" s="34">
        <f t="shared" si="5"/>
        <v>0.66666666666666663</v>
      </c>
    </row>
    <row r="109" spans="1:16" x14ac:dyDescent="0.25">
      <c r="A109" s="169">
        <f t="shared" si="6"/>
        <v>5.6</v>
      </c>
      <c r="B109" s="166">
        <v>5</v>
      </c>
      <c r="C109" s="32">
        <v>60</v>
      </c>
      <c r="D109" s="33">
        <v>0.31</v>
      </c>
      <c r="E109" s="33">
        <v>0.44</v>
      </c>
      <c r="F109" s="33">
        <v>0.61</v>
      </c>
      <c r="G109" s="33">
        <v>0.78</v>
      </c>
      <c r="H109" s="33">
        <v>0.89</v>
      </c>
      <c r="I109" s="33">
        <v>0.92</v>
      </c>
      <c r="J109" s="33">
        <v>0.87</v>
      </c>
      <c r="K109" s="33">
        <v>0.77</v>
      </c>
      <c r="L109" s="33">
        <v>0.62</v>
      </c>
      <c r="M109" s="33">
        <v>0.46</v>
      </c>
      <c r="N109" s="33">
        <v>0.33</v>
      </c>
      <c r="O109" s="33">
        <v>0.27</v>
      </c>
      <c r="P109" s="34">
        <f t="shared" si="5"/>
        <v>0.60583333333333333</v>
      </c>
    </row>
    <row r="110" spans="1:16" x14ac:dyDescent="0.25">
      <c r="A110" s="169">
        <f t="shared" si="6"/>
        <v>5.65</v>
      </c>
      <c r="B110" s="166">
        <v>5</v>
      </c>
      <c r="C110" s="32">
        <v>65</v>
      </c>
      <c r="D110" s="33">
        <v>0.23</v>
      </c>
      <c r="E110" s="33">
        <v>0.36</v>
      </c>
      <c r="F110" s="33">
        <v>0.54</v>
      </c>
      <c r="G110" s="33">
        <v>0.72</v>
      </c>
      <c r="H110" s="33">
        <v>0.84</v>
      </c>
      <c r="I110" s="33">
        <v>0.87</v>
      </c>
      <c r="J110" s="33">
        <v>0.82</v>
      </c>
      <c r="K110" s="33">
        <v>0.72</v>
      </c>
      <c r="L110" s="33">
        <v>0.56000000000000005</v>
      </c>
      <c r="M110" s="33">
        <v>0.39</v>
      </c>
      <c r="N110" s="33">
        <v>0.25</v>
      </c>
      <c r="O110" s="33">
        <v>0.18</v>
      </c>
      <c r="P110" s="34">
        <f t="shared" si="5"/>
        <v>0.53999999999999992</v>
      </c>
    </row>
    <row r="111" spans="1:16" x14ac:dyDescent="0.25">
      <c r="A111" s="169">
        <f t="shared" si="6"/>
        <v>5.7</v>
      </c>
      <c r="B111" s="166">
        <v>5</v>
      </c>
      <c r="C111" s="32">
        <v>70</v>
      </c>
      <c r="D111" s="33">
        <v>0.15</v>
      </c>
      <c r="E111" s="33">
        <v>0.28000000000000003</v>
      </c>
      <c r="F111" s="33">
        <v>0.47</v>
      </c>
      <c r="G111" s="33">
        <v>0.66</v>
      </c>
      <c r="H111" s="33">
        <v>0.79</v>
      </c>
      <c r="I111" s="33">
        <v>0.82</v>
      </c>
      <c r="J111" s="33">
        <v>0.77</v>
      </c>
      <c r="K111" s="33">
        <v>0.66</v>
      </c>
      <c r="L111" s="33">
        <v>0.49</v>
      </c>
      <c r="M111" s="33">
        <v>0.31</v>
      </c>
      <c r="N111" s="33">
        <v>0.16</v>
      </c>
      <c r="O111" s="33">
        <v>0.12</v>
      </c>
      <c r="P111" s="34">
        <f t="shared" si="5"/>
        <v>0.47333333333333333</v>
      </c>
    </row>
    <row r="112" spans="1:16" x14ac:dyDescent="0.25">
      <c r="A112" s="169">
        <f t="shared" si="6"/>
        <v>5.75</v>
      </c>
      <c r="B112" s="166">
        <v>5</v>
      </c>
      <c r="C112" s="32">
        <v>75</v>
      </c>
      <c r="D112" s="33">
        <v>0.1</v>
      </c>
      <c r="E112" s="33">
        <v>0.21</v>
      </c>
      <c r="F112" s="33">
        <v>0.4</v>
      </c>
      <c r="G112" s="33">
        <v>0.59</v>
      </c>
      <c r="H112" s="33">
        <v>0.72</v>
      </c>
      <c r="I112" s="33">
        <v>0.76</v>
      </c>
      <c r="J112" s="33">
        <v>0.71</v>
      </c>
      <c r="K112" s="33">
        <v>0.59</v>
      </c>
      <c r="L112" s="33">
        <v>0.42</v>
      </c>
      <c r="M112" s="33">
        <v>0.23</v>
      </c>
      <c r="N112" s="33">
        <v>0.12</v>
      </c>
      <c r="O112" s="33">
        <v>0.11</v>
      </c>
      <c r="P112" s="34">
        <f t="shared" si="5"/>
        <v>0.41333333333333333</v>
      </c>
    </row>
    <row r="113" spans="1:16" x14ac:dyDescent="0.25">
      <c r="A113" s="169">
        <f t="shared" si="6"/>
        <v>5.8</v>
      </c>
      <c r="B113" s="166">
        <v>5</v>
      </c>
      <c r="C113" s="32">
        <v>80</v>
      </c>
      <c r="D113" s="33">
        <v>0.1</v>
      </c>
      <c r="E113" s="33">
        <v>0.13</v>
      </c>
      <c r="F113" s="33">
        <v>0.32</v>
      </c>
      <c r="G113" s="33">
        <v>0.52</v>
      </c>
      <c r="H113" s="33">
        <v>0.66</v>
      </c>
      <c r="I113" s="33">
        <v>0.7</v>
      </c>
      <c r="J113" s="33">
        <v>0.65</v>
      </c>
      <c r="K113" s="33">
        <v>0.53</v>
      </c>
      <c r="L113" s="33">
        <v>0.35</v>
      </c>
      <c r="M113" s="33">
        <v>0.16</v>
      </c>
      <c r="N113" s="33">
        <v>0.11</v>
      </c>
      <c r="O113" s="33">
        <v>0.1</v>
      </c>
      <c r="P113" s="34">
        <f t="shared" si="5"/>
        <v>0.36083333333333328</v>
      </c>
    </row>
    <row r="114" spans="1:16" x14ac:dyDescent="0.25">
      <c r="A114" s="169">
        <f t="shared" si="6"/>
        <v>5.85</v>
      </c>
      <c r="B114" s="166">
        <v>5</v>
      </c>
      <c r="C114" s="32">
        <v>85</v>
      </c>
      <c r="D114" s="33">
        <v>0.09</v>
      </c>
      <c r="E114" s="33">
        <v>0.09</v>
      </c>
      <c r="F114" s="33">
        <v>0.24</v>
      </c>
      <c r="G114" s="33">
        <v>0.44</v>
      </c>
      <c r="H114" s="33">
        <v>0.59</v>
      </c>
      <c r="I114" s="33">
        <v>0.63</v>
      </c>
      <c r="J114" s="33">
        <v>0.57999999999999996</v>
      </c>
      <c r="K114" s="33">
        <v>0.46</v>
      </c>
      <c r="L114" s="33">
        <v>0.28000000000000003</v>
      </c>
      <c r="M114" s="33">
        <v>0.12</v>
      </c>
      <c r="N114" s="33">
        <v>0.1</v>
      </c>
      <c r="O114" s="33">
        <v>0.09</v>
      </c>
      <c r="P114" s="34">
        <f t="shared" si="5"/>
        <v>0.3091666666666667</v>
      </c>
    </row>
    <row r="115" spans="1:16" x14ac:dyDescent="0.25">
      <c r="A115" s="169">
        <f t="shared" si="6"/>
        <v>5.9</v>
      </c>
      <c r="B115" s="166">
        <v>5</v>
      </c>
      <c r="C115" s="32">
        <v>90</v>
      </c>
      <c r="D115" s="33">
        <v>0.08</v>
      </c>
      <c r="E115" s="33">
        <v>0.08</v>
      </c>
      <c r="F115" s="33">
        <v>0.16</v>
      </c>
      <c r="G115" s="33">
        <v>0.37</v>
      </c>
      <c r="H115" s="33">
        <v>0.52</v>
      </c>
      <c r="I115" s="33">
        <v>0.56000000000000005</v>
      </c>
      <c r="J115" s="33">
        <v>0.51</v>
      </c>
      <c r="K115" s="33">
        <v>0.39</v>
      </c>
      <c r="L115" s="33">
        <v>0.2</v>
      </c>
      <c r="M115" s="33">
        <v>0.11</v>
      </c>
      <c r="N115" s="33">
        <v>0.1</v>
      </c>
      <c r="O115" s="33">
        <v>0.09</v>
      </c>
      <c r="P115" s="34">
        <f t="shared" si="5"/>
        <v>0.26416666666666672</v>
      </c>
    </row>
    <row r="116" spans="1:16" x14ac:dyDescent="0.25">
      <c r="A116" s="169">
        <f t="shared" si="6"/>
        <v>6</v>
      </c>
      <c r="B116" s="166">
        <v>6</v>
      </c>
      <c r="C116" s="32">
        <v>0</v>
      </c>
      <c r="D116" s="33">
        <v>1</v>
      </c>
      <c r="E116" s="33">
        <v>1</v>
      </c>
      <c r="F116" s="33">
        <v>1</v>
      </c>
      <c r="G116" s="33">
        <v>1</v>
      </c>
      <c r="H116" s="33">
        <v>1</v>
      </c>
      <c r="I116" s="33">
        <v>1</v>
      </c>
      <c r="J116" s="33">
        <v>1</v>
      </c>
      <c r="K116" s="33">
        <v>1</v>
      </c>
      <c r="L116" s="33">
        <v>1</v>
      </c>
      <c r="M116" s="33">
        <v>1</v>
      </c>
      <c r="N116" s="33">
        <v>1</v>
      </c>
      <c r="O116" s="33">
        <v>1</v>
      </c>
      <c r="P116" s="34">
        <f t="shared" ref="P116:P179" si="7">AVERAGE(D116:O116)</f>
        <v>1</v>
      </c>
    </row>
    <row r="117" spans="1:16" x14ac:dyDescent="0.25">
      <c r="A117" s="169">
        <f t="shared" si="6"/>
        <v>6.05</v>
      </c>
      <c r="B117" s="166">
        <v>6</v>
      </c>
      <c r="C117" s="32">
        <v>5</v>
      </c>
      <c r="D117" s="33">
        <v>0.97</v>
      </c>
      <c r="E117" s="33">
        <v>0.99</v>
      </c>
      <c r="F117" s="33">
        <v>1</v>
      </c>
      <c r="G117" s="33">
        <v>1.02</v>
      </c>
      <c r="H117" s="33">
        <v>1.03</v>
      </c>
      <c r="I117" s="33">
        <v>1.03</v>
      </c>
      <c r="J117" s="35">
        <v>1.03</v>
      </c>
      <c r="K117" s="33">
        <v>1.02</v>
      </c>
      <c r="L117" s="33">
        <v>1</v>
      </c>
      <c r="M117" s="33">
        <v>0.99</v>
      </c>
      <c r="N117" s="33">
        <v>0.98</v>
      </c>
      <c r="O117" s="33">
        <v>0.97</v>
      </c>
      <c r="P117" s="34">
        <f t="shared" si="7"/>
        <v>1.0025000000000002</v>
      </c>
    </row>
    <row r="118" spans="1:16" x14ac:dyDescent="0.25">
      <c r="A118" s="169">
        <f t="shared" si="6"/>
        <v>6.1</v>
      </c>
      <c r="B118" s="166">
        <v>6</v>
      </c>
      <c r="C118" s="32">
        <v>10</v>
      </c>
      <c r="D118" s="33">
        <v>0.94</v>
      </c>
      <c r="E118" s="33">
        <v>0.97</v>
      </c>
      <c r="F118" s="33">
        <v>1</v>
      </c>
      <c r="G118" s="33">
        <v>1.03</v>
      </c>
      <c r="H118" s="33">
        <v>1.05</v>
      </c>
      <c r="I118" s="33">
        <v>1.06</v>
      </c>
      <c r="J118" s="33">
        <v>1.05</v>
      </c>
      <c r="K118" s="33">
        <v>1.03</v>
      </c>
      <c r="L118" s="33">
        <v>1</v>
      </c>
      <c r="M118" s="33">
        <v>0.97</v>
      </c>
      <c r="N118" s="33">
        <v>0.94</v>
      </c>
      <c r="O118" s="33">
        <v>0.93</v>
      </c>
      <c r="P118" s="34">
        <f t="shared" si="7"/>
        <v>0.99750000000000005</v>
      </c>
    </row>
    <row r="119" spans="1:16" x14ac:dyDescent="0.25">
      <c r="A119" s="169">
        <f t="shared" si="6"/>
        <v>6.15</v>
      </c>
      <c r="B119" s="166">
        <v>6</v>
      </c>
      <c r="C119" s="32">
        <v>15</v>
      </c>
      <c r="D119" s="33">
        <v>0.9</v>
      </c>
      <c r="E119" s="33">
        <v>0.94</v>
      </c>
      <c r="F119" s="33">
        <v>0.99</v>
      </c>
      <c r="G119" s="33">
        <v>1.04</v>
      </c>
      <c r="H119" s="33">
        <v>1.07</v>
      </c>
      <c r="I119" s="33">
        <v>1.07</v>
      </c>
      <c r="J119" s="33">
        <v>1.06</v>
      </c>
      <c r="K119" s="33">
        <v>1.03</v>
      </c>
      <c r="L119" s="33">
        <v>0.99</v>
      </c>
      <c r="M119" s="33">
        <v>0.94</v>
      </c>
      <c r="N119" s="33">
        <v>0.91</v>
      </c>
      <c r="O119" s="33">
        <v>0.89</v>
      </c>
      <c r="P119" s="34">
        <f t="shared" si="7"/>
        <v>0.98583333333333334</v>
      </c>
    </row>
    <row r="120" spans="1:16" x14ac:dyDescent="0.25">
      <c r="A120" s="169">
        <f t="shared" si="6"/>
        <v>6.2</v>
      </c>
      <c r="B120" s="166">
        <v>6</v>
      </c>
      <c r="C120" s="32">
        <v>20</v>
      </c>
      <c r="D120" s="33">
        <v>0.86</v>
      </c>
      <c r="E120" s="33">
        <v>0.91</v>
      </c>
      <c r="F120" s="33">
        <v>0.97</v>
      </c>
      <c r="G120" s="33">
        <v>1.04</v>
      </c>
      <c r="H120" s="33">
        <v>1.08</v>
      </c>
      <c r="I120" s="33">
        <v>1.0900000000000001</v>
      </c>
      <c r="J120" s="33">
        <v>1.07</v>
      </c>
      <c r="K120" s="33">
        <v>1.03</v>
      </c>
      <c r="L120" s="33">
        <v>0.97</v>
      </c>
      <c r="M120" s="33">
        <v>0.91</v>
      </c>
      <c r="N120" s="33">
        <v>0.86</v>
      </c>
      <c r="O120" s="33">
        <v>0.84</v>
      </c>
      <c r="P120" s="34">
        <f t="shared" si="7"/>
        <v>0.96916666666666673</v>
      </c>
    </row>
    <row r="121" spans="1:16" x14ac:dyDescent="0.25">
      <c r="A121" s="169">
        <f t="shared" si="6"/>
        <v>6.25</v>
      </c>
      <c r="B121" s="166">
        <v>6</v>
      </c>
      <c r="C121" s="32">
        <v>25</v>
      </c>
      <c r="D121" s="33">
        <v>0.81</v>
      </c>
      <c r="E121" s="33">
        <v>0.87</v>
      </c>
      <c r="F121" s="33">
        <v>0.95</v>
      </c>
      <c r="G121" s="33">
        <v>1.03</v>
      </c>
      <c r="H121" s="33">
        <v>1.08</v>
      </c>
      <c r="I121" s="33">
        <v>1.0900000000000001</v>
      </c>
      <c r="J121" s="33">
        <v>1.06</v>
      </c>
      <c r="K121" s="33">
        <v>1.02</v>
      </c>
      <c r="L121" s="33">
        <v>0.95</v>
      </c>
      <c r="M121" s="33">
        <v>0.88</v>
      </c>
      <c r="N121" s="33">
        <v>0.81</v>
      </c>
      <c r="O121" s="33">
        <v>0.79</v>
      </c>
      <c r="P121" s="34">
        <f t="shared" si="7"/>
        <v>0.94499999999999995</v>
      </c>
    </row>
    <row r="122" spans="1:16" x14ac:dyDescent="0.25">
      <c r="A122" s="169">
        <f t="shared" si="6"/>
        <v>6.3</v>
      </c>
      <c r="B122" s="166">
        <v>6</v>
      </c>
      <c r="C122" s="32">
        <v>30</v>
      </c>
      <c r="D122" s="33">
        <v>0.75</v>
      </c>
      <c r="E122" s="33">
        <v>0.82</v>
      </c>
      <c r="F122" s="33">
        <v>0.92</v>
      </c>
      <c r="G122" s="33">
        <v>1.01</v>
      </c>
      <c r="H122" s="33">
        <v>1.08</v>
      </c>
      <c r="I122" s="33">
        <v>1.0900000000000001</v>
      </c>
      <c r="J122" s="33">
        <v>1.06</v>
      </c>
      <c r="K122" s="33">
        <v>1</v>
      </c>
      <c r="L122" s="33">
        <v>0.92</v>
      </c>
      <c r="M122" s="33">
        <v>0.83</v>
      </c>
      <c r="N122" s="33">
        <v>0.76</v>
      </c>
      <c r="O122" s="33">
        <v>0.73</v>
      </c>
      <c r="P122" s="34">
        <f t="shared" si="7"/>
        <v>0.91416666666666668</v>
      </c>
    </row>
    <row r="123" spans="1:16" x14ac:dyDescent="0.25">
      <c r="A123" s="169">
        <f t="shared" si="6"/>
        <v>6.35</v>
      </c>
      <c r="B123" s="166">
        <v>6</v>
      </c>
      <c r="C123" s="32">
        <v>35</v>
      </c>
      <c r="D123" s="33">
        <v>0.69</v>
      </c>
      <c r="E123" s="33">
        <v>0.77</v>
      </c>
      <c r="F123" s="33">
        <v>0.89</v>
      </c>
      <c r="G123" s="33">
        <v>0.99</v>
      </c>
      <c r="H123" s="33">
        <v>1.07</v>
      </c>
      <c r="I123" s="33">
        <v>1.08</v>
      </c>
      <c r="J123" s="33">
        <v>1.04</v>
      </c>
      <c r="K123" s="33">
        <v>0.98</v>
      </c>
      <c r="L123" s="33">
        <v>0.89</v>
      </c>
      <c r="M123" s="33">
        <v>0.78</v>
      </c>
      <c r="N123" s="33">
        <v>0.7</v>
      </c>
      <c r="O123" s="33">
        <v>0.66</v>
      </c>
      <c r="P123" s="34">
        <f t="shared" si="7"/>
        <v>0.8783333333333333</v>
      </c>
    </row>
    <row r="124" spans="1:16" x14ac:dyDescent="0.25">
      <c r="A124" s="169">
        <f t="shared" si="6"/>
        <v>6.4</v>
      </c>
      <c r="B124" s="166">
        <v>6</v>
      </c>
      <c r="C124" s="32">
        <v>40</v>
      </c>
      <c r="D124" s="33">
        <v>0.62</v>
      </c>
      <c r="E124" s="33">
        <v>0.72</v>
      </c>
      <c r="F124" s="33">
        <v>0.84</v>
      </c>
      <c r="G124" s="33">
        <v>0.96</v>
      </c>
      <c r="H124" s="33">
        <v>1.05</v>
      </c>
      <c r="I124" s="33">
        <v>1.06</v>
      </c>
      <c r="J124" s="33">
        <v>1.03</v>
      </c>
      <c r="K124" s="33">
        <v>0.95</v>
      </c>
      <c r="L124" s="33">
        <v>0.85</v>
      </c>
      <c r="M124" s="33">
        <v>0.73</v>
      </c>
      <c r="N124" s="33">
        <v>0.63</v>
      </c>
      <c r="O124" s="33">
        <v>0.59</v>
      </c>
      <c r="P124" s="34">
        <f t="shared" si="7"/>
        <v>0.83583333333333343</v>
      </c>
    </row>
    <row r="125" spans="1:16" x14ac:dyDescent="0.25">
      <c r="A125" s="169">
        <f t="shared" si="6"/>
        <v>6.45</v>
      </c>
      <c r="B125" s="166">
        <v>6</v>
      </c>
      <c r="C125" s="32">
        <v>45</v>
      </c>
      <c r="D125" s="33">
        <v>0.55000000000000004</v>
      </c>
      <c r="E125" s="33">
        <v>0.66</v>
      </c>
      <c r="F125" s="33">
        <v>0.79</v>
      </c>
      <c r="G125" s="33">
        <v>0.93</v>
      </c>
      <c r="H125" s="33">
        <v>1.02</v>
      </c>
      <c r="I125" s="33">
        <v>1.04</v>
      </c>
      <c r="J125" s="33">
        <v>1</v>
      </c>
      <c r="K125" s="33">
        <v>0.92</v>
      </c>
      <c r="L125" s="33">
        <v>0.8</v>
      </c>
      <c r="M125" s="33">
        <v>0.67</v>
      </c>
      <c r="N125" s="33">
        <v>0.56000000000000005</v>
      </c>
      <c r="O125" s="33">
        <v>0.52</v>
      </c>
      <c r="P125" s="34">
        <f t="shared" si="7"/>
        <v>0.78833333333333344</v>
      </c>
    </row>
    <row r="126" spans="1:16" x14ac:dyDescent="0.25">
      <c r="A126" s="169">
        <f t="shared" ref="A126:A189" si="8">B126+(C126/100)</f>
        <v>6.5</v>
      </c>
      <c r="B126" s="166">
        <v>6</v>
      </c>
      <c r="C126" s="32">
        <v>50</v>
      </c>
      <c r="D126" s="33">
        <v>0.48</v>
      </c>
      <c r="E126" s="33">
        <v>0.59</v>
      </c>
      <c r="F126" s="33">
        <v>0.74</v>
      </c>
      <c r="G126" s="33">
        <v>0.89</v>
      </c>
      <c r="H126" s="33">
        <v>0.99</v>
      </c>
      <c r="I126" s="33">
        <v>1.01</v>
      </c>
      <c r="J126" s="33">
        <v>0.97</v>
      </c>
      <c r="K126" s="33">
        <v>0.88</v>
      </c>
      <c r="L126" s="33">
        <v>0.75</v>
      </c>
      <c r="M126" s="33">
        <v>0.61</v>
      </c>
      <c r="N126" s="33">
        <v>0.49</v>
      </c>
      <c r="O126" s="33">
        <v>0.44</v>
      </c>
      <c r="P126" s="34">
        <f t="shared" si="7"/>
        <v>0.73666666666666647</v>
      </c>
    </row>
    <row r="127" spans="1:16" x14ac:dyDescent="0.25">
      <c r="A127" s="169">
        <f t="shared" si="8"/>
        <v>6.55</v>
      </c>
      <c r="B127" s="166">
        <v>6</v>
      </c>
      <c r="C127" s="32">
        <v>55</v>
      </c>
      <c r="D127" s="33">
        <v>0.4</v>
      </c>
      <c r="E127" s="33">
        <v>0.52</v>
      </c>
      <c r="F127" s="33">
        <v>0.68</v>
      </c>
      <c r="G127" s="33">
        <v>0.84</v>
      </c>
      <c r="H127" s="33">
        <v>0.95</v>
      </c>
      <c r="I127" s="33">
        <v>0.98</v>
      </c>
      <c r="J127" s="33">
        <v>0.93</v>
      </c>
      <c r="K127" s="33">
        <v>0.83</v>
      </c>
      <c r="L127" s="33">
        <v>0.7</v>
      </c>
      <c r="M127" s="33">
        <v>0.54</v>
      </c>
      <c r="N127" s="33">
        <v>0.42</v>
      </c>
      <c r="O127" s="33">
        <v>0.36</v>
      </c>
      <c r="P127" s="34">
        <f t="shared" si="7"/>
        <v>0.67916666666666659</v>
      </c>
    </row>
    <row r="128" spans="1:16" x14ac:dyDescent="0.25">
      <c r="A128" s="169">
        <f t="shared" si="8"/>
        <v>6.6</v>
      </c>
      <c r="B128" s="166">
        <v>6</v>
      </c>
      <c r="C128" s="32">
        <v>60</v>
      </c>
      <c r="D128" s="33">
        <v>0.33</v>
      </c>
      <c r="E128" s="33">
        <v>0.45</v>
      </c>
      <c r="F128" s="33">
        <v>0.62</v>
      </c>
      <c r="G128" s="33">
        <v>0.79</v>
      </c>
      <c r="H128" s="33">
        <v>0.91</v>
      </c>
      <c r="I128" s="33">
        <v>0.93</v>
      </c>
      <c r="J128" s="33">
        <v>0.89</v>
      </c>
      <c r="K128" s="33">
        <v>0.78</v>
      </c>
      <c r="L128" s="33">
        <v>0.64</v>
      </c>
      <c r="M128" s="33">
        <v>0.47</v>
      </c>
      <c r="N128" s="33">
        <v>0.34</v>
      </c>
      <c r="O128" s="33">
        <v>0.28000000000000003</v>
      </c>
      <c r="P128" s="34">
        <f t="shared" si="7"/>
        <v>0.61916666666666664</v>
      </c>
    </row>
    <row r="129" spans="1:16" x14ac:dyDescent="0.25">
      <c r="A129" s="169">
        <f t="shared" si="8"/>
        <v>6.65</v>
      </c>
      <c r="B129" s="166">
        <v>6</v>
      </c>
      <c r="C129" s="32">
        <v>65</v>
      </c>
      <c r="D129" s="33">
        <v>0.24</v>
      </c>
      <c r="E129" s="33">
        <v>0.38</v>
      </c>
      <c r="F129" s="33">
        <v>0.55000000000000004</v>
      </c>
      <c r="G129" s="33">
        <v>0.73</v>
      </c>
      <c r="H129" s="33">
        <v>0.86</v>
      </c>
      <c r="I129" s="33">
        <v>0.89</v>
      </c>
      <c r="J129" s="33">
        <v>0.84</v>
      </c>
      <c r="K129" s="33">
        <v>0.73</v>
      </c>
      <c r="L129" s="33">
        <v>0.56999999999999995</v>
      </c>
      <c r="M129" s="33">
        <v>0.4</v>
      </c>
      <c r="N129" s="33">
        <v>0.26</v>
      </c>
      <c r="O129" s="33">
        <v>0.2</v>
      </c>
      <c r="P129" s="34">
        <f t="shared" si="7"/>
        <v>0.55416666666666681</v>
      </c>
    </row>
    <row r="130" spans="1:16" x14ac:dyDescent="0.25">
      <c r="A130" s="169">
        <f t="shared" si="8"/>
        <v>6.7</v>
      </c>
      <c r="B130" s="166">
        <v>6</v>
      </c>
      <c r="C130" s="32">
        <v>70</v>
      </c>
      <c r="D130" s="33">
        <v>0.16</v>
      </c>
      <c r="E130" s="33">
        <v>0.3</v>
      </c>
      <c r="F130" s="33">
        <v>0.48</v>
      </c>
      <c r="G130" s="33">
        <v>0.67</v>
      </c>
      <c r="H130" s="33">
        <v>0.8</v>
      </c>
      <c r="I130" s="33">
        <v>0.83</v>
      </c>
      <c r="J130" s="33">
        <v>0.78</v>
      </c>
      <c r="K130" s="33">
        <v>0.67</v>
      </c>
      <c r="L130" s="33">
        <v>0.5</v>
      </c>
      <c r="M130" s="33">
        <v>0.32</v>
      </c>
      <c r="N130" s="33">
        <v>0.18</v>
      </c>
      <c r="O130" s="33">
        <v>0.12</v>
      </c>
      <c r="P130" s="34">
        <f t="shared" si="7"/>
        <v>0.48416666666666669</v>
      </c>
    </row>
    <row r="131" spans="1:16" x14ac:dyDescent="0.25">
      <c r="A131" s="169">
        <f t="shared" si="8"/>
        <v>6.75</v>
      </c>
      <c r="B131" s="166">
        <v>6</v>
      </c>
      <c r="C131" s="32">
        <v>75</v>
      </c>
      <c r="D131" s="33">
        <v>0.1</v>
      </c>
      <c r="E131" s="33">
        <v>0.22</v>
      </c>
      <c r="F131" s="33">
        <v>0.41</v>
      </c>
      <c r="G131" s="33">
        <v>0.6</v>
      </c>
      <c r="H131" s="33">
        <v>0.74</v>
      </c>
      <c r="I131" s="33">
        <v>0.78</v>
      </c>
      <c r="J131" s="33">
        <v>0.72</v>
      </c>
      <c r="K131" s="33">
        <v>0.61</v>
      </c>
      <c r="L131" s="33">
        <v>0.44</v>
      </c>
      <c r="M131" s="33">
        <v>0.25</v>
      </c>
      <c r="N131" s="33">
        <v>0.12</v>
      </c>
      <c r="O131" s="33">
        <v>0.11</v>
      </c>
      <c r="P131" s="34">
        <f t="shared" si="7"/>
        <v>0.4250000000000001</v>
      </c>
    </row>
    <row r="132" spans="1:16" x14ac:dyDescent="0.25">
      <c r="A132" s="169">
        <f t="shared" si="8"/>
        <v>6.8</v>
      </c>
      <c r="B132" s="166">
        <v>6</v>
      </c>
      <c r="C132" s="32">
        <v>80</v>
      </c>
      <c r="D132" s="33">
        <v>0.1</v>
      </c>
      <c r="E132" s="33">
        <v>0.14000000000000001</v>
      </c>
      <c r="F132" s="33">
        <v>0.34</v>
      </c>
      <c r="G132" s="33">
        <v>0.53</v>
      </c>
      <c r="H132" s="33">
        <v>0.67</v>
      </c>
      <c r="I132" s="33">
        <v>0.71</v>
      </c>
      <c r="J132" s="33">
        <v>0.66</v>
      </c>
      <c r="K132" s="33">
        <v>0.54</v>
      </c>
      <c r="L132" s="33">
        <v>0.36</v>
      </c>
      <c r="M132" s="33">
        <v>0.17</v>
      </c>
      <c r="N132" s="33">
        <v>0.11</v>
      </c>
      <c r="O132" s="33">
        <v>0.1</v>
      </c>
      <c r="P132" s="34">
        <f t="shared" si="7"/>
        <v>0.3691666666666667</v>
      </c>
    </row>
    <row r="133" spans="1:16" x14ac:dyDescent="0.25">
      <c r="A133" s="169">
        <f t="shared" si="8"/>
        <v>6.85</v>
      </c>
      <c r="B133" s="166">
        <v>6</v>
      </c>
      <c r="C133" s="32">
        <v>85</v>
      </c>
      <c r="D133" s="33">
        <v>0.09</v>
      </c>
      <c r="E133" s="33">
        <v>0.09</v>
      </c>
      <c r="F133" s="33">
        <v>0.26</v>
      </c>
      <c r="G133" s="33">
        <v>0.46</v>
      </c>
      <c r="H133" s="33">
        <v>0.6</v>
      </c>
      <c r="I133" s="33">
        <v>0.65</v>
      </c>
      <c r="J133" s="33">
        <v>0.6</v>
      </c>
      <c r="K133" s="33">
        <v>0.47</v>
      </c>
      <c r="L133" s="33">
        <v>0.28999999999999998</v>
      </c>
      <c r="M133" s="33">
        <v>0.12</v>
      </c>
      <c r="N133" s="33">
        <v>0.1</v>
      </c>
      <c r="O133" s="33">
        <v>0.09</v>
      </c>
      <c r="P133" s="34">
        <f t="shared" si="7"/>
        <v>0.3183333333333333</v>
      </c>
    </row>
    <row r="134" spans="1:16" x14ac:dyDescent="0.25">
      <c r="A134" s="169">
        <f t="shared" si="8"/>
        <v>6.9</v>
      </c>
      <c r="B134" s="166">
        <v>6</v>
      </c>
      <c r="C134" s="32">
        <v>90</v>
      </c>
      <c r="D134" s="33">
        <v>0.08</v>
      </c>
      <c r="E134" s="33">
        <v>0.08</v>
      </c>
      <c r="F134" s="33">
        <v>0.18</v>
      </c>
      <c r="G134" s="33">
        <v>0.38</v>
      </c>
      <c r="H134" s="33">
        <v>0.53</v>
      </c>
      <c r="I134" s="33">
        <v>0.57999999999999996</v>
      </c>
      <c r="J134" s="33">
        <v>0.53</v>
      </c>
      <c r="K134" s="33">
        <v>0.4</v>
      </c>
      <c r="L134" s="33">
        <v>0.21</v>
      </c>
      <c r="M134" s="33">
        <v>0.11</v>
      </c>
      <c r="N134" s="33">
        <v>0.1</v>
      </c>
      <c r="O134" s="33">
        <v>0.09</v>
      </c>
      <c r="P134" s="34">
        <f t="shared" si="7"/>
        <v>0.27250000000000002</v>
      </c>
    </row>
    <row r="135" spans="1:16" x14ac:dyDescent="0.25">
      <c r="A135" s="169">
        <f t="shared" si="8"/>
        <v>7</v>
      </c>
      <c r="B135" s="166">
        <v>7</v>
      </c>
      <c r="C135" s="32">
        <v>0</v>
      </c>
      <c r="D135" s="33">
        <v>1</v>
      </c>
      <c r="E135" s="33">
        <v>1</v>
      </c>
      <c r="F135" s="33">
        <v>1</v>
      </c>
      <c r="G135" s="33">
        <v>1</v>
      </c>
      <c r="H135" s="33">
        <v>1</v>
      </c>
      <c r="I135" s="33">
        <v>1</v>
      </c>
      <c r="J135" s="33">
        <v>1</v>
      </c>
      <c r="K135" s="33">
        <v>1</v>
      </c>
      <c r="L135" s="33">
        <v>1</v>
      </c>
      <c r="M135" s="33">
        <v>1</v>
      </c>
      <c r="N135" s="33">
        <v>1</v>
      </c>
      <c r="O135" s="33">
        <v>1</v>
      </c>
      <c r="P135" s="34">
        <f t="shared" si="7"/>
        <v>1</v>
      </c>
    </row>
    <row r="136" spans="1:16" x14ac:dyDescent="0.25">
      <c r="A136" s="169">
        <f t="shared" si="8"/>
        <v>7.05</v>
      </c>
      <c r="B136" s="166">
        <v>7</v>
      </c>
      <c r="C136" s="32">
        <v>5</v>
      </c>
      <c r="D136" s="33">
        <v>0.99</v>
      </c>
      <c r="E136" s="33">
        <v>0.99</v>
      </c>
      <c r="F136" s="33">
        <v>1.01</v>
      </c>
      <c r="G136" s="33">
        <v>1.02</v>
      </c>
      <c r="H136" s="33">
        <v>1.03</v>
      </c>
      <c r="I136" s="33">
        <v>1.03</v>
      </c>
      <c r="J136" s="33">
        <v>1.03</v>
      </c>
      <c r="K136" s="33">
        <v>1.02</v>
      </c>
      <c r="L136" s="33">
        <v>1</v>
      </c>
      <c r="M136" s="33">
        <v>0.99</v>
      </c>
      <c r="N136" s="33">
        <v>0.98</v>
      </c>
      <c r="O136" s="33">
        <v>0.97</v>
      </c>
      <c r="P136" s="34">
        <f t="shared" si="7"/>
        <v>1.0050000000000001</v>
      </c>
    </row>
    <row r="137" spans="1:16" x14ac:dyDescent="0.25">
      <c r="A137" s="169">
        <f t="shared" si="8"/>
        <v>7.1</v>
      </c>
      <c r="B137" s="166">
        <v>7</v>
      </c>
      <c r="C137" s="32">
        <v>10</v>
      </c>
      <c r="D137" s="33">
        <v>0.97</v>
      </c>
      <c r="E137" s="33">
        <v>0.97</v>
      </c>
      <c r="F137" s="33">
        <v>1</v>
      </c>
      <c r="G137" s="33">
        <v>1.04</v>
      </c>
      <c r="H137" s="33">
        <v>1.06</v>
      </c>
      <c r="I137" s="33">
        <v>1.06</v>
      </c>
      <c r="J137" s="33">
        <v>1.05</v>
      </c>
      <c r="K137" s="33">
        <v>1.03</v>
      </c>
      <c r="L137" s="33">
        <v>1</v>
      </c>
      <c r="M137" s="33">
        <v>0.97</v>
      </c>
      <c r="N137" s="33">
        <v>0.95</v>
      </c>
      <c r="O137" s="33">
        <v>0.94</v>
      </c>
      <c r="P137" s="34">
        <f t="shared" si="7"/>
        <v>1.0033333333333332</v>
      </c>
    </row>
    <row r="138" spans="1:16" x14ac:dyDescent="0.25">
      <c r="A138" s="169">
        <f t="shared" si="8"/>
        <v>7.15</v>
      </c>
      <c r="B138" s="166">
        <v>7</v>
      </c>
      <c r="C138" s="32">
        <v>15</v>
      </c>
      <c r="D138" s="33">
        <v>0.95</v>
      </c>
      <c r="E138" s="33">
        <v>0.95</v>
      </c>
      <c r="F138" s="33">
        <v>0.99</v>
      </c>
      <c r="G138" s="33">
        <v>1.04</v>
      </c>
      <c r="H138" s="33">
        <v>1.07</v>
      </c>
      <c r="I138" s="33">
        <v>1.08</v>
      </c>
      <c r="J138" s="33">
        <v>1.06</v>
      </c>
      <c r="K138" s="33">
        <v>1.03</v>
      </c>
      <c r="L138" s="33">
        <v>0.99</v>
      </c>
      <c r="M138" s="33">
        <v>0.95</v>
      </c>
      <c r="N138" s="33">
        <v>0.91</v>
      </c>
      <c r="O138" s="33">
        <v>0.89</v>
      </c>
      <c r="P138" s="34">
        <f t="shared" si="7"/>
        <v>0.99250000000000005</v>
      </c>
    </row>
    <row r="139" spans="1:16" x14ac:dyDescent="0.25">
      <c r="A139" s="169">
        <f t="shared" si="8"/>
        <v>7.2</v>
      </c>
      <c r="B139" s="166">
        <v>7</v>
      </c>
      <c r="C139" s="32">
        <v>20</v>
      </c>
      <c r="D139" s="33">
        <v>0.91</v>
      </c>
      <c r="E139" s="33">
        <v>0.91</v>
      </c>
      <c r="F139" s="33">
        <v>0.98</v>
      </c>
      <c r="G139" s="33">
        <v>1.04</v>
      </c>
      <c r="H139" s="33">
        <v>1.08</v>
      </c>
      <c r="I139" s="33">
        <v>1.0900000000000001</v>
      </c>
      <c r="J139" s="33">
        <v>1.07</v>
      </c>
      <c r="K139" s="33">
        <v>1.03</v>
      </c>
      <c r="L139" s="33">
        <v>0.98</v>
      </c>
      <c r="M139" s="33">
        <v>0.92</v>
      </c>
      <c r="N139" s="33">
        <v>0.87</v>
      </c>
      <c r="O139" s="33">
        <v>0.85</v>
      </c>
      <c r="P139" s="34">
        <f t="shared" si="7"/>
        <v>0.97749999999999992</v>
      </c>
    </row>
    <row r="140" spans="1:16" x14ac:dyDescent="0.25">
      <c r="A140" s="169">
        <f t="shared" si="8"/>
        <v>7.25</v>
      </c>
      <c r="B140" s="166">
        <v>7</v>
      </c>
      <c r="C140" s="32">
        <v>25</v>
      </c>
      <c r="D140" s="33">
        <v>0.88</v>
      </c>
      <c r="E140" s="33">
        <v>0.88</v>
      </c>
      <c r="F140" s="33">
        <v>0.96</v>
      </c>
      <c r="G140" s="33">
        <v>1.04</v>
      </c>
      <c r="H140" s="33">
        <v>1.0900000000000001</v>
      </c>
      <c r="I140" s="33">
        <v>1.1000000000000001</v>
      </c>
      <c r="J140" s="33">
        <v>1.07</v>
      </c>
      <c r="K140" s="33">
        <v>1.02</v>
      </c>
      <c r="L140" s="33">
        <v>0.96</v>
      </c>
      <c r="M140" s="33">
        <v>0.88</v>
      </c>
      <c r="N140" s="33">
        <v>0.82</v>
      </c>
      <c r="O140" s="33">
        <v>0.79</v>
      </c>
      <c r="P140" s="34">
        <f t="shared" si="7"/>
        <v>0.95750000000000013</v>
      </c>
    </row>
    <row r="141" spans="1:16" x14ac:dyDescent="0.25">
      <c r="A141" s="169">
        <f t="shared" si="8"/>
        <v>7.3</v>
      </c>
      <c r="B141" s="166">
        <v>7</v>
      </c>
      <c r="C141" s="32">
        <v>30</v>
      </c>
      <c r="D141" s="33">
        <v>0.83</v>
      </c>
      <c r="E141" s="33">
        <v>0.83</v>
      </c>
      <c r="F141" s="33">
        <v>0.93</v>
      </c>
      <c r="G141" s="33">
        <v>1.02</v>
      </c>
      <c r="H141" s="33">
        <v>1.08</v>
      </c>
      <c r="I141" s="33">
        <v>1.1000000000000001</v>
      </c>
      <c r="J141" s="33">
        <v>1.06</v>
      </c>
      <c r="K141" s="33">
        <v>1.01</v>
      </c>
      <c r="L141" s="33">
        <v>0.93</v>
      </c>
      <c r="M141" s="33">
        <v>0.84</v>
      </c>
      <c r="N141" s="33">
        <v>0.77</v>
      </c>
      <c r="O141" s="33">
        <v>0.73</v>
      </c>
      <c r="P141" s="34">
        <f t="shared" si="7"/>
        <v>0.92749999999999988</v>
      </c>
    </row>
    <row r="142" spans="1:16" x14ac:dyDescent="0.25">
      <c r="A142" s="169">
        <f t="shared" si="8"/>
        <v>7.35</v>
      </c>
      <c r="B142" s="166">
        <v>7</v>
      </c>
      <c r="C142" s="32">
        <v>35</v>
      </c>
      <c r="D142" s="33">
        <v>0.78</v>
      </c>
      <c r="E142" s="33">
        <v>0.78</v>
      </c>
      <c r="F142" s="33">
        <v>0.89</v>
      </c>
      <c r="G142" s="33">
        <v>1</v>
      </c>
      <c r="H142" s="33">
        <v>1.07</v>
      </c>
      <c r="I142" s="33">
        <v>1.0900000000000001</v>
      </c>
      <c r="J142" s="33">
        <v>1.05</v>
      </c>
      <c r="K142" s="33">
        <v>0.99</v>
      </c>
      <c r="L142" s="33">
        <v>0.9</v>
      </c>
      <c r="M142" s="33">
        <v>0.79</v>
      </c>
      <c r="N142" s="33">
        <v>0.71</v>
      </c>
      <c r="O142" s="33">
        <v>0.67</v>
      </c>
      <c r="P142" s="34">
        <f t="shared" si="7"/>
        <v>0.89333333333333342</v>
      </c>
    </row>
    <row r="143" spans="1:16" x14ac:dyDescent="0.25">
      <c r="A143" s="169">
        <f t="shared" si="8"/>
        <v>7.4</v>
      </c>
      <c r="B143" s="166">
        <v>7</v>
      </c>
      <c r="C143" s="32">
        <v>40</v>
      </c>
      <c r="D143" s="33">
        <v>0.73</v>
      </c>
      <c r="E143" s="33">
        <v>0.73</v>
      </c>
      <c r="F143" s="33">
        <v>0.85</v>
      </c>
      <c r="G143" s="33">
        <v>0.97</v>
      </c>
      <c r="H143" s="33">
        <v>1.06</v>
      </c>
      <c r="I143" s="33">
        <v>1.07</v>
      </c>
      <c r="J143" s="33">
        <v>1.03</v>
      </c>
      <c r="K143" s="33">
        <v>0.96</v>
      </c>
      <c r="L143" s="33">
        <v>0.86</v>
      </c>
      <c r="M143" s="33">
        <v>0.74</v>
      </c>
      <c r="N143" s="33">
        <v>0.64</v>
      </c>
      <c r="O143" s="33">
        <v>0.6</v>
      </c>
      <c r="P143" s="34">
        <f t="shared" si="7"/>
        <v>0.85333333333333339</v>
      </c>
    </row>
    <row r="144" spans="1:16" x14ac:dyDescent="0.25">
      <c r="A144" s="169">
        <f t="shared" si="8"/>
        <v>7.45</v>
      </c>
      <c r="B144" s="166">
        <v>7</v>
      </c>
      <c r="C144" s="32">
        <v>45</v>
      </c>
      <c r="D144" s="33">
        <v>0.67</v>
      </c>
      <c r="E144" s="33">
        <v>0.67</v>
      </c>
      <c r="F144" s="33">
        <v>0.81</v>
      </c>
      <c r="G144" s="33">
        <v>0.94</v>
      </c>
      <c r="H144" s="33">
        <v>1.03</v>
      </c>
      <c r="I144" s="33">
        <v>1.05</v>
      </c>
      <c r="J144" s="33">
        <v>1.01</v>
      </c>
      <c r="K144" s="33">
        <v>0.93</v>
      </c>
      <c r="L144" s="33">
        <v>0.81</v>
      </c>
      <c r="M144" s="33">
        <v>0.68</v>
      </c>
      <c r="N144" s="33">
        <v>0.56999999999999995</v>
      </c>
      <c r="O144" s="33">
        <v>0.53</v>
      </c>
      <c r="P144" s="34">
        <f t="shared" si="7"/>
        <v>0.80833333333333324</v>
      </c>
    </row>
    <row r="145" spans="1:16" x14ac:dyDescent="0.25">
      <c r="A145" s="169">
        <f t="shared" si="8"/>
        <v>7.5</v>
      </c>
      <c r="B145" s="166">
        <v>7</v>
      </c>
      <c r="C145" s="32">
        <v>50</v>
      </c>
      <c r="D145" s="33">
        <v>0.6</v>
      </c>
      <c r="E145" s="33">
        <v>0.6</v>
      </c>
      <c r="F145" s="33">
        <v>0.75</v>
      </c>
      <c r="G145" s="33">
        <v>0.9</v>
      </c>
      <c r="H145" s="33">
        <v>1</v>
      </c>
      <c r="I145" s="33">
        <v>1.02</v>
      </c>
      <c r="J145" s="33">
        <v>0.98</v>
      </c>
      <c r="K145" s="33">
        <v>0.89</v>
      </c>
      <c r="L145" s="33">
        <v>0.76</v>
      </c>
      <c r="M145" s="33">
        <v>0.62</v>
      </c>
      <c r="N145" s="33">
        <v>0.5</v>
      </c>
      <c r="O145" s="33">
        <v>0.45</v>
      </c>
      <c r="P145" s="34">
        <f t="shared" si="7"/>
        <v>0.75583333333333325</v>
      </c>
    </row>
    <row r="146" spans="1:16" x14ac:dyDescent="0.25">
      <c r="A146" s="169">
        <f t="shared" si="8"/>
        <v>7.55</v>
      </c>
      <c r="B146" s="166">
        <v>7</v>
      </c>
      <c r="C146" s="32">
        <v>55</v>
      </c>
      <c r="D146" s="33">
        <v>0.54</v>
      </c>
      <c r="E146" s="33">
        <v>0.54</v>
      </c>
      <c r="F146" s="33">
        <v>0.7</v>
      </c>
      <c r="G146" s="33">
        <v>0.85</v>
      </c>
      <c r="H146" s="33">
        <v>0.96</v>
      </c>
      <c r="I146" s="33">
        <v>0.99</v>
      </c>
      <c r="J146" s="33">
        <v>0.94</v>
      </c>
      <c r="K146" s="33">
        <v>0.84</v>
      </c>
      <c r="L146" s="33">
        <v>0.71</v>
      </c>
      <c r="M146" s="33">
        <v>0.55000000000000004</v>
      </c>
      <c r="N146" s="33">
        <v>0.43</v>
      </c>
      <c r="O146" s="33">
        <v>0.38</v>
      </c>
      <c r="P146" s="34">
        <f t="shared" si="7"/>
        <v>0.70250000000000001</v>
      </c>
    </row>
    <row r="147" spans="1:16" x14ac:dyDescent="0.25">
      <c r="A147" s="169">
        <f t="shared" si="8"/>
        <v>7.6</v>
      </c>
      <c r="B147" s="166">
        <v>7</v>
      </c>
      <c r="C147" s="32">
        <v>60</v>
      </c>
      <c r="D147" s="33">
        <v>0.46</v>
      </c>
      <c r="E147" s="33">
        <v>0.46</v>
      </c>
      <c r="F147" s="33">
        <v>0.63</v>
      </c>
      <c r="G147" s="33">
        <v>0.8</v>
      </c>
      <c r="H147" s="33">
        <v>0.92</v>
      </c>
      <c r="I147" s="33">
        <v>0.95</v>
      </c>
      <c r="J147" s="33">
        <v>0.9</v>
      </c>
      <c r="K147" s="33">
        <v>0.79</v>
      </c>
      <c r="L147" s="33">
        <v>0.65</v>
      </c>
      <c r="M147" s="33">
        <v>0.48</v>
      </c>
      <c r="N147" s="33">
        <v>0.35</v>
      </c>
      <c r="O147" s="33">
        <v>0.3</v>
      </c>
      <c r="P147" s="34">
        <f t="shared" si="7"/>
        <v>0.64083333333333337</v>
      </c>
    </row>
    <row r="148" spans="1:16" x14ac:dyDescent="0.25">
      <c r="A148" s="169">
        <f t="shared" si="8"/>
        <v>7.65</v>
      </c>
      <c r="B148" s="166">
        <v>7</v>
      </c>
      <c r="C148" s="32">
        <v>65</v>
      </c>
      <c r="D148" s="33">
        <v>0.39</v>
      </c>
      <c r="E148" s="33">
        <v>0.39</v>
      </c>
      <c r="F148" s="33">
        <v>0.56999999999999995</v>
      </c>
      <c r="G148" s="33">
        <v>0.75</v>
      </c>
      <c r="H148" s="33">
        <v>0.87</v>
      </c>
      <c r="I148" s="33">
        <v>0.9</v>
      </c>
      <c r="J148" s="33">
        <v>0.85</v>
      </c>
      <c r="K148" s="33">
        <v>0.74</v>
      </c>
      <c r="L148" s="33">
        <v>0.57999999999999996</v>
      </c>
      <c r="M148" s="33">
        <v>0.41</v>
      </c>
      <c r="N148" s="33">
        <v>0.27</v>
      </c>
      <c r="O148" s="33">
        <v>0.21</v>
      </c>
      <c r="P148" s="34">
        <f t="shared" si="7"/>
        <v>0.57750000000000001</v>
      </c>
    </row>
    <row r="149" spans="1:16" x14ac:dyDescent="0.25">
      <c r="A149" s="169">
        <f t="shared" si="8"/>
        <v>7.7</v>
      </c>
      <c r="B149" s="166">
        <v>7</v>
      </c>
      <c r="C149" s="32">
        <v>70</v>
      </c>
      <c r="D149" s="33">
        <v>0.31</v>
      </c>
      <c r="E149" s="33">
        <v>0.31</v>
      </c>
      <c r="F149" s="33">
        <v>0.5</v>
      </c>
      <c r="G149" s="33">
        <v>0.68</v>
      </c>
      <c r="H149" s="33">
        <v>0.81</v>
      </c>
      <c r="I149" s="33">
        <v>0.85</v>
      </c>
      <c r="J149" s="33">
        <v>0.8</v>
      </c>
      <c r="K149" s="33">
        <v>0.68</v>
      </c>
      <c r="L149" s="33">
        <v>0.52</v>
      </c>
      <c r="M149" s="33">
        <v>0.34</v>
      </c>
      <c r="N149" s="33">
        <v>0.19</v>
      </c>
      <c r="O149" s="33">
        <v>0.13</v>
      </c>
      <c r="P149" s="34">
        <f t="shared" si="7"/>
        <v>0.51000000000000012</v>
      </c>
    </row>
    <row r="150" spans="1:16" x14ac:dyDescent="0.25">
      <c r="A150" s="169">
        <f t="shared" si="8"/>
        <v>7.75</v>
      </c>
      <c r="B150" s="166">
        <v>7</v>
      </c>
      <c r="C150" s="32">
        <v>75</v>
      </c>
      <c r="D150" s="33">
        <v>0.23</v>
      </c>
      <c r="E150" s="33">
        <v>0.23</v>
      </c>
      <c r="F150" s="33">
        <v>0.42</v>
      </c>
      <c r="G150" s="33">
        <v>0.62</v>
      </c>
      <c r="H150" s="33">
        <v>0.75</v>
      </c>
      <c r="I150" s="33">
        <v>0.79</v>
      </c>
      <c r="J150" s="33">
        <v>0.74</v>
      </c>
      <c r="K150" s="33">
        <v>0.62</v>
      </c>
      <c r="L150" s="33">
        <v>0.45</v>
      </c>
      <c r="M150" s="33">
        <v>0.26</v>
      </c>
      <c r="N150" s="33">
        <v>0.12</v>
      </c>
      <c r="O150" s="33">
        <v>0.11</v>
      </c>
      <c r="P150" s="34">
        <f t="shared" si="7"/>
        <v>0.44500000000000006</v>
      </c>
    </row>
    <row r="151" spans="1:16" x14ac:dyDescent="0.25">
      <c r="A151" s="169">
        <f t="shared" si="8"/>
        <v>7.8</v>
      </c>
      <c r="B151" s="166">
        <v>7</v>
      </c>
      <c r="C151" s="32">
        <v>80</v>
      </c>
      <c r="D151" s="33">
        <v>0.15</v>
      </c>
      <c r="E151" s="33">
        <v>0.15</v>
      </c>
      <c r="F151" s="33">
        <v>0.35</v>
      </c>
      <c r="G151" s="33">
        <v>0.55000000000000004</v>
      </c>
      <c r="H151" s="33">
        <v>0.69</v>
      </c>
      <c r="I151" s="33">
        <v>0.73</v>
      </c>
      <c r="J151" s="33">
        <v>0.68</v>
      </c>
      <c r="K151" s="33">
        <v>0.55000000000000004</v>
      </c>
      <c r="L151" s="33">
        <v>0.38</v>
      </c>
      <c r="M151" s="33">
        <v>0.18</v>
      </c>
      <c r="N151" s="33">
        <v>0.11</v>
      </c>
      <c r="O151" s="33">
        <v>0.1</v>
      </c>
      <c r="P151" s="34">
        <f t="shared" si="7"/>
        <v>0.38500000000000001</v>
      </c>
    </row>
    <row r="152" spans="1:16" x14ac:dyDescent="0.25">
      <c r="A152" s="169">
        <f t="shared" si="8"/>
        <v>7.85</v>
      </c>
      <c r="B152" s="166">
        <v>7</v>
      </c>
      <c r="C152" s="32">
        <v>85</v>
      </c>
      <c r="D152" s="33">
        <v>0.09</v>
      </c>
      <c r="E152" s="33">
        <v>0.09</v>
      </c>
      <c r="F152" s="33">
        <v>0.27</v>
      </c>
      <c r="G152" s="33">
        <v>0.47</v>
      </c>
      <c r="H152" s="33">
        <v>0.62</v>
      </c>
      <c r="I152" s="33">
        <v>0.66</v>
      </c>
      <c r="J152" s="33">
        <v>0.61</v>
      </c>
      <c r="K152" s="33">
        <v>0.48</v>
      </c>
      <c r="L152" s="33">
        <v>0.3</v>
      </c>
      <c r="M152" s="33">
        <v>0.12</v>
      </c>
      <c r="N152" s="33">
        <v>0.1</v>
      </c>
      <c r="O152" s="33">
        <v>0.09</v>
      </c>
      <c r="P152" s="34">
        <f t="shared" si="7"/>
        <v>0.32500000000000001</v>
      </c>
    </row>
    <row r="153" spans="1:16" x14ac:dyDescent="0.25">
      <c r="A153" s="169">
        <f t="shared" si="8"/>
        <v>7.9</v>
      </c>
      <c r="B153" s="166">
        <v>7</v>
      </c>
      <c r="C153" s="32">
        <v>90</v>
      </c>
      <c r="D153" s="33">
        <v>0.08</v>
      </c>
      <c r="E153" s="33">
        <v>0.08</v>
      </c>
      <c r="F153" s="33">
        <v>0.19</v>
      </c>
      <c r="G153" s="33">
        <v>0.4</v>
      </c>
      <c r="H153" s="33">
        <v>0.55000000000000004</v>
      </c>
      <c r="I153" s="33">
        <v>0.59</v>
      </c>
      <c r="J153" s="33">
        <v>0.54</v>
      </c>
      <c r="K153" s="33">
        <v>0.41</v>
      </c>
      <c r="L153" s="33">
        <v>0.23</v>
      </c>
      <c r="M153" s="33">
        <v>0.11</v>
      </c>
      <c r="N153" s="33">
        <v>0.09</v>
      </c>
      <c r="O153" s="33">
        <v>0.09</v>
      </c>
      <c r="P153" s="34">
        <f t="shared" si="7"/>
        <v>0.27999999999999997</v>
      </c>
    </row>
    <row r="154" spans="1:16" x14ac:dyDescent="0.25">
      <c r="A154" s="169">
        <f t="shared" si="8"/>
        <v>8</v>
      </c>
      <c r="B154" s="166">
        <v>8</v>
      </c>
      <c r="C154" s="32">
        <v>0</v>
      </c>
      <c r="D154" s="33">
        <v>1</v>
      </c>
      <c r="E154" s="33">
        <v>1</v>
      </c>
      <c r="F154" s="33">
        <v>1</v>
      </c>
      <c r="G154" s="33">
        <v>1</v>
      </c>
      <c r="H154" s="33">
        <v>1</v>
      </c>
      <c r="I154" s="33">
        <v>1</v>
      </c>
      <c r="J154" s="33">
        <v>1</v>
      </c>
      <c r="K154" s="33">
        <v>1</v>
      </c>
      <c r="L154" s="33">
        <v>1</v>
      </c>
      <c r="M154" s="33">
        <v>1</v>
      </c>
      <c r="N154" s="33">
        <v>1</v>
      </c>
      <c r="O154" s="33">
        <v>1</v>
      </c>
      <c r="P154" s="34">
        <f t="shared" si="7"/>
        <v>1</v>
      </c>
    </row>
    <row r="155" spans="1:16" x14ac:dyDescent="0.25">
      <c r="A155" s="169">
        <f t="shared" si="8"/>
        <v>8.0500000000000007</v>
      </c>
      <c r="B155" s="166">
        <v>8</v>
      </c>
      <c r="C155" s="32">
        <v>5</v>
      </c>
      <c r="D155" s="33">
        <v>0.98</v>
      </c>
      <c r="E155" s="33">
        <v>0.99</v>
      </c>
      <c r="F155" s="33">
        <v>1.01</v>
      </c>
      <c r="G155" s="33">
        <v>1.02</v>
      </c>
      <c r="H155" s="33">
        <v>1.03</v>
      </c>
      <c r="I155" s="33">
        <v>1.03</v>
      </c>
      <c r="J155" s="33">
        <v>1.03</v>
      </c>
      <c r="K155" s="33">
        <v>1.02</v>
      </c>
      <c r="L155" s="33">
        <v>1.01</v>
      </c>
      <c r="M155" s="33">
        <v>0.99</v>
      </c>
      <c r="N155" s="33">
        <v>0.98</v>
      </c>
      <c r="O155" s="33">
        <v>0.97</v>
      </c>
      <c r="P155" s="34">
        <f t="shared" si="7"/>
        <v>1.0050000000000001</v>
      </c>
    </row>
    <row r="156" spans="1:16" x14ac:dyDescent="0.25">
      <c r="A156" s="169">
        <f t="shared" si="8"/>
        <v>8.1</v>
      </c>
      <c r="B156" s="166">
        <v>8</v>
      </c>
      <c r="C156" s="32">
        <v>10</v>
      </c>
      <c r="D156" s="33">
        <v>0.95</v>
      </c>
      <c r="E156" s="33">
        <v>0.97</v>
      </c>
      <c r="F156" s="33">
        <v>1.01</v>
      </c>
      <c r="G156" s="33">
        <v>1.04</v>
      </c>
      <c r="H156" s="33">
        <v>1.06</v>
      </c>
      <c r="I156" s="33">
        <v>1.06</v>
      </c>
      <c r="J156" s="33">
        <v>1.05</v>
      </c>
      <c r="K156" s="33">
        <v>1.03</v>
      </c>
      <c r="L156" s="33">
        <v>1</v>
      </c>
      <c r="M156" s="33">
        <v>0.97</v>
      </c>
      <c r="N156" s="33">
        <v>0.95</v>
      </c>
      <c r="O156" s="33">
        <v>0.94</v>
      </c>
      <c r="P156" s="34">
        <f t="shared" si="7"/>
        <v>1.0024999999999999</v>
      </c>
    </row>
    <row r="157" spans="1:16" x14ac:dyDescent="0.25">
      <c r="A157" s="169">
        <f t="shared" si="8"/>
        <v>8.15</v>
      </c>
      <c r="B157" s="166">
        <v>8</v>
      </c>
      <c r="C157" s="32">
        <v>15</v>
      </c>
      <c r="D157" s="33">
        <v>0.91</v>
      </c>
      <c r="E157" s="33">
        <v>0.95</v>
      </c>
      <c r="F157" s="33">
        <v>1</v>
      </c>
      <c r="G157" s="33">
        <v>1.05</v>
      </c>
      <c r="H157" s="33">
        <v>1.08</v>
      </c>
      <c r="I157" s="33">
        <v>1.08</v>
      </c>
      <c r="J157" s="33">
        <v>1.07</v>
      </c>
      <c r="K157" s="33">
        <v>1.04</v>
      </c>
      <c r="L157" s="33">
        <v>1</v>
      </c>
      <c r="M157" s="33">
        <v>0.95</v>
      </c>
      <c r="N157" s="33">
        <v>0.91</v>
      </c>
      <c r="O157" s="33">
        <v>0.9</v>
      </c>
      <c r="P157" s="34">
        <f t="shared" si="7"/>
        <v>0.995</v>
      </c>
    </row>
    <row r="158" spans="1:16" x14ac:dyDescent="0.25">
      <c r="A158" s="169">
        <f t="shared" si="8"/>
        <v>8.1999999999999993</v>
      </c>
      <c r="B158" s="166">
        <v>8</v>
      </c>
      <c r="C158" s="32">
        <v>20</v>
      </c>
      <c r="D158" s="33">
        <v>0.87</v>
      </c>
      <c r="E158" s="33">
        <v>0.92</v>
      </c>
      <c r="F158" s="33">
        <v>0.98</v>
      </c>
      <c r="G158" s="33">
        <v>1.05</v>
      </c>
      <c r="H158" s="33">
        <v>1.0900000000000001</v>
      </c>
      <c r="I158" s="33">
        <v>1.1000000000000001</v>
      </c>
      <c r="J158" s="33">
        <v>1.07</v>
      </c>
      <c r="K158" s="33">
        <v>1.04</v>
      </c>
      <c r="L158" s="33">
        <v>0.98</v>
      </c>
      <c r="M158" s="33">
        <v>0.92</v>
      </c>
      <c r="N158" s="33">
        <v>0.87</v>
      </c>
      <c r="O158" s="33">
        <v>0.85</v>
      </c>
      <c r="P158" s="34">
        <f t="shared" si="7"/>
        <v>0.97833333333333339</v>
      </c>
    </row>
    <row r="159" spans="1:16" x14ac:dyDescent="0.25">
      <c r="A159" s="169">
        <f t="shared" si="8"/>
        <v>8.25</v>
      </c>
      <c r="B159" s="166">
        <v>8</v>
      </c>
      <c r="C159" s="32">
        <v>25</v>
      </c>
      <c r="D159" s="33">
        <v>0.82</v>
      </c>
      <c r="E159" s="33">
        <v>0.88</v>
      </c>
      <c r="F159" s="33">
        <v>0.96</v>
      </c>
      <c r="G159" s="33">
        <v>1.04</v>
      </c>
      <c r="H159" s="33">
        <v>1.0900000000000001</v>
      </c>
      <c r="I159" s="33">
        <v>1.1000000000000001</v>
      </c>
      <c r="J159" s="33">
        <v>1.08</v>
      </c>
      <c r="K159" s="33">
        <v>1.03</v>
      </c>
      <c r="L159" s="33">
        <v>0.96</v>
      </c>
      <c r="M159" s="33">
        <v>0.89</v>
      </c>
      <c r="N159" s="33">
        <v>0.83</v>
      </c>
      <c r="O159" s="33">
        <v>0.8</v>
      </c>
      <c r="P159" s="34">
        <f t="shared" si="7"/>
        <v>0.95666666666666689</v>
      </c>
    </row>
    <row r="160" spans="1:16" x14ac:dyDescent="0.25">
      <c r="A160" s="169">
        <f t="shared" si="8"/>
        <v>8.3000000000000007</v>
      </c>
      <c r="B160" s="166">
        <v>8</v>
      </c>
      <c r="C160" s="32">
        <v>30</v>
      </c>
      <c r="D160" s="33">
        <v>0.77</v>
      </c>
      <c r="E160" s="33">
        <v>0.84</v>
      </c>
      <c r="F160" s="33">
        <v>0.94</v>
      </c>
      <c r="G160" s="33">
        <v>1.03</v>
      </c>
      <c r="H160" s="33">
        <v>1.0900000000000001</v>
      </c>
      <c r="I160" s="33">
        <v>1.1000000000000001</v>
      </c>
      <c r="J160" s="33">
        <v>1.07</v>
      </c>
      <c r="K160" s="33">
        <v>1.02</v>
      </c>
      <c r="L160" s="33">
        <v>0.94</v>
      </c>
      <c r="M160" s="33">
        <v>0.85</v>
      </c>
      <c r="N160" s="33">
        <v>0.77</v>
      </c>
      <c r="O160" s="33">
        <v>0.74</v>
      </c>
      <c r="P160" s="34">
        <f t="shared" si="7"/>
        <v>0.92999999999999983</v>
      </c>
    </row>
    <row r="161" spans="1:16" x14ac:dyDescent="0.25">
      <c r="A161" s="169">
        <f t="shared" si="8"/>
        <v>8.35</v>
      </c>
      <c r="B161" s="166">
        <v>8</v>
      </c>
      <c r="C161" s="32">
        <v>35</v>
      </c>
      <c r="D161" s="33">
        <v>0.71</v>
      </c>
      <c r="E161" s="33">
        <v>0.79</v>
      </c>
      <c r="F161" s="33">
        <v>0.9</v>
      </c>
      <c r="G161" s="33">
        <v>1.01</v>
      </c>
      <c r="H161" s="33">
        <v>1.08</v>
      </c>
      <c r="I161" s="33">
        <v>1.1000000000000001</v>
      </c>
      <c r="J161" s="33">
        <v>1.06</v>
      </c>
      <c r="K161" s="33">
        <v>1</v>
      </c>
      <c r="L161" s="33">
        <v>0.9</v>
      </c>
      <c r="M161" s="33">
        <v>0.8</v>
      </c>
      <c r="N161" s="33">
        <v>0.72</v>
      </c>
      <c r="O161" s="33">
        <v>0.68</v>
      </c>
      <c r="P161" s="34">
        <f t="shared" si="7"/>
        <v>0.89583333333333348</v>
      </c>
    </row>
    <row r="162" spans="1:16" x14ac:dyDescent="0.25">
      <c r="A162" s="169">
        <f t="shared" si="8"/>
        <v>8.4</v>
      </c>
      <c r="B162" s="166">
        <v>8</v>
      </c>
      <c r="C162" s="32">
        <v>40</v>
      </c>
      <c r="D162" s="33">
        <v>0.64</v>
      </c>
      <c r="E162" s="33">
        <v>0.74</v>
      </c>
      <c r="F162" s="33">
        <v>0.86</v>
      </c>
      <c r="G162" s="33">
        <v>0.98</v>
      </c>
      <c r="H162" s="33">
        <v>1.07</v>
      </c>
      <c r="I162" s="33">
        <v>1.08</v>
      </c>
      <c r="J162" s="33">
        <v>1.04</v>
      </c>
      <c r="K162" s="33">
        <v>0.97</v>
      </c>
      <c r="L162" s="33">
        <v>0.86</v>
      </c>
      <c r="M162" s="33">
        <v>0.75</v>
      </c>
      <c r="N162" s="33">
        <v>0.65</v>
      </c>
      <c r="O162" s="33">
        <v>0.61</v>
      </c>
      <c r="P162" s="34">
        <f t="shared" si="7"/>
        <v>0.85416666666666663</v>
      </c>
    </row>
    <row r="163" spans="1:16" x14ac:dyDescent="0.25">
      <c r="A163" s="169">
        <f t="shared" si="8"/>
        <v>8.4499999999999993</v>
      </c>
      <c r="B163" s="166">
        <v>8</v>
      </c>
      <c r="C163" s="32">
        <v>45</v>
      </c>
      <c r="D163" s="33">
        <v>0.57999999999999996</v>
      </c>
      <c r="E163" s="33">
        <v>0.68</v>
      </c>
      <c r="F163" s="33">
        <v>0.82</v>
      </c>
      <c r="G163" s="33">
        <v>0.95</v>
      </c>
      <c r="H163" s="33">
        <v>1.04</v>
      </c>
      <c r="I163" s="33">
        <v>1.06</v>
      </c>
      <c r="J163" s="33">
        <v>1.02</v>
      </c>
      <c r="K163" s="33">
        <v>0.94</v>
      </c>
      <c r="L163" s="33">
        <v>0.82</v>
      </c>
      <c r="M163" s="33">
        <v>0.69</v>
      </c>
      <c r="N163" s="33">
        <v>0.59</v>
      </c>
      <c r="O163" s="33">
        <v>0.54</v>
      </c>
      <c r="P163" s="34">
        <f t="shared" si="7"/>
        <v>0.81083333333333341</v>
      </c>
    </row>
    <row r="164" spans="1:16" x14ac:dyDescent="0.25">
      <c r="A164" s="169">
        <f t="shared" si="8"/>
        <v>8.5</v>
      </c>
      <c r="B164" s="166">
        <v>8</v>
      </c>
      <c r="C164" s="32">
        <v>50</v>
      </c>
      <c r="D164" s="33">
        <v>0.5</v>
      </c>
      <c r="E164" s="33">
        <v>0.61</v>
      </c>
      <c r="F164" s="33">
        <v>0.76</v>
      </c>
      <c r="G164" s="33">
        <v>0.91</v>
      </c>
      <c r="H164" s="33">
        <v>1.01</v>
      </c>
      <c r="I164" s="33">
        <v>1.03</v>
      </c>
      <c r="J164" s="33">
        <v>0.99</v>
      </c>
      <c r="K164" s="33">
        <v>0.9</v>
      </c>
      <c r="L164" s="33">
        <v>0.77</v>
      </c>
      <c r="M164" s="33">
        <v>0.63</v>
      </c>
      <c r="N164" s="33">
        <v>0.51</v>
      </c>
      <c r="O164" s="33">
        <v>0.47</v>
      </c>
      <c r="P164" s="34">
        <f t="shared" si="7"/>
        <v>0.75750000000000017</v>
      </c>
    </row>
    <row r="165" spans="1:16" x14ac:dyDescent="0.25">
      <c r="A165" s="169">
        <f t="shared" si="8"/>
        <v>8.5500000000000007</v>
      </c>
      <c r="B165" s="166">
        <v>8</v>
      </c>
      <c r="C165" s="32">
        <v>55</v>
      </c>
      <c r="D165" s="33">
        <v>0.43</v>
      </c>
      <c r="E165" s="33">
        <v>0.55000000000000004</v>
      </c>
      <c r="F165" s="33">
        <v>0.71</v>
      </c>
      <c r="G165" s="33">
        <v>0.87</v>
      </c>
      <c r="H165" s="33">
        <v>0.98</v>
      </c>
      <c r="I165" s="33">
        <v>1</v>
      </c>
      <c r="J165" s="33">
        <v>0.95</v>
      </c>
      <c r="K165" s="33">
        <v>0.85</v>
      </c>
      <c r="L165" s="33">
        <v>0.72</v>
      </c>
      <c r="M165" s="33">
        <v>0.56000000000000005</v>
      </c>
      <c r="N165" s="33">
        <v>0.44</v>
      </c>
      <c r="O165" s="33">
        <v>0.39</v>
      </c>
      <c r="P165" s="34">
        <f t="shared" si="7"/>
        <v>0.70416666666666661</v>
      </c>
    </row>
    <row r="166" spans="1:16" x14ac:dyDescent="0.25">
      <c r="A166" s="169">
        <f t="shared" si="8"/>
        <v>8.6</v>
      </c>
      <c r="B166" s="166">
        <v>8</v>
      </c>
      <c r="C166" s="32">
        <v>60</v>
      </c>
      <c r="D166" s="33">
        <v>0.35</v>
      </c>
      <c r="E166" s="33">
        <v>0.48</v>
      </c>
      <c r="F166" s="33">
        <v>0.65</v>
      </c>
      <c r="G166" s="33">
        <v>0.82</v>
      </c>
      <c r="H166" s="33">
        <v>0.93</v>
      </c>
      <c r="I166" s="33">
        <v>0.96</v>
      </c>
      <c r="J166" s="33">
        <v>0.91</v>
      </c>
      <c r="K166" s="33">
        <v>0.81</v>
      </c>
      <c r="L166" s="33">
        <v>0.66</v>
      </c>
      <c r="M166" s="33">
        <v>0.49</v>
      </c>
      <c r="N166" s="33">
        <v>0.36</v>
      </c>
      <c r="O166" s="33">
        <v>0.31</v>
      </c>
      <c r="P166" s="34">
        <f t="shared" si="7"/>
        <v>0.64416666666666667</v>
      </c>
    </row>
    <row r="167" spans="1:16" x14ac:dyDescent="0.25">
      <c r="A167" s="169">
        <f t="shared" si="8"/>
        <v>8.65</v>
      </c>
      <c r="B167" s="166">
        <v>8</v>
      </c>
      <c r="C167" s="32">
        <v>65</v>
      </c>
      <c r="D167" s="33">
        <v>0.27</v>
      </c>
      <c r="E167" s="33">
        <v>0.4</v>
      </c>
      <c r="F167" s="33">
        <v>0.57999999999999996</v>
      </c>
      <c r="G167" s="33">
        <v>0.76</v>
      </c>
      <c r="H167" s="33">
        <v>0.88</v>
      </c>
      <c r="I167" s="33">
        <v>0.91</v>
      </c>
      <c r="J167" s="33">
        <v>0.86</v>
      </c>
      <c r="K167" s="33">
        <v>0.75</v>
      </c>
      <c r="L167" s="33">
        <v>0.59</v>
      </c>
      <c r="M167" s="33">
        <v>0.42</v>
      </c>
      <c r="N167" s="33">
        <v>0.28999999999999998</v>
      </c>
      <c r="O167" s="33">
        <v>0.23</v>
      </c>
      <c r="P167" s="34">
        <f t="shared" si="7"/>
        <v>0.57833333333333337</v>
      </c>
    </row>
    <row r="168" spans="1:16" x14ac:dyDescent="0.25">
      <c r="A168" s="169">
        <f t="shared" si="8"/>
        <v>8.6999999999999993</v>
      </c>
      <c r="B168" s="166">
        <v>8</v>
      </c>
      <c r="C168" s="32">
        <v>70</v>
      </c>
      <c r="D168" s="33">
        <v>0.19</v>
      </c>
      <c r="E168" s="33">
        <v>0.33</v>
      </c>
      <c r="F168" s="33">
        <v>0.51</v>
      </c>
      <c r="G168" s="33">
        <v>0.7</v>
      </c>
      <c r="H168" s="33">
        <v>0.83</v>
      </c>
      <c r="I168" s="33">
        <v>0.86</v>
      </c>
      <c r="J168" s="33">
        <v>0.81</v>
      </c>
      <c r="K168" s="33">
        <v>0.69</v>
      </c>
      <c r="L168" s="33">
        <v>0.53</v>
      </c>
      <c r="M168" s="33">
        <v>0.35</v>
      </c>
      <c r="N168" s="33">
        <v>0.21</v>
      </c>
      <c r="O168" s="33">
        <v>0.14000000000000001</v>
      </c>
      <c r="P168" s="34">
        <f t="shared" si="7"/>
        <v>0.51249999999999996</v>
      </c>
    </row>
    <row r="169" spans="1:16" x14ac:dyDescent="0.25">
      <c r="A169" s="169">
        <f t="shared" si="8"/>
        <v>8.75</v>
      </c>
      <c r="B169" s="166">
        <v>8</v>
      </c>
      <c r="C169" s="32">
        <v>75</v>
      </c>
      <c r="D169" s="33">
        <v>0.11</v>
      </c>
      <c r="E169" s="33">
        <v>0.25</v>
      </c>
      <c r="F169" s="33">
        <v>0.44</v>
      </c>
      <c r="G169" s="33">
        <v>0.63</v>
      </c>
      <c r="H169" s="33">
        <v>0.77</v>
      </c>
      <c r="I169" s="33">
        <v>0.81</v>
      </c>
      <c r="J169" s="33">
        <v>0.75</v>
      </c>
      <c r="K169" s="33">
        <v>0.63</v>
      </c>
      <c r="L169" s="33">
        <v>0.46</v>
      </c>
      <c r="M169" s="33">
        <v>0.27</v>
      </c>
      <c r="N169" s="33">
        <v>0.12</v>
      </c>
      <c r="O169" s="33">
        <v>0.11</v>
      </c>
      <c r="P169" s="34">
        <f t="shared" si="7"/>
        <v>0.44583333333333347</v>
      </c>
    </row>
    <row r="170" spans="1:16" x14ac:dyDescent="0.25">
      <c r="A170" s="169">
        <f t="shared" si="8"/>
        <v>8.8000000000000007</v>
      </c>
      <c r="B170" s="166">
        <v>8</v>
      </c>
      <c r="C170" s="32">
        <v>80</v>
      </c>
      <c r="D170" s="33">
        <v>0.1</v>
      </c>
      <c r="E170" s="33">
        <v>0.17</v>
      </c>
      <c r="F170" s="33">
        <v>0.36</v>
      </c>
      <c r="G170" s="33">
        <v>0.56000000000000005</v>
      </c>
      <c r="H170" s="33">
        <v>0.7</v>
      </c>
      <c r="I170" s="33">
        <v>0.74</v>
      </c>
      <c r="J170" s="33">
        <v>0.69</v>
      </c>
      <c r="K170" s="33">
        <v>0.56999999999999995</v>
      </c>
      <c r="L170" s="33">
        <v>0.39</v>
      </c>
      <c r="M170" s="33">
        <v>0.2</v>
      </c>
      <c r="N170" s="33">
        <v>0.11</v>
      </c>
      <c r="O170" s="33">
        <v>0.1</v>
      </c>
      <c r="P170" s="34">
        <f t="shared" si="7"/>
        <v>0.39083333333333331</v>
      </c>
    </row>
    <row r="171" spans="1:16" x14ac:dyDescent="0.25">
      <c r="A171" s="169">
        <f t="shared" si="8"/>
        <v>8.85</v>
      </c>
      <c r="B171" s="166">
        <v>8</v>
      </c>
      <c r="C171" s="32">
        <v>85</v>
      </c>
      <c r="D171" s="33">
        <v>0.09</v>
      </c>
      <c r="E171" s="33">
        <v>0.09</v>
      </c>
      <c r="F171" s="33">
        <v>0.28999999999999998</v>
      </c>
      <c r="G171" s="33">
        <v>0.49</v>
      </c>
      <c r="H171" s="33">
        <v>0.64</v>
      </c>
      <c r="I171" s="33">
        <v>0.68</v>
      </c>
      <c r="J171" s="33">
        <v>0.62</v>
      </c>
      <c r="K171" s="33">
        <v>0.5</v>
      </c>
      <c r="L171" s="33">
        <v>0.32</v>
      </c>
      <c r="M171" s="33">
        <v>0.12</v>
      </c>
      <c r="N171" s="33">
        <v>0.1</v>
      </c>
      <c r="O171" s="33">
        <v>0.09</v>
      </c>
      <c r="P171" s="34">
        <f t="shared" si="7"/>
        <v>0.33583333333333337</v>
      </c>
    </row>
    <row r="172" spans="1:16" x14ac:dyDescent="0.25">
      <c r="A172" s="169">
        <f t="shared" si="8"/>
        <v>8.9</v>
      </c>
      <c r="B172" s="166">
        <v>8</v>
      </c>
      <c r="C172" s="32">
        <v>90</v>
      </c>
      <c r="D172" s="33">
        <v>0.08</v>
      </c>
      <c r="E172" s="33">
        <v>0.08</v>
      </c>
      <c r="F172" s="33">
        <v>0.21</v>
      </c>
      <c r="G172" s="33">
        <v>0.41</v>
      </c>
      <c r="H172" s="33">
        <v>0.56000000000000005</v>
      </c>
      <c r="I172" s="33">
        <v>0.61</v>
      </c>
      <c r="J172" s="33">
        <v>0.56000000000000005</v>
      </c>
      <c r="K172" s="33">
        <v>0.43</v>
      </c>
      <c r="L172" s="33">
        <v>0.24</v>
      </c>
      <c r="M172" s="33">
        <v>0.11</v>
      </c>
      <c r="N172" s="33">
        <v>0.09</v>
      </c>
      <c r="O172" s="33">
        <v>0.09</v>
      </c>
      <c r="P172" s="34">
        <f t="shared" si="7"/>
        <v>0.28916666666666668</v>
      </c>
    </row>
    <row r="173" spans="1:16" x14ac:dyDescent="0.25">
      <c r="A173" s="169">
        <f t="shared" si="8"/>
        <v>9</v>
      </c>
      <c r="B173" s="166">
        <v>9</v>
      </c>
      <c r="C173" s="32">
        <v>0</v>
      </c>
      <c r="D173" s="33">
        <v>1</v>
      </c>
      <c r="E173" s="33">
        <v>1</v>
      </c>
      <c r="F173" s="33">
        <v>1</v>
      </c>
      <c r="G173" s="33">
        <v>1</v>
      </c>
      <c r="H173" s="33">
        <v>1</v>
      </c>
      <c r="I173" s="33">
        <v>1</v>
      </c>
      <c r="J173" s="33">
        <v>1</v>
      </c>
      <c r="K173" s="33">
        <v>1</v>
      </c>
      <c r="L173" s="33">
        <v>1</v>
      </c>
      <c r="M173" s="33">
        <v>1</v>
      </c>
      <c r="N173" s="33">
        <v>1</v>
      </c>
      <c r="O173" s="33">
        <v>1</v>
      </c>
      <c r="P173" s="34">
        <f t="shared" si="7"/>
        <v>1</v>
      </c>
    </row>
    <row r="174" spans="1:16" x14ac:dyDescent="0.25">
      <c r="A174" s="169">
        <f t="shared" si="8"/>
        <v>9.0500000000000007</v>
      </c>
      <c r="B174" s="166">
        <v>9</v>
      </c>
      <c r="C174" s="32">
        <v>5</v>
      </c>
      <c r="D174" s="33">
        <v>0.98</v>
      </c>
      <c r="E174" s="33">
        <v>0.99</v>
      </c>
      <c r="F174" s="33">
        <v>1.01</v>
      </c>
      <c r="G174" s="33">
        <v>1.02</v>
      </c>
      <c r="H174" s="33">
        <v>1.03</v>
      </c>
      <c r="I174" s="33">
        <v>1.03</v>
      </c>
      <c r="J174" s="33">
        <v>1.03</v>
      </c>
      <c r="K174" s="33">
        <v>1.02</v>
      </c>
      <c r="L174" s="33">
        <v>1.01</v>
      </c>
      <c r="M174" s="33">
        <v>0.99</v>
      </c>
      <c r="N174" s="33">
        <v>0.98</v>
      </c>
      <c r="O174" s="33">
        <v>0.97</v>
      </c>
      <c r="P174" s="34">
        <f t="shared" si="7"/>
        <v>1.0050000000000001</v>
      </c>
    </row>
    <row r="175" spans="1:16" x14ac:dyDescent="0.25">
      <c r="A175" s="169">
        <f t="shared" si="8"/>
        <v>9.1</v>
      </c>
      <c r="B175" s="166">
        <v>9</v>
      </c>
      <c r="C175" s="32">
        <v>10</v>
      </c>
      <c r="D175" s="33">
        <v>0.95</v>
      </c>
      <c r="E175" s="33">
        <v>0.98</v>
      </c>
      <c r="F175" s="33">
        <v>1.01</v>
      </c>
      <c r="G175" s="33">
        <v>1.04</v>
      </c>
      <c r="H175" s="33">
        <v>1.06</v>
      </c>
      <c r="I175" s="33">
        <v>1.06</v>
      </c>
      <c r="J175" s="33">
        <v>1.05</v>
      </c>
      <c r="K175" s="33">
        <v>1.03</v>
      </c>
      <c r="L175" s="33">
        <v>1.01</v>
      </c>
      <c r="M175" s="33">
        <v>0.98</v>
      </c>
      <c r="N175" s="33">
        <v>0.95</v>
      </c>
      <c r="O175" s="33">
        <v>0.94</v>
      </c>
      <c r="P175" s="34">
        <f t="shared" si="7"/>
        <v>1.0049999999999999</v>
      </c>
    </row>
    <row r="176" spans="1:16" x14ac:dyDescent="0.25">
      <c r="A176" s="169">
        <f t="shared" si="8"/>
        <v>9.15</v>
      </c>
      <c r="B176" s="166">
        <v>9</v>
      </c>
      <c r="C176" s="32">
        <v>15</v>
      </c>
      <c r="D176" s="33">
        <v>0.92</v>
      </c>
      <c r="E176" s="33">
        <v>0.95</v>
      </c>
      <c r="F176" s="33">
        <v>1</v>
      </c>
      <c r="G176" s="33">
        <v>1.05</v>
      </c>
      <c r="H176" s="33">
        <v>1.08</v>
      </c>
      <c r="I176" s="33">
        <v>1.0900000000000001</v>
      </c>
      <c r="J176" s="33">
        <v>1.07</v>
      </c>
      <c r="K176" s="33">
        <v>1.04</v>
      </c>
      <c r="L176" s="33">
        <v>1</v>
      </c>
      <c r="M176" s="33">
        <v>0.96</v>
      </c>
      <c r="N176" s="33">
        <v>0.92</v>
      </c>
      <c r="O176" s="33">
        <v>0.9</v>
      </c>
      <c r="P176" s="34">
        <f t="shared" si="7"/>
        <v>0.99833333333333341</v>
      </c>
    </row>
    <row r="177" spans="1:16" x14ac:dyDescent="0.25">
      <c r="A177" s="169">
        <f t="shared" si="8"/>
        <v>9.1999999999999993</v>
      </c>
      <c r="B177" s="166">
        <v>9</v>
      </c>
      <c r="C177" s="32">
        <v>20</v>
      </c>
      <c r="D177" s="33">
        <v>0.88</v>
      </c>
      <c r="E177" s="33">
        <v>0.92</v>
      </c>
      <c r="F177" s="33">
        <v>0.99</v>
      </c>
      <c r="G177" s="33">
        <v>1.05</v>
      </c>
      <c r="H177" s="33">
        <v>1.0900000000000001</v>
      </c>
      <c r="I177" s="33">
        <v>1.1000000000000001</v>
      </c>
      <c r="J177" s="33">
        <v>1.08</v>
      </c>
      <c r="K177" s="33">
        <v>1.04</v>
      </c>
      <c r="L177" s="33">
        <v>0.99</v>
      </c>
      <c r="M177" s="33">
        <v>0.93</v>
      </c>
      <c r="N177" s="33">
        <v>0.88</v>
      </c>
      <c r="O177" s="33">
        <v>0.86</v>
      </c>
      <c r="P177" s="34">
        <f t="shared" si="7"/>
        <v>0.98416666666666652</v>
      </c>
    </row>
    <row r="178" spans="1:16" x14ac:dyDescent="0.25">
      <c r="A178" s="169">
        <f t="shared" si="8"/>
        <v>9.25</v>
      </c>
      <c r="B178" s="166">
        <v>9</v>
      </c>
      <c r="C178" s="32">
        <v>25</v>
      </c>
      <c r="D178" s="33">
        <v>0.83</v>
      </c>
      <c r="E178" s="33">
        <v>0.89</v>
      </c>
      <c r="F178" s="33">
        <v>0.97</v>
      </c>
      <c r="G178" s="33">
        <v>1.05</v>
      </c>
      <c r="H178" s="33">
        <v>1.1000000000000001</v>
      </c>
      <c r="I178" s="33">
        <v>1.1100000000000001</v>
      </c>
      <c r="J178" s="33">
        <v>1.08</v>
      </c>
      <c r="K178" s="33">
        <v>1.03</v>
      </c>
      <c r="L178" s="33">
        <v>0.97</v>
      </c>
      <c r="M178" s="33">
        <v>0.89</v>
      </c>
      <c r="N178" s="33">
        <v>0.83</v>
      </c>
      <c r="O178" s="33">
        <v>0.81</v>
      </c>
      <c r="P178" s="34">
        <f t="shared" si="7"/>
        <v>0.96333333333333349</v>
      </c>
    </row>
    <row r="179" spans="1:16" x14ac:dyDescent="0.25">
      <c r="A179" s="169">
        <f t="shared" si="8"/>
        <v>9.3000000000000007</v>
      </c>
      <c r="B179" s="166">
        <v>9</v>
      </c>
      <c r="C179" s="32">
        <v>30</v>
      </c>
      <c r="D179" s="33">
        <v>0.78</v>
      </c>
      <c r="E179" s="33">
        <v>0.85</v>
      </c>
      <c r="F179" s="33">
        <v>0.94</v>
      </c>
      <c r="G179" s="33">
        <v>1.04</v>
      </c>
      <c r="H179" s="33">
        <v>1.1000000000000001</v>
      </c>
      <c r="I179" s="33">
        <v>1.1100000000000001</v>
      </c>
      <c r="J179" s="33">
        <v>1.08</v>
      </c>
      <c r="K179" s="33">
        <v>1.02</v>
      </c>
      <c r="L179" s="33">
        <v>0.94</v>
      </c>
      <c r="M179" s="33">
        <v>0.85</v>
      </c>
      <c r="N179" s="33">
        <v>0.78</v>
      </c>
      <c r="O179" s="33">
        <v>0.75</v>
      </c>
      <c r="P179" s="34">
        <f t="shared" si="7"/>
        <v>0.93666666666666654</v>
      </c>
    </row>
    <row r="180" spans="1:16" x14ac:dyDescent="0.25">
      <c r="A180" s="169">
        <f t="shared" si="8"/>
        <v>9.35</v>
      </c>
      <c r="B180" s="166">
        <v>9</v>
      </c>
      <c r="C180" s="32">
        <v>35</v>
      </c>
      <c r="D180" s="33">
        <v>0.72</v>
      </c>
      <c r="E180" s="33">
        <v>0.8</v>
      </c>
      <c r="F180" s="33">
        <v>0.91</v>
      </c>
      <c r="G180" s="33">
        <v>1.02</v>
      </c>
      <c r="H180" s="33">
        <v>1.0900000000000001</v>
      </c>
      <c r="I180" s="33">
        <v>1.1000000000000001</v>
      </c>
      <c r="J180" s="33">
        <v>1.07</v>
      </c>
      <c r="K180" s="33">
        <v>1</v>
      </c>
      <c r="L180" s="33">
        <v>0.91</v>
      </c>
      <c r="M180" s="33">
        <v>0.81</v>
      </c>
      <c r="N180" s="33">
        <v>0.72</v>
      </c>
      <c r="O180" s="33">
        <v>0.69</v>
      </c>
      <c r="P180" s="34">
        <f t="shared" ref="P180:P243" si="9">AVERAGE(D180:O180)</f>
        <v>0.90333333333333343</v>
      </c>
    </row>
    <row r="181" spans="1:16" x14ac:dyDescent="0.25">
      <c r="A181" s="169">
        <f t="shared" si="8"/>
        <v>9.4</v>
      </c>
      <c r="B181" s="166">
        <v>9</v>
      </c>
      <c r="C181" s="32">
        <v>40</v>
      </c>
      <c r="D181" s="33">
        <v>0.65</v>
      </c>
      <c r="E181" s="33">
        <v>0.75</v>
      </c>
      <c r="F181" s="33">
        <v>0.87</v>
      </c>
      <c r="G181" s="33">
        <v>0.99</v>
      </c>
      <c r="H181" s="33">
        <v>1.08</v>
      </c>
      <c r="I181" s="33">
        <v>1.0900000000000001</v>
      </c>
      <c r="J181" s="33">
        <v>1.05</v>
      </c>
      <c r="K181" s="33">
        <v>0.98</v>
      </c>
      <c r="L181" s="33">
        <v>0.87</v>
      </c>
      <c r="M181" s="33">
        <v>0.76</v>
      </c>
      <c r="N181" s="33">
        <v>0.66</v>
      </c>
      <c r="O181" s="33">
        <v>0.62</v>
      </c>
      <c r="P181" s="34">
        <f t="shared" si="9"/>
        <v>0.86416666666666642</v>
      </c>
    </row>
    <row r="182" spans="1:16" x14ac:dyDescent="0.25">
      <c r="A182" s="169">
        <f t="shared" si="8"/>
        <v>9.4499999999999993</v>
      </c>
      <c r="B182" s="166">
        <v>9</v>
      </c>
      <c r="C182" s="32">
        <v>45</v>
      </c>
      <c r="D182" s="33">
        <v>0.59</v>
      </c>
      <c r="E182" s="33">
        <v>0.69</v>
      </c>
      <c r="F182" s="33">
        <v>0.83</v>
      </c>
      <c r="G182" s="33">
        <v>0.96</v>
      </c>
      <c r="H182" s="33">
        <v>1.05</v>
      </c>
      <c r="I182" s="33">
        <v>1.07</v>
      </c>
      <c r="J182" s="33">
        <v>1.03</v>
      </c>
      <c r="K182" s="33">
        <v>0.95</v>
      </c>
      <c r="L182" s="33">
        <v>0.83</v>
      </c>
      <c r="M182" s="33">
        <v>0.7</v>
      </c>
      <c r="N182" s="33">
        <v>0.6</v>
      </c>
      <c r="O182" s="33">
        <v>0.55000000000000004</v>
      </c>
      <c r="P182" s="34">
        <f t="shared" si="9"/>
        <v>0.8208333333333333</v>
      </c>
    </row>
    <row r="183" spans="1:16" x14ac:dyDescent="0.25">
      <c r="A183" s="169">
        <f t="shared" si="8"/>
        <v>9.5</v>
      </c>
      <c r="B183" s="166">
        <v>9</v>
      </c>
      <c r="C183" s="32">
        <v>50</v>
      </c>
      <c r="D183" s="33">
        <v>0.52</v>
      </c>
      <c r="E183" s="33">
        <v>0.63</v>
      </c>
      <c r="F183" s="33">
        <v>0.77</v>
      </c>
      <c r="G183" s="33">
        <v>0.92</v>
      </c>
      <c r="H183" s="33">
        <v>1.02</v>
      </c>
      <c r="I183" s="33">
        <v>1.04</v>
      </c>
      <c r="J183" s="33">
        <v>1</v>
      </c>
      <c r="K183" s="33">
        <v>0.91</v>
      </c>
      <c r="L183" s="33">
        <v>0.78</v>
      </c>
      <c r="M183" s="33">
        <v>0.64</v>
      </c>
      <c r="N183" s="33">
        <v>0.53</v>
      </c>
      <c r="O183" s="33">
        <v>0.48</v>
      </c>
      <c r="P183" s="34">
        <f t="shared" si="9"/>
        <v>0.77</v>
      </c>
    </row>
    <row r="184" spans="1:16" x14ac:dyDescent="0.25">
      <c r="A184" s="169">
        <f t="shared" si="8"/>
        <v>9.5500000000000007</v>
      </c>
      <c r="B184" s="166">
        <v>9</v>
      </c>
      <c r="C184" s="32">
        <v>55</v>
      </c>
      <c r="D184" s="33">
        <v>0.44</v>
      </c>
      <c r="E184" s="33">
        <v>0.54600000000000004</v>
      </c>
      <c r="F184" s="33">
        <v>0.72</v>
      </c>
      <c r="G184" s="33">
        <v>0.88</v>
      </c>
      <c r="H184" s="33">
        <v>0.99</v>
      </c>
      <c r="I184" s="33">
        <v>1.01</v>
      </c>
      <c r="J184" s="33">
        <v>0.96</v>
      </c>
      <c r="K184" s="33">
        <v>0.876</v>
      </c>
      <c r="L184" s="33">
        <v>0.73</v>
      </c>
      <c r="M184" s="33">
        <v>0.56999999999999995</v>
      </c>
      <c r="N184" s="33">
        <v>0.45</v>
      </c>
      <c r="O184" s="33">
        <v>0.4</v>
      </c>
      <c r="P184" s="34">
        <f t="shared" si="9"/>
        <v>0.71433333333333326</v>
      </c>
    </row>
    <row r="185" spans="1:16" x14ac:dyDescent="0.25">
      <c r="A185" s="169">
        <f t="shared" si="8"/>
        <v>9.6</v>
      </c>
      <c r="B185" s="166">
        <v>9</v>
      </c>
      <c r="C185" s="32">
        <v>60</v>
      </c>
      <c r="D185" s="33">
        <v>0.36</v>
      </c>
      <c r="E185" s="33">
        <v>0.49</v>
      </c>
      <c r="F185" s="33">
        <v>0.66</v>
      </c>
      <c r="G185" s="33">
        <v>0.83</v>
      </c>
      <c r="H185" s="33">
        <v>0.95</v>
      </c>
      <c r="I185" s="33">
        <v>0.97</v>
      </c>
      <c r="J185" s="33">
        <v>0.92</v>
      </c>
      <c r="K185" s="33">
        <v>0.82</v>
      </c>
      <c r="L185" s="33">
        <v>0.67</v>
      </c>
      <c r="M185" s="33">
        <v>0.51</v>
      </c>
      <c r="N185" s="33">
        <v>0.38</v>
      </c>
      <c r="O185" s="33">
        <v>0.32</v>
      </c>
      <c r="P185" s="34">
        <f t="shared" si="9"/>
        <v>0.65666666666666662</v>
      </c>
    </row>
    <row r="186" spans="1:16" x14ac:dyDescent="0.25">
      <c r="A186" s="169">
        <f t="shared" si="8"/>
        <v>9.65</v>
      </c>
      <c r="B186" s="166">
        <v>9</v>
      </c>
      <c r="C186" s="32">
        <v>65</v>
      </c>
      <c r="D186" s="33">
        <v>0.28999999999999998</v>
      </c>
      <c r="E186" s="33">
        <v>0.42</v>
      </c>
      <c r="F186" s="33">
        <v>0.59</v>
      </c>
      <c r="G186" s="33">
        <v>0.77</v>
      </c>
      <c r="H186" s="33">
        <v>0.9</v>
      </c>
      <c r="I186" s="33">
        <v>0.93</v>
      </c>
      <c r="J186" s="33">
        <v>0.87</v>
      </c>
      <c r="K186" s="33">
        <v>0.76</v>
      </c>
      <c r="L186" s="33">
        <v>0.61</v>
      </c>
      <c r="M186" s="33">
        <v>0.44</v>
      </c>
      <c r="N186" s="33">
        <v>0.3</v>
      </c>
      <c r="O186" s="33">
        <v>0.24</v>
      </c>
      <c r="P186" s="34">
        <f t="shared" si="9"/>
        <v>0.59333333333333338</v>
      </c>
    </row>
    <row r="187" spans="1:16" x14ac:dyDescent="0.25">
      <c r="A187" s="169">
        <f t="shared" si="8"/>
        <v>9.6999999999999993</v>
      </c>
      <c r="B187" s="166">
        <v>9</v>
      </c>
      <c r="C187" s="32">
        <v>70</v>
      </c>
      <c r="D187" s="33">
        <v>0.2</v>
      </c>
      <c r="E187" s="33">
        <v>0.34</v>
      </c>
      <c r="F187" s="33">
        <v>0.52</v>
      </c>
      <c r="G187" s="33">
        <v>0.71</v>
      </c>
      <c r="H187" s="33">
        <v>0.84</v>
      </c>
      <c r="I187" s="33">
        <v>0.88</v>
      </c>
      <c r="J187" s="33">
        <v>0.82</v>
      </c>
      <c r="K187" s="33">
        <v>0.71</v>
      </c>
      <c r="L187" s="33">
        <v>0.54</v>
      </c>
      <c r="M187" s="33">
        <v>0.36</v>
      </c>
      <c r="N187" s="33">
        <v>0.22</v>
      </c>
      <c r="O187" s="33">
        <v>0.16</v>
      </c>
      <c r="P187" s="34">
        <f t="shared" si="9"/>
        <v>0.52500000000000002</v>
      </c>
    </row>
    <row r="188" spans="1:16" x14ac:dyDescent="0.25">
      <c r="A188" s="169">
        <f t="shared" si="8"/>
        <v>9.75</v>
      </c>
      <c r="B188" s="166">
        <v>9</v>
      </c>
      <c r="C188" s="32">
        <v>75</v>
      </c>
      <c r="D188" s="33">
        <v>0.12</v>
      </c>
      <c r="E188" s="33">
        <v>0.26</v>
      </c>
      <c r="F188" s="33">
        <v>0.45</v>
      </c>
      <c r="G188" s="33">
        <v>0.65</v>
      </c>
      <c r="H188" s="33">
        <v>0.78</v>
      </c>
      <c r="I188" s="33">
        <v>0.82</v>
      </c>
      <c r="J188" s="33">
        <v>0.76</v>
      </c>
      <c r="K188" s="33">
        <v>0.64</v>
      </c>
      <c r="L188" s="33">
        <v>0.47</v>
      </c>
      <c r="M188" s="33">
        <v>0.28999999999999998</v>
      </c>
      <c r="N188" s="33">
        <v>0.14000000000000001</v>
      </c>
      <c r="O188" s="33">
        <v>0.11</v>
      </c>
      <c r="P188" s="34">
        <f t="shared" si="9"/>
        <v>0.45749999999999996</v>
      </c>
    </row>
    <row r="189" spans="1:16" x14ac:dyDescent="0.25">
      <c r="A189" s="169">
        <f t="shared" si="8"/>
        <v>9.8000000000000007</v>
      </c>
      <c r="B189" s="166">
        <v>9</v>
      </c>
      <c r="C189" s="32">
        <v>80</v>
      </c>
      <c r="D189" s="33">
        <v>0.1</v>
      </c>
      <c r="E189" s="33">
        <v>0.18</v>
      </c>
      <c r="F189" s="33">
        <v>0.38</v>
      </c>
      <c r="G189" s="33">
        <v>0.57999999999999996</v>
      </c>
      <c r="H189" s="33">
        <v>0.72</v>
      </c>
      <c r="I189" s="33">
        <v>0.76</v>
      </c>
      <c r="J189" s="33">
        <v>0.7</v>
      </c>
      <c r="K189" s="33">
        <v>0.57999999999999996</v>
      </c>
      <c r="L189" s="33">
        <v>0.4</v>
      </c>
      <c r="M189" s="33">
        <v>0.21</v>
      </c>
      <c r="N189" s="33">
        <v>0.11</v>
      </c>
      <c r="O189" s="33">
        <v>0.1</v>
      </c>
      <c r="P189" s="34">
        <f t="shared" si="9"/>
        <v>0.40166666666666667</v>
      </c>
    </row>
    <row r="190" spans="1:16" x14ac:dyDescent="0.25">
      <c r="A190" s="169">
        <f t="shared" ref="A190:A253" si="10">B190+(C190/100)</f>
        <v>9.85</v>
      </c>
      <c r="B190" s="166">
        <v>9</v>
      </c>
      <c r="C190" s="32">
        <v>85</v>
      </c>
      <c r="D190" s="33">
        <v>0.09</v>
      </c>
      <c r="E190" s="33">
        <v>0.1</v>
      </c>
      <c r="F190" s="33">
        <v>0.3</v>
      </c>
      <c r="G190" s="33">
        <v>0.5</v>
      </c>
      <c r="H190" s="33">
        <v>0.65</v>
      </c>
      <c r="I190" s="33">
        <v>0.69</v>
      </c>
      <c r="J190" s="33">
        <v>0.64</v>
      </c>
      <c r="K190" s="33">
        <v>0.51</v>
      </c>
      <c r="L190" s="33">
        <v>0.33</v>
      </c>
      <c r="M190" s="33">
        <v>0.13</v>
      </c>
      <c r="N190" s="33">
        <v>0.1</v>
      </c>
      <c r="O190" s="33">
        <v>0.09</v>
      </c>
      <c r="P190" s="34">
        <f t="shared" si="9"/>
        <v>0.34416666666666668</v>
      </c>
    </row>
    <row r="191" spans="1:16" x14ac:dyDescent="0.25">
      <c r="A191" s="169">
        <f t="shared" si="10"/>
        <v>9.9</v>
      </c>
      <c r="B191" s="166">
        <v>9</v>
      </c>
      <c r="C191" s="32">
        <v>90</v>
      </c>
      <c r="D191" s="33">
        <v>0.08</v>
      </c>
      <c r="E191" s="33">
        <v>0.08</v>
      </c>
      <c r="F191" s="33">
        <v>0.22</v>
      </c>
      <c r="G191" s="33">
        <v>0.43</v>
      </c>
      <c r="H191" s="33">
        <v>0.57999999999999996</v>
      </c>
      <c r="I191" s="33">
        <v>0.62</v>
      </c>
      <c r="J191" s="33">
        <v>0.56999999999999995</v>
      </c>
      <c r="K191" s="33">
        <v>0.44</v>
      </c>
      <c r="L191" s="33">
        <v>0.25</v>
      </c>
      <c r="M191" s="33">
        <v>0.11</v>
      </c>
      <c r="N191" s="33">
        <v>0.09</v>
      </c>
      <c r="O191" s="33">
        <v>0.08</v>
      </c>
      <c r="P191" s="34">
        <f t="shared" si="9"/>
        <v>0.29583333333333334</v>
      </c>
    </row>
    <row r="192" spans="1:16" x14ac:dyDescent="0.25">
      <c r="A192" s="169">
        <f t="shared" si="10"/>
        <v>10</v>
      </c>
      <c r="B192" s="166">
        <v>10</v>
      </c>
      <c r="C192" s="32">
        <v>0</v>
      </c>
      <c r="D192" s="33">
        <v>1</v>
      </c>
      <c r="E192" s="33">
        <v>1</v>
      </c>
      <c r="F192" s="33">
        <v>1</v>
      </c>
      <c r="G192" s="33">
        <v>1</v>
      </c>
      <c r="H192" s="33">
        <v>1</v>
      </c>
      <c r="I192" s="33">
        <v>1</v>
      </c>
      <c r="J192" s="33">
        <v>1</v>
      </c>
      <c r="K192" s="33">
        <v>1</v>
      </c>
      <c r="L192" s="33">
        <v>1</v>
      </c>
      <c r="M192" s="33">
        <v>1</v>
      </c>
      <c r="N192" s="33">
        <v>1</v>
      </c>
      <c r="O192" s="33">
        <v>1</v>
      </c>
      <c r="P192" s="34">
        <f t="shared" si="9"/>
        <v>1</v>
      </c>
    </row>
    <row r="193" spans="1:16" x14ac:dyDescent="0.25">
      <c r="A193" s="169">
        <f t="shared" si="10"/>
        <v>10.050000000000001</v>
      </c>
      <c r="B193" s="166">
        <v>10</v>
      </c>
      <c r="C193" s="32">
        <v>5</v>
      </c>
      <c r="D193" s="33">
        <v>0.98</v>
      </c>
      <c r="E193" s="33">
        <v>0.99</v>
      </c>
      <c r="F193" s="33">
        <v>1.01</v>
      </c>
      <c r="G193" s="33">
        <v>1.03</v>
      </c>
      <c r="H193" s="33">
        <v>1.04</v>
      </c>
      <c r="I193" s="33">
        <v>1.04</v>
      </c>
      <c r="J193" s="33">
        <v>1.03</v>
      </c>
      <c r="K193" s="33">
        <v>1.02</v>
      </c>
      <c r="L193" s="33">
        <v>1.01</v>
      </c>
      <c r="M193" s="33">
        <v>0.99</v>
      </c>
      <c r="N193" s="33">
        <v>0.98</v>
      </c>
      <c r="O193" s="33">
        <v>0.98</v>
      </c>
      <c r="P193" s="34">
        <f t="shared" si="9"/>
        <v>1.0083333333333335</v>
      </c>
    </row>
    <row r="194" spans="1:16" x14ac:dyDescent="0.25">
      <c r="A194" s="169">
        <f t="shared" si="10"/>
        <v>10.1</v>
      </c>
      <c r="B194" s="166">
        <v>10</v>
      </c>
      <c r="C194" s="32">
        <v>10</v>
      </c>
      <c r="D194" s="33">
        <v>0.95</v>
      </c>
      <c r="E194" s="33">
        <v>0.98</v>
      </c>
      <c r="F194" s="33">
        <v>1.01</v>
      </c>
      <c r="G194" s="33">
        <v>1.04</v>
      </c>
      <c r="H194" s="33">
        <v>1.06</v>
      </c>
      <c r="I194" s="33">
        <v>1.07</v>
      </c>
      <c r="J194" s="33">
        <v>1.05</v>
      </c>
      <c r="K194" s="33">
        <v>1.04</v>
      </c>
      <c r="L194" s="33">
        <v>1.01</v>
      </c>
      <c r="M194" s="33">
        <v>0.98</v>
      </c>
      <c r="N194" s="33">
        <v>0.95</v>
      </c>
      <c r="O194" s="33">
        <v>0.94</v>
      </c>
      <c r="P194" s="34">
        <f t="shared" si="9"/>
        <v>1.0066666666666666</v>
      </c>
    </row>
    <row r="195" spans="1:16" x14ac:dyDescent="0.25">
      <c r="A195" s="169">
        <f t="shared" si="10"/>
        <v>10.15</v>
      </c>
      <c r="B195" s="166">
        <v>10</v>
      </c>
      <c r="C195" s="32">
        <v>15</v>
      </c>
      <c r="D195" s="33">
        <v>0.92</v>
      </c>
      <c r="E195" s="33">
        <v>0.96</v>
      </c>
      <c r="F195" s="33">
        <v>1.01</v>
      </c>
      <c r="G195" s="33">
        <v>1.05</v>
      </c>
      <c r="H195" s="33">
        <v>1.0900000000000001</v>
      </c>
      <c r="I195" s="33">
        <v>1.0900000000000001</v>
      </c>
      <c r="J195" s="33">
        <v>1.07</v>
      </c>
      <c r="K195" s="33">
        <v>1.04</v>
      </c>
      <c r="L195" s="33">
        <v>1</v>
      </c>
      <c r="M195" s="33">
        <v>0.96</v>
      </c>
      <c r="N195" s="33">
        <v>0.92</v>
      </c>
      <c r="O195" s="33">
        <v>0.91</v>
      </c>
      <c r="P195" s="34">
        <f t="shared" si="9"/>
        <v>1.0016666666666667</v>
      </c>
    </row>
    <row r="196" spans="1:16" x14ac:dyDescent="0.25">
      <c r="A196" s="169">
        <f t="shared" si="10"/>
        <v>10.199999999999999</v>
      </c>
      <c r="B196" s="166">
        <v>10</v>
      </c>
      <c r="C196" s="32">
        <v>20</v>
      </c>
      <c r="D196" s="33">
        <v>0.88</v>
      </c>
      <c r="E196" s="33">
        <v>0.93</v>
      </c>
      <c r="F196" s="33">
        <v>0.99</v>
      </c>
      <c r="G196" s="33">
        <v>1.06</v>
      </c>
      <c r="H196" s="33">
        <v>1.1000000000000001</v>
      </c>
      <c r="I196" s="33">
        <v>1.1100000000000001</v>
      </c>
      <c r="J196" s="33">
        <v>1.08</v>
      </c>
      <c r="K196" s="33">
        <v>1.04</v>
      </c>
      <c r="L196" s="33">
        <v>0.99</v>
      </c>
      <c r="M196" s="33">
        <v>0.94</v>
      </c>
      <c r="N196" s="33">
        <v>0.88</v>
      </c>
      <c r="O196" s="33">
        <v>0.86</v>
      </c>
      <c r="P196" s="34">
        <f t="shared" si="9"/>
        <v>0.9883333333333334</v>
      </c>
    </row>
    <row r="197" spans="1:16" x14ac:dyDescent="0.25">
      <c r="A197" s="169">
        <f t="shared" si="10"/>
        <v>10.25</v>
      </c>
      <c r="B197" s="166">
        <v>10</v>
      </c>
      <c r="C197" s="32">
        <v>25</v>
      </c>
      <c r="D197" s="33">
        <v>0.83</v>
      </c>
      <c r="E197" s="33">
        <v>0.89</v>
      </c>
      <c r="F197" s="33">
        <v>0.98</v>
      </c>
      <c r="G197" s="33">
        <v>1.06</v>
      </c>
      <c r="H197" s="33">
        <v>1.1100000000000001</v>
      </c>
      <c r="I197" s="33">
        <v>1.1100000000000001</v>
      </c>
      <c r="J197" s="33">
        <v>1.0900000000000001</v>
      </c>
      <c r="K197" s="33">
        <v>1.04</v>
      </c>
      <c r="L197" s="33">
        <v>0.97</v>
      </c>
      <c r="M197" s="33">
        <v>0.9</v>
      </c>
      <c r="N197" s="33">
        <v>0.84</v>
      </c>
      <c r="O197" s="33">
        <v>0.81</v>
      </c>
      <c r="P197" s="34">
        <f t="shared" si="9"/>
        <v>0.96916666666666673</v>
      </c>
    </row>
    <row r="198" spans="1:16" x14ac:dyDescent="0.25">
      <c r="A198" s="169">
        <f t="shared" si="10"/>
        <v>10.3</v>
      </c>
      <c r="B198" s="166">
        <v>10</v>
      </c>
      <c r="C198" s="32">
        <v>30</v>
      </c>
      <c r="D198" s="33">
        <v>0.78</v>
      </c>
      <c r="E198" s="33">
        <v>0.85</v>
      </c>
      <c r="F198" s="33">
        <v>0.95</v>
      </c>
      <c r="G198" s="33">
        <v>1.05</v>
      </c>
      <c r="H198" s="33">
        <v>1.1100000000000001</v>
      </c>
      <c r="I198" s="33">
        <v>1.1200000000000001</v>
      </c>
      <c r="J198" s="33">
        <v>1.08</v>
      </c>
      <c r="K198" s="33">
        <v>1.03</v>
      </c>
      <c r="L198" s="33">
        <v>0.95</v>
      </c>
      <c r="M198" s="33">
        <v>0.87</v>
      </c>
      <c r="N198" s="33">
        <v>0.79</v>
      </c>
      <c r="O198" s="33">
        <v>0.76</v>
      </c>
      <c r="P198" s="34">
        <f t="shared" si="9"/>
        <v>0.94499999999999984</v>
      </c>
    </row>
    <row r="199" spans="1:16" x14ac:dyDescent="0.25">
      <c r="A199" s="169">
        <f t="shared" si="10"/>
        <v>10.35</v>
      </c>
      <c r="B199" s="166">
        <v>10</v>
      </c>
      <c r="C199" s="32">
        <v>35</v>
      </c>
      <c r="D199" s="33">
        <v>0.73</v>
      </c>
      <c r="E199" s="33">
        <v>0.81</v>
      </c>
      <c r="F199" s="33">
        <v>0.92</v>
      </c>
      <c r="G199" s="33">
        <v>1.03</v>
      </c>
      <c r="H199" s="33">
        <v>1.1000000000000001</v>
      </c>
      <c r="I199" s="33">
        <v>1.1100000000000001</v>
      </c>
      <c r="J199" s="33">
        <v>1.08</v>
      </c>
      <c r="K199" s="33">
        <v>1.01</v>
      </c>
      <c r="L199" s="33">
        <v>0.92</v>
      </c>
      <c r="M199" s="33">
        <v>0.82</v>
      </c>
      <c r="N199" s="33">
        <v>0.73</v>
      </c>
      <c r="O199" s="33">
        <v>0.7</v>
      </c>
      <c r="P199" s="34">
        <f t="shared" si="9"/>
        <v>0.91333333333333344</v>
      </c>
    </row>
    <row r="200" spans="1:16" x14ac:dyDescent="0.25">
      <c r="A200" s="169">
        <f t="shared" si="10"/>
        <v>10.4</v>
      </c>
      <c r="B200" s="166">
        <v>10</v>
      </c>
      <c r="C200" s="32">
        <v>40</v>
      </c>
      <c r="D200" s="33">
        <v>0.66</v>
      </c>
      <c r="E200" s="33">
        <v>0.76</v>
      </c>
      <c r="F200" s="33">
        <v>0.88</v>
      </c>
      <c r="G200" s="33">
        <v>1</v>
      </c>
      <c r="H200" s="33">
        <v>1.0900000000000001</v>
      </c>
      <c r="I200" s="33">
        <v>1.1000000000000001</v>
      </c>
      <c r="J200" s="33">
        <v>1.06</v>
      </c>
      <c r="K200" s="33">
        <v>0.99</v>
      </c>
      <c r="L200" s="33">
        <v>0.88</v>
      </c>
      <c r="M200" s="33">
        <v>0.77</v>
      </c>
      <c r="N200" s="33">
        <v>0.67</v>
      </c>
      <c r="O200" s="33">
        <v>0.63</v>
      </c>
      <c r="P200" s="34">
        <f t="shared" si="9"/>
        <v>0.87416666666666687</v>
      </c>
    </row>
    <row r="201" spans="1:16" x14ac:dyDescent="0.25">
      <c r="A201" s="169">
        <f t="shared" si="10"/>
        <v>10.45</v>
      </c>
      <c r="B201" s="166">
        <v>10</v>
      </c>
      <c r="C201" s="32">
        <v>45</v>
      </c>
      <c r="D201" s="33">
        <v>0.6</v>
      </c>
      <c r="E201" s="33">
        <v>0.7</v>
      </c>
      <c r="F201" s="33">
        <v>0.84</v>
      </c>
      <c r="G201" s="33">
        <v>0.97</v>
      </c>
      <c r="H201" s="33">
        <v>1.07</v>
      </c>
      <c r="I201" s="33">
        <v>1.08</v>
      </c>
      <c r="J201" s="33">
        <v>1.04</v>
      </c>
      <c r="K201" s="33">
        <v>0.95</v>
      </c>
      <c r="L201" s="33">
        <v>0.84</v>
      </c>
      <c r="M201" s="33">
        <v>0.72</v>
      </c>
      <c r="N201" s="33">
        <v>0.61</v>
      </c>
      <c r="O201" s="33">
        <v>0.56000000000000005</v>
      </c>
      <c r="P201" s="34">
        <f t="shared" si="9"/>
        <v>0.83166666666666667</v>
      </c>
    </row>
    <row r="202" spans="1:16" x14ac:dyDescent="0.25">
      <c r="A202" s="169">
        <f t="shared" si="10"/>
        <v>10.5</v>
      </c>
      <c r="B202" s="166">
        <v>10</v>
      </c>
      <c r="C202" s="32">
        <v>50</v>
      </c>
      <c r="D202" s="33">
        <v>0.53</v>
      </c>
      <c r="E202" s="33">
        <v>0.64</v>
      </c>
      <c r="F202" s="33">
        <v>0.79</v>
      </c>
      <c r="G202" s="33">
        <v>0.94</v>
      </c>
      <c r="H202" s="33">
        <v>1.04</v>
      </c>
      <c r="I202" s="33">
        <v>1.06</v>
      </c>
      <c r="J202" s="33">
        <v>1.01</v>
      </c>
      <c r="K202" s="33">
        <v>0.92</v>
      </c>
      <c r="L202" s="33">
        <v>0.79</v>
      </c>
      <c r="M202" s="33">
        <v>0.66</v>
      </c>
      <c r="N202" s="33">
        <v>0.54</v>
      </c>
      <c r="O202" s="33">
        <v>0.49</v>
      </c>
      <c r="P202" s="34">
        <f t="shared" si="9"/>
        <v>0.78416666666666657</v>
      </c>
    </row>
    <row r="203" spans="1:16" x14ac:dyDescent="0.25">
      <c r="A203" s="169">
        <f t="shared" si="10"/>
        <v>10.55</v>
      </c>
      <c r="B203" s="166">
        <v>10</v>
      </c>
      <c r="C203" s="32">
        <v>55</v>
      </c>
      <c r="D203" s="33">
        <v>0.45</v>
      </c>
      <c r="E203" s="33">
        <v>0.56999999999999995</v>
      </c>
      <c r="F203" s="33">
        <v>0.73</v>
      </c>
      <c r="G203" s="33">
        <v>0.89</v>
      </c>
      <c r="H203" s="33">
        <v>1</v>
      </c>
      <c r="I203" s="33">
        <v>1.02</v>
      </c>
      <c r="J203" s="33">
        <v>0.97</v>
      </c>
      <c r="K203" s="33">
        <v>0.88</v>
      </c>
      <c r="L203" s="33">
        <v>0.74</v>
      </c>
      <c r="M203" s="33">
        <v>0.6</v>
      </c>
      <c r="N203" s="33">
        <v>0.46</v>
      </c>
      <c r="O203" s="33">
        <v>0.41</v>
      </c>
      <c r="P203" s="34">
        <f t="shared" si="9"/>
        <v>0.72666666666666668</v>
      </c>
    </row>
    <row r="204" spans="1:16" x14ac:dyDescent="0.25">
      <c r="A204" s="169">
        <f t="shared" si="10"/>
        <v>10.6</v>
      </c>
      <c r="B204" s="166">
        <v>10</v>
      </c>
      <c r="C204" s="32">
        <v>60</v>
      </c>
      <c r="D204" s="33">
        <v>0.38</v>
      </c>
      <c r="E204" s="33">
        <v>0.5</v>
      </c>
      <c r="F204" s="33">
        <v>0.67</v>
      </c>
      <c r="G204" s="33">
        <v>0.84</v>
      </c>
      <c r="H204" s="33">
        <v>0.96</v>
      </c>
      <c r="I204" s="33">
        <v>0.99</v>
      </c>
      <c r="J204" s="33">
        <v>0.93</v>
      </c>
      <c r="K204" s="33">
        <v>0.83</v>
      </c>
      <c r="L204" s="33">
        <v>0.68</v>
      </c>
      <c r="M204" s="33">
        <v>0.53</v>
      </c>
      <c r="N204" s="33">
        <v>0.39</v>
      </c>
      <c r="O204" s="33">
        <v>0.34</v>
      </c>
      <c r="P204" s="34">
        <f t="shared" si="9"/>
        <v>0.66999999999999993</v>
      </c>
    </row>
    <row r="205" spans="1:16" x14ac:dyDescent="0.25">
      <c r="A205" s="169">
        <f t="shared" si="10"/>
        <v>10.65</v>
      </c>
      <c r="B205" s="166">
        <v>10</v>
      </c>
      <c r="C205" s="32">
        <v>65</v>
      </c>
      <c r="D205" s="33">
        <v>0.3</v>
      </c>
      <c r="E205" s="33">
        <v>0.43</v>
      </c>
      <c r="F205" s="33">
        <v>0.61</v>
      </c>
      <c r="G205" s="33">
        <v>0.79</v>
      </c>
      <c r="H205" s="33">
        <v>0.91</v>
      </c>
      <c r="I205" s="33">
        <v>0.94</v>
      </c>
      <c r="J205" s="33">
        <v>0.89</v>
      </c>
      <c r="K205" s="33">
        <v>0.78</v>
      </c>
      <c r="L205" s="33">
        <v>0.62</v>
      </c>
      <c r="M205" s="33">
        <v>0.46</v>
      </c>
      <c r="N205" s="33">
        <v>0.31</v>
      </c>
      <c r="O205" s="33">
        <v>0.26</v>
      </c>
      <c r="P205" s="34">
        <f t="shared" si="9"/>
        <v>0.60833333333333328</v>
      </c>
    </row>
    <row r="206" spans="1:16" x14ac:dyDescent="0.25">
      <c r="A206" s="169">
        <f t="shared" si="10"/>
        <v>10.7</v>
      </c>
      <c r="B206" s="166">
        <v>10</v>
      </c>
      <c r="C206" s="32">
        <v>70</v>
      </c>
      <c r="D206" s="33">
        <v>0.22</v>
      </c>
      <c r="E206" s="33">
        <v>0.35</v>
      </c>
      <c r="F206" s="33">
        <v>0.54</v>
      </c>
      <c r="G206" s="33">
        <v>0.73</v>
      </c>
      <c r="H206" s="33">
        <v>0.86</v>
      </c>
      <c r="I206" s="33">
        <v>0.89</v>
      </c>
      <c r="J206" s="33">
        <v>0.83</v>
      </c>
      <c r="K206" s="33">
        <v>0.72</v>
      </c>
      <c r="L206" s="33">
        <v>0.55000000000000004</v>
      </c>
      <c r="M206" s="33">
        <v>0.39</v>
      </c>
      <c r="N206" s="33">
        <v>0.23</v>
      </c>
      <c r="O206" s="33">
        <v>0.17</v>
      </c>
      <c r="P206" s="34">
        <f t="shared" si="9"/>
        <v>0.53999999999999992</v>
      </c>
    </row>
    <row r="207" spans="1:16" x14ac:dyDescent="0.25">
      <c r="A207" s="169">
        <f t="shared" si="10"/>
        <v>10.75</v>
      </c>
      <c r="B207" s="166">
        <v>10</v>
      </c>
      <c r="C207" s="32">
        <v>75</v>
      </c>
      <c r="D207" s="33">
        <v>0.14000000000000001</v>
      </c>
      <c r="E207" s="33">
        <v>0.28000000000000003</v>
      </c>
      <c r="F207" s="33">
        <v>0.47</v>
      </c>
      <c r="G207" s="33">
        <v>0.66</v>
      </c>
      <c r="H207" s="33">
        <v>0.8</v>
      </c>
      <c r="I207" s="33">
        <v>0.84</v>
      </c>
      <c r="J207" s="33">
        <v>0.78</v>
      </c>
      <c r="K207" s="33">
        <v>0.66</v>
      </c>
      <c r="L207" s="33">
        <v>0.49</v>
      </c>
      <c r="M207" s="33">
        <v>0.31</v>
      </c>
      <c r="N207" s="33">
        <v>0.15</v>
      </c>
      <c r="O207" s="33">
        <v>0.11</v>
      </c>
      <c r="P207" s="34">
        <f t="shared" si="9"/>
        <v>0.47416666666666668</v>
      </c>
    </row>
    <row r="208" spans="1:16" x14ac:dyDescent="0.25">
      <c r="A208" s="169">
        <f t="shared" si="10"/>
        <v>10.8</v>
      </c>
      <c r="B208" s="166">
        <v>10</v>
      </c>
      <c r="C208" s="32">
        <v>80</v>
      </c>
      <c r="D208" s="33">
        <v>0.09</v>
      </c>
      <c r="E208" s="33">
        <v>0.2</v>
      </c>
      <c r="F208" s="33">
        <v>0.39</v>
      </c>
      <c r="G208" s="33">
        <v>0.59</v>
      </c>
      <c r="H208" s="33">
        <v>0.74</v>
      </c>
      <c r="I208" s="33">
        <v>0.77</v>
      </c>
      <c r="J208" s="33">
        <v>0.72</v>
      </c>
      <c r="K208" s="33">
        <v>0.59</v>
      </c>
      <c r="L208" s="33">
        <v>0.41</v>
      </c>
      <c r="M208" s="33">
        <v>0.24</v>
      </c>
      <c r="N208" s="33">
        <v>0.11</v>
      </c>
      <c r="O208" s="33">
        <v>0.1</v>
      </c>
      <c r="P208" s="34">
        <f t="shared" si="9"/>
        <v>0.41250000000000003</v>
      </c>
    </row>
    <row r="209" spans="1:16" x14ac:dyDescent="0.25">
      <c r="A209" s="169">
        <f t="shared" si="10"/>
        <v>10.85</v>
      </c>
      <c r="B209" s="166">
        <v>10</v>
      </c>
      <c r="C209" s="32">
        <v>85</v>
      </c>
      <c r="D209" s="33">
        <v>0.09</v>
      </c>
      <c r="E209" s="33">
        <v>0.12</v>
      </c>
      <c r="F209" s="33">
        <v>0.32</v>
      </c>
      <c r="G209" s="33">
        <v>0.52</v>
      </c>
      <c r="H209" s="33">
        <v>0.67</v>
      </c>
      <c r="I209" s="33">
        <v>0.71</v>
      </c>
      <c r="J209" s="33">
        <v>0.65</v>
      </c>
      <c r="K209" s="33">
        <v>0.52</v>
      </c>
      <c r="L209" s="33">
        <v>0.34</v>
      </c>
      <c r="M209" s="33">
        <v>0.16</v>
      </c>
      <c r="N209" s="33">
        <v>0.1</v>
      </c>
      <c r="O209" s="33">
        <v>0.09</v>
      </c>
      <c r="P209" s="34">
        <f t="shared" si="9"/>
        <v>0.35749999999999993</v>
      </c>
    </row>
    <row r="210" spans="1:16" x14ac:dyDescent="0.25">
      <c r="A210" s="169">
        <f t="shared" si="10"/>
        <v>10.9</v>
      </c>
      <c r="B210" s="166">
        <v>10</v>
      </c>
      <c r="C210" s="32">
        <v>90</v>
      </c>
      <c r="D210" s="33">
        <v>0.08</v>
      </c>
      <c r="E210" s="33">
        <v>0.08</v>
      </c>
      <c r="F210" s="33">
        <v>0.24</v>
      </c>
      <c r="G210" s="33">
        <v>0.44</v>
      </c>
      <c r="H210" s="33">
        <v>0.6</v>
      </c>
      <c r="I210" s="33">
        <v>0.64</v>
      </c>
      <c r="J210" s="33">
        <v>0.57999999999999996</v>
      </c>
      <c r="K210" s="33">
        <v>0.45</v>
      </c>
      <c r="L210" s="33">
        <v>0.27</v>
      </c>
      <c r="M210" s="33">
        <v>0.11</v>
      </c>
      <c r="N210" s="33">
        <v>0.09</v>
      </c>
      <c r="O210" s="33">
        <v>0.08</v>
      </c>
      <c r="P210" s="34">
        <f t="shared" si="9"/>
        <v>0.30499999999999999</v>
      </c>
    </row>
    <row r="211" spans="1:16" x14ac:dyDescent="0.25">
      <c r="A211" s="169">
        <f t="shared" si="10"/>
        <v>11</v>
      </c>
      <c r="B211" s="166">
        <v>11</v>
      </c>
      <c r="C211" s="32">
        <v>0</v>
      </c>
      <c r="D211" s="33">
        <v>1</v>
      </c>
      <c r="E211" s="33">
        <v>1</v>
      </c>
      <c r="F211" s="33">
        <v>1</v>
      </c>
      <c r="G211" s="33">
        <v>1</v>
      </c>
      <c r="H211" s="33">
        <v>1</v>
      </c>
      <c r="I211" s="33">
        <v>1</v>
      </c>
      <c r="J211" s="33">
        <v>1</v>
      </c>
      <c r="K211" s="33">
        <v>1</v>
      </c>
      <c r="L211" s="33">
        <v>1</v>
      </c>
      <c r="M211" s="33">
        <v>1</v>
      </c>
      <c r="N211" s="33">
        <v>1</v>
      </c>
      <c r="O211" s="33">
        <v>1</v>
      </c>
      <c r="P211" s="34">
        <f t="shared" si="9"/>
        <v>1</v>
      </c>
    </row>
    <row r="212" spans="1:16" x14ac:dyDescent="0.25">
      <c r="A212" s="169">
        <f t="shared" si="10"/>
        <v>11.05</v>
      </c>
      <c r="B212" s="166">
        <v>11</v>
      </c>
      <c r="C212" s="32">
        <v>5</v>
      </c>
      <c r="D212" s="33">
        <v>0.98</v>
      </c>
      <c r="E212" s="33">
        <v>0.99</v>
      </c>
      <c r="F212" s="33">
        <v>1.01</v>
      </c>
      <c r="G212" s="33">
        <v>1.03</v>
      </c>
      <c r="H212" s="33">
        <v>1.04</v>
      </c>
      <c r="I212" s="33">
        <v>1.04</v>
      </c>
      <c r="J212" s="33">
        <v>1.03</v>
      </c>
      <c r="K212" s="33">
        <v>1.02</v>
      </c>
      <c r="L212" s="33">
        <v>1.01</v>
      </c>
      <c r="M212" s="33">
        <v>0.99</v>
      </c>
      <c r="N212" s="33">
        <v>0.98</v>
      </c>
      <c r="O212" s="33">
        <v>0.98</v>
      </c>
      <c r="P212" s="34">
        <f t="shared" si="9"/>
        <v>1.0083333333333335</v>
      </c>
    </row>
    <row r="213" spans="1:16" x14ac:dyDescent="0.25">
      <c r="A213" s="169">
        <f t="shared" si="10"/>
        <v>11.1</v>
      </c>
      <c r="B213" s="166">
        <v>11</v>
      </c>
      <c r="C213" s="32">
        <v>10</v>
      </c>
      <c r="D213" s="33">
        <v>0.96</v>
      </c>
      <c r="E213" s="33">
        <v>0.98</v>
      </c>
      <c r="F213" s="33">
        <v>1.01</v>
      </c>
      <c r="G213" s="33">
        <v>1.05</v>
      </c>
      <c r="H213" s="33">
        <v>1.07</v>
      </c>
      <c r="I213" s="33">
        <v>1.07</v>
      </c>
      <c r="J213" s="33">
        <v>1.06</v>
      </c>
      <c r="K213" s="33">
        <v>1.04</v>
      </c>
      <c r="L213" s="33">
        <v>1.01</v>
      </c>
      <c r="M213" s="33">
        <v>0.98</v>
      </c>
      <c r="N213" s="33">
        <v>0.96</v>
      </c>
      <c r="O213" s="33">
        <v>0.95</v>
      </c>
      <c r="P213" s="34">
        <f t="shared" si="9"/>
        <v>1.0116666666666667</v>
      </c>
    </row>
    <row r="214" spans="1:16" x14ac:dyDescent="0.25">
      <c r="A214" s="169">
        <f t="shared" si="10"/>
        <v>11.15</v>
      </c>
      <c r="B214" s="166">
        <v>11</v>
      </c>
      <c r="C214" s="32">
        <v>15</v>
      </c>
      <c r="D214" s="33">
        <v>0.92</v>
      </c>
      <c r="E214" s="33">
        <v>0.96</v>
      </c>
      <c r="F214" s="33">
        <v>1.01</v>
      </c>
      <c r="G214" s="33">
        <v>1.06</v>
      </c>
      <c r="H214" s="33">
        <v>1.0900000000000001</v>
      </c>
      <c r="I214" s="33">
        <v>1.0900000000000001</v>
      </c>
      <c r="J214" s="33">
        <v>1.08</v>
      </c>
      <c r="K214" s="33">
        <v>1.05</v>
      </c>
      <c r="L214" s="33">
        <v>1.01</v>
      </c>
      <c r="M214" s="33">
        <v>0.96</v>
      </c>
      <c r="N214" s="33">
        <v>0.93</v>
      </c>
      <c r="O214" s="33">
        <v>0.91</v>
      </c>
      <c r="P214" s="34">
        <f t="shared" si="9"/>
        <v>1.0058333333333334</v>
      </c>
    </row>
    <row r="215" spans="1:16" x14ac:dyDescent="0.25">
      <c r="A215" s="169">
        <f t="shared" si="10"/>
        <v>11.2</v>
      </c>
      <c r="B215" s="166">
        <v>11</v>
      </c>
      <c r="C215" s="32">
        <v>20</v>
      </c>
      <c r="D215" s="33">
        <v>0.89</v>
      </c>
      <c r="E215" s="33">
        <v>0.93</v>
      </c>
      <c r="F215" s="33">
        <v>1</v>
      </c>
      <c r="G215" s="33">
        <v>1.06</v>
      </c>
      <c r="H215" s="33">
        <v>1.1100000000000001</v>
      </c>
      <c r="I215" s="33">
        <v>1.1100000000000001</v>
      </c>
      <c r="J215" s="33">
        <v>1.0900000000000001</v>
      </c>
      <c r="K215" s="33">
        <v>1.05</v>
      </c>
      <c r="L215" s="33">
        <v>1</v>
      </c>
      <c r="M215" s="33">
        <v>0.94</v>
      </c>
      <c r="N215" s="33">
        <v>0.89</v>
      </c>
      <c r="O215" s="33">
        <v>0.87</v>
      </c>
      <c r="P215" s="34">
        <f t="shared" si="9"/>
        <v>0.995</v>
      </c>
    </row>
    <row r="216" spans="1:16" x14ac:dyDescent="0.25">
      <c r="A216" s="169">
        <f t="shared" si="10"/>
        <v>11.25</v>
      </c>
      <c r="B216" s="166">
        <v>11</v>
      </c>
      <c r="C216" s="32">
        <v>25</v>
      </c>
      <c r="D216" s="33">
        <v>0.84</v>
      </c>
      <c r="E216" s="33">
        <v>0.9</v>
      </c>
      <c r="F216" s="33">
        <v>0.98</v>
      </c>
      <c r="G216" s="33">
        <v>1.06</v>
      </c>
      <c r="H216" s="33">
        <v>1.1100000000000001</v>
      </c>
      <c r="I216" s="33">
        <v>1.1200000000000001</v>
      </c>
      <c r="J216" s="33">
        <v>1.0900000000000001</v>
      </c>
      <c r="K216" s="33">
        <v>1.05</v>
      </c>
      <c r="L216" s="33">
        <v>0.98</v>
      </c>
      <c r="M216" s="33">
        <v>0.9</v>
      </c>
      <c r="N216" s="33">
        <v>0.84</v>
      </c>
      <c r="O216" s="33">
        <v>0.82</v>
      </c>
      <c r="P216" s="34">
        <f t="shared" si="9"/>
        <v>0.97416666666666674</v>
      </c>
    </row>
    <row r="217" spans="1:16" x14ac:dyDescent="0.25">
      <c r="A217" s="169">
        <f t="shared" si="10"/>
        <v>11.3</v>
      </c>
      <c r="B217" s="166">
        <v>11</v>
      </c>
      <c r="C217" s="32">
        <v>30</v>
      </c>
      <c r="D217" s="33">
        <v>0.79</v>
      </c>
      <c r="E217" s="33">
        <v>0.86</v>
      </c>
      <c r="F217" s="33">
        <v>0.96</v>
      </c>
      <c r="G217" s="33">
        <v>1.05</v>
      </c>
      <c r="H217" s="33">
        <v>1.1200000000000001</v>
      </c>
      <c r="I217" s="33">
        <v>1.1200000000000001</v>
      </c>
      <c r="J217" s="33">
        <v>1.0900000000000001</v>
      </c>
      <c r="K217" s="33">
        <v>1.03</v>
      </c>
      <c r="L217" s="33">
        <v>0.95</v>
      </c>
      <c r="M217" s="33">
        <v>0.87</v>
      </c>
      <c r="N217" s="33">
        <v>0.8</v>
      </c>
      <c r="O217" s="33">
        <v>0.77</v>
      </c>
      <c r="P217" s="34">
        <f t="shared" si="9"/>
        <v>0.9508333333333332</v>
      </c>
    </row>
    <row r="218" spans="1:16" x14ac:dyDescent="0.25">
      <c r="A218" s="169">
        <f t="shared" si="10"/>
        <v>11.35</v>
      </c>
      <c r="B218" s="166">
        <v>11</v>
      </c>
      <c r="C218" s="32">
        <v>35</v>
      </c>
      <c r="D218" s="33">
        <v>0.73</v>
      </c>
      <c r="E218" s="33">
        <v>0.82</v>
      </c>
      <c r="F218" s="33">
        <v>0.93</v>
      </c>
      <c r="G218" s="33">
        <v>1.04</v>
      </c>
      <c r="H218" s="33">
        <v>1.1100000000000001</v>
      </c>
      <c r="I218" s="33">
        <v>1.1200000000000001</v>
      </c>
      <c r="J218" s="33">
        <v>1.08</v>
      </c>
      <c r="K218" s="33">
        <v>1.02</v>
      </c>
      <c r="L218" s="33">
        <v>0.92</v>
      </c>
      <c r="M218" s="33">
        <v>0.82</v>
      </c>
      <c r="N218" s="33">
        <v>0.74</v>
      </c>
      <c r="O218" s="33">
        <v>0.71</v>
      </c>
      <c r="P218" s="34">
        <f t="shared" si="9"/>
        <v>0.91999999999999993</v>
      </c>
    </row>
    <row r="219" spans="1:16" x14ac:dyDescent="0.25">
      <c r="A219" s="169">
        <f t="shared" si="10"/>
        <v>11.4</v>
      </c>
      <c r="B219" s="166">
        <v>11</v>
      </c>
      <c r="C219" s="32">
        <v>40</v>
      </c>
      <c r="D219" s="33">
        <v>0.67</v>
      </c>
      <c r="E219" s="33">
        <v>0.77</v>
      </c>
      <c r="F219" s="33">
        <v>0.89</v>
      </c>
      <c r="G219" s="33">
        <v>1.01</v>
      </c>
      <c r="H219" s="33">
        <v>1.1000000000000001</v>
      </c>
      <c r="I219" s="33">
        <v>1.1100000000000001</v>
      </c>
      <c r="J219" s="33">
        <v>1.07</v>
      </c>
      <c r="K219" s="33">
        <v>0.99</v>
      </c>
      <c r="L219" s="33">
        <v>0.89</v>
      </c>
      <c r="M219" s="33">
        <v>0.77</v>
      </c>
      <c r="N219" s="33">
        <v>0.68</v>
      </c>
      <c r="O219" s="33">
        <v>0.64</v>
      </c>
      <c r="P219" s="34">
        <f t="shared" si="9"/>
        <v>0.88249999999999995</v>
      </c>
    </row>
    <row r="220" spans="1:16" x14ac:dyDescent="0.25">
      <c r="A220" s="169">
        <f t="shared" si="10"/>
        <v>11.45</v>
      </c>
      <c r="B220" s="166">
        <v>11</v>
      </c>
      <c r="C220" s="32">
        <v>45</v>
      </c>
      <c r="D220" s="33">
        <v>0.61</v>
      </c>
      <c r="E220" s="33">
        <v>0.71</v>
      </c>
      <c r="F220" s="33">
        <v>0.85</v>
      </c>
      <c r="G220" s="33">
        <v>0.98</v>
      </c>
      <c r="H220" s="33">
        <v>1.08</v>
      </c>
      <c r="I220" s="33">
        <v>1.0900000000000001</v>
      </c>
      <c r="J220" s="33">
        <v>1.05</v>
      </c>
      <c r="K220" s="33">
        <v>0.96</v>
      </c>
      <c r="L220" s="33">
        <v>0.85</v>
      </c>
      <c r="M220" s="33">
        <v>0.72</v>
      </c>
      <c r="N220" s="33">
        <v>0.62</v>
      </c>
      <c r="O220" s="33">
        <v>0.56999999999999995</v>
      </c>
      <c r="P220" s="34">
        <f t="shared" si="9"/>
        <v>0.84083333333333332</v>
      </c>
    </row>
    <row r="221" spans="1:16" x14ac:dyDescent="0.25">
      <c r="A221" s="169">
        <f t="shared" si="10"/>
        <v>11.5</v>
      </c>
      <c r="B221" s="166">
        <v>11</v>
      </c>
      <c r="C221" s="32">
        <v>50</v>
      </c>
      <c r="D221" s="33">
        <v>0.54</v>
      </c>
      <c r="E221" s="33">
        <v>0.65</v>
      </c>
      <c r="F221" s="33">
        <v>0.8</v>
      </c>
      <c r="G221" s="33">
        <v>0.95</v>
      </c>
      <c r="H221" s="33">
        <v>1.05</v>
      </c>
      <c r="I221" s="33">
        <v>1.07</v>
      </c>
      <c r="J221" s="33">
        <v>1.02</v>
      </c>
      <c r="K221" s="33">
        <v>0.93</v>
      </c>
      <c r="L221" s="33">
        <v>0.8</v>
      </c>
      <c r="M221" s="33">
        <v>0.66</v>
      </c>
      <c r="N221" s="33">
        <v>0.55000000000000004</v>
      </c>
      <c r="O221" s="33">
        <v>0.5</v>
      </c>
      <c r="P221" s="34">
        <f t="shared" si="9"/>
        <v>0.79333333333333333</v>
      </c>
    </row>
    <row r="222" spans="1:16" x14ac:dyDescent="0.25">
      <c r="A222" s="169">
        <f t="shared" si="10"/>
        <v>11.55</v>
      </c>
      <c r="B222" s="166">
        <v>11</v>
      </c>
      <c r="C222" s="32">
        <v>55</v>
      </c>
      <c r="D222" s="33">
        <v>0.47</v>
      </c>
      <c r="E222" s="33">
        <v>0.57999999999999996</v>
      </c>
      <c r="F222" s="33">
        <v>0.74</v>
      </c>
      <c r="G222" s="33">
        <v>0.9</v>
      </c>
      <c r="H222" s="33">
        <v>1.01</v>
      </c>
      <c r="I222" s="33">
        <v>1.04</v>
      </c>
      <c r="J222" s="33">
        <v>0.98</v>
      </c>
      <c r="K222" s="33">
        <v>0.89</v>
      </c>
      <c r="L222" s="33">
        <v>0.75</v>
      </c>
      <c r="M222" s="33">
        <v>0.6</v>
      </c>
      <c r="N222" s="33">
        <v>0.48</v>
      </c>
      <c r="O222" s="33">
        <v>0.43</v>
      </c>
      <c r="P222" s="34">
        <f t="shared" si="9"/>
        <v>0.73916666666666664</v>
      </c>
    </row>
    <row r="223" spans="1:16" x14ac:dyDescent="0.25">
      <c r="A223" s="169">
        <f t="shared" si="10"/>
        <v>11.6</v>
      </c>
      <c r="B223" s="166">
        <v>11</v>
      </c>
      <c r="C223" s="32">
        <v>60</v>
      </c>
      <c r="D223" s="33">
        <v>0.39</v>
      </c>
      <c r="E223" s="33">
        <v>0.51</v>
      </c>
      <c r="F223" s="33">
        <v>0.68</v>
      </c>
      <c r="G223" s="33">
        <v>0.86</v>
      </c>
      <c r="H223" s="33">
        <v>0.97</v>
      </c>
      <c r="I223" s="33">
        <v>1</v>
      </c>
      <c r="J223" s="33">
        <v>0.94</v>
      </c>
      <c r="K223" s="33">
        <v>0.84</v>
      </c>
      <c r="L223" s="33">
        <v>0.69</v>
      </c>
      <c r="M223" s="33">
        <v>0.53</v>
      </c>
      <c r="N223" s="33">
        <v>0.4</v>
      </c>
      <c r="O223" s="33">
        <v>0.35</v>
      </c>
      <c r="P223" s="34">
        <f t="shared" si="9"/>
        <v>0.68</v>
      </c>
    </row>
    <row r="224" spans="1:16" x14ac:dyDescent="0.25">
      <c r="A224" s="169">
        <f t="shared" si="10"/>
        <v>11.65</v>
      </c>
      <c r="B224" s="166">
        <v>11</v>
      </c>
      <c r="C224" s="32">
        <v>65</v>
      </c>
      <c r="D224" s="33">
        <v>0.31</v>
      </c>
      <c r="E224" s="33">
        <v>0.44</v>
      </c>
      <c r="F224" s="33">
        <v>0.62</v>
      </c>
      <c r="G224" s="33">
        <v>0.8</v>
      </c>
      <c r="H224" s="33">
        <v>0.93</v>
      </c>
      <c r="I224" s="33">
        <v>0.95</v>
      </c>
      <c r="J224" s="33">
        <v>0.9</v>
      </c>
      <c r="K224" s="33">
        <v>0.79</v>
      </c>
      <c r="L224" s="33">
        <v>0.63</v>
      </c>
      <c r="M224" s="33">
        <v>0.46</v>
      </c>
      <c r="N224" s="33">
        <v>0.33</v>
      </c>
      <c r="O224" s="33">
        <v>0.27</v>
      </c>
      <c r="P224" s="34">
        <f t="shared" si="9"/>
        <v>0.61916666666666664</v>
      </c>
    </row>
    <row r="225" spans="1:16" x14ac:dyDescent="0.25">
      <c r="A225" s="169">
        <f t="shared" si="10"/>
        <v>11.7</v>
      </c>
      <c r="B225" s="166">
        <v>11</v>
      </c>
      <c r="C225" s="32">
        <v>70</v>
      </c>
      <c r="D225" s="33">
        <v>0.23</v>
      </c>
      <c r="E225" s="33">
        <v>0.37</v>
      </c>
      <c r="F225" s="33">
        <v>0.55000000000000004</v>
      </c>
      <c r="G225" s="33">
        <v>0.74</v>
      </c>
      <c r="H225" s="33">
        <v>0.87</v>
      </c>
      <c r="I225" s="33">
        <v>0.91</v>
      </c>
      <c r="J225" s="33">
        <v>0.85</v>
      </c>
      <c r="K225" s="33">
        <v>0.73</v>
      </c>
      <c r="L225" s="33">
        <v>0.56999999999999995</v>
      </c>
      <c r="M225" s="33">
        <v>0.39</v>
      </c>
      <c r="N225" s="33">
        <v>0.25</v>
      </c>
      <c r="O225" s="33">
        <v>0.19</v>
      </c>
      <c r="P225" s="34">
        <f t="shared" si="9"/>
        <v>0.5541666666666667</v>
      </c>
    </row>
    <row r="226" spans="1:16" x14ac:dyDescent="0.25">
      <c r="A226" s="169">
        <f t="shared" si="10"/>
        <v>11.75</v>
      </c>
      <c r="B226" s="166">
        <v>11</v>
      </c>
      <c r="C226" s="32">
        <v>75</v>
      </c>
      <c r="D226" s="33">
        <v>0.15</v>
      </c>
      <c r="E226" s="33">
        <v>0.28999999999999998</v>
      </c>
      <c r="F226" s="33">
        <v>0.48</v>
      </c>
      <c r="G226" s="33">
        <v>0.68</v>
      </c>
      <c r="H226" s="33">
        <v>0.82</v>
      </c>
      <c r="I226" s="33">
        <v>0.85</v>
      </c>
      <c r="J226" s="33">
        <v>0.79</v>
      </c>
      <c r="K226" s="33">
        <v>0.67</v>
      </c>
      <c r="L226" s="33">
        <v>0.5</v>
      </c>
      <c r="M226" s="33">
        <v>0.31</v>
      </c>
      <c r="N226" s="33">
        <v>0.17</v>
      </c>
      <c r="O226" s="33">
        <v>0.11</v>
      </c>
      <c r="P226" s="34">
        <f t="shared" si="9"/>
        <v>0.48500000000000004</v>
      </c>
    </row>
    <row r="227" spans="1:16" x14ac:dyDescent="0.25">
      <c r="A227" s="169">
        <f t="shared" si="10"/>
        <v>11.8</v>
      </c>
      <c r="B227" s="166">
        <v>11</v>
      </c>
      <c r="C227" s="32">
        <v>80</v>
      </c>
      <c r="D227" s="33">
        <v>0.09</v>
      </c>
      <c r="E227" s="33">
        <v>0.21</v>
      </c>
      <c r="F227" s="33">
        <v>0.41</v>
      </c>
      <c r="G227" s="33">
        <v>0.61</v>
      </c>
      <c r="H227" s="33">
        <v>0.75</v>
      </c>
      <c r="I227" s="33">
        <v>0.79</v>
      </c>
      <c r="J227" s="33">
        <v>0.73</v>
      </c>
      <c r="K227" s="33">
        <v>0.61</v>
      </c>
      <c r="L227" s="33">
        <v>0.43</v>
      </c>
      <c r="M227" s="33">
        <v>0.24</v>
      </c>
      <c r="N227" s="33">
        <v>11</v>
      </c>
      <c r="O227" s="33">
        <v>0.1</v>
      </c>
      <c r="P227" s="34">
        <f t="shared" si="9"/>
        <v>1.3308333333333333</v>
      </c>
    </row>
    <row r="228" spans="1:16" x14ac:dyDescent="0.25">
      <c r="A228" s="169">
        <f t="shared" si="10"/>
        <v>11.85</v>
      </c>
      <c r="B228" s="166">
        <v>11</v>
      </c>
      <c r="C228" s="32">
        <v>85</v>
      </c>
      <c r="D228" s="33">
        <v>0.09</v>
      </c>
      <c r="E228" s="33">
        <v>0.13</v>
      </c>
      <c r="F228" s="33">
        <v>0.33</v>
      </c>
      <c r="G228" s="33">
        <v>0.54</v>
      </c>
      <c r="H228" s="33">
        <v>0.69</v>
      </c>
      <c r="I228" s="33">
        <v>0.73</v>
      </c>
      <c r="J228" s="33">
        <v>0.67</v>
      </c>
      <c r="K228" s="33">
        <v>0.54</v>
      </c>
      <c r="L228" s="33">
        <v>0.35</v>
      </c>
      <c r="M228" s="33">
        <v>0.16</v>
      </c>
      <c r="N228" s="33">
        <v>0.1</v>
      </c>
      <c r="O228" s="33">
        <v>0.09</v>
      </c>
      <c r="P228" s="34">
        <f t="shared" si="9"/>
        <v>0.36833333333333323</v>
      </c>
    </row>
    <row r="229" spans="1:16" x14ac:dyDescent="0.25">
      <c r="A229" s="169">
        <f t="shared" si="10"/>
        <v>11.9</v>
      </c>
      <c r="B229" s="166">
        <v>11</v>
      </c>
      <c r="C229" s="32">
        <v>90</v>
      </c>
      <c r="D229" s="33">
        <v>0.08</v>
      </c>
      <c r="E229" s="33">
        <v>0.08</v>
      </c>
      <c r="F229" s="33">
        <v>0.25</v>
      </c>
      <c r="G229" s="33">
        <v>0.46</v>
      </c>
      <c r="H229" s="33">
        <v>0.61</v>
      </c>
      <c r="I229" s="33">
        <v>0.66</v>
      </c>
      <c r="J229" s="33">
        <v>0.6</v>
      </c>
      <c r="K229" s="33">
        <v>0.47</v>
      </c>
      <c r="L229" s="33">
        <v>0.28000000000000003</v>
      </c>
      <c r="M229" s="33">
        <v>0.11</v>
      </c>
      <c r="N229" s="33">
        <v>0.09</v>
      </c>
      <c r="O229" s="33">
        <v>0.08</v>
      </c>
      <c r="P229" s="34">
        <f t="shared" si="9"/>
        <v>0.31416666666666665</v>
      </c>
    </row>
    <row r="230" spans="1:16" x14ac:dyDescent="0.25">
      <c r="A230" s="169">
        <f t="shared" si="10"/>
        <v>12</v>
      </c>
      <c r="B230" s="166">
        <v>12</v>
      </c>
      <c r="C230" s="32">
        <v>0</v>
      </c>
      <c r="D230" s="33">
        <v>1</v>
      </c>
      <c r="E230" s="33">
        <v>1</v>
      </c>
      <c r="F230" s="33">
        <v>1</v>
      </c>
      <c r="G230" s="33">
        <v>1</v>
      </c>
      <c r="H230" s="33">
        <v>1</v>
      </c>
      <c r="I230" s="33">
        <v>1</v>
      </c>
      <c r="J230" s="33">
        <v>1</v>
      </c>
      <c r="K230" s="33">
        <v>1</v>
      </c>
      <c r="L230" s="33">
        <v>1</v>
      </c>
      <c r="M230" s="33">
        <v>1</v>
      </c>
      <c r="N230" s="33">
        <v>1</v>
      </c>
      <c r="O230" s="33">
        <v>1</v>
      </c>
      <c r="P230" s="34">
        <f t="shared" si="9"/>
        <v>1</v>
      </c>
    </row>
    <row r="231" spans="1:16" x14ac:dyDescent="0.25">
      <c r="A231" s="169">
        <f t="shared" si="10"/>
        <v>12.05</v>
      </c>
      <c r="B231" s="166">
        <v>12</v>
      </c>
      <c r="C231" s="32">
        <v>5</v>
      </c>
      <c r="D231" s="33">
        <v>0.96</v>
      </c>
      <c r="E231" s="33">
        <v>0.97</v>
      </c>
      <c r="F231" s="33">
        <v>0.98</v>
      </c>
      <c r="G231" s="33">
        <v>1</v>
      </c>
      <c r="H231" s="33">
        <v>1.01</v>
      </c>
      <c r="I231" s="33">
        <v>1.02</v>
      </c>
      <c r="J231" s="33">
        <v>1.03</v>
      </c>
      <c r="K231" s="33">
        <v>1.02</v>
      </c>
      <c r="L231" s="33">
        <v>1.01</v>
      </c>
      <c r="M231" s="33">
        <v>1</v>
      </c>
      <c r="N231" s="33">
        <v>0.98</v>
      </c>
      <c r="O231" s="33">
        <v>0.97</v>
      </c>
      <c r="P231" s="34">
        <f t="shared" si="9"/>
        <v>0.99583333333333346</v>
      </c>
    </row>
    <row r="232" spans="1:16" x14ac:dyDescent="0.25">
      <c r="A232" s="169">
        <f t="shared" si="10"/>
        <v>12.1</v>
      </c>
      <c r="B232" s="166">
        <v>12</v>
      </c>
      <c r="C232" s="32">
        <v>10</v>
      </c>
      <c r="D232" s="33">
        <v>0.92</v>
      </c>
      <c r="E232" s="33">
        <v>0.93</v>
      </c>
      <c r="F232" s="33">
        <v>0.95</v>
      </c>
      <c r="G232" s="33">
        <v>0.99</v>
      </c>
      <c r="H232" s="33">
        <v>1.02</v>
      </c>
      <c r="I232" s="33">
        <v>1.04</v>
      </c>
      <c r="J232" s="33">
        <v>1.06</v>
      </c>
      <c r="K232" s="33">
        <v>1.03</v>
      </c>
      <c r="L232" s="33">
        <v>1.01</v>
      </c>
      <c r="M232" s="33">
        <v>0.99</v>
      </c>
      <c r="N232" s="33">
        <v>0.96</v>
      </c>
      <c r="O232" s="33">
        <v>0.93</v>
      </c>
      <c r="P232" s="34">
        <f t="shared" si="9"/>
        <v>0.98583333333333345</v>
      </c>
    </row>
    <row r="233" spans="1:16" x14ac:dyDescent="0.25">
      <c r="A233" s="169">
        <f t="shared" si="10"/>
        <v>12.15</v>
      </c>
      <c r="B233" s="166">
        <v>12</v>
      </c>
      <c r="C233" s="32">
        <v>15</v>
      </c>
      <c r="D233" s="33">
        <v>0.87</v>
      </c>
      <c r="E233" s="33">
        <v>0.88</v>
      </c>
      <c r="F233" s="33">
        <v>0.92</v>
      </c>
      <c r="G233" s="33">
        <v>0.97</v>
      </c>
      <c r="H233" s="33">
        <v>1.02</v>
      </c>
      <c r="I233" s="33">
        <v>1.05</v>
      </c>
      <c r="J233" s="33">
        <v>1.08</v>
      </c>
      <c r="K233" s="33">
        <v>1.04</v>
      </c>
      <c r="L233" s="33">
        <v>1.01</v>
      </c>
      <c r="M233" s="33">
        <v>0.97</v>
      </c>
      <c r="N233" s="33">
        <v>0.92</v>
      </c>
      <c r="O233" s="33">
        <v>0.88</v>
      </c>
      <c r="P233" s="34">
        <f t="shared" si="9"/>
        <v>0.96750000000000014</v>
      </c>
    </row>
    <row r="234" spans="1:16" x14ac:dyDescent="0.25">
      <c r="A234" s="169">
        <f t="shared" si="10"/>
        <v>12.2</v>
      </c>
      <c r="B234" s="166">
        <v>12</v>
      </c>
      <c r="C234" s="32">
        <v>20</v>
      </c>
      <c r="D234" s="33">
        <v>0.81</v>
      </c>
      <c r="E234" s="33">
        <v>0.83</v>
      </c>
      <c r="F234" s="33" t="s">
        <v>418</v>
      </c>
      <c r="G234" s="33">
        <v>0.95</v>
      </c>
      <c r="H234" s="33">
        <v>1.01</v>
      </c>
      <c r="I234" s="33">
        <v>1.05</v>
      </c>
      <c r="J234" s="33">
        <v>1.0900000000000001</v>
      </c>
      <c r="K234" s="33">
        <v>1.04</v>
      </c>
      <c r="L234" s="33">
        <v>1</v>
      </c>
      <c r="M234" s="33">
        <v>0.95</v>
      </c>
      <c r="N234" s="33">
        <v>0.88</v>
      </c>
      <c r="O234" s="33">
        <v>0.83</v>
      </c>
      <c r="P234" s="34">
        <f t="shared" si="9"/>
        <v>0.9490909090909091</v>
      </c>
    </row>
    <row r="235" spans="1:16" x14ac:dyDescent="0.25">
      <c r="A235" s="169">
        <f t="shared" si="10"/>
        <v>12.25</v>
      </c>
      <c r="B235" s="166">
        <v>12</v>
      </c>
      <c r="C235" s="32">
        <v>25</v>
      </c>
      <c r="D235" s="33">
        <v>0.75</v>
      </c>
      <c r="E235" s="33">
        <v>0.77</v>
      </c>
      <c r="F235" s="33">
        <v>0.83</v>
      </c>
      <c r="G235" s="33">
        <v>0.92</v>
      </c>
      <c r="H235" s="33">
        <v>0.99</v>
      </c>
      <c r="I235" s="33">
        <v>1.04</v>
      </c>
      <c r="J235" s="33">
        <v>1.1000000000000001</v>
      </c>
      <c r="K235" s="33">
        <v>1.03</v>
      </c>
      <c r="L235" s="33">
        <v>0.99</v>
      </c>
      <c r="M235" s="33">
        <v>0.92</v>
      </c>
      <c r="N235" s="33">
        <v>0.84</v>
      </c>
      <c r="O235" s="33">
        <v>0.77</v>
      </c>
      <c r="P235" s="34">
        <f t="shared" si="9"/>
        <v>0.91249999999999998</v>
      </c>
    </row>
    <row r="236" spans="1:16" x14ac:dyDescent="0.25">
      <c r="A236" s="169">
        <f t="shared" si="10"/>
        <v>12.3</v>
      </c>
      <c r="B236" s="166">
        <v>12</v>
      </c>
      <c r="C236" s="32">
        <v>30</v>
      </c>
      <c r="D236" s="33">
        <v>0.68</v>
      </c>
      <c r="E236" s="33">
        <v>0.7</v>
      </c>
      <c r="F236" s="33">
        <v>0.78</v>
      </c>
      <c r="G236" s="33">
        <v>0.88</v>
      </c>
      <c r="H236" s="33">
        <v>0.97</v>
      </c>
      <c r="I236" s="33">
        <v>1.03</v>
      </c>
      <c r="J236" s="33">
        <v>1.1000000000000001</v>
      </c>
      <c r="K236" s="33">
        <v>1.02</v>
      </c>
      <c r="L236" s="33">
        <v>0.97</v>
      </c>
      <c r="M236" s="33">
        <v>0.88</v>
      </c>
      <c r="N236" s="33">
        <v>0.79</v>
      </c>
      <c r="O236" s="33">
        <v>0.71</v>
      </c>
      <c r="P236" s="34">
        <f t="shared" si="9"/>
        <v>0.87583333333333346</v>
      </c>
    </row>
    <row r="237" spans="1:16" x14ac:dyDescent="0.25">
      <c r="A237" s="169">
        <f t="shared" si="10"/>
        <v>12.35</v>
      </c>
      <c r="B237" s="166">
        <v>12</v>
      </c>
      <c r="C237" s="32">
        <v>35</v>
      </c>
      <c r="D237" s="33">
        <v>0.61</v>
      </c>
      <c r="E237" s="33">
        <v>0.64</v>
      </c>
      <c r="F237" s="33">
        <v>0.72</v>
      </c>
      <c r="G237" s="33">
        <v>0.84</v>
      </c>
      <c r="H237" s="33">
        <v>0.94</v>
      </c>
      <c r="I237" s="33">
        <v>1.02</v>
      </c>
      <c r="J237" s="33">
        <v>1.0900000000000001</v>
      </c>
      <c r="K237" s="33">
        <v>1</v>
      </c>
      <c r="L237" s="33">
        <v>0.94</v>
      </c>
      <c r="M237" s="33">
        <v>0.84</v>
      </c>
      <c r="N237" s="33">
        <v>0.74</v>
      </c>
      <c r="O237" s="33">
        <v>0.64</v>
      </c>
      <c r="P237" s="34">
        <f t="shared" si="9"/>
        <v>0.83499999999999996</v>
      </c>
    </row>
    <row r="238" spans="1:16" x14ac:dyDescent="0.25">
      <c r="A238" s="169">
        <f t="shared" si="10"/>
        <v>12.4</v>
      </c>
      <c r="B238" s="166">
        <v>12</v>
      </c>
      <c r="C238" s="32">
        <v>40</v>
      </c>
      <c r="D238" s="33">
        <v>0.53</v>
      </c>
      <c r="E238" s="33">
        <v>0.56000000000000005</v>
      </c>
      <c r="F238" s="33">
        <v>0.66</v>
      </c>
      <c r="G238" s="33">
        <v>0.79</v>
      </c>
      <c r="H238" s="33">
        <v>0.91</v>
      </c>
      <c r="I238" s="33">
        <v>0.99</v>
      </c>
      <c r="J238" s="33">
        <v>1.08</v>
      </c>
      <c r="K238" s="33">
        <v>0.98</v>
      </c>
      <c r="L238" s="33">
        <v>0.9</v>
      </c>
      <c r="M238" s="33">
        <v>0.8</v>
      </c>
      <c r="N238" s="33">
        <v>0.68</v>
      </c>
      <c r="O238" s="33">
        <v>0.56999999999999995</v>
      </c>
      <c r="P238" s="34">
        <f t="shared" si="9"/>
        <v>0.78750000000000009</v>
      </c>
    </row>
    <row r="239" spans="1:16" x14ac:dyDescent="0.25">
      <c r="A239" s="169">
        <f t="shared" si="10"/>
        <v>12.45</v>
      </c>
      <c r="B239" s="166">
        <v>12</v>
      </c>
      <c r="C239" s="32">
        <v>45</v>
      </c>
      <c r="D239" s="33">
        <v>0.45</v>
      </c>
      <c r="E239" s="33">
        <v>0.49</v>
      </c>
      <c r="F239" s="33">
        <v>0.59</v>
      </c>
      <c r="G239" s="33">
        <v>0.73</v>
      </c>
      <c r="H239" s="33">
        <v>0.87</v>
      </c>
      <c r="I239" s="33">
        <v>0.96</v>
      </c>
      <c r="J239" s="33">
        <v>1.06</v>
      </c>
      <c r="K239" s="33">
        <v>0.95</v>
      </c>
      <c r="L239" s="33">
        <v>0.87</v>
      </c>
      <c r="M239" s="33">
        <v>0.75</v>
      </c>
      <c r="N239" s="33">
        <v>0.61</v>
      </c>
      <c r="O239" s="33">
        <v>0.5</v>
      </c>
      <c r="P239" s="34">
        <f t="shared" si="9"/>
        <v>0.73583333333333334</v>
      </c>
    </row>
    <row r="240" spans="1:16" x14ac:dyDescent="0.25">
      <c r="A240" s="169">
        <f t="shared" si="10"/>
        <v>12.5</v>
      </c>
      <c r="B240" s="166">
        <v>12</v>
      </c>
      <c r="C240" s="32">
        <v>50</v>
      </c>
      <c r="D240" s="33">
        <v>0.37</v>
      </c>
      <c r="E240" s="33">
        <v>0.41</v>
      </c>
      <c r="F240" s="33">
        <v>0.52</v>
      </c>
      <c r="G240" s="33">
        <v>0.68</v>
      </c>
      <c r="H240" s="33">
        <v>0.82</v>
      </c>
      <c r="I240" s="33">
        <v>0.92</v>
      </c>
      <c r="J240" s="33">
        <v>1.03</v>
      </c>
      <c r="K240" s="33">
        <v>0.91</v>
      </c>
      <c r="L240" s="33">
        <v>0.82</v>
      </c>
      <c r="M240" s="33">
        <v>0.69</v>
      </c>
      <c r="N240" s="33">
        <v>0.54</v>
      </c>
      <c r="O240" s="33">
        <v>0.42</v>
      </c>
      <c r="P240" s="34">
        <f t="shared" si="9"/>
        <v>0.6775000000000001</v>
      </c>
    </row>
    <row r="241" spans="1:16" x14ac:dyDescent="0.25">
      <c r="A241" s="169">
        <f t="shared" si="10"/>
        <v>12.55</v>
      </c>
      <c r="B241" s="166">
        <v>12</v>
      </c>
      <c r="C241" s="32">
        <v>55</v>
      </c>
      <c r="D241" s="33">
        <v>0.28000000000000003</v>
      </c>
      <c r="E241" s="33">
        <v>0.33</v>
      </c>
      <c r="F241" s="33">
        <v>0.45</v>
      </c>
      <c r="G241" s="33">
        <v>0.61</v>
      </c>
      <c r="H241" s="33">
        <v>0.77</v>
      </c>
      <c r="I241" s="33">
        <v>0.88</v>
      </c>
      <c r="J241" s="33">
        <v>1</v>
      </c>
      <c r="K241" s="33">
        <v>0.87</v>
      </c>
      <c r="L241" s="33">
        <v>0.77</v>
      </c>
      <c r="M241" s="33">
        <v>0.63</v>
      </c>
      <c r="N241" s="33">
        <v>0.47</v>
      </c>
      <c r="O241" s="33">
        <v>0.34</v>
      </c>
      <c r="P241" s="34">
        <f t="shared" si="9"/>
        <v>0.6166666666666667</v>
      </c>
    </row>
    <row r="242" spans="1:16" x14ac:dyDescent="0.25">
      <c r="A242" s="169">
        <f t="shared" si="10"/>
        <v>12.6</v>
      </c>
      <c r="B242" s="166">
        <v>12</v>
      </c>
      <c r="C242" s="32">
        <v>60</v>
      </c>
      <c r="D242" s="33">
        <v>0.2</v>
      </c>
      <c r="E242" s="33">
        <v>0.24</v>
      </c>
      <c r="F242" s="33">
        <v>0.37</v>
      </c>
      <c r="G242" s="33">
        <v>0.55000000000000004</v>
      </c>
      <c r="H242" s="33">
        <v>0.71</v>
      </c>
      <c r="I242" s="33">
        <v>0.83</v>
      </c>
      <c r="J242" s="33">
        <v>0.96</v>
      </c>
      <c r="K242" s="33">
        <v>0.82</v>
      </c>
      <c r="L242" s="33">
        <v>0.72</v>
      </c>
      <c r="M242" s="33">
        <v>0.56999999999999995</v>
      </c>
      <c r="N242" s="33">
        <v>0.4</v>
      </c>
      <c r="O242" s="33">
        <v>0.26</v>
      </c>
      <c r="P242" s="34">
        <f t="shared" si="9"/>
        <v>0.5525000000000001</v>
      </c>
    </row>
    <row r="243" spans="1:16" x14ac:dyDescent="0.25">
      <c r="A243" s="169">
        <f t="shared" si="10"/>
        <v>12.65</v>
      </c>
      <c r="B243" s="166">
        <v>12</v>
      </c>
      <c r="C243" s="32">
        <v>65</v>
      </c>
      <c r="D243" s="33">
        <v>0.13</v>
      </c>
      <c r="E243" s="33">
        <v>0.16</v>
      </c>
      <c r="F243" s="33">
        <v>0.3</v>
      </c>
      <c r="G243" s="33">
        <v>0.48</v>
      </c>
      <c r="H243" s="33">
        <v>0.65</v>
      </c>
      <c r="I243" s="33">
        <v>0.77</v>
      </c>
      <c r="J243" s="33">
        <v>0.91</v>
      </c>
      <c r="K243" s="33">
        <v>0.77</v>
      </c>
      <c r="L243" s="33">
        <v>0.66</v>
      </c>
      <c r="M243" s="33">
        <v>0.5</v>
      </c>
      <c r="N243" s="33">
        <v>0.32</v>
      </c>
      <c r="O243" s="33">
        <v>0.18</v>
      </c>
      <c r="P243" s="34">
        <f t="shared" si="9"/>
        <v>0.48583333333333334</v>
      </c>
    </row>
    <row r="244" spans="1:16" x14ac:dyDescent="0.25">
      <c r="A244" s="169">
        <f t="shared" si="10"/>
        <v>12.7</v>
      </c>
      <c r="B244" s="166">
        <v>12</v>
      </c>
      <c r="C244" s="32">
        <v>70</v>
      </c>
      <c r="D244" s="33">
        <v>0.12</v>
      </c>
      <c r="E244" s="33">
        <v>0.11</v>
      </c>
      <c r="F244" s="33">
        <v>0.22</v>
      </c>
      <c r="G244" s="33">
        <v>0.4</v>
      </c>
      <c r="H244" s="33">
        <v>0.59</v>
      </c>
      <c r="I244" s="33">
        <v>0.72</v>
      </c>
      <c r="J244" s="33">
        <v>0.86</v>
      </c>
      <c r="K244" s="33">
        <v>0.71</v>
      </c>
      <c r="L244" s="33">
        <v>0.6</v>
      </c>
      <c r="M244" s="33">
        <v>0.43</v>
      </c>
      <c r="N244" s="33">
        <v>0.25</v>
      </c>
      <c r="O244" s="33">
        <v>0.13</v>
      </c>
      <c r="P244" s="34">
        <f t="shared" ref="P244:P307" si="11">AVERAGE(D244:O244)</f>
        <v>0.42833333333333329</v>
      </c>
    </row>
    <row r="245" spans="1:16" x14ac:dyDescent="0.25">
      <c r="A245" s="169">
        <f t="shared" si="10"/>
        <v>12.75</v>
      </c>
      <c r="B245" s="166">
        <v>12</v>
      </c>
      <c r="C245" s="32">
        <v>75</v>
      </c>
      <c r="D245" s="33">
        <v>0.11</v>
      </c>
      <c r="E245" s="33">
        <v>0.11</v>
      </c>
      <c r="F245" s="33">
        <v>0.13</v>
      </c>
      <c r="G245" s="33">
        <v>0.33</v>
      </c>
      <c r="H245" s="33">
        <v>0.52</v>
      </c>
      <c r="I245" s="33">
        <v>0.65</v>
      </c>
      <c r="J245" s="33">
        <v>0.81</v>
      </c>
      <c r="K245" s="33">
        <v>0.65</v>
      </c>
      <c r="L245" s="33">
        <v>0.53</v>
      </c>
      <c r="M245" s="33">
        <v>0.36</v>
      </c>
      <c r="N245" s="33">
        <v>0.17</v>
      </c>
      <c r="O245" s="33">
        <v>0.12</v>
      </c>
      <c r="P245" s="34">
        <f t="shared" si="11"/>
        <v>0.3741666666666667</v>
      </c>
    </row>
    <row r="246" spans="1:16" x14ac:dyDescent="0.25">
      <c r="A246" s="169">
        <f t="shared" si="10"/>
        <v>12.8</v>
      </c>
      <c r="B246" s="166">
        <v>12</v>
      </c>
      <c r="C246" s="32">
        <v>80</v>
      </c>
      <c r="D246" s="33">
        <v>0.1</v>
      </c>
      <c r="E246" s="33">
        <v>0.1</v>
      </c>
      <c r="F246" s="33">
        <v>0.1</v>
      </c>
      <c r="G246" s="33">
        <v>0.25</v>
      </c>
      <c r="H246" s="33">
        <v>0.45</v>
      </c>
      <c r="I246" s="33">
        <v>0.57999999999999996</v>
      </c>
      <c r="J246" s="33">
        <v>0.74</v>
      </c>
      <c r="K246" s="33">
        <v>0.57999999999999996</v>
      </c>
      <c r="L246" s="33">
        <v>0.47</v>
      </c>
      <c r="M246" s="33">
        <v>0.28999999999999998</v>
      </c>
      <c r="N246" s="33">
        <v>0.13</v>
      </c>
      <c r="O246" s="33">
        <v>0.12</v>
      </c>
      <c r="P246" s="34">
        <f t="shared" si="11"/>
        <v>0.32583333333333336</v>
      </c>
    </row>
    <row r="247" spans="1:16" x14ac:dyDescent="0.25">
      <c r="A247" s="169">
        <f t="shared" si="10"/>
        <v>12.85</v>
      </c>
      <c r="B247" s="166">
        <v>12</v>
      </c>
      <c r="C247" s="32">
        <v>85</v>
      </c>
      <c r="D247" s="33">
        <v>0.1</v>
      </c>
      <c r="E247" s="33">
        <v>0.09</v>
      </c>
      <c r="F247" s="33">
        <v>0.09</v>
      </c>
      <c r="G247" s="33">
        <v>0.17</v>
      </c>
      <c r="H247" s="33">
        <v>0.37</v>
      </c>
      <c r="I247" s="33">
        <v>0.51</v>
      </c>
      <c r="J247" s="33">
        <v>0.68</v>
      </c>
      <c r="K247" s="33">
        <v>0.52</v>
      </c>
      <c r="L247" s="33">
        <v>0.4</v>
      </c>
      <c r="M247" s="33">
        <v>0.21</v>
      </c>
      <c r="N247" s="33">
        <v>0.12</v>
      </c>
      <c r="O247" s="33">
        <v>0.11</v>
      </c>
      <c r="P247" s="34">
        <f t="shared" si="11"/>
        <v>0.28083333333333332</v>
      </c>
    </row>
    <row r="248" spans="1:16" x14ac:dyDescent="0.25">
      <c r="A248" s="169">
        <f t="shared" si="10"/>
        <v>12.9</v>
      </c>
      <c r="B248" s="166">
        <v>12</v>
      </c>
      <c r="C248" s="32">
        <v>90</v>
      </c>
      <c r="D248" s="33">
        <v>0.09</v>
      </c>
      <c r="E248" s="33">
        <v>0.08</v>
      </c>
      <c r="F248" s="33">
        <v>0.08</v>
      </c>
      <c r="G248" s="33">
        <v>0.09</v>
      </c>
      <c r="H248" s="33">
        <v>0.28999999999999998</v>
      </c>
      <c r="I248" s="33">
        <v>0.44</v>
      </c>
      <c r="J248" s="33">
        <v>0.61</v>
      </c>
      <c r="K248" s="33">
        <v>0.45</v>
      </c>
      <c r="L248" s="33">
        <v>0.32</v>
      </c>
      <c r="M248" s="33">
        <v>0.14000000000000001</v>
      </c>
      <c r="N248" s="33">
        <v>0.11</v>
      </c>
      <c r="O248" s="33">
        <v>0.1</v>
      </c>
      <c r="P248" s="34">
        <f t="shared" si="11"/>
        <v>0.23333333333333331</v>
      </c>
    </row>
    <row r="249" spans="1:16" x14ac:dyDescent="0.25">
      <c r="A249" s="169">
        <f t="shared" si="10"/>
        <v>13</v>
      </c>
      <c r="B249" s="166">
        <v>13</v>
      </c>
      <c r="C249" s="32">
        <v>0</v>
      </c>
      <c r="D249" s="33">
        <v>1</v>
      </c>
      <c r="E249" s="33">
        <v>1</v>
      </c>
      <c r="F249" s="33">
        <v>1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4">
        <f t="shared" si="11"/>
        <v>1</v>
      </c>
    </row>
    <row r="250" spans="1:16" x14ac:dyDescent="0.25">
      <c r="A250" s="169">
        <f t="shared" si="10"/>
        <v>13.05</v>
      </c>
      <c r="B250" s="166">
        <v>13</v>
      </c>
      <c r="C250" s="32">
        <v>5</v>
      </c>
      <c r="D250" s="33">
        <v>0.98</v>
      </c>
      <c r="E250" s="33">
        <v>1</v>
      </c>
      <c r="F250" s="33">
        <v>1.01</v>
      </c>
      <c r="G250" s="33">
        <v>1.03</v>
      </c>
      <c r="H250" s="33">
        <v>1.04</v>
      </c>
      <c r="I250" s="33">
        <v>1.04</v>
      </c>
      <c r="J250" s="33">
        <v>1.03</v>
      </c>
      <c r="K250" s="33">
        <v>1.02</v>
      </c>
      <c r="L250" s="33">
        <v>1.01</v>
      </c>
      <c r="M250" s="33">
        <v>1</v>
      </c>
      <c r="N250" s="33">
        <v>0.98</v>
      </c>
      <c r="O250" s="33">
        <v>0.98</v>
      </c>
      <c r="P250" s="34">
        <f t="shared" si="11"/>
        <v>1.01</v>
      </c>
    </row>
    <row r="251" spans="1:16" x14ac:dyDescent="0.25">
      <c r="A251" s="169">
        <f t="shared" si="10"/>
        <v>13.1</v>
      </c>
      <c r="B251" s="166">
        <v>13</v>
      </c>
      <c r="C251" s="32">
        <v>10</v>
      </c>
      <c r="D251" s="33">
        <v>0.96</v>
      </c>
      <c r="E251" s="33">
        <v>0.99</v>
      </c>
      <c r="F251" s="33">
        <v>1.02</v>
      </c>
      <c r="G251" s="33">
        <v>1.05</v>
      </c>
      <c r="H251" s="33">
        <v>1.07</v>
      </c>
      <c r="I251" s="33">
        <v>1.07</v>
      </c>
      <c r="J251" s="33">
        <v>1.06</v>
      </c>
      <c r="K251" s="33">
        <v>1.04</v>
      </c>
      <c r="L251" s="33">
        <v>1.02</v>
      </c>
      <c r="M251" s="33">
        <v>0.99</v>
      </c>
      <c r="N251" s="33">
        <v>0.96</v>
      </c>
      <c r="O251" s="33">
        <v>0.95</v>
      </c>
      <c r="P251" s="34">
        <f t="shared" si="11"/>
        <v>1.0149999999999999</v>
      </c>
    </row>
    <row r="252" spans="1:16" x14ac:dyDescent="0.25">
      <c r="A252" s="169">
        <f t="shared" si="10"/>
        <v>13.15</v>
      </c>
      <c r="B252" s="166">
        <v>13</v>
      </c>
      <c r="C252" s="32">
        <v>15</v>
      </c>
      <c r="D252" s="33">
        <v>0.93</v>
      </c>
      <c r="E252" s="33">
        <v>0.97</v>
      </c>
      <c r="F252" s="33">
        <v>1.02</v>
      </c>
      <c r="G252" s="33">
        <v>1.07</v>
      </c>
      <c r="H252" s="33">
        <v>1.1000000000000001</v>
      </c>
      <c r="I252" s="33">
        <v>1.1000000000000001</v>
      </c>
      <c r="J252" s="33">
        <v>1.08</v>
      </c>
      <c r="K252" s="33">
        <v>1.05</v>
      </c>
      <c r="L252" s="33">
        <v>1.01</v>
      </c>
      <c r="M252" s="33">
        <v>0.97</v>
      </c>
      <c r="N252" s="33">
        <v>0.93</v>
      </c>
      <c r="O252" s="33">
        <v>0.92</v>
      </c>
      <c r="P252" s="34">
        <f t="shared" si="11"/>
        <v>1.0125</v>
      </c>
    </row>
    <row r="253" spans="1:16" x14ac:dyDescent="0.25">
      <c r="A253" s="169">
        <f t="shared" si="10"/>
        <v>13.2</v>
      </c>
      <c r="B253" s="166">
        <v>13</v>
      </c>
      <c r="C253" s="32">
        <v>20</v>
      </c>
      <c r="D253" s="33">
        <v>0.9</v>
      </c>
      <c r="E253" s="33">
        <v>0.94</v>
      </c>
      <c r="F253" s="33">
        <v>1.01</v>
      </c>
      <c r="G253" s="33">
        <v>1.07</v>
      </c>
      <c r="H253" s="33">
        <v>1.1200000000000001</v>
      </c>
      <c r="I253" s="33">
        <v>1.1200000000000001</v>
      </c>
      <c r="J253" s="33">
        <v>1.1000000000000001</v>
      </c>
      <c r="K253" s="33">
        <v>1.06</v>
      </c>
      <c r="L253" s="33">
        <v>1</v>
      </c>
      <c r="M253" s="33">
        <v>0.95</v>
      </c>
      <c r="N253" s="33">
        <v>0.9</v>
      </c>
      <c r="O253" s="33">
        <v>0.88</v>
      </c>
      <c r="P253" s="34">
        <f t="shared" si="11"/>
        <v>1.0041666666666667</v>
      </c>
    </row>
    <row r="254" spans="1:16" x14ac:dyDescent="0.25">
      <c r="A254" s="169">
        <f t="shared" ref="A254:A317" si="12">B254+(C254/100)</f>
        <v>13.25</v>
      </c>
      <c r="B254" s="166">
        <v>13</v>
      </c>
      <c r="C254" s="32">
        <v>25</v>
      </c>
      <c r="D254" s="33">
        <v>0.85</v>
      </c>
      <c r="E254" s="33">
        <v>0.91</v>
      </c>
      <c r="F254" s="33">
        <v>0.99</v>
      </c>
      <c r="G254" s="33">
        <v>1.08</v>
      </c>
      <c r="H254" s="33">
        <v>1.1299999999999999</v>
      </c>
      <c r="I254" s="33">
        <v>1.1299999999999999</v>
      </c>
      <c r="J254" s="33">
        <v>1.1000000000000001</v>
      </c>
      <c r="K254" s="33">
        <v>1.06</v>
      </c>
      <c r="L254" s="33">
        <v>0.99</v>
      </c>
      <c r="M254" s="33">
        <v>0.92</v>
      </c>
      <c r="N254" s="33">
        <v>0.86</v>
      </c>
      <c r="O254" s="33">
        <v>0.83</v>
      </c>
      <c r="P254" s="34">
        <f t="shared" si="11"/>
        <v>0.98749999999999993</v>
      </c>
    </row>
    <row r="255" spans="1:16" x14ac:dyDescent="0.25">
      <c r="A255" s="169">
        <f t="shared" si="12"/>
        <v>13.3</v>
      </c>
      <c r="B255" s="166">
        <v>13</v>
      </c>
      <c r="C255" s="32">
        <v>30</v>
      </c>
      <c r="D255" s="33">
        <v>0.81</v>
      </c>
      <c r="E255" s="33">
        <v>0.88</v>
      </c>
      <c r="F255" s="33">
        <v>0.97</v>
      </c>
      <c r="G255" s="33">
        <v>1.07</v>
      </c>
      <c r="H255" s="33">
        <v>1.1299999999999999</v>
      </c>
      <c r="I255" s="33">
        <v>1.1399999999999999</v>
      </c>
      <c r="J255" s="33">
        <v>1.1000000000000001</v>
      </c>
      <c r="K255" s="33">
        <v>1.05</v>
      </c>
      <c r="L255" s="33">
        <v>0.97</v>
      </c>
      <c r="M255" s="33">
        <v>0.88</v>
      </c>
      <c r="N255" s="33">
        <v>0.81</v>
      </c>
      <c r="O255" s="33">
        <v>0.78</v>
      </c>
      <c r="P255" s="34">
        <f t="shared" si="11"/>
        <v>0.96583333333333343</v>
      </c>
    </row>
    <row r="256" spans="1:16" x14ac:dyDescent="0.25">
      <c r="A256" s="169">
        <f t="shared" si="12"/>
        <v>13.35</v>
      </c>
      <c r="B256" s="166">
        <v>13</v>
      </c>
      <c r="C256" s="32">
        <v>35</v>
      </c>
      <c r="D256" s="33">
        <v>0.75</v>
      </c>
      <c r="E256" s="33">
        <v>0.83</v>
      </c>
      <c r="F256" s="33">
        <v>0.94</v>
      </c>
      <c r="G256" s="33">
        <v>1.05</v>
      </c>
      <c r="H256" s="33">
        <v>1.1299999999999999</v>
      </c>
      <c r="I256" s="33">
        <v>1.1399999999999999</v>
      </c>
      <c r="J256" s="33">
        <v>1.1000000000000001</v>
      </c>
      <c r="K256" s="33">
        <v>1.03</v>
      </c>
      <c r="L256" s="33">
        <v>0.94</v>
      </c>
      <c r="M256" s="33">
        <v>0.84</v>
      </c>
      <c r="N256" s="33">
        <v>0.76</v>
      </c>
      <c r="O256" s="33">
        <v>0.72</v>
      </c>
      <c r="P256" s="34">
        <f t="shared" si="11"/>
        <v>0.93583333333333341</v>
      </c>
    </row>
    <row r="257" spans="1:16" x14ac:dyDescent="0.25">
      <c r="A257" s="169">
        <f t="shared" si="12"/>
        <v>13.4</v>
      </c>
      <c r="B257" s="166">
        <v>13</v>
      </c>
      <c r="C257" s="32">
        <v>40</v>
      </c>
      <c r="D257" s="33">
        <v>0.69</v>
      </c>
      <c r="E257" s="33">
        <v>0.78</v>
      </c>
      <c r="F257" s="33">
        <v>0.91</v>
      </c>
      <c r="G257" s="33">
        <v>1.03</v>
      </c>
      <c r="H257" s="33">
        <v>1.1200000000000001</v>
      </c>
      <c r="I257" s="33">
        <v>1.1299999999999999</v>
      </c>
      <c r="J257" s="33">
        <v>1.0900000000000001</v>
      </c>
      <c r="K257" s="33">
        <v>1.01</v>
      </c>
      <c r="L257" s="33">
        <v>0.91</v>
      </c>
      <c r="M257" s="33">
        <v>0.79</v>
      </c>
      <c r="N257" s="33">
        <v>0.7</v>
      </c>
      <c r="O257" s="33">
        <v>0.66</v>
      </c>
      <c r="P257" s="34">
        <f t="shared" si="11"/>
        <v>0.90166666666666673</v>
      </c>
    </row>
    <row r="258" spans="1:16" x14ac:dyDescent="0.25">
      <c r="A258" s="169">
        <f t="shared" si="12"/>
        <v>13.45</v>
      </c>
      <c r="B258" s="166">
        <v>13</v>
      </c>
      <c r="C258" s="32">
        <v>45</v>
      </c>
      <c r="D258" s="33">
        <v>0.63</v>
      </c>
      <c r="E258" s="33">
        <v>0.73</v>
      </c>
      <c r="F258" s="33">
        <v>0.87</v>
      </c>
      <c r="G258" s="33">
        <v>1.01</v>
      </c>
      <c r="H258" s="33">
        <v>1.1000000000000001</v>
      </c>
      <c r="I258" s="33">
        <v>1.1100000000000001</v>
      </c>
      <c r="J258" s="33">
        <v>1.07</v>
      </c>
      <c r="K258" s="33">
        <v>0.98</v>
      </c>
      <c r="L258" s="33">
        <v>0.87</v>
      </c>
      <c r="M258" s="33">
        <v>0.74</v>
      </c>
      <c r="N258" s="33">
        <v>0.64</v>
      </c>
      <c r="O258" s="33">
        <v>0.6</v>
      </c>
      <c r="P258" s="34">
        <f t="shared" si="11"/>
        <v>0.86249999999999993</v>
      </c>
    </row>
    <row r="259" spans="1:16" x14ac:dyDescent="0.25">
      <c r="A259" s="169">
        <f t="shared" si="12"/>
        <v>13.5</v>
      </c>
      <c r="B259" s="166">
        <v>13</v>
      </c>
      <c r="C259" s="32">
        <v>50</v>
      </c>
      <c r="D259" s="33">
        <v>0.56000000000000005</v>
      </c>
      <c r="E259" s="33">
        <v>0.67</v>
      </c>
      <c r="F259" s="33">
        <v>0.82</v>
      </c>
      <c r="G259" s="33">
        <v>0.97</v>
      </c>
      <c r="H259" s="33">
        <v>1.07</v>
      </c>
      <c r="I259" s="33">
        <v>1.0900000000000001</v>
      </c>
      <c r="J259" s="33">
        <v>1.04</v>
      </c>
      <c r="K259" s="33">
        <v>0.95</v>
      </c>
      <c r="L259" s="33">
        <v>0.82</v>
      </c>
      <c r="M259" s="33">
        <v>0.68</v>
      </c>
      <c r="N259" s="33">
        <v>0.56999999999999995</v>
      </c>
      <c r="O259" s="33">
        <v>0.53</v>
      </c>
      <c r="P259" s="34">
        <f t="shared" si="11"/>
        <v>0.81416666666666659</v>
      </c>
    </row>
    <row r="260" spans="1:16" x14ac:dyDescent="0.25">
      <c r="A260" s="169">
        <f t="shared" si="12"/>
        <v>13.55</v>
      </c>
      <c r="B260" s="166">
        <v>13</v>
      </c>
      <c r="C260" s="32">
        <v>55</v>
      </c>
      <c r="D260" s="33">
        <v>0.49</v>
      </c>
      <c r="E260" s="33">
        <v>0.61</v>
      </c>
      <c r="F260" s="33">
        <v>0.77</v>
      </c>
      <c r="G260" s="33">
        <v>0.93</v>
      </c>
      <c r="H260" s="33">
        <v>1.04</v>
      </c>
      <c r="I260" s="33">
        <v>1.06</v>
      </c>
      <c r="J260" s="33">
        <v>1.01</v>
      </c>
      <c r="K260" s="33">
        <v>0.91</v>
      </c>
      <c r="L260" s="33">
        <v>0.77</v>
      </c>
      <c r="M260" s="33">
        <v>0.62</v>
      </c>
      <c r="N260" s="33">
        <v>0.5</v>
      </c>
      <c r="O260" s="33">
        <v>0.45</v>
      </c>
      <c r="P260" s="34">
        <f t="shared" si="11"/>
        <v>0.7633333333333332</v>
      </c>
    </row>
    <row r="261" spans="1:16" x14ac:dyDescent="0.25">
      <c r="A261" s="169">
        <f t="shared" si="12"/>
        <v>13.6</v>
      </c>
      <c r="B261" s="166">
        <v>13</v>
      </c>
      <c r="C261" s="32">
        <v>60</v>
      </c>
      <c r="D261" s="33">
        <v>0.42</v>
      </c>
      <c r="E261" s="33">
        <v>0.54</v>
      </c>
      <c r="F261" s="33">
        <v>0.71</v>
      </c>
      <c r="G261" s="33">
        <v>0.88</v>
      </c>
      <c r="H261" s="33">
        <v>1</v>
      </c>
      <c r="I261" s="33">
        <v>1.03</v>
      </c>
      <c r="J261" s="33">
        <v>0.97</v>
      </c>
      <c r="K261" s="33">
        <v>0.86</v>
      </c>
      <c r="L261" s="33">
        <v>0.71</v>
      </c>
      <c r="M261" s="33">
        <v>0.55000000000000004</v>
      </c>
      <c r="N261" s="33">
        <v>0.43</v>
      </c>
      <c r="O261" s="33">
        <v>0.38</v>
      </c>
      <c r="P261" s="34">
        <f t="shared" si="11"/>
        <v>0.70666666666666667</v>
      </c>
    </row>
    <row r="262" spans="1:16" x14ac:dyDescent="0.25">
      <c r="A262" s="169">
        <f t="shared" si="12"/>
        <v>13.65</v>
      </c>
      <c r="B262" s="166">
        <v>13</v>
      </c>
      <c r="C262" s="32">
        <v>65</v>
      </c>
      <c r="D262" s="33">
        <v>0.34</v>
      </c>
      <c r="E262" s="33">
        <v>0.47</v>
      </c>
      <c r="F262" s="33">
        <v>0.65</v>
      </c>
      <c r="G262" s="33">
        <v>0.83</v>
      </c>
      <c r="H262" s="33">
        <v>0.96</v>
      </c>
      <c r="I262" s="33">
        <v>0.98</v>
      </c>
      <c r="J262" s="33">
        <v>0.92</v>
      </c>
      <c r="K262" s="33">
        <v>0.81</v>
      </c>
      <c r="L262" s="33">
        <v>0.65</v>
      </c>
      <c r="M262" s="33">
        <v>0.48</v>
      </c>
      <c r="N262" s="33">
        <v>0.35</v>
      </c>
      <c r="O262" s="33">
        <v>0.3</v>
      </c>
      <c r="P262" s="34">
        <f t="shared" si="11"/>
        <v>0.64500000000000013</v>
      </c>
    </row>
    <row r="263" spans="1:16" x14ac:dyDescent="0.25">
      <c r="A263" s="169">
        <f t="shared" si="12"/>
        <v>13.7</v>
      </c>
      <c r="B263" s="166">
        <v>13</v>
      </c>
      <c r="C263" s="32">
        <v>70</v>
      </c>
      <c r="D263" s="33">
        <v>0.26</v>
      </c>
      <c r="E263" s="33">
        <v>0.39</v>
      </c>
      <c r="F263" s="33">
        <v>0.57999999999999996</v>
      </c>
      <c r="G263" s="33">
        <v>0.77</v>
      </c>
      <c r="H263" s="33">
        <v>0.91</v>
      </c>
      <c r="I263" s="33">
        <v>0.94</v>
      </c>
      <c r="J263" s="33">
        <v>0.87</v>
      </c>
      <c r="K263" s="33">
        <v>0.76</v>
      </c>
      <c r="L263" s="33">
        <v>0.59</v>
      </c>
      <c r="M263" s="33">
        <v>0.41</v>
      </c>
      <c r="N263" s="33">
        <v>0.27</v>
      </c>
      <c r="O263" s="33">
        <v>0.22</v>
      </c>
      <c r="P263" s="34">
        <f t="shared" si="11"/>
        <v>0.58083333333333331</v>
      </c>
    </row>
    <row r="264" spans="1:16" x14ac:dyDescent="0.25">
      <c r="A264" s="169">
        <f t="shared" si="12"/>
        <v>13.75</v>
      </c>
      <c r="B264" s="166">
        <v>13</v>
      </c>
      <c r="C264" s="32">
        <v>75</v>
      </c>
      <c r="D264" s="33">
        <v>0.18</v>
      </c>
      <c r="E264" s="33">
        <v>0.32</v>
      </c>
      <c r="F264" s="33">
        <v>0.51</v>
      </c>
      <c r="G264" s="33">
        <v>0.78100000000000003</v>
      </c>
      <c r="H264" s="33">
        <v>0.85</v>
      </c>
      <c r="I264" s="33">
        <v>0.88</v>
      </c>
      <c r="J264" s="33">
        <v>0.82</v>
      </c>
      <c r="K264" s="33">
        <v>0.7</v>
      </c>
      <c r="L264" s="33">
        <v>0.52</v>
      </c>
      <c r="M264" s="33">
        <v>0.34</v>
      </c>
      <c r="N264" s="33">
        <v>0.19</v>
      </c>
      <c r="O264" s="33">
        <v>0.14000000000000001</v>
      </c>
      <c r="P264" s="34">
        <f t="shared" si="11"/>
        <v>0.51924999999999999</v>
      </c>
    </row>
    <row r="265" spans="1:16" x14ac:dyDescent="0.25">
      <c r="A265" s="169">
        <f t="shared" si="12"/>
        <v>13.8</v>
      </c>
      <c r="B265" s="166">
        <v>13</v>
      </c>
      <c r="C265" s="32">
        <v>80</v>
      </c>
      <c r="D265" s="33">
        <v>0.1</v>
      </c>
      <c r="E265" s="33">
        <v>0.24</v>
      </c>
      <c r="F265" s="33">
        <v>0.44</v>
      </c>
      <c r="G265" s="33">
        <v>0.64</v>
      </c>
      <c r="H265" s="33">
        <v>0.79</v>
      </c>
      <c r="I265" s="33">
        <v>0.82</v>
      </c>
      <c r="J265" s="33">
        <v>0.76</v>
      </c>
      <c r="K265" s="33">
        <v>0.63</v>
      </c>
      <c r="L265" s="33">
        <v>0.45</v>
      </c>
      <c r="M265" s="33">
        <v>0.26</v>
      </c>
      <c r="N265" s="33">
        <v>0.11</v>
      </c>
      <c r="O265" s="33">
        <v>0.1</v>
      </c>
      <c r="P265" s="34">
        <f t="shared" si="11"/>
        <v>0.44500000000000001</v>
      </c>
    </row>
    <row r="266" spans="1:16" x14ac:dyDescent="0.25">
      <c r="A266" s="169">
        <f t="shared" si="12"/>
        <v>13.85</v>
      </c>
      <c r="B266" s="166">
        <v>13</v>
      </c>
      <c r="C266" s="32">
        <v>85</v>
      </c>
      <c r="D266" s="33">
        <v>0.09</v>
      </c>
      <c r="E266" s="33">
        <v>0.16</v>
      </c>
      <c r="F266" s="33">
        <v>0.36</v>
      </c>
      <c r="G266" s="33">
        <v>0.56999999999999995</v>
      </c>
      <c r="H266" s="33">
        <v>0.72</v>
      </c>
      <c r="I266" s="33">
        <v>0.76</v>
      </c>
      <c r="J266" s="33">
        <v>0.7</v>
      </c>
      <c r="K266" s="33">
        <v>0.56000000000000005</v>
      </c>
      <c r="L266" s="33">
        <v>0.38</v>
      </c>
      <c r="M266" s="33">
        <v>0.19</v>
      </c>
      <c r="N266" s="33">
        <v>0.1</v>
      </c>
      <c r="O266" s="33">
        <v>0.09</v>
      </c>
      <c r="P266" s="34">
        <f t="shared" si="11"/>
        <v>0.39000000000000007</v>
      </c>
    </row>
    <row r="267" spans="1:16" x14ac:dyDescent="0.25">
      <c r="A267" s="169">
        <f t="shared" si="12"/>
        <v>13.9</v>
      </c>
      <c r="B267" s="166">
        <v>13</v>
      </c>
      <c r="C267" s="32">
        <v>90</v>
      </c>
      <c r="D267" s="33">
        <v>0.08</v>
      </c>
      <c r="E267" s="33">
        <v>0.08</v>
      </c>
      <c r="F267" s="33">
        <v>0.28000000000000003</v>
      </c>
      <c r="G267" s="33">
        <v>0.49</v>
      </c>
      <c r="H267" s="33">
        <v>0.65</v>
      </c>
      <c r="I267" s="33">
        <v>0.69</v>
      </c>
      <c r="J267" s="33">
        <v>0.63</v>
      </c>
      <c r="K267" s="33">
        <v>0.49</v>
      </c>
      <c r="L267" s="33">
        <v>0.31</v>
      </c>
      <c r="M267" s="33">
        <v>0.11</v>
      </c>
      <c r="N267" s="33">
        <v>0.09</v>
      </c>
      <c r="O267" s="33">
        <v>0.08</v>
      </c>
      <c r="P267" s="34">
        <f t="shared" si="11"/>
        <v>0.33166666666666661</v>
      </c>
    </row>
    <row r="268" spans="1:16" x14ac:dyDescent="0.25">
      <c r="A268" s="169">
        <f t="shared" si="12"/>
        <v>14</v>
      </c>
      <c r="B268" s="166">
        <v>14</v>
      </c>
      <c r="C268" s="32">
        <v>0</v>
      </c>
      <c r="D268" s="33">
        <v>1</v>
      </c>
      <c r="E268" s="33">
        <v>1</v>
      </c>
      <c r="F268" s="33">
        <v>1</v>
      </c>
      <c r="G268" s="33">
        <v>1</v>
      </c>
      <c r="H268" s="33">
        <v>1</v>
      </c>
      <c r="I268" s="33">
        <v>1</v>
      </c>
      <c r="J268" s="33">
        <v>1</v>
      </c>
      <c r="K268" s="33">
        <v>1</v>
      </c>
      <c r="L268" s="33">
        <v>1</v>
      </c>
      <c r="M268" s="33">
        <v>1</v>
      </c>
      <c r="N268" s="33">
        <v>1</v>
      </c>
      <c r="O268" s="33">
        <v>1</v>
      </c>
      <c r="P268" s="34">
        <f t="shared" si="11"/>
        <v>1</v>
      </c>
    </row>
    <row r="269" spans="1:16" x14ac:dyDescent="0.25">
      <c r="A269" s="169">
        <f t="shared" si="12"/>
        <v>14.05</v>
      </c>
      <c r="B269" s="166">
        <v>14</v>
      </c>
      <c r="C269" s="32">
        <v>5</v>
      </c>
      <c r="D269" s="33">
        <v>0.99</v>
      </c>
      <c r="E269" s="33">
        <v>1</v>
      </c>
      <c r="F269" s="33">
        <v>1.01</v>
      </c>
      <c r="G269" s="33">
        <v>1.03</v>
      </c>
      <c r="H269" s="33">
        <v>1.04</v>
      </c>
      <c r="I269" s="33">
        <v>1.04</v>
      </c>
      <c r="J269" s="33">
        <v>1.04</v>
      </c>
      <c r="K269" s="33">
        <v>1.03</v>
      </c>
      <c r="L269" s="33">
        <v>1.01</v>
      </c>
      <c r="M269" s="33">
        <v>1</v>
      </c>
      <c r="N269" s="33">
        <v>0.99</v>
      </c>
      <c r="O269" s="33">
        <v>0.98</v>
      </c>
      <c r="P269" s="34">
        <f t="shared" si="11"/>
        <v>1.0133333333333334</v>
      </c>
    </row>
    <row r="270" spans="1:16" x14ac:dyDescent="0.25">
      <c r="A270" s="169">
        <f t="shared" si="12"/>
        <v>14.1</v>
      </c>
      <c r="B270" s="166">
        <v>14</v>
      </c>
      <c r="C270" s="32">
        <v>10</v>
      </c>
      <c r="D270" s="33">
        <v>0.96</v>
      </c>
      <c r="E270" s="33">
        <v>0.99</v>
      </c>
      <c r="F270" s="33">
        <v>1.02</v>
      </c>
      <c r="G270" s="33">
        <v>1.05</v>
      </c>
      <c r="H270" s="33">
        <v>1.08</v>
      </c>
      <c r="I270" s="33">
        <v>1.08</v>
      </c>
      <c r="J270" s="33">
        <v>1.06</v>
      </c>
      <c r="K270" s="33">
        <v>1.04</v>
      </c>
      <c r="L270" s="33">
        <v>1.02</v>
      </c>
      <c r="M270" s="33">
        <v>0.99</v>
      </c>
      <c r="N270" s="33">
        <v>0.96</v>
      </c>
      <c r="O270" s="33">
        <v>0.96</v>
      </c>
      <c r="P270" s="34">
        <f t="shared" si="11"/>
        <v>1.0175000000000001</v>
      </c>
    </row>
    <row r="271" spans="1:16" x14ac:dyDescent="0.25">
      <c r="A271" s="169">
        <f t="shared" si="12"/>
        <v>14.15</v>
      </c>
      <c r="B271" s="166">
        <v>14</v>
      </c>
      <c r="C271" s="32">
        <v>15</v>
      </c>
      <c r="D271" s="33">
        <v>0.94</v>
      </c>
      <c r="E271" s="33">
        <v>0.97</v>
      </c>
      <c r="F271" s="33">
        <v>1.02</v>
      </c>
      <c r="G271" s="33">
        <v>1.07</v>
      </c>
      <c r="H271" s="33">
        <v>1.1000000000000001</v>
      </c>
      <c r="I271" s="33">
        <v>1.1000000000000001</v>
      </c>
      <c r="J271" s="33">
        <v>1.0900000000000001</v>
      </c>
      <c r="K271" s="33">
        <v>1.06</v>
      </c>
      <c r="L271" s="33">
        <v>1.02</v>
      </c>
      <c r="M271" s="33">
        <v>0.97</v>
      </c>
      <c r="N271" s="33">
        <v>0.94</v>
      </c>
      <c r="O271" s="33">
        <v>0.92</v>
      </c>
      <c r="P271" s="34">
        <f t="shared" si="11"/>
        <v>1.0166666666666666</v>
      </c>
    </row>
    <row r="272" spans="1:16" x14ac:dyDescent="0.25">
      <c r="A272" s="169">
        <f t="shared" si="12"/>
        <v>14.2</v>
      </c>
      <c r="B272" s="166">
        <v>14</v>
      </c>
      <c r="C272" s="32">
        <v>20</v>
      </c>
      <c r="D272" s="33">
        <v>0.9</v>
      </c>
      <c r="E272" s="33">
        <v>0.95</v>
      </c>
      <c r="F272" s="33">
        <v>1.01</v>
      </c>
      <c r="G272" s="33">
        <v>1.08</v>
      </c>
      <c r="H272" s="33">
        <v>1.1200000000000001</v>
      </c>
      <c r="I272" s="33">
        <v>1.1299999999999999</v>
      </c>
      <c r="J272" s="33">
        <v>1.1000000000000001</v>
      </c>
      <c r="K272" s="33">
        <v>1.06</v>
      </c>
      <c r="L272" s="33">
        <v>1.01</v>
      </c>
      <c r="M272" s="33">
        <v>0.95</v>
      </c>
      <c r="N272" s="33">
        <v>0.9</v>
      </c>
      <c r="O272" s="33">
        <v>0.88</v>
      </c>
      <c r="P272" s="34">
        <f t="shared" si="11"/>
        <v>1.0075000000000001</v>
      </c>
    </row>
    <row r="273" spans="1:16" x14ac:dyDescent="0.25">
      <c r="A273" s="169">
        <f t="shared" si="12"/>
        <v>14.25</v>
      </c>
      <c r="B273" s="166">
        <v>14</v>
      </c>
      <c r="C273" s="32">
        <v>25</v>
      </c>
      <c r="D273" s="33">
        <v>0.86</v>
      </c>
      <c r="E273" s="33">
        <v>0.92</v>
      </c>
      <c r="F273" s="33">
        <v>1</v>
      </c>
      <c r="G273" s="33">
        <v>1.08</v>
      </c>
      <c r="H273" s="33">
        <v>1.1399999999999999</v>
      </c>
      <c r="I273" s="33">
        <v>1.1399999999999999</v>
      </c>
      <c r="J273" s="33">
        <v>1.1100000000000001</v>
      </c>
      <c r="K273" s="33">
        <v>1.06</v>
      </c>
      <c r="L273" s="33">
        <v>1</v>
      </c>
      <c r="M273" s="33">
        <v>0.92</v>
      </c>
      <c r="N273" s="33">
        <v>0.86</v>
      </c>
      <c r="O273" s="33">
        <v>0.84</v>
      </c>
      <c r="P273" s="34">
        <f t="shared" si="11"/>
        <v>0.99416666666666664</v>
      </c>
    </row>
    <row r="274" spans="1:16" x14ac:dyDescent="0.25">
      <c r="A274" s="169">
        <f t="shared" si="12"/>
        <v>14.3</v>
      </c>
      <c r="B274" s="166">
        <v>14</v>
      </c>
      <c r="C274" s="32">
        <v>30</v>
      </c>
      <c r="D274" s="33">
        <v>0.81</v>
      </c>
      <c r="E274" s="33">
        <v>0.88</v>
      </c>
      <c r="F274" s="33">
        <v>0.98</v>
      </c>
      <c r="G274" s="33">
        <v>1.08</v>
      </c>
      <c r="H274" s="33">
        <v>1.1399999999999999</v>
      </c>
      <c r="I274" s="33">
        <v>1.1499999999999999</v>
      </c>
      <c r="J274" s="33">
        <v>1.1100000000000001</v>
      </c>
      <c r="K274" s="33">
        <v>1.05</v>
      </c>
      <c r="L274" s="33">
        <v>0.97</v>
      </c>
      <c r="M274" s="33">
        <v>0.89</v>
      </c>
      <c r="N274" s="33">
        <v>0.82</v>
      </c>
      <c r="O274" s="33">
        <v>0.79</v>
      </c>
      <c r="P274" s="34">
        <f t="shared" si="11"/>
        <v>0.97250000000000014</v>
      </c>
    </row>
    <row r="275" spans="1:16" x14ac:dyDescent="0.25">
      <c r="A275" s="169">
        <f t="shared" si="12"/>
        <v>14.35</v>
      </c>
      <c r="B275" s="166">
        <v>14</v>
      </c>
      <c r="C275" s="32">
        <v>35</v>
      </c>
      <c r="D275" s="33">
        <v>0.76</v>
      </c>
      <c r="E275" s="33">
        <v>0.84</v>
      </c>
      <c r="F275" s="33">
        <v>0.95</v>
      </c>
      <c r="G275" s="33">
        <v>1.06</v>
      </c>
      <c r="H275" s="33">
        <v>1.1399999999999999</v>
      </c>
      <c r="I275" s="33">
        <v>1.1499999999999999</v>
      </c>
      <c r="J275" s="33">
        <v>1.1100000000000001</v>
      </c>
      <c r="K275" s="33">
        <v>1.04</v>
      </c>
      <c r="L275" s="33">
        <v>0.95</v>
      </c>
      <c r="M275" s="33">
        <v>0.85</v>
      </c>
      <c r="N275" s="33">
        <v>0.77</v>
      </c>
      <c r="O275" s="33">
        <v>0.73</v>
      </c>
      <c r="P275" s="34">
        <f t="shared" si="11"/>
        <v>0.9458333333333333</v>
      </c>
    </row>
    <row r="276" spans="1:16" x14ac:dyDescent="0.25">
      <c r="A276" s="169">
        <f t="shared" si="12"/>
        <v>14.4</v>
      </c>
      <c r="B276" s="166">
        <v>14</v>
      </c>
      <c r="C276" s="32">
        <v>40</v>
      </c>
      <c r="D276" s="33">
        <v>0.7</v>
      </c>
      <c r="E276" s="33">
        <v>0.79</v>
      </c>
      <c r="F276" s="33">
        <v>0.92</v>
      </c>
      <c r="G276" s="33">
        <v>1.04</v>
      </c>
      <c r="H276" s="33">
        <v>1.1299999999999999</v>
      </c>
      <c r="I276" s="33">
        <v>1.1399999999999999</v>
      </c>
      <c r="J276" s="33">
        <v>1.0900000000000001</v>
      </c>
      <c r="K276" s="33">
        <v>1.02</v>
      </c>
      <c r="L276" s="33">
        <v>0.91</v>
      </c>
      <c r="M276" s="33">
        <v>0.8</v>
      </c>
      <c r="N276" s="33">
        <v>0.71</v>
      </c>
      <c r="O276" s="33">
        <v>0.67</v>
      </c>
      <c r="P276" s="34">
        <f t="shared" si="11"/>
        <v>0.91</v>
      </c>
    </row>
    <row r="277" spans="1:16" x14ac:dyDescent="0.25">
      <c r="A277" s="169">
        <f t="shared" si="12"/>
        <v>14.45</v>
      </c>
      <c r="B277" s="166">
        <v>14</v>
      </c>
      <c r="C277" s="32">
        <v>45</v>
      </c>
      <c r="D277" s="33">
        <v>0.64</v>
      </c>
      <c r="E277" s="33">
        <v>0.74</v>
      </c>
      <c r="F277" s="33">
        <v>0.88</v>
      </c>
      <c r="G277" s="33">
        <v>1.02</v>
      </c>
      <c r="H277" s="33">
        <v>1.1100000000000001</v>
      </c>
      <c r="I277" s="33">
        <v>1.1299999999999999</v>
      </c>
      <c r="J277" s="33">
        <v>1.08</v>
      </c>
      <c r="K277" s="33">
        <v>0.99</v>
      </c>
      <c r="L277" s="33">
        <v>0.87</v>
      </c>
      <c r="M277" s="33">
        <v>0.75</v>
      </c>
      <c r="N277" s="33">
        <v>0.65</v>
      </c>
      <c r="O277" s="33">
        <v>0.61</v>
      </c>
      <c r="P277" s="34">
        <f t="shared" si="11"/>
        <v>0.87249999999999994</v>
      </c>
    </row>
    <row r="278" spans="1:16" x14ac:dyDescent="0.25">
      <c r="A278" s="169">
        <f t="shared" si="12"/>
        <v>14.5</v>
      </c>
      <c r="B278" s="166">
        <v>14</v>
      </c>
      <c r="C278" s="32">
        <v>50</v>
      </c>
      <c r="D278" s="33">
        <v>0.56999999999999995</v>
      </c>
      <c r="E278" s="33">
        <v>0.68</v>
      </c>
      <c r="F278" s="33">
        <v>0.83</v>
      </c>
      <c r="G278" s="33">
        <v>0.98</v>
      </c>
      <c r="H278" s="33">
        <v>1.0900000000000001</v>
      </c>
      <c r="I278" s="33">
        <v>1.1000000000000001</v>
      </c>
      <c r="J278" s="33">
        <v>1.05</v>
      </c>
      <c r="K278" s="33">
        <v>0.96</v>
      </c>
      <c r="L278" s="33">
        <v>0.83</v>
      </c>
      <c r="M278" s="33">
        <v>0.69</v>
      </c>
      <c r="N278" s="33">
        <v>0.57999999999999996</v>
      </c>
      <c r="O278" s="33">
        <v>0.54</v>
      </c>
      <c r="P278" s="34">
        <f t="shared" si="11"/>
        <v>0.82499999999999984</v>
      </c>
    </row>
    <row r="279" spans="1:16" x14ac:dyDescent="0.25">
      <c r="A279" s="169">
        <f t="shared" si="12"/>
        <v>14.55</v>
      </c>
      <c r="B279" s="166">
        <v>14</v>
      </c>
      <c r="C279" s="32">
        <v>55</v>
      </c>
      <c r="D279" s="33">
        <v>0.5</v>
      </c>
      <c r="E279" s="33">
        <v>0.62</v>
      </c>
      <c r="F279" s="33">
        <v>0.78</v>
      </c>
      <c r="G279" s="33">
        <v>0.94</v>
      </c>
      <c r="H279" s="33">
        <v>1.06</v>
      </c>
      <c r="I279" s="33">
        <v>1.07</v>
      </c>
      <c r="J279" s="33">
        <v>1.02</v>
      </c>
      <c r="K279" s="33">
        <v>0.92</v>
      </c>
      <c r="L279" s="33">
        <v>0.78</v>
      </c>
      <c r="M279" s="33">
        <v>0.63</v>
      </c>
      <c r="N279" s="33">
        <v>0.51</v>
      </c>
      <c r="O279" s="33">
        <v>0.46</v>
      </c>
      <c r="P279" s="34">
        <f t="shared" si="11"/>
        <v>0.77416666666666678</v>
      </c>
    </row>
    <row r="280" spans="1:16" x14ac:dyDescent="0.25">
      <c r="A280" s="169">
        <f t="shared" si="12"/>
        <v>14.6</v>
      </c>
      <c r="B280" s="166">
        <v>14</v>
      </c>
      <c r="C280" s="32">
        <v>60</v>
      </c>
      <c r="D280" s="33">
        <v>0.43</v>
      </c>
      <c r="E280" s="33">
        <v>0.55000000000000004</v>
      </c>
      <c r="F280" s="33">
        <v>0.72</v>
      </c>
      <c r="G280" s="33">
        <v>0.9</v>
      </c>
      <c r="H280" s="33">
        <v>1.02</v>
      </c>
      <c r="I280" s="33">
        <v>1.04</v>
      </c>
      <c r="J280" s="33">
        <v>0.98</v>
      </c>
      <c r="K280" s="33">
        <v>0.87</v>
      </c>
      <c r="L280" s="33">
        <v>0.73</v>
      </c>
      <c r="M280" s="33">
        <v>0.56999999999999995</v>
      </c>
      <c r="N280" s="33">
        <v>0.44</v>
      </c>
      <c r="O280" s="33">
        <v>0.39</v>
      </c>
      <c r="P280" s="34">
        <f t="shared" si="11"/>
        <v>0.72000000000000008</v>
      </c>
    </row>
    <row r="281" spans="1:16" x14ac:dyDescent="0.25">
      <c r="A281" s="169">
        <f t="shared" si="12"/>
        <v>14.65</v>
      </c>
      <c r="B281" s="166">
        <v>14</v>
      </c>
      <c r="C281" s="32">
        <v>65</v>
      </c>
      <c r="D281" s="33">
        <v>0.35</v>
      </c>
      <c r="E281" s="33">
        <v>0.48</v>
      </c>
      <c r="F281" s="33">
        <v>0.66</v>
      </c>
      <c r="G281" s="33">
        <v>0.84</v>
      </c>
      <c r="H281" s="33">
        <v>0.97</v>
      </c>
      <c r="I281" s="33">
        <v>1</v>
      </c>
      <c r="J281" s="33">
        <v>0.94</v>
      </c>
      <c r="K281" s="33">
        <v>0.82</v>
      </c>
      <c r="L281" s="33">
        <v>0.67</v>
      </c>
      <c r="M281" s="33">
        <v>0.5</v>
      </c>
      <c r="N281" s="33">
        <v>0.36</v>
      </c>
      <c r="O281" s="33">
        <v>0.31</v>
      </c>
      <c r="P281" s="34">
        <f t="shared" si="11"/>
        <v>0.65833333333333333</v>
      </c>
    </row>
    <row r="282" spans="1:16" x14ac:dyDescent="0.25">
      <c r="A282" s="169">
        <f t="shared" si="12"/>
        <v>14.7</v>
      </c>
      <c r="B282" s="166">
        <v>14</v>
      </c>
      <c r="C282" s="32">
        <v>70</v>
      </c>
      <c r="D282" s="33">
        <v>0.28000000000000003</v>
      </c>
      <c r="E282" s="33">
        <v>0.41</v>
      </c>
      <c r="F282" s="33">
        <v>0.59</v>
      </c>
      <c r="G282" s="33">
        <v>0.79</v>
      </c>
      <c r="H282" s="33">
        <v>0.92</v>
      </c>
      <c r="I282" s="33">
        <v>0.95</v>
      </c>
      <c r="J282" s="33">
        <v>0.89</v>
      </c>
      <c r="K282" s="33">
        <v>0.77</v>
      </c>
      <c r="L282" s="33">
        <v>0.6</v>
      </c>
      <c r="M282" s="33">
        <v>0.43</v>
      </c>
      <c r="N282" s="33">
        <v>0.28999999999999998</v>
      </c>
      <c r="O282" s="33">
        <v>0.23</v>
      </c>
      <c r="P282" s="34">
        <f t="shared" si="11"/>
        <v>0.59583333333333333</v>
      </c>
    </row>
    <row r="283" spans="1:16" x14ac:dyDescent="0.25">
      <c r="A283" s="169">
        <f t="shared" si="12"/>
        <v>14.75</v>
      </c>
      <c r="B283" s="166">
        <v>14</v>
      </c>
      <c r="C283" s="32">
        <v>75</v>
      </c>
      <c r="D283" s="33">
        <v>0.2</v>
      </c>
      <c r="E283" s="33">
        <v>0.33</v>
      </c>
      <c r="F283" s="33">
        <v>0.52</v>
      </c>
      <c r="G283" s="33">
        <v>0.72</v>
      </c>
      <c r="H283" s="33">
        <v>0.87</v>
      </c>
      <c r="I283" s="33">
        <v>0.9</v>
      </c>
      <c r="J283" s="33">
        <v>0.83</v>
      </c>
      <c r="K283" s="33">
        <v>0.71</v>
      </c>
      <c r="L283" s="33">
        <v>0.54</v>
      </c>
      <c r="M283" s="33">
        <v>0.35</v>
      </c>
      <c r="N283" s="33">
        <v>0.21</v>
      </c>
      <c r="O283" s="33">
        <v>0.15</v>
      </c>
      <c r="P283" s="34">
        <f t="shared" si="11"/>
        <v>0.52749999999999997</v>
      </c>
    </row>
    <row r="284" spans="1:16" x14ac:dyDescent="0.25">
      <c r="A284" s="169">
        <f t="shared" si="12"/>
        <v>14.8</v>
      </c>
      <c r="B284" s="166">
        <v>14</v>
      </c>
      <c r="C284" s="32">
        <v>80</v>
      </c>
      <c r="D284" s="33">
        <v>0.11</v>
      </c>
      <c r="E284" s="33">
        <v>0.25</v>
      </c>
      <c r="F284" s="33">
        <v>0.45</v>
      </c>
      <c r="G284" s="33">
        <v>0.66</v>
      </c>
      <c r="H284" s="33">
        <v>0.8</v>
      </c>
      <c r="I284" s="33">
        <v>0.84</v>
      </c>
      <c r="J284" s="33">
        <v>0.77</v>
      </c>
      <c r="K284" s="33">
        <v>0.65</v>
      </c>
      <c r="L284" s="33">
        <v>0.47</v>
      </c>
      <c r="M284" s="33">
        <v>0.28000000000000003</v>
      </c>
      <c r="N284" s="33">
        <v>0.13</v>
      </c>
      <c r="O284" s="33">
        <v>0.1</v>
      </c>
      <c r="P284" s="34">
        <f t="shared" si="11"/>
        <v>0.45916666666666667</v>
      </c>
    </row>
    <row r="285" spans="1:16" x14ac:dyDescent="0.25">
      <c r="A285" s="169">
        <f t="shared" si="12"/>
        <v>14.85</v>
      </c>
      <c r="B285" s="166">
        <v>14</v>
      </c>
      <c r="C285" s="32">
        <v>85</v>
      </c>
      <c r="D285" s="33">
        <v>0.09</v>
      </c>
      <c r="E285" s="33">
        <v>0.18</v>
      </c>
      <c r="F285" s="33">
        <v>0.38</v>
      </c>
      <c r="G285" s="33">
        <v>0.59</v>
      </c>
      <c r="H285" s="33">
        <v>0.74</v>
      </c>
      <c r="I285" s="33">
        <v>0.77</v>
      </c>
      <c r="J285" s="33">
        <v>0.71</v>
      </c>
      <c r="K285" s="33">
        <v>0.57999999999999996</v>
      </c>
      <c r="L285" s="33">
        <v>0.39</v>
      </c>
      <c r="M285" s="33">
        <v>0.2</v>
      </c>
      <c r="N285" s="33">
        <v>0.1</v>
      </c>
      <c r="O285" s="33">
        <v>0.09</v>
      </c>
      <c r="P285" s="34">
        <f t="shared" si="11"/>
        <v>0.40166666666666662</v>
      </c>
    </row>
    <row r="286" spans="1:16" x14ac:dyDescent="0.25">
      <c r="A286" s="169">
        <f t="shared" si="12"/>
        <v>14.9</v>
      </c>
      <c r="B286" s="166">
        <v>14</v>
      </c>
      <c r="C286" s="32">
        <v>90</v>
      </c>
      <c r="D286" s="33">
        <v>0.08</v>
      </c>
      <c r="E286" s="33">
        <v>0.1</v>
      </c>
      <c r="F286" s="33">
        <v>0.3</v>
      </c>
      <c r="G286" s="33">
        <v>0.51</v>
      </c>
      <c r="H286" s="33">
        <v>0.67</v>
      </c>
      <c r="I286" s="33">
        <v>0.71</v>
      </c>
      <c r="J286" s="33">
        <v>0.64</v>
      </c>
      <c r="K286" s="33">
        <v>0.51</v>
      </c>
      <c r="L286" s="33">
        <v>0.32</v>
      </c>
      <c r="M286" s="33">
        <v>0.12</v>
      </c>
      <c r="N286" s="33">
        <v>0.09</v>
      </c>
      <c r="O286" s="33">
        <v>0.08</v>
      </c>
      <c r="P286" s="34">
        <f t="shared" si="11"/>
        <v>0.34416666666666673</v>
      </c>
    </row>
    <row r="287" spans="1:16" x14ac:dyDescent="0.25">
      <c r="A287" s="169">
        <f t="shared" si="12"/>
        <v>15</v>
      </c>
      <c r="B287" s="166">
        <v>15</v>
      </c>
      <c r="C287" s="32">
        <v>0</v>
      </c>
      <c r="D287" s="33">
        <v>1</v>
      </c>
      <c r="E287" s="33">
        <v>1</v>
      </c>
      <c r="F287" s="33">
        <v>1</v>
      </c>
      <c r="G287" s="33">
        <v>1</v>
      </c>
      <c r="H287" s="33">
        <v>1</v>
      </c>
      <c r="I287" s="33">
        <v>1</v>
      </c>
      <c r="J287" s="33">
        <v>1</v>
      </c>
      <c r="K287" s="33">
        <v>1</v>
      </c>
      <c r="L287" s="33">
        <v>1</v>
      </c>
      <c r="M287" s="33">
        <v>1</v>
      </c>
      <c r="N287" s="33">
        <v>1</v>
      </c>
      <c r="O287" s="33">
        <v>1</v>
      </c>
      <c r="P287" s="34">
        <f t="shared" si="11"/>
        <v>1</v>
      </c>
    </row>
    <row r="288" spans="1:16" x14ac:dyDescent="0.25">
      <c r="A288" s="169">
        <f t="shared" si="12"/>
        <v>15.05</v>
      </c>
      <c r="B288" s="166">
        <v>15</v>
      </c>
      <c r="C288" s="32">
        <v>5</v>
      </c>
      <c r="D288" s="33">
        <v>0.99</v>
      </c>
      <c r="E288" s="33">
        <v>1</v>
      </c>
      <c r="F288" s="33">
        <v>1.02</v>
      </c>
      <c r="G288" s="33">
        <v>1.03</v>
      </c>
      <c r="H288" s="33">
        <v>1.04</v>
      </c>
      <c r="I288" s="33">
        <v>1.04</v>
      </c>
      <c r="J288" s="33">
        <v>1.04</v>
      </c>
      <c r="K288" s="33">
        <v>1.03</v>
      </c>
      <c r="L288" s="33">
        <v>1.01</v>
      </c>
      <c r="M288" s="33">
        <v>1</v>
      </c>
      <c r="N288" s="33">
        <v>0.99</v>
      </c>
      <c r="O288" s="33">
        <v>0.98</v>
      </c>
      <c r="P288" s="34">
        <f t="shared" si="11"/>
        <v>1.0141666666666667</v>
      </c>
    </row>
    <row r="289" spans="1:16" x14ac:dyDescent="0.25">
      <c r="A289" s="169">
        <f t="shared" si="12"/>
        <v>15.1</v>
      </c>
      <c r="B289" s="166">
        <v>15</v>
      </c>
      <c r="C289" s="32">
        <v>10</v>
      </c>
      <c r="D289" s="33">
        <v>0.97</v>
      </c>
      <c r="E289" s="33">
        <v>0.99</v>
      </c>
      <c r="F289" s="33">
        <v>1.02</v>
      </c>
      <c r="G289" s="33">
        <v>1.06</v>
      </c>
      <c r="H289" s="33">
        <v>1.08</v>
      </c>
      <c r="I289" s="33">
        <v>1.08</v>
      </c>
      <c r="J289" s="33">
        <v>1.07</v>
      </c>
      <c r="K289" s="33">
        <v>1.05</v>
      </c>
      <c r="L289" s="33">
        <v>1.02</v>
      </c>
      <c r="M289" s="33">
        <v>0.99</v>
      </c>
      <c r="N289" s="33">
        <v>0.97</v>
      </c>
      <c r="O289" s="33">
        <v>0.96</v>
      </c>
      <c r="P289" s="34">
        <f t="shared" si="11"/>
        <v>1.0216666666666667</v>
      </c>
    </row>
    <row r="290" spans="1:16" x14ac:dyDescent="0.25">
      <c r="A290" s="169">
        <f t="shared" si="12"/>
        <v>15.15</v>
      </c>
      <c r="B290" s="166">
        <v>15</v>
      </c>
      <c r="C290" s="32">
        <v>15</v>
      </c>
      <c r="D290" s="33">
        <v>0.94</v>
      </c>
      <c r="E290" s="33">
        <v>0.98</v>
      </c>
      <c r="F290" s="33">
        <v>1.03</v>
      </c>
      <c r="G290" s="33">
        <v>1.07</v>
      </c>
      <c r="H290" s="33">
        <v>1.1100000000000001</v>
      </c>
      <c r="I290" s="33">
        <v>1.1100000000000001</v>
      </c>
      <c r="J290" s="33">
        <v>1.0900000000000001</v>
      </c>
      <c r="K290" s="33">
        <v>1.06</v>
      </c>
      <c r="L290" s="33">
        <v>1.02</v>
      </c>
      <c r="M290" s="33">
        <v>0.98</v>
      </c>
      <c r="N290" s="33">
        <v>0.94</v>
      </c>
      <c r="O290" s="33">
        <v>0.93</v>
      </c>
      <c r="P290" s="34">
        <f t="shared" si="11"/>
        <v>1.0216666666666667</v>
      </c>
    </row>
    <row r="291" spans="1:16" x14ac:dyDescent="0.25">
      <c r="A291" s="169">
        <f t="shared" si="12"/>
        <v>15.2</v>
      </c>
      <c r="B291" s="166">
        <v>15</v>
      </c>
      <c r="C291" s="32">
        <v>20</v>
      </c>
      <c r="D291" s="33">
        <v>0.91</v>
      </c>
      <c r="E291" s="33">
        <v>0.95</v>
      </c>
      <c r="F291" s="33">
        <v>1.02</v>
      </c>
      <c r="G291" s="33">
        <v>1.0900000000000001</v>
      </c>
      <c r="H291" s="33">
        <v>1.1299999999999999</v>
      </c>
      <c r="I291" s="33">
        <v>1.1299999999999999</v>
      </c>
      <c r="J291" s="33">
        <v>1.1100000000000001</v>
      </c>
      <c r="K291" s="33">
        <v>1.07</v>
      </c>
      <c r="L291" s="33">
        <v>1.01</v>
      </c>
      <c r="M291" s="33">
        <v>0.95</v>
      </c>
      <c r="N291" s="33">
        <v>0.91</v>
      </c>
      <c r="O291" s="33">
        <v>0.89</v>
      </c>
      <c r="P291" s="34">
        <f t="shared" si="11"/>
        <v>1.0141666666666667</v>
      </c>
    </row>
    <row r="292" spans="1:16" x14ac:dyDescent="0.25">
      <c r="A292" s="169">
        <f t="shared" si="12"/>
        <v>15.25</v>
      </c>
      <c r="B292" s="166">
        <v>15</v>
      </c>
      <c r="C292" s="32">
        <v>25</v>
      </c>
      <c r="D292" s="33">
        <v>0.87</v>
      </c>
      <c r="E292" s="33">
        <v>0.93</v>
      </c>
      <c r="F292" s="33">
        <v>1.01</v>
      </c>
      <c r="G292" s="33">
        <v>1.0900000000000001</v>
      </c>
      <c r="H292" s="33">
        <v>1.1399999999999999</v>
      </c>
      <c r="I292" s="33">
        <v>1.1499999999999999</v>
      </c>
      <c r="J292" s="33">
        <v>1.1200000000000001</v>
      </c>
      <c r="K292" s="33">
        <v>1.07</v>
      </c>
      <c r="L292" s="33">
        <v>1</v>
      </c>
      <c r="M292" s="33">
        <v>0.93</v>
      </c>
      <c r="N292" s="33">
        <v>0.87</v>
      </c>
      <c r="O292" s="33">
        <v>0.85</v>
      </c>
      <c r="P292" s="34">
        <f t="shared" si="11"/>
        <v>1.0024999999999997</v>
      </c>
    </row>
    <row r="293" spans="1:16" x14ac:dyDescent="0.25">
      <c r="A293" s="169">
        <f t="shared" si="12"/>
        <v>15.3</v>
      </c>
      <c r="B293" s="166">
        <v>15</v>
      </c>
      <c r="C293" s="32">
        <v>30</v>
      </c>
      <c r="D293" s="33">
        <v>0.82</v>
      </c>
      <c r="E293" s="33">
        <v>0.89</v>
      </c>
      <c r="F293" s="33">
        <v>0.99</v>
      </c>
      <c r="G293" s="33">
        <v>1.08</v>
      </c>
      <c r="H293" s="33">
        <v>1.1499999999999999</v>
      </c>
      <c r="I293" s="33">
        <v>1.1599999999999999</v>
      </c>
      <c r="J293" s="33">
        <v>1.1200000000000001</v>
      </c>
      <c r="K293" s="33">
        <v>1.06</v>
      </c>
      <c r="L293" s="33">
        <v>0.98</v>
      </c>
      <c r="M293" s="33">
        <v>0.89</v>
      </c>
      <c r="N293" s="33">
        <v>0.82</v>
      </c>
      <c r="O293" s="33">
        <v>0.8</v>
      </c>
      <c r="P293" s="34">
        <f t="shared" si="11"/>
        <v>0.98000000000000009</v>
      </c>
    </row>
    <row r="294" spans="1:16" x14ac:dyDescent="0.25">
      <c r="A294" s="169">
        <f t="shared" si="12"/>
        <v>15.35</v>
      </c>
      <c r="B294" s="166">
        <v>15</v>
      </c>
      <c r="C294" s="32">
        <v>35</v>
      </c>
      <c r="D294" s="33">
        <v>0.77</v>
      </c>
      <c r="E294" s="33">
        <v>0.85</v>
      </c>
      <c r="F294" s="33">
        <v>0.96</v>
      </c>
      <c r="G294" s="33">
        <v>1.07</v>
      </c>
      <c r="H294" s="33">
        <v>1.1499999999999999</v>
      </c>
      <c r="I294" s="33">
        <v>1.1599999999999999</v>
      </c>
      <c r="J294" s="33">
        <v>1.1100000000000001</v>
      </c>
      <c r="K294" s="33">
        <v>1.05</v>
      </c>
      <c r="L294" s="33">
        <v>0.95</v>
      </c>
      <c r="M294" s="33">
        <v>0.85</v>
      </c>
      <c r="N294" s="33">
        <v>0.77</v>
      </c>
      <c r="O294" s="33">
        <v>0.74</v>
      </c>
      <c r="P294" s="34">
        <f t="shared" si="11"/>
        <v>0.95250000000000001</v>
      </c>
    </row>
    <row r="295" spans="1:16" x14ac:dyDescent="0.25">
      <c r="A295" s="169">
        <f t="shared" si="12"/>
        <v>15.4</v>
      </c>
      <c r="B295" s="166">
        <v>15</v>
      </c>
      <c r="C295" s="32">
        <v>40</v>
      </c>
      <c r="D295" s="33">
        <v>0.71</v>
      </c>
      <c r="E295" s="33">
        <v>0.8</v>
      </c>
      <c r="F295" s="33">
        <v>0.93</v>
      </c>
      <c r="G295" s="33">
        <v>1.05</v>
      </c>
      <c r="H295" s="33">
        <v>1.1399999999999999</v>
      </c>
      <c r="I295" s="33">
        <v>1.1499999999999999</v>
      </c>
      <c r="J295" s="33">
        <v>1.1000000000000001</v>
      </c>
      <c r="K295" s="33">
        <v>1.03</v>
      </c>
      <c r="L295" s="33">
        <v>0.92</v>
      </c>
      <c r="M295" s="33">
        <v>0.81</v>
      </c>
      <c r="N295" s="33">
        <v>0.72</v>
      </c>
      <c r="O295" s="33">
        <v>0.68</v>
      </c>
      <c r="P295" s="34">
        <f t="shared" si="11"/>
        <v>0.92</v>
      </c>
    </row>
    <row r="296" spans="1:16" x14ac:dyDescent="0.25">
      <c r="A296" s="169">
        <f t="shared" si="12"/>
        <v>15.45</v>
      </c>
      <c r="B296" s="166">
        <v>15</v>
      </c>
      <c r="C296" s="32">
        <v>45</v>
      </c>
      <c r="D296" s="33">
        <v>0.65</v>
      </c>
      <c r="E296" s="33">
        <v>0.75</v>
      </c>
      <c r="F296" s="33">
        <v>0.89</v>
      </c>
      <c r="G296" s="33">
        <v>1.03</v>
      </c>
      <c r="H296" s="33">
        <v>1.1200000000000001</v>
      </c>
      <c r="I296" s="33">
        <v>1.1399999999999999</v>
      </c>
      <c r="J296" s="33">
        <v>1.0900000000000001</v>
      </c>
      <c r="K296" s="33">
        <v>1</v>
      </c>
      <c r="L296" s="33">
        <v>0.88</v>
      </c>
      <c r="M296" s="33">
        <v>0.76</v>
      </c>
      <c r="N296" s="33">
        <v>0.66</v>
      </c>
      <c r="O296" s="33">
        <v>0.62</v>
      </c>
      <c r="P296" s="34">
        <f t="shared" si="11"/>
        <v>0.88249999999999995</v>
      </c>
    </row>
    <row r="297" spans="1:16" x14ac:dyDescent="0.25">
      <c r="A297" s="169">
        <f t="shared" si="12"/>
        <v>15.5</v>
      </c>
      <c r="B297" s="166">
        <v>15</v>
      </c>
      <c r="C297" s="32">
        <v>50</v>
      </c>
      <c r="D297" s="33">
        <v>0.59</v>
      </c>
      <c r="E297" s="33">
        <v>0.69</v>
      </c>
      <c r="F297" s="33">
        <v>0.84</v>
      </c>
      <c r="G297" s="33">
        <v>1</v>
      </c>
      <c r="H297" s="33">
        <v>1.1000000000000001</v>
      </c>
      <c r="I297" s="33">
        <v>1.1200000000000001</v>
      </c>
      <c r="J297" s="33">
        <v>1.06</v>
      </c>
      <c r="K297" s="33">
        <v>0.97</v>
      </c>
      <c r="L297" s="33">
        <v>0.84</v>
      </c>
      <c r="M297" s="33">
        <v>0.7</v>
      </c>
      <c r="N297" s="33">
        <v>0.59</v>
      </c>
      <c r="O297" s="33">
        <v>0.55000000000000004</v>
      </c>
      <c r="P297" s="34">
        <f t="shared" si="11"/>
        <v>0.83750000000000002</v>
      </c>
    </row>
    <row r="298" spans="1:16" x14ac:dyDescent="0.25">
      <c r="A298" s="169">
        <f t="shared" si="12"/>
        <v>15.55</v>
      </c>
      <c r="B298" s="166">
        <v>15</v>
      </c>
      <c r="C298" s="32">
        <v>55</v>
      </c>
      <c r="D298" s="33">
        <v>0.52</v>
      </c>
      <c r="E298" s="33">
        <v>0.63</v>
      </c>
      <c r="F298" s="33">
        <v>0.79</v>
      </c>
      <c r="G298" s="33">
        <v>0.96</v>
      </c>
      <c r="H298" s="33">
        <v>1.07</v>
      </c>
      <c r="I298" s="33">
        <v>1.0900000000000001</v>
      </c>
      <c r="J298" s="33">
        <v>1.03</v>
      </c>
      <c r="K298" s="33">
        <v>0.93</v>
      </c>
      <c r="L298" s="33">
        <v>0.79</v>
      </c>
      <c r="M298" s="33">
        <v>0.64</v>
      </c>
      <c r="N298" s="33">
        <v>0.52</v>
      </c>
      <c r="O298" s="33">
        <v>0.48</v>
      </c>
      <c r="P298" s="34">
        <f t="shared" si="11"/>
        <v>0.78749999999999998</v>
      </c>
    </row>
    <row r="299" spans="1:16" x14ac:dyDescent="0.25">
      <c r="A299" s="169">
        <f t="shared" si="12"/>
        <v>15.6</v>
      </c>
      <c r="B299" s="166">
        <v>15</v>
      </c>
      <c r="C299" s="32">
        <v>60</v>
      </c>
      <c r="D299" s="33">
        <v>0.44</v>
      </c>
      <c r="E299" s="33">
        <v>0.56000000000000005</v>
      </c>
      <c r="F299" s="33">
        <v>0.74</v>
      </c>
      <c r="G299" s="33">
        <v>0.91</v>
      </c>
      <c r="H299" s="33">
        <v>1.03</v>
      </c>
      <c r="I299" s="33">
        <v>1.05</v>
      </c>
      <c r="J299" s="33">
        <v>0.99</v>
      </c>
      <c r="K299" s="33">
        <v>0.89</v>
      </c>
      <c r="L299" s="33">
        <v>0.74</v>
      </c>
      <c r="M299" s="33">
        <v>0.57999999999999996</v>
      </c>
      <c r="N299" s="33">
        <v>0.45</v>
      </c>
      <c r="O299" s="33">
        <v>0.4</v>
      </c>
      <c r="P299" s="34">
        <f t="shared" si="11"/>
        <v>0.73166666666666658</v>
      </c>
    </row>
    <row r="300" spans="1:16" x14ac:dyDescent="0.25">
      <c r="A300" s="169">
        <f t="shared" si="12"/>
        <v>15.65</v>
      </c>
      <c r="B300" s="166">
        <v>15</v>
      </c>
      <c r="C300" s="32">
        <v>65</v>
      </c>
      <c r="D300" s="33">
        <v>0.37</v>
      </c>
      <c r="E300" s="33">
        <v>0.49</v>
      </c>
      <c r="F300" s="33">
        <v>0.67</v>
      </c>
      <c r="G300" s="33">
        <v>0.86</v>
      </c>
      <c r="H300" s="33">
        <v>0.99</v>
      </c>
      <c r="I300" s="33">
        <v>1.01</v>
      </c>
      <c r="J300" s="33">
        <v>0.95</v>
      </c>
      <c r="K300" s="33">
        <v>0.84</v>
      </c>
      <c r="L300" s="33">
        <v>0.68</v>
      </c>
      <c r="M300" s="33">
        <v>0.51</v>
      </c>
      <c r="N300" s="33">
        <v>0.38</v>
      </c>
      <c r="O300" s="33">
        <v>0.32</v>
      </c>
      <c r="P300" s="34">
        <f t="shared" si="11"/>
        <v>0.67249999999999988</v>
      </c>
    </row>
    <row r="301" spans="1:16" x14ac:dyDescent="0.25">
      <c r="A301" s="169">
        <f t="shared" si="12"/>
        <v>15.7</v>
      </c>
      <c r="B301" s="166">
        <v>15</v>
      </c>
      <c r="C301" s="32">
        <v>70</v>
      </c>
      <c r="D301" s="33">
        <v>0.28999999999999998</v>
      </c>
      <c r="E301" s="33">
        <v>0.42</v>
      </c>
      <c r="F301" s="33">
        <v>0.61</v>
      </c>
      <c r="G301" s="33">
        <v>0.8</v>
      </c>
      <c r="H301" s="33">
        <v>0.94</v>
      </c>
      <c r="I301" s="33">
        <v>0.97</v>
      </c>
      <c r="J301" s="33">
        <v>0.9</v>
      </c>
      <c r="K301" s="33">
        <v>0.78</v>
      </c>
      <c r="L301" s="33">
        <v>0.62</v>
      </c>
      <c r="M301" s="33">
        <v>0.44</v>
      </c>
      <c r="N301" s="33">
        <v>0.3</v>
      </c>
      <c r="O301" s="33">
        <v>0.24</v>
      </c>
      <c r="P301" s="34">
        <f t="shared" si="11"/>
        <v>0.60916666666666675</v>
      </c>
    </row>
    <row r="302" spans="1:16" x14ac:dyDescent="0.25">
      <c r="A302" s="169">
        <f t="shared" si="12"/>
        <v>15.75</v>
      </c>
      <c r="B302" s="166">
        <v>15</v>
      </c>
      <c r="C302" s="32">
        <v>75</v>
      </c>
      <c r="D302" s="33">
        <v>0.21</v>
      </c>
      <c r="E302" s="33">
        <v>0.35</v>
      </c>
      <c r="F302" s="33">
        <v>0.54</v>
      </c>
      <c r="G302" s="33">
        <v>0.74</v>
      </c>
      <c r="H302" s="33">
        <v>0.88</v>
      </c>
      <c r="I302" s="33">
        <v>0.91</v>
      </c>
      <c r="J302" s="33">
        <v>0.85</v>
      </c>
      <c r="K302" s="33">
        <v>0.72</v>
      </c>
      <c r="L302" s="33">
        <v>0.55000000000000004</v>
      </c>
      <c r="M302" s="33">
        <v>0.37</v>
      </c>
      <c r="N302" s="33">
        <v>0.22</v>
      </c>
      <c r="O302" s="33">
        <v>0.16</v>
      </c>
      <c r="P302" s="34">
        <f t="shared" si="11"/>
        <v>0.54166666666666663</v>
      </c>
    </row>
    <row r="303" spans="1:16" x14ac:dyDescent="0.25">
      <c r="A303" s="169">
        <f t="shared" si="12"/>
        <v>15.8</v>
      </c>
      <c r="B303" s="166">
        <v>15</v>
      </c>
      <c r="C303" s="32">
        <v>80</v>
      </c>
      <c r="D303" s="33">
        <v>0.13</v>
      </c>
      <c r="E303" s="33">
        <v>0.27</v>
      </c>
      <c r="F303" s="33">
        <v>0.47</v>
      </c>
      <c r="G303" s="33">
        <v>0.67</v>
      </c>
      <c r="H303" s="33">
        <v>0.82</v>
      </c>
      <c r="I303" s="33">
        <v>0.85</v>
      </c>
      <c r="J303" s="33">
        <v>0.79</v>
      </c>
      <c r="K303" s="33">
        <v>0.66</v>
      </c>
      <c r="L303" s="33">
        <v>0.48</v>
      </c>
      <c r="M303" s="33">
        <v>0.28999999999999998</v>
      </c>
      <c r="N303" s="33">
        <v>0.14000000000000001</v>
      </c>
      <c r="O303" s="33">
        <v>0.1</v>
      </c>
      <c r="P303" s="34">
        <f t="shared" si="11"/>
        <v>0.47249999999999998</v>
      </c>
    </row>
    <row r="304" spans="1:16" x14ac:dyDescent="0.25">
      <c r="A304" s="169">
        <f t="shared" si="12"/>
        <v>15.85</v>
      </c>
      <c r="B304" s="166">
        <v>15</v>
      </c>
      <c r="C304" s="32">
        <v>85</v>
      </c>
      <c r="D304" s="33">
        <v>0.09</v>
      </c>
      <c r="E304" s="33">
        <v>0.19</v>
      </c>
      <c r="F304" s="33">
        <v>0.39</v>
      </c>
      <c r="G304" s="33">
        <v>0.6</v>
      </c>
      <c r="H304" s="33">
        <v>0.75</v>
      </c>
      <c r="I304" s="33">
        <v>0.79</v>
      </c>
      <c r="J304" s="33">
        <v>0.73</v>
      </c>
      <c r="K304" s="33">
        <v>0.59</v>
      </c>
      <c r="L304" s="33">
        <v>0.41</v>
      </c>
      <c r="M304" s="33">
        <v>0.21</v>
      </c>
      <c r="N304" s="33">
        <v>0.1</v>
      </c>
      <c r="O304" s="33">
        <v>0.09</v>
      </c>
      <c r="P304" s="34">
        <f t="shared" si="11"/>
        <v>0.41166666666666663</v>
      </c>
    </row>
    <row r="305" spans="1:16" x14ac:dyDescent="0.25">
      <c r="A305" s="169">
        <f t="shared" si="12"/>
        <v>15.9</v>
      </c>
      <c r="B305" s="166">
        <v>15</v>
      </c>
      <c r="C305" s="32">
        <v>90</v>
      </c>
      <c r="D305" s="33">
        <v>0.08</v>
      </c>
      <c r="E305" s="33">
        <v>0.11</v>
      </c>
      <c r="F305" s="33">
        <v>0.31</v>
      </c>
      <c r="G305" s="33">
        <v>0.53</v>
      </c>
      <c r="H305" s="33">
        <v>0.68</v>
      </c>
      <c r="I305" s="33">
        <v>0.72</v>
      </c>
      <c r="J305" s="33">
        <v>0.66</v>
      </c>
      <c r="K305" s="33">
        <v>0.52</v>
      </c>
      <c r="L305" s="33">
        <v>0.33</v>
      </c>
      <c r="M305" s="33">
        <v>0.14000000000000001</v>
      </c>
      <c r="N305" s="33">
        <v>0.09</v>
      </c>
      <c r="O305" s="33">
        <v>0.08</v>
      </c>
      <c r="P305" s="34">
        <f t="shared" si="11"/>
        <v>0.35416666666666669</v>
      </c>
    </row>
    <row r="306" spans="1:16" x14ac:dyDescent="0.25">
      <c r="A306" s="169">
        <f t="shared" si="12"/>
        <v>16</v>
      </c>
      <c r="B306" s="166">
        <v>16</v>
      </c>
      <c r="C306" s="32">
        <v>0</v>
      </c>
      <c r="D306" s="33">
        <v>1</v>
      </c>
      <c r="E306" s="33">
        <v>1</v>
      </c>
      <c r="F306" s="33">
        <v>1</v>
      </c>
      <c r="G306" s="33">
        <v>1</v>
      </c>
      <c r="H306" s="33">
        <v>1</v>
      </c>
      <c r="I306" s="33">
        <v>1</v>
      </c>
      <c r="J306" s="33">
        <v>1</v>
      </c>
      <c r="K306" s="33">
        <v>1</v>
      </c>
      <c r="L306" s="33">
        <v>1</v>
      </c>
      <c r="M306" s="33">
        <v>1</v>
      </c>
      <c r="N306" s="33">
        <v>1</v>
      </c>
      <c r="O306" s="33">
        <v>1</v>
      </c>
      <c r="P306" s="34">
        <f t="shared" si="11"/>
        <v>1</v>
      </c>
    </row>
    <row r="307" spans="1:16" x14ac:dyDescent="0.25">
      <c r="A307" s="169">
        <f t="shared" si="12"/>
        <v>16.05</v>
      </c>
      <c r="B307" s="166">
        <v>16</v>
      </c>
      <c r="C307" s="32">
        <v>5</v>
      </c>
      <c r="D307" s="33">
        <v>0.99</v>
      </c>
      <c r="E307" s="33">
        <v>1</v>
      </c>
      <c r="F307" s="33">
        <v>1.02</v>
      </c>
      <c r="G307" s="33">
        <v>1.03</v>
      </c>
      <c r="H307" s="33">
        <v>1.04</v>
      </c>
      <c r="I307" s="33">
        <v>1.04</v>
      </c>
      <c r="J307" s="33">
        <v>1.04</v>
      </c>
      <c r="K307" s="33">
        <v>1.03</v>
      </c>
      <c r="L307" s="33">
        <v>1.01</v>
      </c>
      <c r="M307" s="33">
        <v>1</v>
      </c>
      <c r="N307" s="33">
        <v>0.99</v>
      </c>
      <c r="O307" s="33">
        <v>0.98</v>
      </c>
      <c r="P307" s="34">
        <f t="shared" si="11"/>
        <v>1.0141666666666667</v>
      </c>
    </row>
    <row r="308" spans="1:16" x14ac:dyDescent="0.25">
      <c r="A308" s="169">
        <f t="shared" si="12"/>
        <v>16.100000000000001</v>
      </c>
      <c r="B308" s="166">
        <v>16</v>
      </c>
      <c r="C308" s="32">
        <v>10</v>
      </c>
      <c r="D308" s="33">
        <v>0.97</v>
      </c>
      <c r="E308" s="33">
        <v>0.99</v>
      </c>
      <c r="F308" s="33">
        <v>1.03</v>
      </c>
      <c r="G308" s="33">
        <v>1.06</v>
      </c>
      <c r="H308" s="33">
        <v>1.08</v>
      </c>
      <c r="I308" s="33">
        <v>1.08</v>
      </c>
      <c r="J308" s="33">
        <v>1.07</v>
      </c>
      <c r="K308" s="33">
        <v>1.05</v>
      </c>
      <c r="L308" s="33">
        <v>1.02</v>
      </c>
      <c r="M308" s="33">
        <v>0.99</v>
      </c>
      <c r="N308" s="33">
        <v>0.97</v>
      </c>
      <c r="O308" s="33">
        <v>0.96</v>
      </c>
      <c r="P308" s="34">
        <f t="shared" ref="P308:P371" si="13">AVERAGE(D308:O308)</f>
        <v>1.0225000000000002</v>
      </c>
    </row>
    <row r="309" spans="1:16" x14ac:dyDescent="0.25">
      <c r="A309" s="169">
        <f t="shared" si="12"/>
        <v>16.149999999999999</v>
      </c>
      <c r="B309" s="166">
        <v>16</v>
      </c>
      <c r="C309" s="32">
        <v>15</v>
      </c>
      <c r="D309" s="33">
        <v>0.94</v>
      </c>
      <c r="E309" s="33">
        <v>0.98</v>
      </c>
      <c r="F309" s="33">
        <v>1.03</v>
      </c>
      <c r="G309" s="33">
        <v>1.08</v>
      </c>
      <c r="H309" s="33">
        <v>1.1100000000000001</v>
      </c>
      <c r="I309" s="33">
        <v>1.1100000000000001</v>
      </c>
      <c r="J309" s="33">
        <v>1.0900000000000001</v>
      </c>
      <c r="K309" s="33">
        <v>1.06</v>
      </c>
      <c r="L309" s="33">
        <v>1.02</v>
      </c>
      <c r="M309" s="33">
        <v>0.98</v>
      </c>
      <c r="N309" s="33">
        <v>0.94</v>
      </c>
      <c r="O309" s="33">
        <v>0.93</v>
      </c>
      <c r="P309" s="34">
        <f t="shared" si="13"/>
        <v>1.0225</v>
      </c>
    </row>
    <row r="310" spans="1:16" x14ac:dyDescent="0.25">
      <c r="A310" s="169">
        <f t="shared" si="12"/>
        <v>16.2</v>
      </c>
      <c r="B310" s="166">
        <v>16</v>
      </c>
      <c r="C310" s="32">
        <v>20</v>
      </c>
      <c r="D310" s="33">
        <v>0.91</v>
      </c>
      <c r="E310" s="33">
        <v>0.96</v>
      </c>
      <c r="F310" s="33">
        <v>1.02</v>
      </c>
      <c r="G310" s="33">
        <v>1.0900000000000001</v>
      </c>
      <c r="H310" s="33">
        <v>1.1299999999999999</v>
      </c>
      <c r="I310" s="33">
        <v>1.1399999999999999</v>
      </c>
      <c r="J310" s="33">
        <v>1.1100000000000001</v>
      </c>
      <c r="K310" s="33">
        <v>1.07</v>
      </c>
      <c r="L310" s="33">
        <v>1.02</v>
      </c>
      <c r="M310" s="33">
        <v>0.96</v>
      </c>
      <c r="N310" s="33">
        <v>0.91</v>
      </c>
      <c r="O310" s="33">
        <v>0.89</v>
      </c>
      <c r="P310" s="34">
        <f t="shared" si="13"/>
        <v>1.0175000000000001</v>
      </c>
    </row>
    <row r="311" spans="1:16" x14ac:dyDescent="0.25">
      <c r="A311" s="169">
        <f t="shared" si="12"/>
        <v>16.25</v>
      </c>
      <c r="B311" s="166">
        <v>16</v>
      </c>
      <c r="C311" s="32">
        <v>25</v>
      </c>
      <c r="D311" s="33">
        <v>0.87</v>
      </c>
      <c r="E311" s="33">
        <v>0.93</v>
      </c>
      <c r="F311" s="33">
        <v>1.01</v>
      </c>
      <c r="G311" s="33">
        <v>1.1000000000000001</v>
      </c>
      <c r="H311" s="33">
        <v>1.1499999999999999</v>
      </c>
      <c r="I311" s="33">
        <v>1.1499999999999999</v>
      </c>
      <c r="J311" s="33">
        <v>1.1200000000000001</v>
      </c>
      <c r="K311" s="33">
        <v>1.07</v>
      </c>
      <c r="L311" s="33">
        <v>1.01</v>
      </c>
      <c r="M311" s="33">
        <v>0.93</v>
      </c>
      <c r="N311" s="33">
        <v>0.88</v>
      </c>
      <c r="O311" s="33">
        <v>0.85</v>
      </c>
      <c r="P311" s="34">
        <f t="shared" si="13"/>
        <v>1.0058333333333334</v>
      </c>
    </row>
    <row r="312" spans="1:16" x14ac:dyDescent="0.25">
      <c r="A312" s="169">
        <f t="shared" si="12"/>
        <v>16.3</v>
      </c>
      <c r="B312" s="166">
        <v>16</v>
      </c>
      <c r="C312" s="32">
        <v>30</v>
      </c>
      <c r="D312" s="33">
        <v>0.83</v>
      </c>
      <c r="E312" s="33">
        <v>0.9</v>
      </c>
      <c r="F312" s="33">
        <v>0.99</v>
      </c>
      <c r="G312" s="33">
        <v>1.0900000000000001</v>
      </c>
      <c r="H312" s="33">
        <v>1.1599999999999999</v>
      </c>
      <c r="I312" s="33">
        <v>1.1599999999999999</v>
      </c>
      <c r="J312" s="33">
        <v>1.1299999999999999</v>
      </c>
      <c r="K312" s="33">
        <v>1.07</v>
      </c>
      <c r="L312" s="33">
        <v>0.99</v>
      </c>
      <c r="M312" s="33">
        <v>0.9</v>
      </c>
      <c r="N312" s="33">
        <v>0.83</v>
      </c>
      <c r="O312" s="33">
        <v>0.8</v>
      </c>
      <c r="P312" s="34">
        <f t="shared" si="13"/>
        <v>0.98750000000000016</v>
      </c>
    </row>
    <row r="313" spans="1:16" x14ac:dyDescent="0.25">
      <c r="A313" s="169">
        <f t="shared" si="12"/>
        <v>16.350000000000001</v>
      </c>
      <c r="B313" s="166">
        <v>16</v>
      </c>
      <c r="C313" s="32">
        <v>35</v>
      </c>
      <c r="D313" s="33">
        <v>0.78</v>
      </c>
      <c r="E313" s="33">
        <v>0.86</v>
      </c>
      <c r="F313" s="33">
        <v>0.97</v>
      </c>
      <c r="G313" s="33">
        <v>1.08</v>
      </c>
      <c r="H313" s="33">
        <v>1.1599999999999999</v>
      </c>
      <c r="I313" s="33">
        <v>1.17</v>
      </c>
      <c r="J313" s="33">
        <v>1.1200000000000001</v>
      </c>
      <c r="K313" s="33">
        <v>1.06</v>
      </c>
      <c r="L313" s="33">
        <v>0.96</v>
      </c>
      <c r="M313" s="33">
        <v>0.86</v>
      </c>
      <c r="N313" s="33">
        <v>0.78</v>
      </c>
      <c r="O313" s="33">
        <v>0.75</v>
      </c>
      <c r="P313" s="34">
        <f t="shared" si="13"/>
        <v>0.96249999999999991</v>
      </c>
    </row>
    <row r="314" spans="1:16" x14ac:dyDescent="0.25">
      <c r="A314" s="169">
        <f t="shared" si="12"/>
        <v>16.399999999999999</v>
      </c>
      <c r="B314" s="166">
        <v>16</v>
      </c>
      <c r="C314" s="32">
        <v>40</v>
      </c>
      <c r="D314" s="33">
        <v>0.72</v>
      </c>
      <c r="E314" s="33">
        <v>0.81</v>
      </c>
      <c r="F314" s="33">
        <v>0.94</v>
      </c>
      <c r="G314" s="33">
        <v>1.07</v>
      </c>
      <c r="H314" s="33">
        <v>1.1499999999999999</v>
      </c>
      <c r="I314" s="33">
        <v>1.1599999999999999</v>
      </c>
      <c r="J314" s="33">
        <v>1.1100000000000001</v>
      </c>
      <c r="K314" s="33">
        <v>1.04</v>
      </c>
      <c r="L314" s="33">
        <v>0.93</v>
      </c>
      <c r="M314" s="33">
        <v>0.82</v>
      </c>
      <c r="N314" s="33">
        <v>0.73</v>
      </c>
      <c r="O314" s="33">
        <v>0.69</v>
      </c>
      <c r="P314" s="34">
        <f t="shared" si="13"/>
        <v>0.93083333333333329</v>
      </c>
    </row>
    <row r="315" spans="1:16" x14ac:dyDescent="0.25">
      <c r="A315" s="169">
        <f t="shared" si="12"/>
        <v>16.45</v>
      </c>
      <c r="B315" s="166">
        <v>16</v>
      </c>
      <c r="C315" s="32">
        <v>45</v>
      </c>
      <c r="D315" s="33">
        <v>0.66</v>
      </c>
      <c r="E315" s="33">
        <v>0.76</v>
      </c>
      <c r="F315" s="33">
        <v>0.9</v>
      </c>
      <c r="G315" s="33">
        <v>1.04</v>
      </c>
      <c r="H315" s="33">
        <v>1.1399999999999999</v>
      </c>
      <c r="I315" s="33">
        <v>1.1499999999999999</v>
      </c>
      <c r="J315" s="33">
        <v>1.1000000000000001</v>
      </c>
      <c r="K315" s="33">
        <v>1.01</v>
      </c>
      <c r="L315" s="33">
        <v>0.89</v>
      </c>
      <c r="M315" s="33">
        <v>0.77</v>
      </c>
      <c r="N315" s="33">
        <v>0.67</v>
      </c>
      <c r="O315" s="33">
        <v>0.63</v>
      </c>
      <c r="P315" s="34">
        <f t="shared" si="13"/>
        <v>0.89333333333333342</v>
      </c>
    </row>
    <row r="316" spans="1:16" x14ac:dyDescent="0.25">
      <c r="A316" s="169">
        <f t="shared" si="12"/>
        <v>16.5</v>
      </c>
      <c r="B316" s="166">
        <v>16</v>
      </c>
      <c r="C316" s="32">
        <v>50</v>
      </c>
      <c r="D316" s="33">
        <v>0.6</v>
      </c>
      <c r="E316" s="33">
        <v>0.7</v>
      </c>
      <c r="F316" s="33">
        <v>0.85</v>
      </c>
      <c r="G316" s="33">
        <v>1.01</v>
      </c>
      <c r="H316" s="33">
        <v>1.1100000000000001</v>
      </c>
      <c r="I316" s="33">
        <v>1.1299999999999999</v>
      </c>
      <c r="J316" s="33">
        <v>1.07</v>
      </c>
      <c r="K316" s="33">
        <v>0.98</v>
      </c>
      <c r="L316" s="33">
        <v>0.85</v>
      </c>
      <c r="M316" s="33">
        <v>0.71</v>
      </c>
      <c r="N316" s="33">
        <v>0.6</v>
      </c>
      <c r="O316" s="33">
        <v>0.56000000000000005</v>
      </c>
      <c r="P316" s="34">
        <f t="shared" si="13"/>
        <v>0.84750000000000014</v>
      </c>
    </row>
    <row r="317" spans="1:16" x14ac:dyDescent="0.25">
      <c r="A317" s="169">
        <f t="shared" si="12"/>
        <v>16.55</v>
      </c>
      <c r="B317" s="166">
        <v>16</v>
      </c>
      <c r="C317" s="32">
        <v>55</v>
      </c>
      <c r="D317" s="33">
        <v>0.53</v>
      </c>
      <c r="E317" s="33">
        <v>0.64</v>
      </c>
      <c r="F317" s="33">
        <v>0.8</v>
      </c>
      <c r="G317" s="33">
        <v>0.97</v>
      </c>
      <c r="H317" s="33">
        <v>1.08</v>
      </c>
      <c r="I317" s="33">
        <v>1.1000000000000001</v>
      </c>
      <c r="J317" s="33">
        <v>1.04</v>
      </c>
      <c r="K317" s="33">
        <v>0.94</v>
      </c>
      <c r="L317" s="33">
        <v>0.8</v>
      </c>
      <c r="M317" s="33">
        <v>0.65</v>
      </c>
      <c r="N317" s="33">
        <v>0.54</v>
      </c>
      <c r="O317" s="33">
        <v>0.49</v>
      </c>
      <c r="P317" s="34">
        <f t="shared" si="13"/>
        <v>0.79833333333333334</v>
      </c>
    </row>
    <row r="318" spans="1:16" x14ac:dyDescent="0.25">
      <c r="A318" s="169">
        <f t="shared" ref="A318:A381" si="14">B318+(C318/100)</f>
        <v>16.600000000000001</v>
      </c>
      <c r="B318" s="166">
        <v>16</v>
      </c>
      <c r="C318" s="32">
        <v>60</v>
      </c>
      <c r="D318" s="33">
        <v>0.46</v>
      </c>
      <c r="E318" s="33">
        <v>0.57999999999999996</v>
      </c>
      <c r="F318" s="33">
        <v>0.75</v>
      </c>
      <c r="G318" s="33">
        <v>0.93</v>
      </c>
      <c r="H318" s="33">
        <v>1.05</v>
      </c>
      <c r="I318" s="33">
        <v>1.07</v>
      </c>
      <c r="J318" s="33">
        <v>1.01</v>
      </c>
      <c r="K318" s="33">
        <v>0.9</v>
      </c>
      <c r="L318" s="33">
        <v>0.75</v>
      </c>
      <c r="M318" s="33">
        <v>0.59</v>
      </c>
      <c r="N318" s="33">
        <v>0.46</v>
      </c>
      <c r="O318" s="33">
        <v>0.41</v>
      </c>
      <c r="P318" s="34">
        <f t="shared" si="13"/>
        <v>0.74666666666666692</v>
      </c>
    </row>
    <row r="319" spans="1:16" x14ac:dyDescent="0.25">
      <c r="A319" s="169">
        <f t="shared" si="14"/>
        <v>16.649999999999999</v>
      </c>
      <c r="B319" s="166">
        <v>16</v>
      </c>
      <c r="C319" s="32">
        <v>65</v>
      </c>
      <c r="D319" s="33">
        <v>0.38</v>
      </c>
      <c r="E319" s="33">
        <v>0.51</v>
      </c>
      <c r="F319" s="33">
        <v>0.69</v>
      </c>
      <c r="G319" s="33">
        <v>0.87</v>
      </c>
      <c r="H319" s="33">
        <v>1.01</v>
      </c>
      <c r="I319" s="33">
        <v>1.03</v>
      </c>
      <c r="J319" s="33">
        <v>0.96</v>
      </c>
      <c r="K319" s="33">
        <v>0.85</v>
      </c>
      <c r="L319" s="33">
        <v>0.69</v>
      </c>
      <c r="M319" s="33">
        <v>0.52</v>
      </c>
      <c r="N319" s="33">
        <v>0.39</v>
      </c>
      <c r="O319" s="33">
        <v>0.34</v>
      </c>
      <c r="P319" s="34">
        <f t="shared" si="13"/>
        <v>0.68666666666666665</v>
      </c>
    </row>
    <row r="320" spans="1:16" x14ac:dyDescent="0.25">
      <c r="A320" s="169">
        <f t="shared" si="14"/>
        <v>16.7</v>
      </c>
      <c r="B320" s="166">
        <v>16</v>
      </c>
      <c r="C320" s="32">
        <v>70</v>
      </c>
      <c r="D320" s="33">
        <v>0.3</v>
      </c>
      <c r="E320" s="33">
        <v>0.44</v>
      </c>
      <c r="F320" s="33">
        <v>0.62</v>
      </c>
      <c r="G320" s="33">
        <v>0.82</v>
      </c>
      <c r="H320" s="33">
        <v>0.96</v>
      </c>
      <c r="I320" s="33">
        <v>0.98</v>
      </c>
      <c r="J320" s="33">
        <v>0.92</v>
      </c>
      <c r="K320" s="33">
        <v>0.79</v>
      </c>
      <c r="L320" s="33">
        <v>0.63</v>
      </c>
      <c r="M320" s="33">
        <v>0.45</v>
      </c>
      <c r="N320" s="33">
        <v>0.31</v>
      </c>
      <c r="O320" s="33">
        <v>0.26</v>
      </c>
      <c r="P320" s="34">
        <f t="shared" si="13"/>
        <v>0.62333333333333318</v>
      </c>
    </row>
    <row r="321" spans="1:16" x14ac:dyDescent="0.25">
      <c r="A321" s="169">
        <f t="shared" si="14"/>
        <v>16.75</v>
      </c>
      <c r="B321" s="166">
        <v>16</v>
      </c>
      <c r="C321" s="32">
        <v>75</v>
      </c>
      <c r="D321" s="33">
        <v>0.22</v>
      </c>
      <c r="E321" s="33">
        <v>0.36</v>
      </c>
      <c r="F321" s="33">
        <v>0.55000000000000004</v>
      </c>
      <c r="G321" s="33">
        <v>0.76</v>
      </c>
      <c r="H321" s="33">
        <v>0.9</v>
      </c>
      <c r="I321" s="33">
        <v>0.93</v>
      </c>
      <c r="J321" s="33">
        <v>0.86</v>
      </c>
      <c r="K321" s="33">
        <v>0.74</v>
      </c>
      <c r="L321" s="33">
        <v>0.56000000000000005</v>
      </c>
      <c r="M321" s="33">
        <v>0.38</v>
      </c>
      <c r="N321" s="33">
        <v>0.24</v>
      </c>
      <c r="O321" s="33">
        <v>0.18</v>
      </c>
      <c r="P321" s="34">
        <f t="shared" si="13"/>
        <v>0.55666666666666675</v>
      </c>
    </row>
    <row r="322" spans="1:16" x14ac:dyDescent="0.25">
      <c r="A322" s="169">
        <f t="shared" si="14"/>
        <v>16.8</v>
      </c>
      <c r="B322" s="166">
        <v>16</v>
      </c>
      <c r="C322" s="32">
        <v>80</v>
      </c>
      <c r="D322" s="33">
        <v>0.14000000000000001</v>
      </c>
      <c r="E322" s="33">
        <v>0.28000000000000003</v>
      </c>
      <c r="F322" s="33">
        <v>0.48</v>
      </c>
      <c r="G322" s="33">
        <v>0.69</v>
      </c>
      <c r="H322" s="33">
        <v>0.84</v>
      </c>
      <c r="I322" s="33">
        <v>0.87</v>
      </c>
      <c r="J322" s="33">
        <v>0.8</v>
      </c>
      <c r="K322" s="33">
        <v>0.67</v>
      </c>
      <c r="L322" s="33">
        <v>0.49</v>
      </c>
      <c r="M322" s="33">
        <v>0.3</v>
      </c>
      <c r="N322" s="33">
        <v>0.16</v>
      </c>
      <c r="O322" s="33">
        <v>0.1</v>
      </c>
      <c r="P322" s="34">
        <f t="shared" si="13"/>
        <v>0.48499999999999993</v>
      </c>
    </row>
    <row r="323" spans="1:16" x14ac:dyDescent="0.25">
      <c r="A323" s="169">
        <f t="shared" si="14"/>
        <v>16.850000000000001</v>
      </c>
      <c r="B323" s="166">
        <v>16</v>
      </c>
      <c r="C323" s="32">
        <v>85</v>
      </c>
      <c r="D323" s="33">
        <v>0.09</v>
      </c>
      <c r="E323" s="33">
        <v>0.2</v>
      </c>
      <c r="F323" s="33">
        <v>0.41</v>
      </c>
      <c r="G323" s="33">
        <v>0.62</v>
      </c>
      <c r="H323" s="33">
        <v>0.77</v>
      </c>
      <c r="I323" s="33">
        <v>0.81</v>
      </c>
      <c r="J323" s="33">
        <v>0.74</v>
      </c>
      <c r="K323" s="33">
        <v>0.61</v>
      </c>
      <c r="L323" s="33">
        <v>0.42</v>
      </c>
      <c r="M323" s="33">
        <v>0.23</v>
      </c>
      <c r="N323" s="33">
        <v>0.1</v>
      </c>
      <c r="O323" s="33">
        <v>0.09</v>
      </c>
      <c r="P323" s="34">
        <f t="shared" si="13"/>
        <v>0.42416666666666664</v>
      </c>
    </row>
    <row r="324" spans="1:16" x14ac:dyDescent="0.25">
      <c r="A324" s="169">
        <f t="shared" si="14"/>
        <v>16.899999999999999</v>
      </c>
      <c r="B324" s="166">
        <v>16</v>
      </c>
      <c r="C324" s="32">
        <v>90</v>
      </c>
      <c r="D324" s="33">
        <v>0.08</v>
      </c>
      <c r="E324" s="33">
        <v>0.12</v>
      </c>
      <c r="F324" s="33">
        <v>0.33</v>
      </c>
      <c r="G324" s="33">
        <v>0.54</v>
      </c>
      <c r="H324" s="33">
        <v>0.7</v>
      </c>
      <c r="I324" s="33">
        <v>0.74</v>
      </c>
      <c r="J324" s="33">
        <v>0.67</v>
      </c>
      <c r="K324" s="33">
        <v>0.54</v>
      </c>
      <c r="L324" s="33">
        <v>0.35</v>
      </c>
      <c r="M324" s="33">
        <v>0.15</v>
      </c>
      <c r="N324" s="33">
        <v>0.09</v>
      </c>
      <c r="O324" s="33">
        <v>0.08</v>
      </c>
      <c r="P324" s="34">
        <f t="shared" si="13"/>
        <v>0.36583333333333329</v>
      </c>
    </row>
    <row r="325" spans="1:16" x14ac:dyDescent="0.25">
      <c r="A325" s="169">
        <f t="shared" si="14"/>
        <v>17</v>
      </c>
      <c r="B325" s="166">
        <v>17</v>
      </c>
      <c r="C325" s="32">
        <v>0</v>
      </c>
      <c r="D325" s="33">
        <v>1</v>
      </c>
      <c r="E325" s="33">
        <v>1</v>
      </c>
      <c r="F325" s="33">
        <v>1</v>
      </c>
      <c r="G325" s="33">
        <v>1</v>
      </c>
      <c r="H325" s="33">
        <v>1</v>
      </c>
      <c r="I325" s="33">
        <v>1</v>
      </c>
      <c r="J325" s="33">
        <v>1</v>
      </c>
      <c r="K325" s="33">
        <v>1</v>
      </c>
      <c r="L325" s="33">
        <v>1</v>
      </c>
      <c r="M325" s="33">
        <v>1</v>
      </c>
      <c r="N325" s="33">
        <v>1</v>
      </c>
      <c r="O325" s="33">
        <v>1</v>
      </c>
      <c r="P325" s="34">
        <f t="shared" si="13"/>
        <v>1</v>
      </c>
    </row>
    <row r="326" spans="1:16" x14ac:dyDescent="0.25">
      <c r="A326" s="169">
        <f t="shared" si="14"/>
        <v>17.05</v>
      </c>
      <c r="B326" s="166">
        <v>17</v>
      </c>
      <c r="C326" s="32">
        <v>5</v>
      </c>
      <c r="D326" s="33">
        <v>0.99</v>
      </c>
      <c r="E326" s="33">
        <v>1</v>
      </c>
      <c r="F326" s="33">
        <v>1.02</v>
      </c>
      <c r="G326" s="33">
        <v>1.03</v>
      </c>
      <c r="H326" s="33">
        <v>1.05</v>
      </c>
      <c r="I326" s="33">
        <v>1.05</v>
      </c>
      <c r="J326" s="33">
        <v>1.04</v>
      </c>
      <c r="K326" s="33">
        <v>1.03</v>
      </c>
      <c r="L326" s="33">
        <v>1.02</v>
      </c>
      <c r="M326" s="33">
        <v>1</v>
      </c>
      <c r="N326" s="33">
        <v>0.99</v>
      </c>
      <c r="O326" s="33">
        <v>0.98</v>
      </c>
      <c r="P326" s="34">
        <f t="shared" si="13"/>
        <v>1.0166666666666666</v>
      </c>
    </row>
    <row r="327" spans="1:16" x14ac:dyDescent="0.25">
      <c r="A327" s="169">
        <f t="shared" si="14"/>
        <v>17.100000000000001</v>
      </c>
      <c r="B327" s="166">
        <v>17</v>
      </c>
      <c r="C327" s="32">
        <v>10</v>
      </c>
      <c r="D327" s="33">
        <v>0.97</v>
      </c>
      <c r="E327" s="33">
        <v>1</v>
      </c>
      <c r="F327" s="33">
        <v>1.03</v>
      </c>
      <c r="G327" s="33">
        <v>1.06</v>
      </c>
      <c r="H327" s="33">
        <v>1.08</v>
      </c>
      <c r="I327" s="33">
        <v>1.08</v>
      </c>
      <c r="J327" s="33">
        <v>1.07</v>
      </c>
      <c r="K327" s="33">
        <v>1.05</v>
      </c>
      <c r="L327" s="33">
        <v>1.02</v>
      </c>
      <c r="M327" s="33">
        <v>1</v>
      </c>
      <c r="N327" s="33">
        <v>0.97</v>
      </c>
      <c r="O327" s="33">
        <v>0.96</v>
      </c>
      <c r="P327" s="34">
        <f t="shared" si="13"/>
        <v>1.0241666666666669</v>
      </c>
    </row>
    <row r="328" spans="1:16" x14ac:dyDescent="0.25">
      <c r="A328" s="169">
        <f t="shared" si="14"/>
        <v>17.149999999999999</v>
      </c>
      <c r="B328" s="166">
        <v>17</v>
      </c>
      <c r="C328" s="32">
        <v>15</v>
      </c>
      <c r="D328" s="33">
        <v>0.95</v>
      </c>
      <c r="E328" s="33">
        <v>0.98</v>
      </c>
      <c r="F328" s="33">
        <v>1.03</v>
      </c>
      <c r="G328" s="33">
        <v>1.08</v>
      </c>
      <c r="H328" s="33">
        <v>1.1200000000000001</v>
      </c>
      <c r="I328" s="33">
        <v>1.1200000000000001</v>
      </c>
      <c r="J328" s="33">
        <v>1.1000000000000001</v>
      </c>
      <c r="K328" s="33">
        <v>1.07</v>
      </c>
      <c r="L328" s="33">
        <v>1.03</v>
      </c>
      <c r="M328" s="33">
        <v>0.98</v>
      </c>
      <c r="N328" s="33">
        <v>0.95</v>
      </c>
      <c r="O328" s="33">
        <v>0.93</v>
      </c>
      <c r="P328" s="34">
        <f t="shared" si="13"/>
        <v>1.0283333333333333</v>
      </c>
    </row>
    <row r="329" spans="1:16" x14ac:dyDescent="0.25">
      <c r="A329" s="169">
        <f t="shared" si="14"/>
        <v>17.2</v>
      </c>
      <c r="B329" s="166">
        <v>17</v>
      </c>
      <c r="C329" s="32">
        <v>20</v>
      </c>
      <c r="D329" s="33">
        <v>0.92</v>
      </c>
      <c r="E329" s="33">
        <v>0.96</v>
      </c>
      <c r="F329" s="33">
        <v>1.03</v>
      </c>
      <c r="G329" s="33">
        <v>1.1000000000000001</v>
      </c>
      <c r="H329" s="33">
        <v>1.1399999999999999</v>
      </c>
      <c r="I329" s="33">
        <v>1.1399999999999999</v>
      </c>
      <c r="J329" s="33">
        <v>1.1200000000000001</v>
      </c>
      <c r="K329" s="33">
        <v>1.08</v>
      </c>
      <c r="L329" s="33">
        <v>1.02</v>
      </c>
      <c r="M329" s="33">
        <v>0.96</v>
      </c>
      <c r="N329" s="33">
        <v>0.92</v>
      </c>
      <c r="O329" s="33">
        <v>0.9</v>
      </c>
      <c r="P329" s="34">
        <f t="shared" si="13"/>
        <v>1.0241666666666667</v>
      </c>
    </row>
    <row r="330" spans="1:16" x14ac:dyDescent="0.25">
      <c r="A330" s="169">
        <f t="shared" si="14"/>
        <v>17.25</v>
      </c>
      <c r="B330" s="166">
        <v>17</v>
      </c>
      <c r="C330" s="32">
        <v>25</v>
      </c>
      <c r="D330" s="33">
        <v>0.88</v>
      </c>
      <c r="E330" s="33">
        <v>0.94</v>
      </c>
      <c r="F330" s="33">
        <v>1.02</v>
      </c>
      <c r="G330" s="33">
        <v>1.1000000000000001</v>
      </c>
      <c r="H330" s="33">
        <v>1.1599999999999999</v>
      </c>
      <c r="I330" s="33">
        <v>1.1599999999999999</v>
      </c>
      <c r="J330" s="33">
        <v>1.1299999999999999</v>
      </c>
      <c r="K330" s="33">
        <v>1.08</v>
      </c>
      <c r="L330" s="33">
        <v>1.01</v>
      </c>
      <c r="M330" s="33">
        <v>0.94</v>
      </c>
      <c r="N330" s="33">
        <v>0.88</v>
      </c>
      <c r="O330" s="33">
        <v>0.86</v>
      </c>
      <c r="P330" s="34">
        <f t="shared" si="13"/>
        <v>1.0133333333333332</v>
      </c>
    </row>
    <row r="331" spans="1:16" x14ac:dyDescent="0.25">
      <c r="A331" s="169">
        <f t="shared" si="14"/>
        <v>17.3</v>
      </c>
      <c r="B331" s="166">
        <v>17</v>
      </c>
      <c r="C331" s="32">
        <v>30</v>
      </c>
      <c r="D331" s="33">
        <v>0.84</v>
      </c>
      <c r="E331" s="33">
        <v>0.91</v>
      </c>
      <c r="F331" s="33">
        <v>1</v>
      </c>
      <c r="G331" s="33">
        <v>1.1000000000000001</v>
      </c>
      <c r="H331" s="33">
        <v>1.17</v>
      </c>
      <c r="I331" s="33">
        <v>1.17</v>
      </c>
      <c r="J331" s="33">
        <v>1.1299999999999999</v>
      </c>
      <c r="K331" s="33">
        <v>1.07</v>
      </c>
      <c r="L331" s="33">
        <v>0.99</v>
      </c>
      <c r="M331" s="33">
        <v>0.91</v>
      </c>
      <c r="N331" s="33">
        <v>0.84</v>
      </c>
      <c r="O331" s="33">
        <v>0.81</v>
      </c>
      <c r="P331" s="34">
        <f t="shared" si="13"/>
        <v>0.995</v>
      </c>
    </row>
    <row r="332" spans="1:16" x14ac:dyDescent="0.25">
      <c r="A332" s="169">
        <f t="shared" si="14"/>
        <v>17.350000000000001</v>
      </c>
      <c r="B332" s="166">
        <v>17</v>
      </c>
      <c r="C332" s="32">
        <v>35</v>
      </c>
      <c r="D332" s="33">
        <v>0.79</v>
      </c>
      <c r="E332" s="33">
        <v>0.87</v>
      </c>
      <c r="F332" s="33">
        <v>0.98</v>
      </c>
      <c r="G332" s="33">
        <v>1.0900000000000001</v>
      </c>
      <c r="H332" s="33">
        <v>1.17</v>
      </c>
      <c r="I332" s="33">
        <v>1.17</v>
      </c>
      <c r="J332" s="33">
        <v>1.1299999999999999</v>
      </c>
      <c r="K332" s="33">
        <v>1.06</v>
      </c>
      <c r="L332" s="33">
        <v>0.97</v>
      </c>
      <c r="M332" s="33">
        <v>0.87</v>
      </c>
      <c r="N332" s="33">
        <v>0.79</v>
      </c>
      <c r="O332" s="33">
        <v>0.76</v>
      </c>
      <c r="P332" s="34">
        <f t="shared" si="13"/>
        <v>0.97083333333333333</v>
      </c>
    </row>
    <row r="333" spans="1:16" x14ac:dyDescent="0.25">
      <c r="A333" s="169">
        <f t="shared" si="14"/>
        <v>17.399999999999999</v>
      </c>
      <c r="B333" s="166">
        <v>17</v>
      </c>
      <c r="C333" s="32">
        <v>40</v>
      </c>
      <c r="D333" s="33">
        <v>0.73</v>
      </c>
      <c r="E333" s="33">
        <v>0.82</v>
      </c>
      <c r="F333" s="33">
        <v>0.95</v>
      </c>
      <c r="G333" s="33">
        <v>1.08</v>
      </c>
      <c r="H333" s="33">
        <v>1.1599999999999999</v>
      </c>
      <c r="I333" s="33">
        <v>1.17</v>
      </c>
      <c r="J333" s="33">
        <v>1.1200000000000001</v>
      </c>
      <c r="K333" s="33">
        <v>1.05</v>
      </c>
      <c r="L333" s="33">
        <v>0.94</v>
      </c>
      <c r="M333" s="33">
        <v>0.83</v>
      </c>
      <c r="N333" s="33">
        <v>0.74</v>
      </c>
      <c r="O333" s="33">
        <v>0.7</v>
      </c>
      <c r="P333" s="34">
        <f t="shared" si="13"/>
        <v>0.9408333333333333</v>
      </c>
    </row>
    <row r="334" spans="1:16" x14ac:dyDescent="0.25">
      <c r="A334" s="169">
        <f t="shared" si="14"/>
        <v>17.45</v>
      </c>
      <c r="B334" s="166">
        <v>17</v>
      </c>
      <c r="C334" s="32">
        <v>45</v>
      </c>
      <c r="D334" s="33">
        <v>0.67</v>
      </c>
      <c r="E334" s="33">
        <v>0.77</v>
      </c>
      <c r="F334" s="33">
        <v>0.91</v>
      </c>
      <c r="G334" s="33">
        <v>1.05</v>
      </c>
      <c r="H334" s="33">
        <v>1.1499999999999999</v>
      </c>
      <c r="I334" s="33">
        <v>1.1599999999999999</v>
      </c>
      <c r="J334" s="33">
        <v>1.1100000000000001</v>
      </c>
      <c r="K334" s="33">
        <v>1.02</v>
      </c>
      <c r="L334" s="33">
        <v>0.9</v>
      </c>
      <c r="M334" s="33">
        <v>0.78</v>
      </c>
      <c r="N334" s="33">
        <v>0.68</v>
      </c>
      <c r="O334" s="33">
        <v>0.64</v>
      </c>
      <c r="P334" s="34">
        <f t="shared" si="13"/>
        <v>0.90333333333333343</v>
      </c>
    </row>
    <row r="335" spans="1:16" x14ac:dyDescent="0.25">
      <c r="A335" s="169">
        <f t="shared" si="14"/>
        <v>17.5</v>
      </c>
      <c r="B335" s="166">
        <v>17</v>
      </c>
      <c r="C335" s="32">
        <v>50</v>
      </c>
      <c r="D335" s="33">
        <v>0.61</v>
      </c>
      <c r="E335" s="33">
        <v>0.72</v>
      </c>
      <c r="F335" s="33">
        <v>0.87</v>
      </c>
      <c r="G335" s="33">
        <v>1.02</v>
      </c>
      <c r="H335" s="33">
        <v>1.1299999999999999</v>
      </c>
      <c r="I335" s="33">
        <v>1.1399999999999999</v>
      </c>
      <c r="J335" s="33">
        <v>1.08</v>
      </c>
      <c r="K335" s="33">
        <v>0.99</v>
      </c>
      <c r="L335" s="33">
        <v>0.86</v>
      </c>
      <c r="M335" s="33">
        <v>0.72</v>
      </c>
      <c r="N335" s="33">
        <v>0.61</v>
      </c>
      <c r="O335" s="33">
        <v>0.56999999999999995</v>
      </c>
      <c r="P335" s="34">
        <f t="shared" si="13"/>
        <v>0.86</v>
      </c>
    </row>
    <row r="336" spans="1:16" x14ac:dyDescent="0.25">
      <c r="A336" s="169">
        <f t="shared" si="14"/>
        <v>17.55</v>
      </c>
      <c r="B336" s="166">
        <v>17</v>
      </c>
      <c r="C336" s="32">
        <v>55</v>
      </c>
      <c r="D336" s="33">
        <v>0.54</v>
      </c>
      <c r="E336" s="33">
        <v>0.65</v>
      </c>
      <c r="F336" s="33">
        <v>0.82</v>
      </c>
      <c r="G336" s="33">
        <v>0.98</v>
      </c>
      <c r="H336" s="33">
        <v>1.1000000000000001</v>
      </c>
      <c r="I336" s="33">
        <v>1.1200000000000001</v>
      </c>
      <c r="J336" s="33">
        <v>1.06</v>
      </c>
      <c r="K336" s="33">
        <v>0.95</v>
      </c>
      <c r="L336" s="33">
        <v>0.81</v>
      </c>
      <c r="M336" s="33">
        <v>0.66</v>
      </c>
      <c r="N336" s="33">
        <v>0.55000000000000004</v>
      </c>
      <c r="O336" s="33">
        <v>0.5</v>
      </c>
      <c r="P336" s="34">
        <f t="shared" si="13"/>
        <v>0.81166666666666665</v>
      </c>
    </row>
    <row r="337" spans="1:16" x14ac:dyDescent="0.25">
      <c r="A337" s="169">
        <f t="shared" si="14"/>
        <v>17.600000000000001</v>
      </c>
      <c r="B337" s="166">
        <v>17</v>
      </c>
      <c r="C337" s="32">
        <v>60</v>
      </c>
      <c r="D337" s="33">
        <v>0.47</v>
      </c>
      <c r="E337" s="33">
        <v>0.59</v>
      </c>
      <c r="F337" s="33">
        <v>0.76</v>
      </c>
      <c r="G337" s="33">
        <v>0.94</v>
      </c>
      <c r="H337" s="33">
        <v>1.06</v>
      </c>
      <c r="I337" s="33">
        <v>1.08</v>
      </c>
      <c r="J337" s="33">
        <v>1.02</v>
      </c>
      <c r="K337" s="33">
        <v>0.91</v>
      </c>
      <c r="L337" s="33">
        <v>0.76</v>
      </c>
      <c r="M337" s="33">
        <v>0.6</v>
      </c>
      <c r="N337" s="33">
        <v>0.48</v>
      </c>
      <c r="O337" s="33">
        <v>0.43</v>
      </c>
      <c r="P337" s="34">
        <f t="shared" si="13"/>
        <v>0.7583333333333333</v>
      </c>
    </row>
    <row r="338" spans="1:16" x14ac:dyDescent="0.25">
      <c r="A338" s="169">
        <f t="shared" si="14"/>
        <v>17.649999999999999</v>
      </c>
      <c r="B338" s="166">
        <v>17</v>
      </c>
      <c r="C338" s="32">
        <v>65</v>
      </c>
      <c r="D338" s="33">
        <v>0.39</v>
      </c>
      <c r="E338" s="33">
        <v>0.52</v>
      </c>
      <c r="F338" s="33">
        <v>0.7</v>
      </c>
      <c r="G338" s="33">
        <v>0.89</v>
      </c>
      <c r="H338" s="33">
        <v>1.02</v>
      </c>
      <c r="I338" s="33">
        <v>1.04</v>
      </c>
      <c r="J338" s="33">
        <v>0.98</v>
      </c>
      <c r="K338" s="33">
        <v>0.86</v>
      </c>
      <c r="L338" s="33">
        <v>0.7</v>
      </c>
      <c r="M338" s="33">
        <v>0.53</v>
      </c>
      <c r="N338" s="33">
        <v>0.4</v>
      </c>
      <c r="O338" s="33">
        <v>0.35</v>
      </c>
      <c r="P338" s="34">
        <f t="shared" si="13"/>
        <v>0.69833333333333336</v>
      </c>
    </row>
    <row r="339" spans="1:16" x14ac:dyDescent="0.25">
      <c r="A339" s="169">
        <f t="shared" si="14"/>
        <v>17.7</v>
      </c>
      <c r="B339" s="166">
        <v>17</v>
      </c>
      <c r="C339" s="32">
        <v>70</v>
      </c>
      <c r="D339" s="33">
        <v>0.32</v>
      </c>
      <c r="E339" s="33">
        <v>0.45</v>
      </c>
      <c r="F339" s="33">
        <v>0.64</v>
      </c>
      <c r="G339" s="33">
        <v>0.83</v>
      </c>
      <c r="H339" s="33">
        <v>0.97</v>
      </c>
      <c r="I339" s="33">
        <v>1</v>
      </c>
      <c r="J339" s="33">
        <v>0.93</v>
      </c>
      <c r="K339" s="33">
        <v>0.81</v>
      </c>
      <c r="L339" s="33">
        <v>0.64</v>
      </c>
      <c r="M339" s="33">
        <v>0.46</v>
      </c>
      <c r="N339" s="33">
        <v>0.33</v>
      </c>
      <c r="O339" s="33">
        <v>0.27</v>
      </c>
      <c r="P339" s="34">
        <f t="shared" si="13"/>
        <v>0.63749999999999984</v>
      </c>
    </row>
    <row r="340" spans="1:16" x14ac:dyDescent="0.25">
      <c r="A340" s="169">
        <f t="shared" si="14"/>
        <v>17.75</v>
      </c>
      <c r="B340" s="166">
        <v>17</v>
      </c>
      <c r="C340" s="32">
        <v>75</v>
      </c>
      <c r="D340" s="33">
        <v>0.24</v>
      </c>
      <c r="E340" s="33">
        <v>0.37</v>
      </c>
      <c r="F340" s="33">
        <v>0.56999999999999995</v>
      </c>
      <c r="G340" s="33">
        <v>0.77</v>
      </c>
      <c r="H340" s="33">
        <v>0.92</v>
      </c>
      <c r="I340" s="33">
        <v>0.95</v>
      </c>
      <c r="J340" s="33">
        <v>0.88</v>
      </c>
      <c r="K340" s="33">
        <v>0.75</v>
      </c>
      <c r="L340" s="33">
        <v>0.57999999999999996</v>
      </c>
      <c r="M340" s="33">
        <v>0.39</v>
      </c>
      <c r="N340" s="33">
        <v>0.25</v>
      </c>
      <c r="O340" s="33">
        <v>0.19</v>
      </c>
      <c r="P340" s="34">
        <f t="shared" si="13"/>
        <v>0.57166666666666666</v>
      </c>
    </row>
    <row r="341" spans="1:16" x14ac:dyDescent="0.25">
      <c r="A341" s="169">
        <f t="shared" si="14"/>
        <v>17.8</v>
      </c>
      <c r="B341" s="166">
        <v>17</v>
      </c>
      <c r="C341" s="32">
        <v>80</v>
      </c>
      <c r="D341" s="33">
        <v>0.16</v>
      </c>
      <c r="E341" s="33">
        <v>0.3</v>
      </c>
      <c r="F341" s="33">
        <v>0.5</v>
      </c>
      <c r="G341" s="33">
        <v>0.71</v>
      </c>
      <c r="H341" s="33">
        <v>0.86</v>
      </c>
      <c r="I341" s="33">
        <v>0.89</v>
      </c>
      <c r="J341" s="33">
        <v>0.82</v>
      </c>
      <c r="K341" s="33">
        <v>0.69</v>
      </c>
      <c r="L341" s="33">
        <v>0.51</v>
      </c>
      <c r="M341" s="33">
        <v>0.32</v>
      </c>
      <c r="N341" s="33">
        <v>0.17</v>
      </c>
      <c r="O341" s="33">
        <v>0.11</v>
      </c>
      <c r="P341" s="34">
        <f t="shared" si="13"/>
        <v>0.5033333333333333</v>
      </c>
    </row>
    <row r="342" spans="1:16" x14ac:dyDescent="0.25">
      <c r="A342" s="169">
        <f t="shared" si="14"/>
        <v>17.850000000000001</v>
      </c>
      <c r="B342" s="166">
        <v>17</v>
      </c>
      <c r="C342" s="32">
        <v>85</v>
      </c>
      <c r="D342" s="33">
        <v>0.09</v>
      </c>
      <c r="E342" s="33">
        <v>0.22</v>
      </c>
      <c r="F342" s="33">
        <v>0.42</v>
      </c>
      <c r="G342" s="33">
        <v>0.64</v>
      </c>
      <c r="H342" s="33">
        <v>0.79</v>
      </c>
      <c r="I342" s="33">
        <v>0.83</v>
      </c>
      <c r="J342" s="33">
        <v>0.76</v>
      </c>
      <c r="K342" s="33">
        <v>0.62</v>
      </c>
      <c r="L342" s="33">
        <v>0.44</v>
      </c>
      <c r="M342" s="33">
        <v>0.24</v>
      </c>
      <c r="N342" s="33">
        <v>0.1</v>
      </c>
      <c r="O342" s="33">
        <v>0.09</v>
      </c>
      <c r="P342" s="34">
        <f t="shared" si="13"/>
        <v>0.4366666666666667</v>
      </c>
    </row>
    <row r="343" spans="1:16" x14ac:dyDescent="0.25">
      <c r="A343" s="169">
        <f t="shared" si="14"/>
        <v>17.899999999999999</v>
      </c>
      <c r="B343" s="166">
        <v>17</v>
      </c>
      <c r="C343" s="32">
        <v>90</v>
      </c>
      <c r="D343" s="33">
        <v>0.08</v>
      </c>
      <c r="E343" s="33">
        <v>0.14000000000000001</v>
      </c>
      <c r="F343" s="33">
        <v>0.34</v>
      </c>
      <c r="G343" s="33">
        <v>0.56000000000000005</v>
      </c>
      <c r="H343" s="33">
        <v>0.72</v>
      </c>
      <c r="I343" s="33">
        <v>0.76</v>
      </c>
      <c r="J343" s="33">
        <v>0.69</v>
      </c>
      <c r="K343" s="33">
        <v>0.55000000000000004</v>
      </c>
      <c r="L343" s="33">
        <v>0.36</v>
      </c>
      <c r="M343" s="33">
        <v>0.16</v>
      </c>
      <c r="N343" s="33">
        <v>0.09</v>
      </c>
      <c r="O343" s="33">
        <v>0.08</v>
      </c>
      <c r="P343" s="34">
        <f t="shared" si="13"/>
        <v>0.3775</v>
      </c>
    </row>
    <row r="344" spans="1:16" x14ac:dyDescent="0.25">
      <c r="A344" s="169">
        <f t="shared" si="14"/>
        <v>18</v>
      </c>
      <c r="B344" s="166">
        <v>18</v>
      </c>
      <c r="C344" s="32">
        <v>0</v>
      </c>
      <c r="D344" s="33">
        <v>1</v>
      </c>
      <c r="E344" s="33">
        <v>1</v>
      </c>
      <c r="F344" s="33">
        <v>1</v>
      </c>
      <c r="G344" s="33">
        <v>1</v>
      </c>
      <c r="H344" s="33">
        <v>1</v>
      </c>
      <c r="I344" s="33">
        <v>1</v>
      </c>
      <c r="J344" s="33">
        <v>1</v>
      </c>
      <c r="K344" s="33">
        <v>1</v>
      </c>
      <c r="L344" s="33">
        <v>1</v>
      </c>
      <c r="M344" s="33">
        <v>1</v>
      </c>
      <c r="N344" s="33">
        <v>1</v>
      </c>
      <c r="O344" s="33">
        <v>1</v>
      </c>
      <c r="P344" s="34">
        <f t="shared" si="13"/>
        <v>1</v>
      </c>
    </row>
    <row r="345" spans="1:16" x14ac:dyDescent="0.25">
      <c r="A345" s="169">
        <f t="shared" si="14"/>
        <v>18.05</v>
      </c>
      <c r="B345" s="166">
        <v>18</v>
      </c>
      <c r="C345" s="32">
        <v>5</v>
      </c>
      <c r="D345" s="33">
        <v>0.99</v>
      </c>
      <c r="E345" s="33">
        <v>1</v>
      </c>
      <c r="F345" s="33">
        <v>1.02</v>
      </c>
      <c r="G345" s="33">
        <v>1.04</v>
      </c>
      <c r="H345" s="33">
        <v>1.05</v>
      </c>
      <c r="I345" s="33">
        <v>1.05</v>
      </c>
      <c r="J345" s="33">
        <v>1.04</v>
      </c>
      <c r="K345" s="33">
        <v>1.03</v>
      </c>
      <c r="L345" s="33">
        <v>1.02</v>
      </c>
      <c r="M345" s="33">
        <v>1</v>
      </c>
      <c r="N345" s="33">
        <v>0.99</v>
      </c>
      <c r="O345" s="33">
        <v>0.99</v>
      </c>
      <c r="P345" s="34">
        <f t="shared" si="13"/>
        <v>1.0183333333333333</v>
      </c>
    </row>
    <row r="346" spans="1:16" x14ac:dyDescent="0.25">
      <c r="A346" s="169">
        <f t="shared" si="14"/>
        <v>18.100000000000001</v>
      </c>
      <c r="B346" s="166">
        <v>18</v>
      </c>
      <c r="C346" s="32">
        <v>10</v>
      </c>
      <c r="D346" s="33">
        <v>0.97</v>
      </c>
      <c r="E346" s="33">
        <v>1</v>
      </c>
      <c r="F346" s="33">
        <v>1.03</v>
      </c>
      <c r="G346" s="33">
        <v>1.07</v>
      </c>
      <c r="H346" s="33">
        <v>1.0900000000000001</v>
      </c>
      <c r="I346" s="33">
        <v>1.0900000000000001</v>
      </c>
      <c r="J346" s="33">
        <v>1.07</v>
      </c>
      <c r="K346" s="33">
        <v>1.05</v>
      </c>
      <c r="L346" s="33">
        <v>1.03</v>
      </c>
      <c r="M346" s="33">
        <v>1</v>
      </c>
      <c r="N346" s="33">
        <v>0.97</v>
      </c>
      <c r="O346" s="33">
        <v>0.97</v>
      </c>
      <c r="P346" s="34">
        <f t="shared" si="13"/>
        <v>1.0283333333333335</v>
      </c>
    </row>
    <row r="347" spans="1:16" x14ac:dyDescent="0.25">
      <c r="A347" s="169">
        <f t="shared" si="14"/>
        <v>18.149999999999999</v>
      </c>
      <c r="B347" s="166">
        <v>18</v>
      </c>
      <c r="C347" s="32">
        <v>15</v>
      </c>
      <c r="D347" s="33">
        <v>0.95</v>
      </c>
      <c r="E347" s="33">
        <v>0.99</v>
      </c>
      <c r="F347" s="33">
        <v>1.04</v>
      </c>
      <c r="G347" s="33">
        <v>1.0900000000000001</v>
      </c>
      <c r="H347" s="33">
        <v>1.1200000000000001</v>
      </c>
      <c r="I347" s="33">
        <v>1.1200000000000001</v>
      </c>
      <c r="J347" s="33">
        <v>1.1000000000000001</v>
      </c>
      <c r="K347" s="33">
        <v>1.07</v>
      </c>
      <c r="L347" s="33">
        <v>1.03</v>
      </c>
      <c r="M347" s="33">
        <v>0.99</v>
      </c>
      <c r="N347" s="33">
        <v>0.95</v>
      </c>
      <c r="O347" s="33">
        <v>0.94</v>
      </c>
      <c r="P347" s="34">
        <f t="shared" si="13"/>
        <v>1.0325</v>
      </c>
    </row>
    <row r="348" spans="1:16" x14ac:dyDescent="0.25">
      <c r="A348" s="169">
        <f t="shared" si="14"/>
        <v>18.2</v>
      </c>
      <c r="B348" s="166">
        <v>18</v>
      </c>
      <c r="C348" s="32">
        <v>20</v>
      </c>
      <c r="D348" s="33">
        <v>0.92</v>
      </c>
      <c r="E348" s="33">
        <v>0.97</v>
      </c>
      <c r="F348" s="33">
        <v>1.04</v>
      </c>
      <c r="G348" s="33">
        <v>1.1000000000000001</v>
      </c>
      <c r="H348" s="33">
        <v>1.1499999999999999</v>
      </c>
      <c r="I348" s="33">
        <v>1.1499999999999999</v>
      </c>
      <c r="J348" s="33">
        <v>1.1200000000000001</v>
      </c>
      <c r="K348" s="33">
        <v>1.08</v>
      </c>
      <c r="L348" s="33">
        <v>1.03</v>
      </c>
      <c r="M348" s="33">
        <v>0.97</v>
      </c>
      <c r="N348" s="33">
        <v>0.92</v>
      </c>
      <c r="O348" s="33">
        <v>0.9</v>
      </c>
      <c r="P348" s="34">
        <f t="shared" si="13"/>
        <v>1.0291666666666668</v>
      </c>
    </row>
    <row r="349" spans="1:16" x14ac:dyDescent="0.25">
      <c r="A349" s="169">
        <f t="shared" si="14"/>
        <v>18.25</v>
      </c>
      <c r="B349" s="166">
        <v>18</v>
      </c>
      <c r="C349" s="32">
        <v>25</v>
      </c>
      <c r="D349" s="33">
        <v>0.89</v>
      </c>
      <c r="E349" s="33">
        <v>0.94</v>
      </c>
      <c r="F349" s="33">
        <v>1.03</v>
      </c>
      <c r="G349" s="33">
        <v>1.1100000000000001</v>
      </c>
      <c r="H349" s="33">
        <v>1.1599999999999999</v>
      </c>
      <c r="I349" s="33">
        <v>1.17</v>
      </c>
      <c r="J349" s="33">
        <v>1.1299999999999999</v>
      </c>
      <c r="K349" s="33">
        <v>1.08</v>
      </c>
      <c r="L349" s="33">
        <v>1.02</v>
      </c>
      <c r="M349" s="33">
        <v>0.94</v>
      </c>
      <c r="N349" s="33">
        <v>0.89</v>
      </c>
      <c r="O349" s="33">
        <v>0.86</v>
      </c>
      <c r="P349" s="34">
        <f t="shared" si="13"/>
        <v>1.0183333333333333</v>
      </c>
    </row>
    <row r="350" spans="1:16" x14ac:dyDescent="0.25">
      <c r="A350" s="169">
        <f t="shared" si="14"/>
        <v>18.3</v>
      </c>
      <c r="B350" s="166">
        <v>18</v>
      </c>
      <c r="C350" s="32">
        <v>30</v>
      </c>
      <c r="D350" s="33">
        <v>0.84</v>
      </c>
      <c r="E350" s="33">
        <v>0.91</v>
      </c>
      <c r="F350" s="33">
        <v>1.01</v>
      </c>
      <c r="G350" s="33">
        <v>1.1100000000000001</v>
      </c>
      <c r="H350" s="33">
        <v>1.17</v>
      </c>
      <c r="I350" s="33">
        <v>1.18</v>
      </c>
      <c r="J350" s="33">
        <v>1.1399999999999999</v>
      </c>
      <c r="K350" s="33">
        <v>1.08</v>
      </c>
      <c r="L350" s="33">
        <v>1</v>
      </c>
      <c r="M350" s="33">
        <v>0.91</v>
      </c>
      <c r="N350" s="33">
        <v>0.85</v>
      </c>
      <c r="O350" s="33">
        <v>0.82</v>
      </c>
      <c r="P350" s="34">
        <f t="shared" si="13"/>
        <v>1.0016666666666667</v>
      </c>
    </row>
    <row r="351" spans="1:16" x14ac:dyDescent="0.25">
      <c r="A351" s="169">
        <f t="shared" si="14"/>
        <v>18.350000000000001</v>
      </c>
      <c r="B351" s="166">
        <v>18</v>
      </c>
      <c r="C351" s="32">
        <v>35</v>
      </c>
      <c r="D351" s="33">
        <v>0.79</v>
      </c>
      <c r="E351" s="33">
        <v>0.87</v>
      </c>
      <c r="F351" s="33">
        <v>0.99</v>
      </c>
      <c r="G351" s="33">
        <v>1.1000000000000001</v>
      </c>
      <c r="H351" s="33">
        <v>1.18</v>
      </c>
      <c r="I351" s="33">
        <v>1.18</v>
      </c>
      <c r="J351" s="33">
        <v>1.1399999999999999</v>
      </c>
      <c r="K351" s="33">
        <v>1.07</v>
      </c>
      <c r="L351" s="33">
        <v>0.98</v>
      </c>
      <c r="M351" s="33">
        <v>0.88</v>
      </c>
      <c r="N351" s="33">
        <v>0.8</v>
      </c>
      <c r="O351" s="33">
        <v>0.77</v>
      </c>
      <c r="P351" s="34">
        <f t="shared" si="13"/>
        <v>0.97916666666666685</v>
      </c>
    </row>
    <row r="352" spans="1:16" x14ac:dyDescent="0.25">
      <c r="A352" s="169">
        <f t="shared" si="14"/>
        <v>18.399999999999999</v>
      </c>
      <c r="B352" s="166">
        <v>18</v>
      </c>
      <c r="C352" s="32">
        <v>40</v>
      </c>
      <c r="D352" s="33">
        <v>0.74</v>
      </c>
      <c r="E352" s="33">
        <v>0.83</v>
      </c>
      <c r="F352" s="33">
        <v>0.96</v>
      </c>
      <c r="G352" s="33">
        <v>1.0900000000000001</v>
      </c>
      <c r="H352" s="33">
        <v>1.17</v>
      </c>
      <c r="I352" s="33">
        <v>1.18</v>
      </c>
      <c r="J352" s="33">
        <v>1.1299999999999999</v>
      </c>
      <c r="K352" s="33">
        <v>1.05</v>
      </c>
      <c r="L352" s="33">
        <v>0.95</v>
      </c>
      <c r="M352" s="33">
        <v>0.83</v>
      </c>
      <c r="N352" s="33">
        <v>0.75</v>
      </c>
      <c r="O352" s="33">
        <v>0.71</v>
      </c>
      <c r="P352" s="34">
        <f t="shared" si="13"/>
        <v>0.94916666666666671</v>
      </c>
    </row>
    <row r="353" spans="1:16" x14ac:dyDescent="0.25">
      <c r="A353" s="169">
        <f t="shared" si="14"/>
        <v>18.45</v>
      </c>
      <c r="B353" s="166">
        <v>18</v>
      </c>
      <c r="C353" s="32">
        <v>45</v>
      </c>
      <c r="D353" s="33">
        <v>0.68</v>
      </c>
      <c r="E353" s="33">
        <v>0.78</v>
      </c>
      <c r="F353" s="33">
        <v>0.92</v>
      </c>
      <c r="G353" s="33">
        <v>1.06</v>
      </c>
      <c r="H353" s="33">
        <v>1.1599999999999999</v>
      </c>
      <c r="I353" s="33">
        <v>1.17</v>
      </c>
      <c r="J353" s="33">
        <v>1.1200000000000001</v>
      </c>
      <c r="K353" s="33">
        <v>1.03</v>
      </c>
      <c r="L353" s="33">
        <v>0.91</v>
      </c>
      <c r="M353" s="33">
        <v>0.79</v>
      </c>
      <c r="N353" s="33">
        <v>0.69</v>
      </c>
      <c r="O353" s="33">
        <v>0.65</v>
      </c>
      <c r="P353" s="34">
        <f t="shared" si="13"/>
        <v>0.91333333333333344</v>
      </c>
    </row>
    <row r="354" spans="1:16" x14ac:dyDescent="0.25">
      <c r="A354" s="169">
        <f t="shared" si="14"/>
        <v>18.5</v>
      </c>
      <c r="B354" s="166">
        <v>18</v>
      </c>
      <c r="C354" s="32">
        <v>50</v>
      </c>
      <c r="D354" s="33">
        <v>0.62</v>
      </c>
      <c r="E354" s="33">
        <v>0.73</v>
      </c>
      <c r="F354" s="33">
        <v>0.88</v>
      </c>
      <c r="G354" s="33">
        <v>1.03</v>
      </c>
      <c r="H354" s="33">
        <v>1.1399999999999999</v>
      </c>
      <c r="I354" s="33">
        <v>1.1499999999999999</v>
      </c>
      <c r="J354" s="33">
        <v>1.1000000000000001</v>
      </c>
      <c r="K354" s="33">
        <v>1</v>
      </c>
      <c r="L354" s="33">
        <v>0.87</v>
      </c>
      <c r="M354" s="33">
        <v>0.73</v>
      </c>
      <c r="N354" s="33">
        <v>0.63</v>
      </c>
      <c r="O354" s="33">
        <v>0.57999999999999996</v>
      </c>
      <c r="P354" s="34">
        <f t="shared" si="13"/>
        <v>0.87166666666666659</v>
      </c>
    </row>
    <row r="355" spans="1:16" x14ac:dyDescent="0.25">
      <c r="A355" s="169">
        <f t="shared" si="14"/>
        <v>18.55</v>
      </c>
      <c r="B355" s="166">
        <v>18</v>
      </c>
      <c r="C355" s="32">
        <v>55</v>
      </c>
      <c r="D355" s="33">
        <v>0.55000000000000004</v>
      </c>
      <c r="E355" s="33">
        <v>0.67</v>
      </c>
      <c r="F355" s="33">
        <v>0.83</v>
      </c>
      <c r="G355" s="33">
        <v>1</v>
      </c>
      <c r="H355" s="33">
        <v>1.1100000000000001</v>
      </c>
      <c r="I355" s="33">
        <v>1.1299999999999999</v>
      </c>
      <c r="J355" s="33">
        <v>1.07</v>
      </c>
      <c r="K355" s="33">
        <v>0.96</v>
      </c>
      <c r="L355" s="33">
        <v>0.82</v>
      </c>
      <c r="M355" s="33">
        <v>0.67</v>
      </c>
      <c r="N355" s="33">
        <v>0.56000000000000005</v>
      </c>
      <c r="O355" s="33">
        <v>0.51</v>
      </c>
      <c r="P355" s="34">
        <f t="shared" si="13"/>
        <v>0.82333333333333336</v>
      </c>
    </row>
    <row r="356" spans="1:16" x14ac:dyDescent="0.25">
      <c r="A356" s="169">
        <f t="shared" si="14"/>
        <v>18.600000000000001</v>
      </c>
      <c r="B356" s="166">
        <v>18</v>
      </c>
      <c r="C356" s="32">
        <v>60</v>
      </c>
      <c r="D356" s="33">
        <v>0.48</v>
      </c>
      <c r="E356" s="33">
        <v>0.6</v>
      </c>
      <c r="F356" s="33">
        <v>0.78</v>
      </c>
      <c r="G356" s="33">
        <v>0.96</v>
      </c>
      <c r="H356" s="33">
        <v>1.08</v>
      </c>
      <c r="I356" s="33">
        <v>1.1000000000000001</v>
      </c>
      <c r="J356" s="33">
        <v>1.03</v>
      </c>
      <c r="K356" s="33">
        <v>0.92</v>
      </c>
      <c r="L356" s="33">
        <v>0.77</v>
      </c>
      <c r="M356" s="33">
        <v>0.61</v>
      </c>
      <c r="N356" s="33">
        <v>0.49</v>
      </c>
      <c r="O356" s="33">
        <v>0.44</v>
      </c>
      <c r="P356" s="34">
        <f t="shared" si="13"/>
        <v>0.77166666666666661</v>
      </c>
    </row>
    <row r="357" spans="1:16" x14ac:dyDescent="0.25">
      <c r="A357" s="169">
        <f t="shared" si="14"/>
        <v>18.649999999999999</v>
      </c>
      <c r="B357" s="166">
        <v>18</v>
      </c>
      <c r="C357" s="32">
        <v>65</v>
      </c>
      <c r="D357" s="33">
        <v>0.41</v>
      </c>
      <c r="E357" s="33">
        <v>0.53</v>
      </c>
      <c r="F357" s="33">
        <v>0.72</v>
      </c>
      <c r="G357" s="33">
        <v>0.91</v>
      </c>
      <c r="H357" s="33">
        <v>1.04</v>
      </c>
      <c r="I357" s="33">
        <v>1.06</v>
      </c>
      <c r="J357" s="33">
        <v>0.99</v>
      </c>
      <c r="K357" s="33">
        <v>0.87</v>
      </c>
      <c r="L357" s="33">
        <v>0.72</v>
      </c>
      <c r="M357" s="33">
        <v>0.55000000000000004</v>
      </c>
      <c r="N357" s="33">
        <v>0.42</v>
      </c>
      <c r="O357" s="33">
        <v>0.36</v>
      </c>
      <c r="P357" s="34">
        <f t="shared" si="13"/>
        <v>0.71499999999999997</v>
      </c>
    </row>
    <row r="358" spans="1:16" x14ac:dyDescent="0.25">
      <c r="A358" s="169">
        <f t="shared" si="14"/>
        <v>18.7</v>
      </c>
      <c r="B358" s="166">
        <v>18</v>
      </c>
      <c r="C358" s="32">
        <v>70</v>
      </c>
      <c r="D358" s="33">
        <v>0.33</v>
      </c>
      <c r="E358" s="33">
        <v>0.46</v>
      </c>
      <c r="F358" s="33">
        <v>0.65</v>
      </c>
      <c r="G358" s="33">
        <v>0.85</v>
      </c>
      <c r="H358" s="33">
        <v>0.99</v>
      </c>
      <c r="I358" s="33">
        <v>1.01</v>
      </c>
      <c r="J358" s="33">
        <v>0.94</v>
      </c>
      <c r="K358" s="33">
        <v>0.82</v>
      </c>
      <c r="L358" s="33">
        <v>0.65</v>
      </c>
      <c r="M358" s="33">
        <v>0.48</v>
      </c>
      <c r="N358" s="33">
        <v>0.34</v>
      </c>
      <c r="O358" s="33">
        <v>0.28999999999999998</v>
      </c>
      <c r="P358" s="34">
        <f t="shared" si="13"/>
        <v>0.65083333333333349</v>
      </c>
    </row>
    <row r="359" spans="1:16" x14ac:dyDescent="0.25">
      <c r="A359" s="169">
        <f t="shared" si="14"/>
        <v>18.75</v>
      </c>
      <c r="B359" s="166">
        <v>18</v>
      </c>
      <c r="C359" s="32">
        <v>75</v>
      </c>
      <c r="D359" s="33">
        <v>0.25</v>
      </c>
      <c r="E359" s="33">
        <v>0.39</v>
      </c>
      <c r="F359" s="33">
        <v>0.57999999999999996</v>
      </c>
      <c r="G359" s="33">
        <v>0.79</v>
      </c>
      <c r="H359" s="33">
        <v>0.94</v>
      </c>
      <c r="I359" s="33">
        <v>0.96</v>
      </c>
      <c r="J359" s="33">
        <v>0.89</v>
      </c>
      <c r="K359" s="33">
        <v>0.76</v>
      </c>
      <c r="L359" s="33">
        <v>0.59</v>
      </c>
      <c r="M359" s="33">
        <v>0.4</v>
      </c>
      <c r="N359" s="33">
        <v>0.26</v>
      </c>
      <c r="O359" s="33">
        <v>0.21</v>
      </c>
      <c r="P359" s="34">
        <f t="shared" si="13"/>
        <v>0.58499999999999996</v>
      </c>
    </row>
    <row r="360" spans="1:16" x14ac:dyDescent="0.25">
      <c r="A360" s="169">
        <f t="shared" si="14"/>
        <v>18.8</v>
      </c>
      <c r="B360" s="166">
        <v>18</v>
      </c>
      <c r="C360" s="32">
        <v>80</v>
      </c>
      <c r="D360" s="33">
        <v>0.17</v>
      </c>
      <c r="E360" s="33">
        <v>0.31</v>
      </c>
      <c r="F360" s="33">
        <v>0.51</v>
      </c>
      <c r="G360" s="33">
        <v>0.72</v>
      </c>
      <c r="H360" s="33">
        <v>0.88</v>
      </c>
      <c r="I360" s="33">
        <v>0.91</v>
      </c>
      <c r="J360" s="33">
        <v>0.83</v>
      </c>
      <c r="K360" s="33">
        <v>0.7</v>
      </c>
      <c r="L360" s="33">
        <v>0.52</v>
      </c>
      <c r="M360" s="33">
        <v>0.33</v>
      </c>
      <c r="N360" s="33">
        <v>0.19</v>
      </c>
      <c r="O360" s="33">
        <v>0.13</v>
      </c>
      <c r="P360" s="34">
        <f t="shared" si="13"/>
        <v>0.51666666666666672</v>
      </c>
    </row>
    <row r="361" spans="1:16" x14ac:dyDescent="0.25">
      <c r="A361" s="169">
        <f t="shared" si="14"/>
        <v>18.850000000000001</v>
      </c>
      <c r="B361" s="166">
        <v>18</v>
      </c>
      <c r="C361" s="32">
        <v>85</v>
      </c>
      <c r="D361" s="33">
        <v>0.09</v>
      </c>
      <c r="E361" s="33">
        <v>0.13</v>
      </c>
      <c r="F361" s="33">
        <v>0.44</v>
      </c>
      <c r="G361" s="33">
        <v>0.65</v>
      </c>
      <c r="H361" s="33">
        <v>0.81</v>
      </c>
      <c r="I361" s="33">
        <v>0.84</v>
      </c>
      <c r="J361" s="33">
        <v>0.77</v>
      </c>
      <c r="K361" s="33">
        <v>0.64</v>
      </c>
      <c r="L361" s="33">
        <v>0.45</v>
      </c>
      <c r="M361" s="33">
        <v>0.25</v>
      </c>
      <c r="N361" s="33">
        <v>0.11</v>
      </c>
      <c r="O361" s="33">
        <v>0.09</v>
      </c>
      <c r="P361" s="34">
        <f t="shared" si="13"/>
        <v>0.43916666666666671</v>
      </c>
    </row>
    <row r="362" spans="1:16" x14ac:dyDescent="0.25">
      <c r="A362" s="169">
        <f t="shared" si="14"/>
        <v>18.899999999999999</v>
      </c>
      <c r="B362" s="166">
        <v>18</v>
      </c>
      <c r="C362" s="32">
        <v>90</v>
      </c>
      <c r="D362" s="33">
        <v>0.08</v>
      </c>
      <c r="E362" s="33">
        <v>0.15</v>
      </c>
      <c r="F362" s="33">
        <v>0.36</v>
      </c>
      <c r="G362" s="33">
        <v>0.57999999999999996</v>
      </c>
      <c r="H362" s="33">
        <v>0.74</v>
      </c>
      <c r="I362" s="33">
        <v>0.78</v>
      </c>
      <c r="J362" s="33">
        <v>0.71</v>
      </c>
      <c r="K362" s="33">
        <v>0.56999999999999995</v>
      </c>
      <c r="L362" s="33">
        <v>0.38</v>
      </c>
      <c r="M362" s="33">
        <v>0.18</v>
      </c>
      <c r="N362" s="33">
        <v>0.09</v>
      </c>
      <c r="O362" s="33">
        <v>0.8</v>
      </c>
      <c r="P362" s="34">
        <f t="shared" si="13"/>
        <v>0.45166666666666661</v>
      </c>
    </row>
    <row r="363" spans="1:16" x14ac:dyDescent="0.25">
      <c r="A363" s="169">
        <f t="shared" si="14"/>
        <v>19</v>
      </c>
      <c r="B363" s="166">
        <v>19</v>
      </c>
      <c r="C363" s="32">
        <v>0</v>
      </c>
      <c r="D363" s="33">
        <v>1</v>
      </c>
      <c r="E363" s="33">
        <v>1</v>
      </c>
      <c r="F363" s="33">
        <v>1</v>
      </c>
      <c r="G363" s="33">
        <v>1</v>
      </c>
      <c r="H363" s="33">
        <v>1</v>
      </c>
      <c r="I363" s="33">
        <v>1</v>
      </c>
      <c r="J363" s="33">
        <v>1</v>
      </c>
      <c r="K363" s="33">
        <v>1</v>
      </c>
      <c r="L363" s="33">
        <v>1</v>
      </c>
      <c r="M363" s="33">
        <v>1</v>
      </c>
      <c r="N363" s="33">
        <v>1</v>
      </c>
      <c r="O363" s="33">
        <v>1</v>
      </c>
      <c r="P363" s="34">
        <f t="shared" si="13"/>
        <v>1</v>
      </c>
    </row>
    <row r="364" spans="1:16" x14ac:dyDescent="0.25">
      <c r="A364" s="169">
        <f t="shared" si="14"/>
        <v>19.05</v>
      </c>
      <c r="B364" s="166">
        <v>19</v>
      </c>
      <c r="C364" s="32">
        <v>5</v>
      </c>
      <c r="D364" s="33">
        <v>0.99</v>
      </c>
      <c r="E364" s="33">
        <v>1</v>
      </c>
      <c r="F364" s="33">
        <v>1.02</v>
      </c>
      <c r="G364" s="33">
        <v>1.04</v>
      </c>
      <c r="H364" s="33">
        <v>1.05</v>
      </c>
      <c r="I364" s="33">
        <v>1.05</v>
      </c>
      <c r="J364" s="33">
        <v>1.04</v>
      </c>
      <c r="K364" s="33">
        <v>1.03</v>
      </c>
      <c r="L364" s="33">
        <v>1.02</v>
      </c>
      <c r="M364" s="33">
        <v>1</v>
      </c>
      <c r="N364" s="33">
        <v>0.99</v>
      </c>
      <c r="O364" s="33">
        <v>0.99</v>
      </c>
      <c r="P364" s="34">
        <f t="shared" si="13"/>
        <v>1.0183333333333333</v>
      </c>
    </row>
    <row r="365" spans="1:16" x14ac:dyDescent="0.25">
      <c r="A365" s="169">
        <f t="shared" si="14"/>
        <v>19.100000000000001</v>
      </c>
      <c r="B365" s="166">
        <v>19</v>
      </c>
      <c r="C365" s="32">
        <v>10</v>
      </c>
      <c r="D365" s="33">
        <v>0.98</v>
      </c>
      <c r="E365" s="33">
        <v>1</v>
      </c>
      <c r="F365" s="33">
        <v>1.03</v>
      </c>
      <c r="G365" s="33">
        <v>1.07</v>
      </c>
      <c r="H365" s="33">
        <v>1.0900000000000001</v>
      </c>
      <c r="I365" s="33">
        <v>1.0900000000000001</v>
      </c>
      <c r="J365" s="33">
        <v>1.08</v>
      </c>
      <c r="K365" s="33">
        <v>1.06</v>
      </c>
      <c r="L365" s="33">
        <v>1.03</v>
      </c>
      <c r="M365" s="33">
        <v>1</v>
      </c>
      <c r="N365" s="33">
        <v>0.98</v>
      </c>
      <c r="O365" s="33">
        <v>0.97</v>
      </c>
      <c r="P365" s="34">
        <f t="shared" si="13"/>
        <v>1.0316666666666667</v>
      </c>
    </row>
    <row r="366" spans="1:16" x14ac:dyDescent="0.25">
      <c r="A366" s="169">
        <f t="shared" si="14"/>
        <v>19.149999999999999</v>
      </c>
      <c r="B366" s="166">
        <v>19</v>
      </c>
      <c r="C366" s="32">
        <v>15</v>
      </c>
      <c r="D366" s="33">
        <v>0.95</v>
      </c>
      <c r="E366" s="33">
        <v>0.99</v>
      </c>
      <c r="F366" s="33">
        <v>1.04</v>
      </c>
      <c r="G366" s="33">
        <v>1.0900000000000001</v>
      </c>
      <c r="H366" s="33">
        <v>1.1200000000000001</v>
      </c>
      <c r="I366" s="33">
        <v>1.1299999999999999</v>
      </c>
      <c r="J366" s="33">
        <v>1.1000000000000001</v>
      </c>
      <c r="K366" s="33">
        <v>1.07</v>
      </c>
      <c r="L366" s="33">
        <v>1.03</v>
      </c>
      <c r="M366" s="33">
        <v>0.99</v>
      </c>
      <c r="N366" s="33">
        <v>0.96</v>
      </c>
      <c r="O366" s="33">
        <v>0.94</v>
      </c>
      <c r="P366" s="34">
        <f t="shared" si="13"/>
        <v>1.0341666666666665</v>
      </c>
    </row>
    <row r="367" spans="1:16" x14ac:dyDescent="0.25">
      <c r="A367" s="169">
        <f t="shared" si="14"/>
        <v>19.2</v>
      </c>
      <c r="B367" s="166">
        <v>19</v>
      </c>
      <c r="C367" s="32">
        <v>20</v>
      </c>
      <c r="D367" s="33">
        <v>0.93</v>
      </c>
      <c r="E367" s="33">
        <v>0.97</v>
      </c>
      <c r="F367" s="33">
        <v>1.04</v>
      </c>
      <c r="G367" s="33">
        <v>1.1100000000000001</v>
      </c>
      <c r="H367" s="33">
        <v>1.1499999999999999</v>
      </c>
      <c r="I367" s="33">
        <v>1.1499999999999999</v>
      </c>
      <c r="J367" s="33">
        <v>1.1299999999999999</v>
      </c>
      <c r="K367" s="33">
        <v>1.0900000000000001</v>
      </c>
      <c r="L367" s="33">
        <v>1.03</v>
      </c>
      <c r="M367" s="33">
        <v>0.97</v>
      </c>
      <c r="N367" s="33">
        <v>0.93</v>
      </c>
      <c r="O367" s="33">
        <v>0.91</v>
      </c>
      <c r="P367" s="34">
        <f t="shared" si="13"/>
        <v>1.0341666666666667</v>
      </c>
    </row>
    <row r="368" spans="1:16" x14ac:dyDescent="0.25">
      <c r="A368" s="169">
        <f t="shared" si="14"/>
        <v>19.25</v>
      </c>
      <c r="B368" s="166">
        <v>19</v>
      </c>
      <c r="C368" s="32">
        <v>25</v>
      </c>
      <c r="D368" s="33">
        <v>0.89</v>
      </c>
      <c r="E368" s="33">
        <v>0.95</v>
      </c>
      <c r="F368" s="33">
        <v>1.03</v>
      </c>
      <c r="G368" s="33">
        <v>1.1200000000000001</v>
      </c>
      <c r="H368" s="33">
        <v>1.17</v>
      </c>
      <c r="I368" s="33">
        <v>1.17</v>
      </c>
      <c r="J368" s="33">
        <v>1.1399999999999999</v>
      </c>
      <c r="K368" s="33">
        <v>1.0900000000000001</v>
      </c>
      <c r="L368" s="33">
        <v>1.02</v>
      </c>
      <c r="M368" s="33">
        <v>0.95</v>
      </c>
      <c r="N368" s="33">
        <v>0.89</v>
      </c>
      <c r="O368" s="33">
        <v>0.87</v>
      </c>
      <c r="P368" s="34">
        <f t="shared" si="13"/>
        <v>1.0241666666666667</v>
      </c>
    </row>
    <row r="369" spans="1:16" x14ac:dyDescent="0.25">
      <c r="A369" s="169">
        <f t="shared" si="14"/>
        <v>19.3</v>
      </c>
      <c r="B369" s="166">
        <v>19</v>
      </c>
      <c r="C369" s="32">
        <v>30</v>
      </c>
      <c r="D369" s="33">
        <v>0.85</v>
      </c>
      <c r="E369" s="33">
        <v>0.92</v>
      </c>
      <c r="F369" s="33">
        <v>1.02</v>
      </c>
      <c r="G369" s="33">
        <v>1.1200000000000001</v>
      </c>
      <c r="H369" s="33">
        <v>1.18</v>
      </c>
      <c r="I369" s="33">
        <v>1.19</v>
      </c>
      <c r="J369" s="33">
        <v>1.1499999999999999</v>
      </c>
      <c r="K369" s="33">
        <v>1.0900000000000001</v>
      </c>
      <c r="L369" s="33">
        <v>1.01</v>
      </c>
      <c r="M369" s="33">
        <v>0.92</v>
      </c>
      <c r="N369" s="33">
        <v>0.85</v>
      </c>
      <c r="O369" s="33">
        <v>0.83</v>
      </c>
      <c r="P369" s="34">
        <f t="shared" si="13"/>
        <v>1.0108333333333333</v>
      </c>
    </row>
    <row r="370" spans="1:16" x14ac:dyDescent="0.25">
      <c r="A370" s="169">
        <f t="shared" si="14"/>
        <v>19.350000000000001</v>
      </c>
      <c r="B370" s="166">
        <v>19</v>
      </c>
      <c r="C370" s="32">
        <v>35</v>
      </c>
      <c r="D370" s="33">
        <v>0.8</v>
      </c>
      <c r="E370" s="33">
        <v>0.88</v>
      </c>
      <c r="F370" s="33">
        <v>1</v>
      </c>
      <c r="G370" s="33">
        <v>1.1100000000000001</v>
      </c>
      <c r="H370" s="33">
        <v>1.19</v>
      </c>
      <c r="I370" s="33">
        <v>1.19</v>
      </c>
      <c r="J370" s="33">
        <v>1.1499999999999999</v>
      </c>
      <c r="K370" s="33">
        <v>1.08</v>
      </c>
      <c r="L370" s="33">
        <v>0.99</v>
      </c>
      <c r="M370" s="33">
        <v>0.88</v>
      </c>
      <c r="N370" s="33">
        <v>0.81</v>
      </c>
      <c r="O370" s="33">
        <v>0.78</v>
      </c>
      <c r="P370" s="34">
        <f t="shared" si="13"/>
        <v>0.9883333333333334</v>
      </c>
    </row>
    <row r="371" spans="1:16" x14ac:dyDescent="0.25">
      <c r="A371" s="169">
        <f t="shared" si="14"/>
        <v>19.399999999999999</v>
      </c>
      <c r="B371" s="166">
        <v>19</v>
      </c>
      <c r="C371" s="32">
        <v>40</v>
      </c>
      <c r="D371" s="33">
        <v>0.75</v>
      </c>
      <c r="E371" s="33">
        <v>0.84</v>
      </c>
      <c r="F371" s="33">
        <v>0.97</v>
      </c>
      <c r="G371" s="33">
        <v>1.1000000000000001</v>
      </c>
      <c r="H371" s="33">
        <v>1.19</v>
      </c>
      <c r="I371" s="33">
        <v>1.19</v>
      </c>
      <c r="J371" s="33">
        <v>1.1399999999999999</v>
      </c>
      <c r="K371" s="33">
        <v>1.06</v>
      </c>
      <c r="L371" s="33">
        <v>0.96</v>
      </c>
      <c r="M371" s="33">
        <v>0.84</v>
      </c>
      <c r="N371" s="33">
        <v>0.75</v>
      </c>
      <c r="O371" s="33">
        <v>0.72</v>
      </c>
      <c r="P371" s="34">
        <f t="shared" si="13"/>
        <v>0.95916666666666661</v>
      </c>
    </row>
    <row r="372" spans="1:16" x14ac:dyDescent="0.25">
      <c r="A372" s="169">
        <f t="shared" si="14"/>
        <v>19.45</v>
      </c>
      <c r="B372" s="166">
        <v>19</v>
      </c>
      <c r="C372" s="32">
        <v>45</v>
      </c>
      <c r="D372" s="33">
        <v>0.69</v>
      </c>
      <c r="E372" s="33">
        <v>0.79</v>
      </c>
      <c r="F372" s="33">
        <v>0.93</v>
      </c>
      <c r="G372" s="33">
        <v>1.08</v>
      </c>
      <c r="H372" s="33">
        <v>1.17</v>
      </c>
      <c r="I372" s="33">
        <v>1.18</v>
      </c>
      <c r="J372" s="33">
        <v>1.1299999999999999</v>
      </c>
      <c r="K372" s="33">
        <v>1.04</v>
      </c>
      <c r="L372" s="33">
        <v>0.92</v>
      </c>
      <c r="M372" s="33">
        <v>0.8</v>
      </c>
      <c r="N372" s="33">
        <v>0.7</v>
      </c>
      <c r="O372" s="33">
        <v>0.66</v>
      </c>
      <c r="P372" s="34">
        <f t="shared" ref="P372:P435" si="15">AVERAGE(D372:O372)</f>
        <v>0.92416666666666669</v>
      </c>
    </row>
    <row r="373" spans="1:16" x14ac:dyDescent="0.25">
      <c r="A373" s="169">
        <f t="shared" si="14"/>
        <v>19.5</v>
      </c>
      <c r="B373" s="166">
        <v>19</v>
      </c>
      <c r="C373" s="32">
        <v>50</v>
      </c>
      <c r="D373" s="33">
        <v>0.63</v>
      </c>
      <c r="E373" s="33">
        <v>0.74</v>
      </c>
      <c r="F373" s="33">
        <v>0.89</v>
      </c>
      <c r="G373" s="33">
        <v>1.05</v>
      </c>
      <c r="H373" s="33">
        <v>1.1599999999999999</v>
      </c>
      <c r="I373" s="33">
        <v>1.17</v>
      </c>
      <c r="J373" s="33">
        <v>1.1100000000000001</v>
      </c>
      <c r="K373" s="33">
        <v>1.01</v>
      </c>
      <c r="L373" s="33">
        <v>0.88</v>
      </c>
      <c r="M373" s="33">
        <v>0.74</v>
      </c>
      <c r="N373" s="33">
        <v>0.64</v>
      </c>
      <c r="O373" s="33">
        <v>0.59</v>
      </c>
      <c r="P373" s="34">
        <f t="shared" si="15"/>
        <v>0.88416666666666677</v>
      </c>
    </row>
    <row r="374" spans="1:16" x14ac:dyDescent="0.25">
      <c r="A374" s="169">
        <f t="shared" si="14"/>
        <v>19.55</v>
      </c>
      <c r="B374" s="166">
        <v>19</v>
      </c>
      <c r="C374" s="32">
        <v>55</v>
      </c>
      <c r="D374" s="33">
        <v>0.56000000000000005</v>
      </c>
      <c r="E374" s="33">
        <v>0.68</v>
      </c>
      <c r="F374" s="33">
        <v>0.84</v>
      </c>
      <c r="G374" s="33">
        <v>1.01</v>
      </c>
      <c r="H374" s="33">
        <v>1.1299999999999999</v>
      </c>
      <c r="I374" s="33">
        <v>1.1399999999999999</v>
      </c>
      <c r="J374" s="33">
        <v>1.08</v>
      </c>
      <c r="K374" s="33">
        <v>0.98</v>
      </c>
      <c r="L374" s="33">
        <v>0.84</v>
      </c>
      <c r="M374" s="33">
        <v>0.69</v>
      </c>
      <c r="N374" s="33">
        <v>0.56999999999999995</v>
      </c>
      <c r="O374" s="33">
        <v>0.52</v>
      </c>
      <c r="P374" s="34">
        <f t="shared" si="15"/>
        <v>0.83666666666666656</v>
      </c>
    </row>
    <row r="375" spans="1:16" x14ac:dyDescent="0.25">
      <c r="A375" s="169">
        <f t="shared" si="14"/>
        <v>19.600000000000001</v>
      </c>
      <c r="B375" s="166">
        <v>19</v>
      </c>
      <c r="C375" s="32">
        <v>60</v>
      </c>
      <c r="D375" s="33">
        <v>0.49</v>
      </c>
      <c r="E375" s="33">
        <v>0.62</v>
      </c>
      <c r="F375" s="33">
        <v>0.79</v>
      </c>
      <c r="G375" s="33">
        <v>0.97</v>
      </c>
      <c r="H375" s="33">
        <v>1.1000000000000001</v>
      </c>
      <c r="I375" s="33">
        <v>1.1100000000000001</v>
      </c>
      <c r="J375" s="33">
        <v>1.05</v>
      </c>
      <c r="K375" s="33">
        <v>0.93</v>
      </c>
      <c r="L375" s="33">
        <v>0.78</v>
      </c>
      <c r="M375" s="33">
        <v>0.62</v>
      </c>
      <c r="N375" s="33">
        <v>0.5</v>
      </c>
      <c r="O375" s="33">
        <v>0.45</v>
      </c>
      <c r="P375" s="34">
        <f t="shared" si="15"/>
        <v>0.78416666666666657</v>
      </c>
    </row>
    <row r="376" spans="1:16" x14ac:dyDescent="0.25">
      <c r="A376" s="169">
        <f t="shared" si="14"/>
        <v>19.649999999999999</v>
      </c>
      <c r="B376" s="166">
        <v>19</v>
      </c>
      <c r="C376" s="32">
        <v>65</v>
      </c>
      <c r="D376" s="33">
        <v>0.42</v>
      </c>
      <c r="E376" s="33">
        <v>0.55000000000000004</v>
      </c>
      <c r="F376" s="33">
        <v>0.73</v>
      </c>
      <c r="G376" s="33">
        <v>0.92</v>
      </c>
      <c r="H376" s="33">
        <v>1.05</v>
      </c>
      <c r="I376" s="33">
        <v>1.07</v>
      </c>
      <c r="J376" s="33">
        <v>1.01</v>
      </c>
      <c r="K376" s="33">
        <v>0.89</v>
      </c>
      <c r="L376" s="33">
        <v>0.73</v>
      </c>
      <c r="M376" s="33">
        <v>0.56000000000000005</v>
      </c>
      <c r="N376" s="33">
        <v>0.43</v>
      </c>
      <c r="O376" s="33">
        <v>0.38</v>
      </c>
      <c r="P376" s="34">
        <f t="shared" si="15"/>
        <v>0.72833333333333339</v>
      </c>
    </row>
    <row r="377" spans="1:16" x14ac:dyDescent="0.25">
      <c r="A377" s="169">
        <f t="shared" si="14"/>
        <v>19.7</v>
      </c>
      <c r="B377" s="166">
        <v>19</v>
      </c>
      <c r="C377" s="32">
        <v>70</v>
      </c>
      <c r="D377" s="33">
        <v>0.34</v>
      </c>
      <c r="E377" s="33">
        <v>0.48</v>
      </c>
      <c r="F377" s="33">
        <v>0.67</v>
      </c>
      <c r="G377" s="33">
        <v>0.87</v>
      </c>
      <c r="H377" s="33">
        <v>1.01</v>
      </c>
      <c r="I377" s="33">
        <v>1.03</v>
      </c>
      <c r="J377" s="33">
        <v>0.96</v>
      </c>
      <c r="K377" s="33">
        <v>0.84</v>
      </c>
      <c r="L377" s="33">
        <v>0.67</v>
      </c>
      <c r="M377" s="33">
        <v>0.49</v>
      </c>
      <c r="N377" s="33">
        <v>0.35</v>
      </c>
      <c r="O377" s="33">
        <v>0.3</v>
      </c>
      <c r="P377" s="34">
        <f t="shared" si="15"/>
        <v>0.66749999999999998</v>
      </c>
    </row>
    <row r="378" spans="1:16" x14ac:dyDescent="0.25">
      <c r="A378" s="169">
        <f t="shared" si="14"/>
        <v>19.75</v>
      </c>
      <c r="B378" s="166">
        <v>19</v>
      </c>
      <c r="C378" s="32">
        <v>75</v>
      </c>
      <c r="D378" s="33">
        <v>0.27</v>
      </c>
      <c r="E378" s="33">
        <v>0.4</v>
      </c>
      <c r="F378" s="33">
        <v>0.6</v>
      </c>
      <c r="G378" s="33">
        <v>0.81</v>
      </c>
      <c r="H378" s="33">
        <v>0.95</v>
      </c>
      <c r="I378" s="33">
        <v>0.98</v>
      </c>
      <c r="J378" s="33">
        <v>0.91</v>
      </c>
      <c r="K378" s="33">
        <v>0.78</v>
      </c>
      <c r="L378" s="33">
        <v>0.6</v>
      </c>
      <c r="M378" s="33">
        <v>0.42</v>
      </c>
      <c r="N378" s="33">
        <v>0.28000000000000003</v>
      </c>
      <c r="O378" s="33">
        <v>0.22</v>
      </c>
      <c r="P378" s="34">
        <f t="shared" si="15"/>
        <v>0.60166666666666668</v>
      </c>
    </row>
    <row r="379" spans="1:16" x14ac:dyDescent="0.25">
      <c r="A379" s="169">
        <f t="shared" si="14"/>
        <v>19.8</v>
      </c>
      <c r="B379" s="166">
        <v>19</v>
      </c>
      <c r="C379" s="32">
        <v>80</v>
      </c>
      <c r="D379" s="33">
        <v>0.19</v>
      </c>
      <c r="E379" s="33">
        <v>0.33</v>
      </c>
      <c r="F379" s="33">
        <v>0.53</v>
      </c>
      <c r="G379" s="33">
        <v>0.74</v>
      </c>
      <c r="H379" s="33">
        <v>0.89</v>
      </c>
      <c r="I379" s="33">
        <v>0.92</v>
      </c>
      <c r="J379" s="33">
        <v>0.85</v>
      </c>
      <c r="K379" s="33">
        <v>0.72</v>
      </c>
      <c r="L379" s="33">
        <v>0.53</v>
      </c>
      <c r="M379" s="33">
        <v>0.34</v>
      </c>
      <c r="N379" s="33">
        <v>0.2</v>
      </c>
      <c r="O379" s="33">
        <v>0.14000000000000001</v>
      </c>
      <c r="P379" s="34">
        <f t="shared" si="15"/>
        <v>0.53166666666666662</v>
      </c>
    </row>
    <row r="380" spans="1:16" x14ac:dyDescent="0.25">
      <c r="A380" s="169">
        <f t="shared" si="14"/>
        <v>19.850000000000001</v>
      </c>
      <c r="B380" s="166">
        <v>19</v>
      </c>
      <c r="C380" s="32">
        <v>85</v>
      </c>
      <c r="D380" s="33">
        <v>0.11</v>
      </c>
      <c r="E380" s="33">
        <v>0.25</v>
      </c>
      <c r="F380" s="33">
        <v>0.45</v>
      </c>
      <c r="G380" s="33">
        <v>0.67</v>
      </c>
      <c r="H380" s="33">
        <v>0.83</v>
      </c>
      <c r="I380" s="33">
        <v>0.86</v>
      </c>
      <c r="J380" s="33">
        <v>0.79</v>
      </c>
      <c r="K380" s="33">
        <v>0.65</v>
      </c>
      <c r="L380" s="33">
        <v>0.46</v>
      </c>
      <c r="M380" s="33">
        <v>0.27</v>
      </c>
      <c r="N380" s="33">
        <v>0.12</v>
      </c>
      <c r="O380" s="33">
        <v>0.09</v>
      </c>
      <c r="P380" s="34">
        <f t="shared" si="15"/>
        <v>0.46249999999999997</v>
      </c>
    </row>
    <row r="381" spans="1:16" x14ac:dyDescent="0.25">
      <c r="A381" s="169">
        <f t="shared" si="14"/>
        <v>19.899999999999999</v>
      </c>
      <c r="B381" s="166">
        <v>19</v>
      </c>
      <c r="C381" s="32">
        <v>90</v>
      </c>
      <c r="D381" s="33">
        <v>0.08</v>
      </c>
      <c r="E381" s="33">
        <v>0.17</v>
      </c>
      <c r="F381" s="33">
        <v>0.37</v>
      </c>
      <c r="G381" s="33">
        <v>0.6</v>
      </c>
      <c r="H381" s="33">
        <v>0.76</v>
      </c>
      <c r="I381" s="33">
        <v>0.79</v>
      </c>
      <c r="J381" s="33">
        <v>0.72</v>
      </c>
      <c r="K381" s="33">
        <v>0.57999999999999996</v>
      </c>
      <c r="L381" s="33">
        <v>0.39</v>
      </c>
      <c r="M381" s="33">
        <v>0.19</v>
      </c>
      <c r="N381" s="33">
        <v>0.09</v>
      </c>
      <c r="O381" s="33">
        <v>0.08</v>
      </c>
      <c r="P381" s="34">
        <f t="shared" si="15"/>
        <v>0.40166666666666667</v>
      </c>
    </row>
    <row r="382" spans="1:16" x14ac:dyDescent="0.25">
      <c r="A382" s="169">
        <f t="shared" ref="A382:A445" si="16">B382+(C382/100)</f>
        <v>20</v>
      </c>
      <c r="B382" s="166">
        <v>20</v>
      </c>
      <c r="C382" s="32">
        <v>0</v>
      </c>
      <c r="D382" s="33">
        <v>1</v>
      </c>
      <c r="E382" s="33">
        <v>1</v>
      </c>
      <c r="F382" s="33">
        <v>1</v>
      </c>
      <c r="G382" s="33">
        <v>1</v>
      </c>
      <c r="H382" s="33">
        <v>1</v>
      </c>
      <c r="I382" s="33">
        <v>1</v>
      </c>
      <c r="J382" s="33">
        <v>1</v>
      </c>
      <c r="K382" s="33">
        <v>1</v>
      </c>
      <c r="L382" s="33">
        <v>1</v>
      </c>
      <c r="M382" s="33">
        <v>1</v>
      </c>
      <c r="N382" s="33">
        <v>1</v>
      </c>
      <c r="O382" s="33">
        <v>1</v>
      </c>
      <c r="P382" s="34">
        <f t="shared" si="15"/>
        <v>1</v>
      </c>
    </row>
    <row r="383" spans="1:16" x14ac:dyDescent="0.25">
      <c r="A383" s="169">
        <f t="shared" si="16"/>
        <v>20.05</v>
      </c>
      <c r="B383" s="166">
        <v>20</v>
      </c>
      <c r="C383" s="32">
        <v>5</v>
      </c>
      <c r="D383" s="33">
        <v>0.99</v>
      </c>
      <c r="E383" s="33">
        <v>1.01</v>
      </c>
      <c r="F383" s="33">
        <v>1.02</v>
      </c>
      <c r="G383" s="33">
        <v>1.04</v>
      </c>
      <c r="H383" s="33">
        <v>1.05</v>
      </c>
      <c r="I383" s="33">
        <v>1.05</v>
      </c>
      <c r="J383" s="33">
        <v>1.04</v>
      </c>
      <c r="K383" s="33">
        <v>1.03</v>
      </c>
      <c r="L383" s="33">
        <v>1.02</v>
      </c>
      <c r="M383" s="33">
        <v>1</v>
      </c>
      <c r="N383" s="33">
        <v>0.99</v>
      </c>
      <c r="O383" s="33">
        <v>0.99</v>
      </c>
      <c r="P383" s="34">
        <f t="shared" si="15"/>
        <v>1.0191666666666668</v>
      </c>
    </row>
    <row r="384" spans="1:16" x14ac:dyDescent="0.25">
      <c r="A384" s="169">
        <f t="shared" si="16"/>
        <v>20.100000000000001</v>
      </c>
      <c r="B384" s="166">
        <v>20</v>
      </c>
      <c r="C384" s="32">
        <v>10</v>
      </c>
      <c r="D384" s="33">
        <v>0.98</v>
      </c>
      <c r="E384" s="33">
        <v>1</v>
      </c>
      <c r="F384" s="33">
        <v>1.04</v>
      </c>
      <c r="G384" s="33">
        <v>1.07</v>
      </c>
      <c r="H384" s="33">
        <v>1.0900000000000001</v>
      </c>
      <c r="I384" s="33">
        <v>1.0900000000000001</v>
      </c>
      <c r="J384" s="33">
        <v>1.08</v>
      </c>
      <c r="K384" s="33">
        <v>1.06</v>
      </c>
      <c r="L384" s="33">
        <v>1.03</v>
      </c>
      <c r="M384" s="33">
        <v>1</v>
      </c>
      <c r="N384" s="33">
        <v>0.98</v>
      </c>
      <c r="O384" s="33">
        <v>0.97</v>
      </c>
      <c r="P384" s="34">
        <f t="shared" si="15"/>
        <v>1.0325</v>
      </c>
    </row>
    <row r="385" spans="1:16" x14ac:dyDescent="0.25">
      <c r="A385" s="169">
        <f t="shared" si="16"/>
        <v>20.149999999999999</v>
      </c>
      <c r="B385" s="166">
        <v>20</v>
      </c>
      <c r="C385" s="32">
        <v>15</v>
      </c>
      <c r="D385" s="33">
        <v>0.96</v>
      </c>
      <c r="E385" s="33">
        <v>0.99</v>
      </c>
      <c r="F385" s="33">
        <v>1.04</v>
      </c>
      <c r="G385" s="33">
        <v>1.1000000000000001</v>
      </c>
      <c r="H385" s="33">
        <v>1.1299999999999999</v>
      </c>
      <c r="I385" s="33">
        <v>1.1299999999999999</v>
      </c>
      <c r="J385" s="33">
        <v>1.1100000000000001</v>
      </c>
      <c r="K385" s="33">
        <v>1.08</v>
      </c>
      <c r="L385" s="33">
        <v>1.04</v>
      </c>
      <c r="M385" s="33">
        <v>0.99</v>
      </c>
      <c r="N385" s="33">
        <v>0.96</v>
      </c>
      <c r="O385" s="33">
        <v>0.95</v>
      </c>
      <c r="P385" s="34">
        <f t="shared" si="15"/>
        <v>1.0399999999999998</v>
      </c>
    </row>
    <row r="386" spans="1:16" x14ac:dyDescent="0.25">
      <c r="A386" s="169">
        <f t="shared" si="16"/>
        <v>20.2</v>
      </c>
      <c r="B386" s="166">
        <v>20</v>
      </c>
      <c r="C386" s="32">
        <v>20</v>
      </c>
      <c r="D386" s="33">
        <v>0.93</v>
      </c>
      <c r="E386" s="33">
        <v>0.98</v>
      </c>
      <c r="F386" s="33">
        <v>1.05</v>
      </c>
      <c r="G386" s="33">
        <v>1.1100000000000001</v>
      </c>
      <c r="H386" s="33">
        <v>1.1599999999999999</v>
      </c>
      <c r="I386" s="33">
        <v>1.1599999999999999</v>
      </c>
      <c r="J386" s="33">
        <v>1.1299999999999999</v>
      </c>
      <c r="K386" s="33">
        <v>1.0900000000000001</v>
      </c>
      <c r="L386" s="33">
        <v>1.04</v>
      </c>
      <c r="M386" s="33">
        <v>0.98</v>
      </c>
      <c r="N386" s="33">
        <v>0.93</v>
      </c>
      <c r="O386" s="33">
        <v>0.91</v>
      </c>
      <c r="P386" s="34">
        <f t="shared" si="15"/>
        <v>1.0391666666666668</v>
      </c>
    </row>
    <row r="387" spans="1:16" x14ac:dyDescent="0.25">
      <c r="A387" s="169">
        <f t="shared" si="16"/>
        <v>20.25</v>
      </c>
      <c r="B387" s="166">
        <v>20</v>
      </c>
      <c r="C387" s="32">
        <v>25</v>
      </c>
      <c r="D387" s="33">
        <v>0.9</v>
      </c>
      <c r="E387" s="33">
        <v>0.96</v>
      </c>
      <c r="F387" s="33">
        <v>1.04</v>
      </c>
      <c r="G387" s="33">
        <v>1.1200000000000001</v>
      </c>
      <c r="H387" s="33">
        <v>1.18</v>
      </c>
      <c r="I387" s="33">
        <v>1.18</v>
      </c>
      <c r="J387" s="33">
        <v>1.1499999999999999</v>
      </c>
      <c r="K387" s="33">
        <v>1.1000000000000001</v>
      </c>
      <c r="L387" s="33">
        <v>1.03</v>
      </c>
      <c r="M387" s="33">
        <v>0.96</v>
      </c>
      <c r="N387" s="33">
        <v>0.9</v>
      </c>
      <c r="O387" s="33">
        <v>0.88</v>
      </c>
      <c r="P387" s="34">
        <f t="shared" si="15"/>
        <v>1.0333333333333332</v>
      </c>
    </row>
    <row r="388" spans="1:16" x14ac:dyDescent="0.25">
      <c r="A388" s="169">
        <f t="shared" si="16"/>
        <v>20.3</v>
      </c>
      <c r="B388" s="166">
        <v>20</v>
      </c>
      <c r="C388" s="32">
        <v>30</v>
      </c>
      <c r="D388" s="33">
        <v>0.86</v>
      </c>
      <c r="E388" s="33">
        <v>0.93</v>
      </c>
      <c r="F388" s="33">
        <v>1.03</v>
      </c>
      <c r="G388" s="33">
        <v>1.1299999999999999</v>
      </c>
      <c r="H388" s="33">
        <v>1.19</v>
      </c>
      <c r="I388" s="33">
        <v>1.2</v>
      </c>
      <c r="J388" s="33">
        <v>1.1599999999999999</v>
      </c>
      <c r="K388" s="33">
        <v>1.1000000000000001</v>
      </c>
      <c r="L388" s="33">
        <v>1.01</v>
      </c>
      <c r="M388" s="33">
        <v>0.93</v>
      </c>
      <c r="N388" s="33">
        <v>0.86</v>
      </c>
      <c r="O388" s="33">
        <v>0.83</v>
      </c>
      <c r="P388" s="34">
        <f t="shared" si="15"/>
        <v>1.0191666666666668</v>
      </c>
    </row>
    <row r="389" spans="1:16" x14ac:dyDescent="0.25">
      <c r="A389" s="169">
        <f t="shared" si="16"/>
        <v>20.350000000000001</v>
      </c>
      <c r="B389" s="166">
        <v>20</v>
      </c>
      <c r="C389" s="32">
        <v>35</v>
      </c>
      <c r="D389" s="33">
        <v>0.81</v>
      </c>
      <c r="E389" s="33">
        <v>0.89</v>
      </c>
      <c r="F389" s="33">
        <v>1</v>
      </c>
      <c r="G389" s="33">
        <v>1.1200000000000001</v>
      </c>
      <c r="H389" s="33">
        <v>1.2</v>
      </c>
      <c r="I389" s="33">
        <v>1.2</v>
      </c>
      <c r="J389" s="33">
        <v>1.1599999999999999</v>
      </c>
      <c r="K389" s="33">
        <v>1.0900000000000001</v>
      </c>
      <c r="L389" s="33">
        <v>0.99</v>
      </c>
      <c r="M389" s="33">
        <v>0.89</v>
      </c>
      <c r="N389" s="33">
        <v>0.81</v>
      </c>
      <c r="O389" s="33">
        <v>0.78</v>
      </c>
      <c r="P389" s="34">
        <f t="shared" si="15"/>
        <v>0.99500000000000011</v>
      </c>
    </row>
    <row r="390" spans="1:16" x14ac:dyDescent="0.25">
      <c r="A390" s="169">
        <f t="shared" si="16"/>
        <v>20.399999999999999</v>
      </c>
      <c r="B390" s="166">
        <v>20</v>
      </c>
      <c r="C390" s="32">
        <v>40</v>
      </c>
      <c r="D390" s="33">
        <v>0.76</v>
      </c>
      <c r="E390" s="33">
        <v>0.85</v>
      </c>
      <c r="F390" s="33">
        <v>0.98</v>
      </c>
      <c r="G390" s="33">
        <v>1.1100000000000001</v>
      </c>
      <c r="H390" s="33">
        <v>1.2</v>
      </c>
      <c r="I390" s="33">
        <v>1.2</v>
      </c>
      <c r="J390" s="33">
        <v>1.1499999999999999</v>
      </c>
      <c r="K390" s="33">
        <v>1.07</v>
      </c>
      <c r="L390" s="33">
        <v>0.97</v>
      </c>
      <c r="M390" s="33">
        <v>0.85</v>
      </c>
      <c r="N390" s="33">
        <v>0.76</v>
      </c>
      <c r="O390" s="33">
        <v>0.73</v>
      </c>
      <c r="P390" s="34">
        <f t="shared" si="15"/>
        <v>0.96916666666666673</v>
      </c>
    </row>
    <row r="391" spans="1:16" x14ac:dyDescent="0.25">
      <c r="A391" s="169">
        <f t="shared" si="16"/>
        <v>20.45</v>
      </c>
      <c r="B391" s="166">
        <v>20</v>
      </c>
      <c r="C391" s="32">
        <v>45</v>
      </c>
      <c r="D391" s="33">
        <v>0.7</v>
      </c>
      <c r="E391" s="33">
        <v>0.8</v>
      </c>
      <c r="F391" s="33">
        <v>0.94</v>
      </c>
      <c r="G391" s="33">
        <v>1.0900000000000001</v>
      </c>
      <c r="H391" s="33">
        <v>1.19</v>
      </c>
      <c r="I391" s="33">
        <v>1.2</v>
      </c>
      <c r="J391" s="33">
        <v>1.1399999999999999</v>
      </c>
      <c r="K391" s="33">
        <v>1.05</v>
      </c>
      <c r="L391" s="33">
        <v>0.93</v>
      </c>
      <c r="M391" s="33">
        <v>0.81</v>
      </c>
      <c r="N391" s="33">
        <v>0.71</v>
      </c>
      <c r="O391" s="33">
        <v>0.67</v>
      </c>
      <c r="P391" s="34">
        <f t="shared" si="15"/>
        <v>0.93583333333333352</v>
      </c>
    </row>
    <row r="392" spans="1:16" x14ac:dyDescent="0.25">
      <c r="A392" s="169">
        <f t="shared" si="16"/>
        <v>20.5</v>
      </c>
      <c r="B392" s="166">
        <v>20</v>
      </c>
      <c r="C392" s="32">
        <v>50</v>
      </c>
      <c r="D392" s="33">
        <v>0.64</v>
      </c>
      <c r="E392" s="33">
        <v>0.75</v>
      </c>
      <c r="F392" s="33">
        <v>0.9</v>
      </c>
      <c r="G392" s="33">
        <v>1.06</v>
      </c>
      <c r="H392" s="33">
        <v>1.17</v>
      </c>
      <c r="I392" s="33">
        <v>1.18</v>
      </c>
      <c r="J392" s="33">
        <v>1.1200000000000001</v>
      </c>
      <c r="K392" s="33">
        <v>1.02</v>
      </c>
      <c r="L392" s="33">
        <v>0.89</v>
      </c>
      <c r="M392" s="33">
        <v>0.75</v>
      </c>
      <c r="N392" s="33">
        <v>0.65</v>
      </c>
      <c r="O392" s="33">
        <v>0.6</v>
      </c>
      <c r="P392" s="34">
        <f t="shared" si="15"/>
        <v>0.89416666666666667</v>
      </c>
    </row>
    <row r="393" spans="1:16" x14ac:dyDescent="0.25">
      <c r="A393" s="169">
        <f t="shared" si="16"/>
        <v>20.55</v>
      </c>
      <c r="B393" s="166">
        <v>20</v>
      </c>
      <c r="C393" s="32">
        <v>55</v>
      </c>
      <c r="D393" s="33">
        <v>0.57999999999999996</v>
      </c>
      <c r="E393" s="33">
        <v>0.69</v>
      </c>
      <c r="F393" s="33">
        <v>0.86</v>
      </c>
      <c r="G393" s="33">
        <v>1.03</v>
      </c>
      <c r="H393" s="33">
        <v>1.1399999999999999</v>
      </c>
      <c r="I393" s="33">
        <v>1.1599999999999999</v>
      </c>
      <c r="J393" s="33">
        <v>1.0900000000000001</v>
      </c>
      <c r="K393" s="33">
        <v>0.99</v>
      </c>
      <c r="L393" s="33">
        <v>0.85</v>
      </c>
      <c r="M393" s="33">
        <v>0.7</v>
      </c>
      <c r="N393" s="33">
        <v>0.57999999999999996</v>
      </c>
      <c r="O393" s="33">
        <v>0.54</v>
      </c>
      <c r="P393" s="34">
        <f t="shared" si="15"/>
        <v>0.85083333333333344</v>
      </c>
    </row>
    <row r="394" spans="1:16" x14ac:dyDescent="0.25">
      <c r="A394" s="169">
        <f t="shared" si="16"/>
        <v>20.6</v>
      </c>
      <c r="B394" s="166">
        <v>20</v>
      </c>
      <c r="C394" s="32">
        <v>60</v>
      </c>
      <c r="D394" s="33">
        <v>0.51</v>
      </c>
      <c r="E394" s="33">
        <v>0.63</v>
      </c>
      <c r="F394" s="33">
        <v>0.8</v>
      </c>
      <c r="G394" s="33">
        <v>0.99</v>
      </c>
      <c r="H394" s="33">
        <v>1.1100000000000001</v>
      </c>
      <c r="I394" s="33">
        <v>1.1299999999999999</v>
      </c>
      <c r="J394" s="33">
        <v>1.06</v>
      </c>
      <c r="K394" s="33">
        <v>0.95</v>
      </c>
      <c r="L394" s="33">
        <v>0.8</v>
      </c>
      <c r="M394" s="33">
        <v>0.64</v>
      </c>
      <c r="N394" s="33">
        <v>0.51</v>
      </c>
      <c r="O394" s="33">
        <v>0.46</v>
      </c>
      <c r="P394" s="34">
        <f t="shared" si="15"/>
        <v>0.7991666666666668</v>
      </c>
    </row>
    <row r="395" spans="1:16" x14ac:dyDescent="0.25">
      <c r="A395" s="169">
        <f t="shared" si="16"/>
        <v>20.65</v>
      </c>
      <c r="B395" s="166">
        <v>20</v>
      </c>
      <c r="C395" s="32">
        <v>65</v>
      </c>
      <c r="D395" s="33">
        <v>0.43</v>
      </c>
      <c r="E395" s="33">
        <v>0.56000000000000005</v>
      </c>
      <c r="F395" s="33">
        <v>0.74</v>
      </c>
      <c r="G395" s="33">
        <v>0.94</v>
      </c>
      <c r="H395" s="33">
        <v>1.07</v>
      </c>
      <c r="I395" s="33">
        <v>1.0900000000000001</v>
      </c>
      <c r="J395" s="33">
        <v>1.02</v>
      </c>
      <c r="K395" s="33">
        <v>0.9</v>
      </c>
      <c r="L395" s="33">
        <v>0.74</v>
      </c>
      <c r="M395" s="33">
        <v>0.56999999999999995</v>
      </c>
      <c r="N395" s="33">
        <v>0.44</v>
      </c>
      <c r="O395" s="33">
        <v>0.39</v>
      </c>
      <c r="P395" s="34">
        <f t="shared" si="15"/>
        <v>0.74083333333333334</v>
      </c>
    </row>
    <row r="396" spans="1:16" x14ac:dyDescent="0.25">
      <c r="A396" s="169">
        <f t="shared" si="16"/>
        <v>20.7</v>
      </c>
      <c r="B396" s="166">
        <v>20</v>
      </c>
      <c r="C396" s="32">
        <v>70</v>
      </c>
      <c r="D396" s="33">
        <v>0.36</v>
      </c>
      <c r="E396" s="33">
        <v>0.49</v>
      </c>
      <c r="F396" s="33">
        <v>0.68</v>
      </c>
      <c r="G396" s="33">
        <v>0.88</v>
      </c>
      <c r="H396" s="33">
        <v>1.03</v>
      </c>
      <c r="I396" s="33">
        <v>1.05</v>
      </c>
      <c r="J396" s="33">
        <v>0.97</v>
      </c>
      <c r="K396" s="33">
        <v>0.85</v>
      </c>
      <c r="L396" s="33">
        <v>0.68</v>
      </c>
      <c r="M396" s="33">
        <v>0.5</v>
      </c>
      <c r="N396" s="33">
        <v>0.37</v>
      </c>
      <c r="O396" s="33">
        <v>0.31</v>
      </c>
      <c r="P396" s="34">
        <f t="shared" si="15"/>
        <v>0.68083333333333329</v>
      </c>
    </row>
    <row r="397" spans="1:16" x14ac:dyDescent="0.25">
      <c r="A397" s="169">
        <f t="shared" si="16"/>
        <v>20.75</v>
      </c>
      <c r="B397" s="166">
        <v>20</v>
      </c>
      <c r="C397" s="32">
        <v>75</v>
      </c>
      <c r="D397" s="33">
        <v>0.28000000000000003</v>
      </c>
      <c r="E397" s="33">
        <v>0.42</v>
      </c>
      <c r="F397" s="33">
        <v>0.61</v>
      </c>
      <c r="G397" s="33">
        <v>0.82</v>
      </c>
      <c r="H397" s="33">
        <v>0.97</v>
      </c>
      <c r="I397" s="33">
        <v>1</v>
      </c>
      <c r="J397" s="33">
        <v>0.92</v>
      </c>
      <c r="K397" s="33">
        <v>0.79</v>
      </c>
      <c r="L397" s="33">
        <v>0.62</v>
      </c>
      <c r="M397" s="33">
        <v>0.43</v>
      </c>
      <c r="N397" s="33">
        <v>0.28999999999999998</v>
      </c>
      <c r="O397" s="33">
        <v>0.23</v>
      </c>
      <c r="P397" s="34">
        <f t="shared" si="15"/>
        <v>0.61499999999999999</v>
      </c>
    </row>
    <row r="398" spans="1:16" x14ac:dyDescent="0.25">
      <c r="A398" s="169">
        <f t="shared" si="16"/>
        <v>20.8</v>
      </c>
      <c r="B398" s="166">
        <v>20</v>
      </c>
      <c r="C398" s="32">
        <v>80</v>
      </c>
      <c r="D398" s="33">
        <v>0.2</v>
      </c>
      <c r="E398" s="33">
        <v>0.34</v>
      </c>
      <c r="F398" s="33">
        <v>0.54</v>
      </c>
      <c r="G398" s="33">
        <v>0.76</v>
      </c>
      <c r="H398" s="33">
        <v>0.91</v>
      </c>
      <c r="I398" s="33">
        <v>0.94</v>
      </c>
      <c r="J398" s="33">
        <v>0.87</v>
      </c>
      <c r="K398" s="33">
        <v>0.73</v>
      </c>
      <c r="L398" s="33">
        <v>0.55000000000000004</v>
      </c>
      <c r="M398" s="33">
        <v>0.36</v>
      </c>
      <c r="N398" s="33">
        <v>0.21</v>
      </c>
      <c r="O398" s="33">
        <v>0.16</v>
      </c>
      <c r="P398" s="34">
        <f t="shared" si="15"/>
        <v>0.54749999999999999</v>
      </c>
    </row>
    <row r="399" spans="1:16" x14ac:dyDescent="0.25">
      <c r="A399" s="169">
        <f t="shared" si="16"/>
        <v>20.85</v>
      </c>
      <c r="B399" s="166">
        <v>20</v>
      </c>
      <c r="C399" s="32">
        <v>85</v>
      </c>
      <c r="D399" s="33">
        <v>0.12</v>
      </c>
      <c r="E399" s="33">
        <v>0.26</v>
      </c>
      <c r="F399" s="33">
        <v>0.47</v>
      </c>
      <c r="G399" s="33">
        <v>0.69</v>
      </c>
      <c r="H399" s="33">
        <v>0.85</v>
      </c>
      <c r="I399" s="33">
        <v>0.88</v>
      </c>
      <c r="J399" s="33">
        <v>0.8</v>
      </c>
      <c r="K399" s="33">
        <v>0.67</v>
      </c>
      <c r="L399" s="33">
        <v>0.48</v>
      </c>
      <c r="M399" s="33">
        <v>0.28000000000000003</v>
      </c>
      <c r="N399" s="33">
        <v>0.13</v>
      </c>
      <c r="O399" s="33">
        <v>0.09</v>
      </c>
      <c r="P399" s="34">
        <f t="shared" si="15"/>
        <v>0.47666666666666674</v>
      </c>
    </row>
    <row r="400" spans="1:16" x14ac:dyDescent="0.25">
      <c r="A400" s="169">
        <f t="shared" si="16"/>
        <v>20.9</v>
      </c>
      <c r="B400" s="166">
        <v>20</v>
      </c>
      <c r="C400" s="32">
        <v>90</v>
      </c>
      <c r="D400" s="33">
        <v>0.08</v>
      </c>
      <c r="E400" s="33">
        <v>0.18</v>
      </c>
      <c r="F400" s="33">
        <v>0.39</v>
      </c>
      <c r="G400" s="33">
        <v>0.61</v>
      </c>
      <c r="H400" s="33">
        <v>0.78</v>
      </c>
      <c r="I400" s="33">
        <v>0.81</v>
      </c>
      <c r="J400" s="33">
        <v>0.74</v>
      </c>
      <c r="K400" s="33">
        <v>0.6</v>
      </c>
      <c r="L400" s="33">
        <v>0.4</v>
      </c>
      <c r="M400" s="33">
        <v>0.2</v>
      </c>
      <c r="N400" s="33">
        <v>0.09</v>
      </c>
      <c r="O400" s="33">
        <v>0.08</v>
      </c>
      <c r="P400" s="34">
        <f t="shared" si="15"/>
        <v>0.41333333333333333</v>
      </c>
    </row>
    <row r="401" spans="1:16" x14ac:dyDescent="0.25">
      <c r="A401" s="169">
        <f t="shared" si="16"/>
        <v>21</v>
      </c>
      <c r="B401" s="166">
        <v>21</v>
      </c>
      <c r="C401" s="32">
        <v>0</v>
      </c>
      <c r="D401" s="33">
        <v>1</v>
      </c>
      <c r="E401" s="33">
        <v>1</v>
      </c>
      <c r="F401" s="33">
        <v>1</v>
      </c>
      <c r="G401" s="33">
        <v>1</v>
      </c>
      <c r="H401" s="33">
        <v>1</v>
      </c>
      <c r="I401" s="33">
        <v>1</v>
      </c>
      <c r="J401" s="33">
        <v>1</v>
      </c>
      <c r="K401" s="33">
        <v>1</v>
      </c>
      <c r="L401" s="33">
        <v>1</v>
      </c>
      <c r="M401" s="33">
        <v>1</v>
      </c>
      <c r="N401" s="33">
        <v>1</v>
      </c>
      <c r="O401" s="33">
        <v>1</v>
      </c>
      <c r="P401" s="34">
        <f t="shared" si="15"/>
        <v>1</v>
      </c>
    </row>
    <row r="402" spans="1:16" x14ac:dyDescent="0.25">
      <c r="A402" s="169">
        <f t="shared" si="16"/>
        <v>21.05</v>
      </c>
      <c r="B402" s="166">
        <v>21</v>
      </c>
      <c r="C402" s="32">
        <v>5</v>
      </c>
      <c r="D402" s="33">
        <v>0.99</v>
      </c>
      <c r="E402" s="33">
        <v>1.01</v>
      </c>
      <c r="F402" s="33">
        <v>1.02</v>
      </c>
      <c r="G402" s="33">
        <v>1.04</v>
      </c>
      <c r="H402" s="33">
        <v>1.05</v>
      </c>
      <c r="I402" s="33">
        <v>1.05</v>
      </c>
      <c r="J402" s="33">
        <v>1.04</v>
      </c>
      <c r="K402" s="33">
        <v>1.03</v>
      </c>
      <c r="L402" s="33">
        <v>1.02</v>
      </c>
      <c r="M402" s="33">
        <v>1.01</v>
      </c>
      <c r="N402" s="33">
        <v>0.99</v>
      </c>
      <c r="O402" s="33">
        <v>0.99</v>
      </c>
      <c r="P402" s="34">
        <f t="shared" si="15"/>
        <v>1.02</v>
      </c>
    </row>
    <row r="403" spans="1:16" x14ac:dyDescent="0.25">
      <c r="A403" s="169">
        <f t="shared" si="16"/>
        <v>21.1</v>
      </c>
      <c r="B403" s="166">
        <v>21</v>
      </c>
      <c r="C403" s="32">
        <v>10</v>
      </c>
      <c r="D403" s="33">
        <v>0.98</v>
      </c>
      <c r="E403" s="33">
        <v>1.01</v>
      </c>
      <c r="F403" s="33">
        <v>1.04</v>
      </c>
      <c r="G403" s="33">
        <v>1.07</v>
      </c>
      <c r="H403" s="33">
        <v>1.1000000000000001</v>
      </c>
      <c r="I403" s="33">
        <v>1.1000000000000001</v>
      </c>
      <c r="J403" s="33">
        <v>1.08</v>
      </c>
      <c r="K403" s="33">
        <v>1.06</v>
      </c>
      <c r="L403" s="33">
        <v>1.03</v>
      </c>
      <c r="M403" s="33">
        <v>1.01</v>
      </c>
      <c r="N403" s="33">
        <v>0.98</v>
      </c>
      <c r="O403" s="33">
        <v>0.97</v>
      </c>
      <c r="P403" s="34">
        <f t="shared" si="15"/>
        <v>1.0358333333333334</v>
      </c>
    </row>
    <row r="404" spans="1:16" x14ac:dyDescent="0.25">
      <c r="A404" s="169">
        <f t="shared" si="16"/>
        <v>21.15</v>
      </c>
      <c r="B404" s="166">
        <v>21</v>
      </c>
      <c r="C404" s="32">
        <v>15</v>
      </c>
      <c r="D404" s="33">
        <v>0.96</v>
      </c>
      <c r="E404" s="33">
        <v>1</v>
      </c>
      <c r="F404" s="33">
        <v>1.05</v>
      </c>
      <c r="G404" s="33">
        <v>1.1000000000000001</v>
      </c>
      <c r="H404" s="33">
        <v>1.1299999999999999</v>
      </c>
      <c r="I404" s="33">
        <v>1.1299999999999999</v>
      </c>
      <c r="J404" s="33">
        <v>1.1100000000000001</v>
      </c>
      <c r="K404" s="33">
        <v>1.08</v>
      </c>
      <c r="L404" s="33">
        <v>1.04</v>
      </c>
      <c r="M404" s="33">
        <v>1</v>
      </c>
      <c r="N404" s="33">
        <v>0.96</v>
      </c>
      <c r="O404" s="33">
        <v>0.95</v>
      </c>
      <c r="P404" s="34">
        <f t="shared" si="15"/>
        <v>1.0424999999999998</v>
      </c>
    </row>
    <row r="405" spans="1:16" x14ac:dyDescent="0.25">
      <c r="A405" s="169">
        <f t="shared" si="16"/>
        <v>21.2</v>
      </c>
      <c r="B405" s="166">
        <v>21</v>
      </c>
      <c r="C405" s="32">
        <v>20</v>
      </c>
      <c r="D405" s="33">
        <v>0.94</v>
      </c>
      <c r="E405" s="33">
        <v>0.98</v>
      </c>
      <c r="F405" s="33">
        <v>1.05</v>
      </c>
      <c r="G405" s="33">
        <v>1.1200000000000001</v>
      </c>
      <c r="H405" s="33">
        <v>1.1599999999999999</v>
      </c>
      <c r="I405" s="33">
        <v>1.1599999999999999</v>
      </c>
      <c r="J405" s="33">
        <v>1.1399999999999999</v>
      </c>
      <c r="K405" s="33">
        <v>1.1000000000000001</v>
      </c>
      <c r="L405" s="33">
        <v>1.04</v>
      </c>
      <c r="M405" s="33">
        <v>0.98</v>
      </c>
      <c r="N405" s="33">
        <v>0.94</v>
      </c>
      <c r="O405" s="33">
        <v>0.92</v>
      </c>
      <c r="P405" s="34">
        <f t="shared" si="15"/>
        <v>1.0441666666666667</v>
      </c>
    </row>
    <row r="406" spans="1:16" x14ac:dyDescent="0.25">
      <c r="A406" s="169">
        <f t="shared" si="16"/>
        <v>21.25</v>
      </c>
      <c r="B406" s="166">
        <v>21</v>
      </c>
      <c r="C406" s="32">
        <v>25</v>
      </c>
      <c r="D406" s="33">
        <v>0.9</v>
      </c>
      <c r="E406" s="33">
        <v>0.96</v>
      </c>
      <c r="F406" s="33">
        <v>1.05</v>
      </c>
      <c r="G406" s="33">
        <v>1.1299999999999999</v>
      </c>
      <c r="H406" s="33">
        <v>1.19</v>
      </c>
      <c r="I406" s="33">
        <v>1.19</v>
      </c>
      <c r="J406" s="33">
        <v>1.1499999999999999</v>
      </c>
      <c r="K406" s="33">
        <v>1.1000000000000001</v>
      </c>
      <c r="L406" s="33">
        <v>1.03</v>
      </c>
      <c r="M406" s="33">
        <v>0.96</v>
      </c>
      <c r="N406" s="33">
        <v>0.91</v>
      </c>
      <c r="O406" s="33">
        <v>0.88</v>
      </c>
      <c r="P406" s="34">
        <f t="shared" si="15"/>
        <v>1.0375000000000001</v>
      </c>
    </row>
    <row r="407" spans="1:16" x14ac:dyDescent="0.25">
      <c r="A407" s="169">
        <f t="shared" si="16"/>
        <v>21.3</v>
      </c>
      <c r="B407" s="166">
        <v>21</v>
      </c>
      <c r="C407" s="32">
        <v>30</v>
      </c>
      <c r="D407" s="33">
        <v>0.86</v>
      </c>
      <c r="E407" s="33">
        <v>0.93</v>
      </c>
      <c r="F407" s="33">
        <v>1.03</v>
      </c>
      <c r="G407" s="33">
        <v>1.1399999999999999</v>
      </c>
      <c r="H407" s="33">
        <v>1.2</v>
      </c>
      <c r="I407" s="33">
        <v>1.2</v>
      </c>
      <c r="J407" s="33">
        <v>1.1599999999999999</v>
      </c>
      <c r="K407" s="33">
        <v>1.1000000000000001</v>
      </c>
      <c r="L407" s="33">
        <v>1.02</v>
      </c>
      <c r="M407" s="33">
        <v>0.93</v>
      </c>
      <c r="N407" s="33">
        <v>0.87</v>
      </c>
      <c r="O407" s="33">
        <v>0.84</v>
      </c>
      <c r="P407" s="34">
        <f t="shared" si="15"/>
        <v>1.0233333333333332</v>
      </c>
    </row>
    <row r="408" spans="1:16" x14ac:dyDescent="0.25">
      <c r="A408" s="169">
        <f t="shared" si="16"/>
        <v>21.35</v>
      </c>
      <c r="B408" s="166">
        <v>21</v>
      </c>
      <c r="C408" s="32">
        <v>35</v>
      </c>
      <c r="D408" s="33">
        <v>0.82</v>
      </c>
      <c r="E408" s="33">
        <v>0.9</v>
      </c>
      <c r="F408" s="33">
        <v>1.01</v>
      </c>
      <c r="G408" s="33">
        <v>1.1299999999999999</v>
      </c>
      <c r="H408" s="33">
        <v>1.21</v>
      </c>
      <c r="I408" s="33">
        <v>1.21</v>
      </c>
      <c r="J408" s="33">
        <v>1.17</v>
      </c>
      <c r="K408" s="33">
        <v>1.1000000000000001</v>
      </c>
      <c r="L408" s="33">
        <v>1</v>
      </c>
      <c r="M408" s="33">
        <v>0.9</v>
      </c>
      <c r="N408" s="33">
        <v>0.82</v>
      </c>
      <c r="O408" s="33">
        <v>0.79</v>
      </c>
      <c r="P408" s="34">
        <f t="shared" si="15"/>
        <v>1.0050000000000001</v>
      </c>
    </row>
    <row r="409" spans="1:16" x14ac:dyDescent="0.25">
      <c r="A409" s="169">
        <f t="shared" si="16"/>
        <v>21.4</v>
      </c>
      <c r="B409" s="166">
        <v>21</v>
      </c>
      <c r="C409" s="32">
        <v>40</v>
      </c>
      <c r="D409" s="33">
        <v>0.77</v>
      </c>
      <c r="E409" s="33">
        <v>0.86</v>
      </c>
      <c r="F409" s="33">
        <v>0.99</v>
      </c>
      <c r="G409" s="33">
        <v>1.1200000000000001</v>
      </c>
      <c r="H409" s="33">
        <v>1.21</v>
      </c>
      <c r="I409" s="33">
        <v>1.21</v>
      </c>
      <c r="J409" s="33">
        <v>1.1599999999999999</v>
      </c>
      <c r="K409" s="33">
        <v>1.08</v>
      </c>
      <c r="L409" s="33">
        <v>0.98</v>
      </c>
      <c r="M409" s="33">
        <v>0.86</v>
      </c>
      <c r="N409" s="33">
        <v>0.77</v>
      </c>
      <c r="O409" s="33">
        <v>0.74</v>
      </c>
      <c r="P409" s="34">
        <f t="shared" si="15"/>
        <v>0.97916666666666663</v>
      </c>
    </row>
    <row r="410" spans="1:16" x14ac:dyDescent="0.25">
      <c r="A410" s="169">
        <f t="shared" si="16"/>
        <v>21.45</v>
      </c>
      <c r="B410" s="166">
        <v>21</v>
      </c>
      <c r="C410" s="32">
        <v>45</v>
      </c>
      <c r="D410" s="33">
        <v>0.71</v>
      </c>
      <c r="E410" s="33">
        <v>0.81</v>
      </c>
      <c r="F410" s="33">
        <v>0.95</v>
      </c>
      <c r="G410" s="33">
        <v>1.1000000000000001</v>
      </c>
      <c r="H410" s="33">
        <v>1.2</v>
      </c>
      <c r="I410" s="33">
        <v>1.21</v>
      </c>
      <c r="J410" s="33">
        <v>1.1499999999999999</v>
      </c>
      <c r="K410" s="33">
        <v>1.06</v>
      </c>
      <c r="L410" s="33">
        <v>0.94</v>
      </c>
      <c r="M410" s="33">
        <v>0.82</v>
      </c>
      <c r="N410" s="33">
        <v>0.72</v>
      </c>
      <c r="O410" s="33">
        <v>0.68</v>
      </c>
      <c r="P410" s="34">
        <f t="shared" si="15"/>
        <v>0.9458333333333333</v>
      </c>
    </row>
    <row r="411" spans="1:16" x14ac:dyDescent="0.25">
      <c r="A411" s="169">
        <f t="shared" si="16"/>
        <v>21.5</v>
      </c>
      <c r="B411" s="166">
        <v>21</v>
      </c>
      <c r="C411" s="32">
        <v>50</v>
      </c>
      <c r="D411" s="33">
        <v>0.65</v>
      </c>
      <c r="E411" s="33">
        <v>0.76</v>
      </c>
      <c r="F411" s="33">
        <v>0.91</v>
      </c>
      <c r="G411" s="33">
        <v>1.08</v>
      </c>
      <c r="H411" s="33">
        <v>1.18</v>
      </c>
      <c r="I411" s="33">
        <v>1.19</v>
      </c>
      <c r="J411" s="33">
        <v>1.1299999999999999</v>
      </c>
      <c r="K411" s="33">
        <v>1.03</v>
      </c>
      <c r="L411" s="33">
        <v>0.9</v>
      </c>
      <c r="M411" s="33">
        <v>0.76</v>
      </c>
      <c r="N411" s="33">
        <v>0.66</v>
      </c>
      <c r="O411" s="33">
        <v>0.62</v>
      </c>
      <c r="P411" s="34">
        <f t="shared" si="15"/>
        <v>0.90583333333333327</v>
      </c>
    </row>
    <row r="412" spans="1:16" x14ac:dyDescent="0.25">
      <c r="A412" s="169">
        <f t="shared" si="16"/>
        <v>21.55</v>
      </c>
      <c r="B412" s="166">
        <v>21</v>
      </c>
      <c r="C412" s="32">
        <v>55</v>
      </c>
      <c r="D412" s="33">
        <v>0.59</v>
      </c>
      <c r="E412" s="33">
        <v>0.7</v>
      </c>
      <c r="F412" s="33">
        <v>0.87</v>
      </c>
      <c r="G412" s="33">
        <v>1.04</v>
      </c>
      <c r="H412" s="33">
        <v>1.1599999999999999</v>
      </c>
      <c r="I412" s="33">
        <v>1.17</v>
      </c>
      <c r="J412" s="33">
        <v>1.1100000000000001</v>
      </c>
      <c r="K412" s="33">
        <v>1</v>
      </c>
      <c r="L412" s="33">
        <v>0.86</v>
      </c>
      <c r="M412" s="33">
        <v>0.71</v>
      </c>
      <c r="N412" s="33">
        <v>0.59</v>
      </c>
      <c r="O412" s="33">
        <v>0.55000000000000004</v>
      </c>
      <c r="P412" s="34">
        <f t="shared" si="15"/>
        <v>0.86250000000000016</v>
      </c>
    </row>
    <row r="413" spans="1:16" x14ac:dyDescent="0.25">
      <c r="A413" s="169">
        <f t="shared" si="16"/>
        <v>21.6</v>
      </c>
      <c r="B413" s="166">
        <v>21</v>
      </c>
      <c r="C413" s="32">
        <v>60</v>
      </c>
      <c r="D413" s="33">
        <v>0.52</v>
      </c>
      <c r="E413" s="33">
        <v>0.64</v>
      </c>
      <c r="F413" s="33">
        <v>0.82</v>
      </c>
      <c r="G413" s="33">
        <v>1</v>
      </c>
      <c r="H413" s="33">
        <v>1.1299999999999999</v>
      </c>
      <c r="I413" s="33">
        <v>1.1399999999999999</v>
      </c>
      <c r="J413" s="33">
        <v>1.07</v>
      </c>
      <c r="K413" s="33">
        <v>0.96</v>
      </c>
      <c r="L413" s="33">
        <v>0.81</v>
      </c>
      <c r="M413" s="33">
        <v>0.65</v>
      </c>
      <c r="N413" s="33">
        <v>0.53</v>
      </c>
      <c r="O413" s="33">
        <v>0.48</v>
      </c>
      <c r="P413" s="34">
        <f t="shared" si="15"/>
        <v>0.8125</v>
      </c>
    </row>
    <row r="414" spans="1:16" x14ac:dyDescent="0.25">
      <c r="A414" s="169">
        <f t="shared" si="16"/>
        <v>21.65</v>
      </c>
      <c r="B414" s="166">
        <v>21</v>
      </c>
      <c r="C414" s="32">
        <v>65</v>
      </c>
      <c r="D414" s="33">
        <v>0.45</v>
      </c>
      <c r="E414" s="33">
        <v>0.56999999999999995</v>
      </c>
      <c r="F414" s="33">
        <v>0.76</v>
      </c>
      <c r="G414" s="33">
        <v>0.95</v>
      </c>
      <c r="H414" s="33">
        <v>1.0900000000000001</v>
      </c>
      <c r="I414" s="33">
        <v>1.1100000000000001</v>
      </c>
      <c r="J414" s="33">
        <v>1.03</v>
      </c>
      <c r="K414" s="33">
        <v>0.91</v>
      </c>
      <c r="L414" s="33">
        <v>0.75</v>
      </c>
      <c r="M414" s="33">
        <v>0.57999999999999996</v>
      </c>
      <c r="N414" s="33">
        <v>0.45</v>
      </c>
      <c r="O414" s="33">
        <v>0.4</v>
      </c>
      <c r="P414" s="34">
        <f t="shared" si="15"/>
        <v>0.75416666666666676</v>
      </c>
    </row>
    <row r="415" spans="1:16" x14ac:dyDescent="0.25">
      <c r="A415" s="169">
        <f t="shared" si="16"/>
        <v>21.7</v>
      </c>
      <c r="B415" s="166">
        <v>21</v>
      </c>
      <c r="C415" s="32">
        <v>70</v>
      </c>
      <c r="D415" s="33">
        <v>0.37</v>
      </c>
      <c r="E415" s="33">
        <v>0.5</v>
      </c>
      <c r="F415" s="33">
        <v>0.7</v>
      </c>
      <c r="G415" s="33">
        <v>0.9</v>
      </c>
      <c r="H415" s="33">
        <v>1.04</v>
      </c>
      <c r="I415" s="33">
        <v>1.06</v>
      </c>
      <c r="J415" s="33">
        <v>0.99</v>
      </c>
      <c r="K415" s="33">
        <v>0.86</v>
      </c>
      <c r="L415" s="33">
        <v>0.69</v>
      </c>
      <c r="M415" s="33">
        <v>0.52</v>
      </c>
      <c r="N415" s="33">
        <v>0.38</v>
      </c>
      <c r="O415" s="33">
        <v>0.33</v>
      </c>
      <c r="P415" s="34">
        <f t="shared" si="15"/>
        <v>0.69500000000000017</v>
      </c>
    </row>
    <row r="416" spans="1:16" x14ac:dyDescent="0.25">
      <c r="A416" s="169">
        <f t="shared" si="16"/>
        <v>21.75</v>
      </c>
      <c r="B416" s="166">
        <v>21</v>
      </c>
      <c r="C416" s="32">
        <v>75</v>
      </c>
      <c r="D416" s="33">
        <v>0.28999999999999998</v>
      </c>
      <c r="E416" s="33">
        <v>0.43</v>
      </c>
      <c r="F416" s="33">
        <v>0.63</v>
      </c>
      <c r="G416" s="33">
        <v>0.84</v>
      </c>
      <c r="H416" s="33">
        <v>0.99</v>
      </c>
      <c r="I416" s="33">
        <v>1.02</v>
      </c>
      <c r="J416" s="33">
        <v>0.94</v>
      </c>
      <c r="K416" s="33">
        <v>0.81</v>
      </c>
      <c r="L416" s="33">
        <v>0.63</v>
      </c>
      <c r="M416" s="33">
        <v>0.44</v>
      </c>
      <c r="N416" s="33">
        <v>0.3</v>
      </c>
      <c r="O416" s="33">
        <v>0.25</v>
      </c>
      <c r="P416" s="34">
        <f t="shared" si="15"/>
        <v>0.63083333333333325</v>
      </c>
    </row>
    <row r="417" spans="1:16" x14ac:dyDescent="0.25">
      <c r="A417" s="169">
        <f t="shared" si="16"/>
        <v>21.8</v>
      </c>
      <c r="B417" s="166">
        <v>21</v>
      </c>
      <c r="C417" s="32">
        <v>80</v>
      </c>
      <c r="D417" s="33">
        <v>0.22</v>
      </c>
      <c r="E417" s="33">
        <v>0.36</v>
      </c>
      <c r="F417" s="33">
        <v>0.56000000000000005</v>
      </c>
      <c r="G417" s="33">
        <v>0.78</v>
      </c>
      <c r="H417" s="33">
        <v>0.93</v>
      </c>
      <c r="I417" s="33">
        <v>0.96</v>
      </c>
      <c r="J417" s="33">
        <v>0.88</v>
      </c>
      <c r="K417" s="33">
        <v>0.75</v>
      </c>
      <c r="L417" s="33">
        <v>0.56000000000000005</v>
      </c>
      <c r="M417" s="33">
        <v>0.37</v>
      </c>
      <c r="N417" s="33">
        <v>0.23</v>
      </c>
      <c r="O417" s="33">
        <v>0.17</v>
      </c>
      <c r="P417" s="34">
        <f t="shared" si="15"/>
        <v>0.56416666666666671</v>
      </c>
    </row>
    <row r="418" spans="1:16" x14ac:dyDescent="0.25">
      <c r="A418" s="169">
        <f t="shared" si="16"/>
        <v>21.85</v>
      </c>
      <c r="B418" s="166">
        <v>21</v>
      </c>
      <c r="C418" s="32">
        <v>85</v>
      </c>
      <c r="D418" s="33">
        <v>0.14000000000000001</v>
      </c>
      <c r="E418" s="33">
        <v>0.28000000000000003</v>
      </c>
      <c r="F418" s="33">
        <v>0.48</v>
      </c>
      <c r="G418" s="33">
        <v>0.71</v>
      </c>
      <c r="H418" s="33">
        <v>0.87</v>
      </c>
      <c r="I418" s="33">
        <v>0.9</v>
      </c>
      <c r="J418" s="33">
        <v>0.82</v>
      </c>
      <c r="K418" s="33">
        <v>0.68</v>
      </c>
      <c r="L418" s="33">
        <v>0.49</v>
      </c>
      <c r="M418" s="33">
        <v>0.3</v>
      </c>
      <c r="N418" s="33">
        <v>0.15</v>
      </c>
      <c r="O418" s="33">
        <v>0.09</v>
      </c>
      <c r="P418" s="34">
        <f t="shared" si="15"/>
        <v>0.49249999999999999</v>
      </c>
    </row>
    <row r="419" spans="1:16" x14ac:dyDescent="0.25">
      <c r="A419" s="169">
        <f t="shared" si="16"/>
        <v>21.9</v>
      </c>
      <c r="B419" s="166">
        <v>21</v>
      </c>
      <c r="C419" s="32">
        <v>90</v>
      </c>
      <c r="D419" s="33">
        <v>0.08</v>
      </c>
      <c r="E419" s="33">
        <v>0.2</v>
      </c>
      <c r="F419" s="33">
        <v>0.41</v>
      </c>
      <c r="G419" s="33">
        <v>0.63</v>
      </c>
      <c r="H419" s="33">
        <v>0.8</v>
      </c>
      <c r="I419" s="33">
        <v>0.83</v>
      </c>
      <c r="J419" s="33">
        <v>0.75</v>
      </c>
      <c r="K419" s="33">
        <v>0.61</v>
      </c>
      <c r="L419" s="33">
        <v>0.42</v>
      </c>
      <c r="M419" s="33">
        <v>0.22</v>
      </c>
      <c r="N419" s="33">
        <v>0.09</v>
      </c>
      <c r="O419" s="33">
        <v>0.08</v>
      </c>
      <c r="P419" s="34">
        <f t="shared" si="15"/>
        <v>0.42666666666666669</v>
      </c>
    </row>
    <row r="420" spans="1:16" x14ac:dyDescent="0.25">
      <c r="A420" s="169">
        <f t="shared" si="16"/>
        <v>22</v>
      </c>
      <c r="B420" s="166">
        <v>22</v>
      </c>
      <c r="C420" s="32">
        <v>0</v>
      </c>
      <c r="D420" s="33">
        <v>1</v>
      </c>
      <c r="E420" s="33">
        <v>1</v>
      </c>
      <c r="F420" s="33">
        <v>1</v>
      </c>
      <c r="G420" s="33">
        <v>1</v>
      </c>
      <c r="H420" s="33">
        <v>1</v>
      </c>
      <c r="I420" s="33">
        <v>1</v>
      </c>
      <c r="J420" s="33">
        <v>1</v>
      </c>
      <c r="K420" s="33">
        <v>1</v>
      </c>
      <c r="L420" s="33">
        <v>1</v>
      </c>
      <c r="M420" s="33">
        <v>1</v>
      </c>
      <c r="N420" s="33">
        <v>1</v>
      </c>
      <c r="O420" s="33">
        <v>1</v>
      </c>
      <c r="P420" s="34">
        <f t="shared" si="15"/>
        <v>1</v>
      </c>
    </row>
    <row r="421" spans="1:16" x14ac:dyDescent="0.25">
      <c r="A421" s="169">
        <f t="shared" si="16"/>
        <v>22.05</v>
      </c>
      <c r="B421" s="166">
        <v>22</v>
      </c>
      <c r="C421" s="32">
        <v>5</v>
      </c>
      <c r="D421" s="33">
        <v>1</v>
      </c>
      <c r="E421" s="33">
        <v>1.01</v>
      </c>
      <c r="F421" s="33">
        <v>1.02</v>
      </c>
      <c r="G421" s="33">
        <v>1.04</v>
      </c>
      <c r="H421" s="33">
        <v>1.05</v>
      </c>
      <c r="I421" s="33">
        <v>1.05</v>
      </c>
      <c r="J421" s="33">
        <v>1.04</v>
      </c>
      <c r="K421" s="33">
        <v>1.03</v>
      </c>
      <c r="L421" s="33">
        <v>1.02</v>
      </c>
      <c r="M421" s="33">
        <v>1.01</v>
      </c>
      <c r="N421" s="33">
        <v>1</v>
      </c>
      <c r="O421" s="33">
        <v>0.99</v>
      </c>
      <c r="P421" s="34">
        <f t="shared" si="15"/>
        <v>1.0216666666666667</v>
      </c>
    </row>
    <row r="422" spans="1:16" x14ac:dyDescent="0.25">
      <c r="A422" s="169">
        <f t="shared" si="16"/>
        <v>22.1</v>
      </c>
      <c r="B422" s="166">
        <v>22</v>
      </c>
      <c r="C422" s="32">
        <v>10</v>
      </c>
      <c r="D422" s="33">
        <v>0.98</v>
      </c>
      <c r="E422" s="33">
        <v>1.01</v>
      </c>
      <c r="F422" s="33">
        <v>1.04</v>
      </c>
      <c r="G422" s="33">
        <v>1.08</v>
      </c>
      <c r="H422" s="33">
        <v>1.1000000000000001</v>
      </c>
      <c r="I422" s="33">
        <v>1.1000000000000001</v>
      </c>
      <c r="J422" s="33">
        <v>1.08</v>
      </c>
      <c r="K422" s="33">
        <v>1.06</v>
      </c>
      <c r="L422" s="33">
        <v>1.04</v>
      </c>
      <c r="M422" s="33">
        <v>1.01</v>
      </c>
      <c r="N422" s="33">
        <v>0.98</v>
      </c>
      <c r="O422" s="33">
        <v>0.98</v>
      </c>
      <c r="P422" s="34">
        <f t="shared" si="15"/>
        <v>1.0383333333333336</v>
      </c>
    </row>
    <row r="423" spans="1:16" x14ac:dyDescent="0.25">
      <c r="A423" s="169">
        <f t="shared" si="16"/>
        <v>22.15</v>
      </c>
      <c r="B423" s="166">
        <v>22</v>
      </c>
      <c r="C423" s="32">
        <v>15</v>
      </c>
      <c r="D423" s="33">
        <v>0.97</v>
      </c>
      <c r="E423" s="33">
        <v>1</v>
      </c>
      <c r="F423" s="33">
        <v>1.05</v>
      </c>
      <c r="G423" s="33">
        <v>1.1100000000000001</v>
      </c>
      <c r="H423" s="33">
        <v>1.1399999999999999</v>
      </c>
      <c r="I423" s="33">
        <v>1.1399999999999999</v>
      </c>
      <c r="J423" s="33">
        <v>1.1200000000000001</v>
      </c>
      <c r="K423" s="33">
        <v>1.0900000000000001</v>
      </c>
      <c r="L423" s="33">
        <v>1.04</v>
      </c>
      <c r="M423" s="33">
        <v>1</v>
      </c>
      <c r="N423" s="33">
        <v>0.97</v>
      </c>
      <c r="O423" s="33">
        <v>0.95</v>
      </c>
      <c r="P423" s="34">
        <f t="shared" si="15"/>
        <v>1.0483333333333333</v>
      </c>
    </row>
    <row r="424" spans="1:16" x14ac:dyDescent="0.25">
      <c r="A424" s="169">
        <f t="shared" si="16"/>
        <v>22.2</v>
      </c>
      <c r="B424" s="166">
        <v>22</v>
      </c>
      <c r="C424" s="32">
        <v>20</v>
      </c>
      <c r="D424" s="33">
        <v>0.94</v>
      </c>
      <c r="E424" s="33">
        <v>0.99</v>
      </c>
      <c r="F424" s="33">
        <v>1.06</v>
      </c>
      <c r="G424" s="33">
        <v>1.1299999999999999</v>
      </c>
      <c r="H424" s="33">
        <v>1.17</v>
      </c>
      <c r="I424" s="33">
        <v>1.17</v>
      </c>
      <c r="J424" s="33">
        <v>1.1399999999999999</v>
      </c>
      <c r="K424" s="33">
        <v>1.1000000000000001</v>
      </c>
      <c r="L424" s="33">
        <v>1.05</v>
      </c>
      <c r="M424" s="33">
        <v>0.99</v>
      </c>
      <c r="N424" s="33">
        <v>0.94</v>
      </c>
      <c r="O424" s="33">
        <v>0.92</v>
      </c>
      <c r="P424" s="34">
        <f t="shared" si="15"/>
        <v>1.05</v>
      </c>
    </row>
    <row r="425" spans="1:16" x14ac:dyDescent="0.25">
      <c r="A425" s="169">
        <f t="shared" si="16"/>
        <v>22.25</v>
      </c>
      <c r="B425" s="166">
        <v>22</v>
      </c>
      <c r="C425" s="32">
        <v>25</v>
      </c>
      <c r="D425" s="33">
        <v>0.91</v>
      </c>
      <c r="E425" s="33">
        <v>0.97</v>
      </c>
      <c r="F425" s="33">
        <v>1.05</v>
      </c>
      <c r="G425" s="33">
        <v>1.1399999999999999</v>
      </c>
      <c r="H425" s="33">
        <v>1.2</v>
      </c>
      <c r="I425" s="33">
        <v>1.2</v>
      </c>
      <c r="J425" s="33">
        <v>1.1599999999999999</v>
      </c>
      <c r="K425" s="33">
        <v>1.1100000000000001</v>
      </c>
      <c r="L425" s="33">
        <v>1.04</v>
      </c>
      <c r="M425" s="33">
        <v>0.97</v>
      </c>
      <c r="N425" s="33">
        <v>0.91</v>
      </c>
      <c r="O425" s="33">
        <v>0.89</v>
      </c>
      <c r="P425" s="34">
        <f t="shared" si="15"/>
        <v>1.0458333333333336</v>
      </c>
    </row>
    <row r="426" spans="1:16" x14ac:dyDescent="0.25">
      <c r="A426" s="169">
        <f t="shared" si="16"/>
        <v>22.3</v>
      </c>
      <c r="B426" s="166">
        <v>22</v>
      </c>
      <c r="C426" s="32">
        <v>30</v>
      </c>
      <c r="D426" s="33">
        <v>0.87</v>
      </c>
      <c r="E426" s="33">
        <v>0.94</v>
      </c>
      <c r="F426" s="33">
        <v>1.04</v>
      </c>
      <c r="G426" s="33">
        <v>1.1399999999999999</v>
      </c>
      <c r="H426" s="33">
        <v>1.21</v>
      </c>
      <c r="I426" s="33">
        <v>1.21</v>
      </c>
      <c r="J426" s="33">
        <v>1.17</v>
      </c>
      <c r="K426" s="33">
        <v>1.1100000000000001</v>
      </c>
      <c r="L426" s="33">
        <v>1.03</v>
      </c>
      <c r="M426" s="33">
        <v>0.94</v>
      </c>
      <c r="N426" s="33">
        <v>0.87</v>
      </c>
      <c r="O426" s="33">
        <v>0.85</v>
      </c>
      <c r="P426" s="34">
        <f t="shared" si="15"/>
        <v>1.0316666666666665</v>
      </c>
    </row>
    <row r="427" spans="1:16" x14ac:dyDescent="0.25">
      <c r="A427" s="169">
        <f t="shared" si="16"/>
        <v>22.35</v>
      </c>
      <c r="B427" s="166">
        <v>22</v>
      </c>
      <c r="C427" s="32">
        <v>35</v>
      </c>
      <c r="D427" s="33">
        <v>0.83</v>
      </c>
      <c r="E427" s="33">
        <v>0.91</v>
      </c>
      <c r="F427" s="33">
        <v>1.02</v>
      </c>
      <c r="G427" s="33">
        <v>1.1399999999999999</v>
      </c>
      <c r="H427" s="33">
        <v>1.22</v>
      </c>
      <c r="I427" s="33">
        <v>1.22</v>
      </c>
      <c r="J427" s="33">
        <v>1.17</v>
      </c>
      <c r="K427" s="33">
        <v>1.1000000000000001</v>
      </c>
      <c r="L427" s="33">
        <v>1.01</v>
      </c>
      <c r="M427" s="33">
        <v>0.91</v>
      </c>
      <c r="N427" s="33">
        <v>0.83</v>
      </c>
      <c r="O427" s="33">
        <v>0.8</v>
      </c>
      <c r="P427" s="34">
        <f t="shared" si="15"/>
        <v>1.0133333333333334</v>
      </c>
    </row>
    <row r="428" spans="1:16" x14ac:dyDescent="0.25">
      <c r="A428" s="169">
        <f t="shared" si="16"/>
        <v>22.4</v>
      </c>
      <c r="B428" s="166">
        <v>22</v>
      </c>
      <c r="C428" s="32">
        <v>40</v>
      </c>
      <c r="D428" s="33">
        <v>0.78</v>
      </c>
      <c r="E428" s="33">
        <v>0.87</v>
      </c>
      <c r="F428" s="33">
        <v>1</v>
      </c>
      <c r="G428" s="33">
        <v>1.1299999999999999</v>
      </c>
      <c r="H428" s="33">
        <v>1.22</v>
      </c>
      <c r="I428" s="33">
        <v>1.23</v>
      </c>
      <c r="J428" s="33">
        <v>1.17</v>
      </c>
      <c r="K428" s="33">
        <v>1.0900000000000001</v>
      </c>
      <c r="L428" s="33">
        <v>0.98</v>
      </c>
      <c r="M428" s="33">
        <v>0.87</v>
      </c>
      <c r="N428" s="33">
        <v>0.78</v>
      </c>
      <c r="O428" s="33">
        <v>0.75</v>
      </c>
      <c r="P428" s="34">
        <f t="shared" si="15"/>
        <v>0.98916666666666664</v>
      </c>
    </row>
    <row r="429" spans="1:16" x14ac:dyDescent="0.25">
      <c r="A429" s="169">
        <f t="shared" si="16"/>
        <v>22.45</v>
      </c>
      <c r="B429" s="166">
        <v>22</v>
      </c>
      <c r="C429" s="32">
        <v>45</v>
      </c>
      <c r="D429" s="33">
        <v>0.72</v>
      </c>
      <c r="E429" s="33">
        <v>0.82</v>
      </c>
      <c r="F429" s="33">
        <v>0.97</v>
      </c>
      <c r="G429" s="33">
        <v>1.1100000000000001</v>
      </c>
      <c r="H429" s="33">
        <v>1.21</v>
      </c>
      <c r="I429" s="33">
        <v>1.22</v>
      </c>
      <c r="J429" s="33">
        <v>1.1599999999999999</v>
      </c>
      <c r="K429" s="33">
        <v>1.07</v>
      </c>
      <c r="L429" s="33">
        <v>0.95</v>
      </c>
      <c r="M429" s="33">
        <v>0.83</v>
      </c>
      <c r="N429" s="33">
        <v>0.73</v>
      </c>
      <c r="O429" s="33">
        <v>0.69</v>
      </c>
      <c r="P429" s="34">
        <f t="shared" si="15"/>
        <v>0.95666666666666655</v>
      </c>
    </row>
    <row r="430" spans="1:16" x14ac:dyDescent="0.25">
      <c r="A430" s="169">
        <f t="shared" si="16"/>
        <v>22.5</v>
      </c>
      <c r="B430" s="166">
        <v>22</v>
      </c>
      <c r="C430" s="32">
        <v>50</v>
      </c>
      <c r="D430" s="33">
        <v>0.66</v>
      </c>
      <c r="E430" s="33">
        <v>0.77</v>
      </c>
      <c r="F430" s="33">
        <v>0.93</v>
      </c>
      <c r="G430" s="33">
        <v>1.0900000000000001</v>
      </c>
      <c r="H430" s="33">
        <v>1.2</v>
      </c>
      <c r="I430" s="33">
        <v>1.21</v>
      </c>
      <c r="J430" s="33">
        <v>1.1399999999999999</v>
      </c>
      <c r="K430" s="33">
        <v>1.04</v>
      </c>
      <c r="L430" s="33">
        <v>0.91</v>
      </c>
      <c r="M430" s="33">
        <v>0.78</v>
      </c>
      <c r="N430" s="33">
        <v>0.67</v>
      </c>
      <c r="O430" s="33">
        <v>0.63</v>
      </c>
      <c r="P430" s="34">
        <f t="shared" si="15"/>
        <v>0.91916666666666658</v>
      </c>
    </row>
    <row r="431" spans="1:16" x14ac:dyDescent="0.25">
      <c r="A431" s="169">
        <f t="shared" si="16"/>
        <v>22.55</v>
      </c>
      <c r="B431" s="166">
        <v>22</v>
      </c>
      <c r="C431" s="32">
        <v>55</v>
      </c>
      <c r="D431" s="33">
        <v>0.6</v>
      </c>
      <c r="E431" s="33">
        <v>0.72</v>
      </c>
      <c r="F431" s="33">
        <v>0.88</v>
      </c>
      <c r="G431" s="33">
        <v>1.06</v>
      </c>
      <c r="H431" s="33">
        <v>1.18</v>
      </c>
      <c r="I431" s="33">
        <v>1.19</v>
      </c>
      <c r="J431" s="33">
        <v>1.1200000000000001</v>
      </c>
      <c r="K431" s="33">
        <v>1.01</v>
      </c>
      <c r="L431" s="33">
        <v>0.87</v>
      </c>
      <c r="M431" s="33">
        <v>0.72</v>
      </c>
      <c r="N431" s="33">
        <v>0.61</v>
      </c>
      <c r="O431" s="33">
        <v>0.56000000000000005</v>
      </c>
      <c r="P431" s="34">
        <f t="shared" si="15"/>
        <v>0.87666666666666659</v>
      </c>
    </row>
    <row r="432" spans="1:16" x14ac:dyDescent="0.25">
      <c r="A432" s="169">
        <f t="shared" si="16"/>
        <v>22.6</v>
      </c>
      <c r="B432" s="166">
        <v>22</v>
      </c>
      <c r="C432" s="32">
        <v>60</v>
      </c>
      <c r="D432" s="33">
        <v>0.53</v>
      </c>
      <c r="E432" s="33">
        <v>0.65</v>
      </c>
      <c r="F432" s="33">
        <v>0.83</v>
      </c>
      <c r="G432" s="33">
        <v>1.02</v>
      </c>
      <c r="H432" s="33">
        <v>1.1499999999999999</v>
      </c>
      <c r="I432" s="33">
        <v>1.1599999999999999</v>
      </c>
      <c r="J432" s="33">
        <v>1.0900000000000001</v>
      </c>
      <c r="K432" s="33">
        <v>0.97</v>
      </c>
      <c r="L432" s="33">
        <v>0.82</v>
      </c>
      <c r="M432" s="33">
        <v>0.66</v>
      </c>
      <c r="N432" s="33">
        <v>0.54</v>
      </c>
      <c r="O432" s="33">
        <v>0.49</v>
      </c>
      <c r="P432" s="34">
        <f t="shared" si="15"/>
        <v>0.8258333333333332</v>
      </c>
    </row>
    <row r="433" spans="1:16" x14ac:dyDescent="0.25">
      <c r="A433" s="169">
        <f t="shared" si="16"/>
        <v>22.65</v>
      </c>
      <c r="B433" s="166">
        <v>22</v>
      </c>
      <c r="C433" s="32">
        <v>65</v>
      </c>
      <c r="D433" s="33">
        <v>0.46</v>
      </c>
      <c r="E433" s="33">
        <v>0.59</v>
      </c>
      <c r="F433" s="33">
        <v>0.77</v>
      </c>
      <c r="G433" s="33">
        <v>0.97</v>
      </c>
      <c r="H433" s="33">
        <v>1.1100000000000001</v>
      </c>
      <c r="I433" s="33">
        <v>1.1200000000000001</v>
      </c>
      <c r="J433" s="33">
        <v>1085</v>
      </c>
      <c r="K433" s="33">
        <v>0.93</v>
      </c>
      <c r="L433" s="33">
        <v>0.77</v>
      </c>
      <c r="M433" s="33">
        <v>0.6</v>
      </c>
      <c r="N433" s="33">
        <v>0.47</v>
      </c>
      <c r="O433" s="33">
        <v>0.42</v>
      </c>
      <c r="P433" s="34">
        <f t="shared" si="15"/>
        <v>91.100833333333341</v>
      </c>
    </row>
    <row r="434" spans="1:16" x14ac:dyDescent="0.25">
      <c r="A434" s="169">
        <f t="shared" si="16"/>
        <v>22.7</v>
      </c>
      <c r="B434" s="166">
        <v>22</v>
      </c>
      <c r="C434" s="32">
        <v>70</v>
      </c>
      <c r="D434" s="33">
        <v>0.39</v>
      </c>
      <c r="E434" s="33">
        <v>0.52</v>
      </c>
      <c r="F434" s="33">
        <v>0.71</v>
      </c>
      <c r="G434" s="33">
        <v>0.92</v>
      </c>
      <c r="H434" s="33">
        <v>1.06</v>
      </c>
      <c r="I434" s="33">
        <v>1.08</v>
      </c>
      <c r="J434" s="33">
        <v>1</v>
      </c>
      <c r="K434" s="33">
        <v>0.88</v>
      </c>
      <c r="L434" s="33">
        <v>0.71</v>
      </c>
      <c r="M434" s="33">
        <v>0.53</v>
      </c>
      <c r="N434" s="33">
        <v>0.39</v>
      </c>
      <c r="O434" s="33">
        <v>0.34</v>
      </c>
      <c r="P434" s="34">
        <f t="shared" si="15"/>
        <v>0.71083333333333332</v>
      </c>
    </row>
    <row r="435" spans="1:16" x14ac:dyDescent="0.25">
      <c r="A435" s="169">
        <f t="shared" si="16"/>
        <v>22.75</v>
      </c>
      <c r="B435" s="166">
        <v>22</v>
      </c>
      <c r="C435" s="32">
        <v>75</v>
      </c>
      <c r="D435" s="33">
        <v>0.31</v>
      </c>
      <c r="E435" s="33">
        <v>0.45</v>
      </c>
      <c r="F435" s="33">
        <v>0.65</v>
      </c>
      <c r="G435" s="33">
        <v>0.86</v>
      </c>
      <c r="H435" s="33">
        <v>1.01</v>
      </c>
      <c r="I435" s="33">
        <v>1.03</v>
      </c>
      <c r="J435" s="33">
        <v>0.95</v>
      </c>
      <c r="K435" s="33">
        <v>0.82</v>
      </c>
      <c r="L435" s="33">
        <v>0.64</v>
      </c>
      <c r="M435" s="33">
        <v>0.46</v>
      </c>
      <c r="N435" s="33">
        <v>0.32</v>
      </c>
      <c r="O435" s="33">
        <v>0.26</v>
      </c>
      <c r="P435" s="34">
        <f t="shared" si="15"/>
        <v>0.64666666666666672</v>
      </c>
    </row>
    <row r="436" spans="1:16" x14ac:dyDescent="0.25">
      <c r="A436" s="169">
        <f t="shared" si="16"/>
        <v>22.8</v>
      </c>
      <c r="B436" s="166">
        <v>22</v>
      </c>
      <c r="C436" s="32">
        <v>80</v>
      </c>
      <c r="D436" s="33">
        <v>0.23</v>
      </c>
      <c r="E436" s="33">
        <v>0.37</v>
      </c>
      <c r="F436" s="33">
        <v>0.56999999999999995</v>
      </c>
      <c r="G436" s="33">
        <v>0.79</v>
      </c>
      <c r="H436" s="33">
        <v>0.95</v>
      </c>
      <c r="I436" s="33">
        <v>0.98</v>
      </c>
      <c r="J436" s="33">
        <v>0.9</v>
      </c>
      <c r="K436" s="33">
        <v>0.76</v>
      </c>
      <c r="L436" s="33">
        <v>0.57999999999999996</v>
      </c>
      <c r="M436" s="33">
        <v>0.39</v>
      </c>
      <c r="N436" s="33">
        <v>0.24</v>
      </c>
      <c r="O436" s="33">
        <v>0.18</v>
      </c>
      <c r="P436" s="34">
        <f t="shared" ref="P436:P499" si="17">AVERAGE(D436:O436)</f>
        <v>0.57833333333333325</v>
      </c>
    </row>
    <row r="437" spans="1:16" x14ac:dyDescent="0.25">
      <c r="A437" s="169">
        <f t="shared" si="16"/>
        <v>22.85</v>
      </c>
      <c r="B437" s="166">
        <v>22</v>
      </c>
      <c r="C437" s="32">
        <v>85</v>
      </c>
      <c r="D437" s="33">
        <v>0.15</v>
      </c>
      <c r="E437" s="33">
        <v>0.28999999999999998</v>
      </c>
      <c r="F437" s="33">
        <v>0.5</v>
      </c>
      <c r="G437" s="33">
        <v>0.73</v>
      </c>
      <c r="H437" s="33">
        <v>0.89</v>
      </c>
      <c r="I437" s="33">
        <v>0.92</v>
      </c>
      <c r="J437" s="33">
        <v>0.84</v>
      </c>
      <c r="K437" s="33">
        <v>0.7</v>
      </c>
      <c r="L437" s="33">
        <v>0.51</v>
      </c>
      <c r="M437" s="33">
        <v>0.31</v>
      </c>
      <c r="N437" s="33">
        <v>0.16</v>
      </c>
      <c r="O437" s="33">
        <v>0.1</v>
      </c>
      <c r="P437" s="34">
        <f t="shared" si="17"/>
        <v>0.5083333333333333</v>
      </c>
    </row>
    <row r="438" spans="1:16" x14ac:dyDescent="0.25">
      <c r="A438" s="169">
        <f t="shared" si="16"/>
        <v>22.9</v>
      </c>
      <c r="B438" s="166">
        <v>22</v>
      </c>
      <c r="C438" s="32">
        <v>90</v>
      </c>
      <c r="D438" s="33">
        <v>0.08</v>
      </c>
      <c r="E438" s="33">
        <v>0.21</v>
      </c>
      <c r="F438" s="33">
        <v>0.42</v>
      </c>
      <c r="G438" s="33">
        <v>0.65</v>
      </c>
      <c r="H438" s="33">
        <v>0.82</v>
      </c>
      <c r="I438" s="33">
        <v>0.85</v>
      </c>
      <c r="J438" s="33">
        <v>0.77</v>
      </c>
      <c r="K438" s="33">
        <v>0.63</v>
      </c>
      <c r="L438" s="33">
        <v>0.43</v>
      </c>
      <c r="M438" s="33">
        <v>0.23</v>
      </c>
      <c r="N438" s="33">
        <v>0.09</v>
      </c>
      <c r="O438" s="33">
        <v>0.08</v>
      </c>
      <c r="P438" s="34">
        <f t="shared" si="17"/>
        <v>0.4383333333333333</v>
      </c>
    </row>
    <row r="439" spans="1:16" x14ac:dyDescent="0.25">
      <c r="A439" s="169">
        <f t="shared" si="16"/>
        <v>23</v>
      </c>
      <c r="B439" s="166">
        <v>23</v>
      </c>
      <c r="C439" s="32">
        <v>0</v>
      </c>
      <c r="D439" s="33">
        <v>1</v>
      </c>
      <c r="E439" s="33">
        <v>1</v>
      </c>
      <c r="F439" s="33">
        <v>1</v>
      </c>
      <c r="G439" s="33">
        <v>1</v>
      </c>
      <c r="H439" s="33">
        <v>1</v>
      </c>
      <c r="I439" s="33">
        <v>1</v>
      </c>
      <c r="J439" s="33">
        <v>1</v>
      </c>
      <c r="K439" s="33">
        <v>1</v>
      </c>
      <c r="L439" s="33">
        <v>1</v>
      </c>
      <c r="M439" s="33">
        <v>1</v>
      </c>
      <c r="N439" s="33">
        <v>1</v>
      </c>
      <c r="O439" s="33">
        <v>1</v>
      </c>
      <c r="P439" s="34">
        <f t="shared" si="17"/>
        <v>1</v>
      </c>
    </row>
    <row r="440" spans="1:16" x14ac:dyDescent="0.25">
      <c r="A440" s="169">
        <f t="shared" si="16"/>
        <v>23.05</v>
      </c>
      <c r="B440" s="166">
        <v>23</v>
      </c>
      <c r="C440" s="32">
        <v>5</v>
      </c>
      <c r="D440" s="33">
        <v>1</v>
      </c>
      <c r="E440" s="33">
        <v>1.01</v>
      </c>
      <c r="F440" s="33">
        <v>1.03</v>
      </c>
      <c r="G440" s="33">
        <v>1.04</v>
      </c>
      <c r="H440" s="33">
        <v>1.05</v>
      </c>
      <c r="I440" s="33">
        <v>1.05</v>
      </c>
      <c r="J440" s="33">
        <v>1.05</v>
      </c>
      <c r="K440" s="33">
        <v>1.04</v>
      </c>
      <c r="L440" s="33">
        <v>1.02</v>
      </c>
      <c r="M440" s="33">
        <v>1.01</v>
      </c>
      <c r="N440" s="33">
        <v>1</v>
      </c>
      <c r="O440" s="33">
        <v>0.99</v>
      </c>
      <c r="P440" s="34">
        <f t="shared" si="17"/>
        <v>1.0241666666666667</v>
      </c>
    </row>
    <row r="441" spans="1:16" x14ac:dyDescent="0.25">
      <c r="A441" s="169">
        <f t="shared" si="16"/>
        <v>23.1</v>
      </c>
      <c r="B441" s="166">
        <v>23</v>
      </c>
      <c r="C441" s="32">
        <v>10</v>
      </c>
      <c r="D441" s="33">
        <v>0.99</v>
      </c>
      <c r="E441" s="33">
        <v>1.01</v>
      </c>
      <c r="F441" s="33">
        <v>1.05</v>
      </c>
      <c r="G441" s="33">
        <v>1.08</v>
      </c>
      <c r="H441" s="33">
        <v>1.1000000000000001</v>
      </c>
      <c r="I441" s="33">
        <v>1.1000000000000001</v>
      </c>
      <c r="J441" s="33">
        <v>1.0900000000000001</v>
      </c>
      <c r="K441" s="33">
        <v>1.07</v>
      </c>
      <c r="L441" s="33">
        <v>1.04</v>
      </c>
      <c r="M441" s="33">
        <v>1.01</v>
      </c>
      <c r="N441" s="33">
        <v>0.99</v>
      </c>
      <c r="O441" s="33">
        <v>0.98</v>
      </c>
      <c r="P441" s="34">
        <f t="shared" si="17"/>
        <v>1.0425000000000002</v>
      </c>
    </row>
    <row r="442" spans="1:16" x14ac:dyDescent="0.25">
      <c r="A442" s="169">
        <f t="shared" si="16"/>
        <v>23.15</v>
      </c>
      <c r="B442" s="166">
        <v>23</v>
      </c>
      <c r="C442" s="32">
        <v>15</v>
      </c>
      <c r="D442" s="33">
        <v>0.97</v>
      </c>
      <c r="E442" s="33">
        <v>1.01</v>
      </c>
      <c r="F442" s="33">
        <v>1.06</v>
      </c>
      <c r="G442" s="33">
        <v>1.1100000000000001</v>
      </c>
      <c r="H442" s="33">
        <v>1.1399999999999999</v>
      </c>
      <c r="I442" s="33">
        <v>1.1399999999999999</v>
      </c>
      <c r="J442" s="33">
        <v>1.1200000000000001</v>
      </c>
      <c r="K442" s="33">
        <v>1.0900000000000001</v>
      </c>
      <c r="L442" s="33">
        <v>1.05</v>
      </c>
      <c r="M442" s="33">
        <v>1</v>
      </c>
      <c r="N442" s="33">
        <v>0.97</v>
      </c>
      <c r="O442" s="33">
        <v>0.96</v>
      </c>
      <c r="P442" s="34">
        <f t="shared" si="17"/>
        <v>1.0516666666666667</v>
      </c>
    </row>
    <row r="443" spans="1:16" x14ac:dyDescent="0.25">
      <c r="A443" s="169">
        <f t="shared" si="16"/>
        <v>23.2</v>
      </c>
      <c r="B443" s="166">
        <v>23</v>
      </c>
      <c r="C443" s="32">
        <v>20</v>
      </c>
      <c r="D443" s="33">
        <v>0.95</v>
      </c>
      <c r="E443" s="33">
        <v>0.99</v>
      </c>
      <c r="F443" s="33">
        <v>1.06</v>
      </c>
      <c r="G443" s="33">
        <v>1.1299999999999999</v>
      </c>
      <c r="H443" s="33">
        <v>1.18</v>
      </c>
      <c r="I443" s="33">
        <v>1.18</v>
      </c>
      <c r="J443" s="33">
        <v>1.1499999999999999</v>
      </c>
      <c r="K443" s="33">
        <v>1.1100000000000001</v>
      </c>
      <c r="L443" s="33">
        <v>1.05</v>
      </c>
      <c r="M443" s="33">
        <v>0.99</v>
      </c>
      <c r="N443" s="33">
        <v>0.95</v>
      </c>
      <c r="O443" s="33">
        <v>0.93</v>
      </c>
      <c r="P443" s="34">
        <f t="shared" si="17"/>
        <v>1.0558333333333332</v>
      </c>
    </row>
    <row r="444" spans="1:16" x14ac:dyDescent="0.25">
      <c r="A444" s="169">
        <f t="shared" si="16"/>
        <v>23.25</v>
      </c>
      <c r="B444" s="166">
        <v>23</v>
      </c>
      <c r="C444" s="32">
        <v>25</v>
      </c>
      <c r="D444" s="33">
        <v>0.92</v>
      </c>
      <c r="E444" s="33">
        <v>0.98</v>
      </c>
      <c r="F444" s="33">
        <v>1.06</v>
      </c>
      <c r="G444" s="33">
        <v>1.1499999999999999</v>
      </c>
      <c r="H444" s="33">
        <v>1.2</v>
      </c>
      <c r="I444" s="33">
        <v>1.2</v>
      </c>
      <c r="J444" s="33">
        <v>1.17</v>
      </c>
      <c r="K444" s="33">
        <v>1.1100000000000001</v>
      </c>
      <c r="L444" s="33">
        <v>1.05</v>
      </c>
      <c r="M444" s="33">
        <v>0.97</v>
      </c>
      <c r="N444" s="33">
        <v>0.92</v>
      </c>
      <c r="O444" s="33">
        <v>0.9</v>
      </c>
      <c r="P444" s="34">
        <f t="shared" si="17"/>
        <v>1.0525</v>
      </c>
    </row>
    <row r="445" spans="1:16" x14ac:dyDescent="0.25">
      <c r="A445" s="169">
        <f t="shared" si="16"/>
        <v>23.3</v>
      </c>
      <c r="B445" s="166">
        <v>23</v>
      </c>
      <c r="C445" s="32">
        <v>30</v>
      </c>
      <c r="D445" s="33">
        <v>0.88</v>
      </c>
      <c r="E445" s="33">
        <v>0.95</v>
      </c>
      <c r="F445" s="33">
        <v>1.05</v>
      </c>
      <c r="G445" s="33">
        <v>1.1499999999999999</v>
      </c>
      <c r="H445" s="33">
        <v>1.22</v>
      </c>
      <c r="I445" s="33">
        <v>1.22</v>
      </c>
      <c r="J445" s="33">
        <v>1.18</v>
      </c>
      <c r="K445" s="33">
        <v>1.1200000000000001</v>
      </c>
      <c r="L445" s="33">
        <v>1.04</v>
      </c>
      <c r="M445" s="33">
        <v>0.95</v>
      </c>
      <c r="N445" s="33">
        <v>0.88</v>
      </c>
      <c r="O445" s="33">
        <v>0.86</v>
      </c>
      <c r="P445" s="34">
        <f t="shared" si="17"/>
        <v>1.0416666666666665</v>
      </c>
    </row>
    <row r="446" spans="1:16" x14ac:dyDescent="0.25">
      <c r="A446" s="169">
        <f t="shared" ref="A446:A509" si="18">B446+(C446/100)</f>
        <v>23.35</v>
      </c>
      <c r="B446" s="166">
        <v>23</v>
      </c>
      <c r="C446" s="32">
        <v>35</v>
      </c>
      <c r="D446" s="33">
        <v>0.84</v>
      </c>
      <c r="E446" s="33">
        <v>0.92</v>
      </c>
      <c r="F446" s="33">
        <v>1.03</v>
      </c>
      <c r="G446" s="33">
        <v>1.1499999999999999</v>
      </c>
      <c r="H446" s="33">
        <v>1.23</v>
      </c>
      <c r="I446" s="33">
        <v>1.23</v>
      </c>
      <c r="J446" s="33">
        <v>1.18</v>
      </c>
      <c r="K446" s="33">
        <v>1.1100000000000001</v>
      </c>
      <c r="L446" s="33">
        <v>1.02</v>
      </c>
      <c r="M446" s="33">
        <v>0.92</v>
      </c>
      <c r="N446" s="33">
        <v>0.84</v>
      </c>
      <c r="O446" s="33">
        <v>0.81</v>
      </c>
      <c r="P446" s="34">
        <f t="shared" si="17"/>
        <v>1.0233333333333332</v>
      </c>
    </row>
    <row r="447" spans="1:16" x14ac:dyDescent="0.25">
      <c r="A447" s="169">
        <f t="shared" si="18"/>
        <v>23.4</v>
      </c>
      <c r="B447" s="166">
        <v>23</v>
      </c>
      <c r="C447" s="32">
        <v>40</v>
      </c>
      <c r="D447" s="33">
        <v>0.79</v>
      </c>
      <c r="E447" s="33">
        <v>0.88</v>
      </c>
      <c r="F447" s="33">
        <v>1.01</v>
      </c>
      <c r="G447" s="33">
        <v>1.1399999999999999</v>
      </c>
      <c r="H447" s="33">
        <v>1.23</v>
      </c>
      <c r="I447" s="33">
        <v>1.24</v>
      </c>
      <c r="J447" s="33">
        <v>1.18</v>
      </c>
      <c r="K447" s="33">
        <v>1.1000000000000001</v>
      </c>
      <c r="L447" s="33">
        <v>0.99</v>
      </c>
      <c r="M447" s="33">
        <v>0.88</v>
      </c>
      <c r="N447" s="33">
        <v>0.79</v>
      </c>
      <c r="O447" s="33">
        <v>0.76</v>
      </c>
      <c r="P447" s="34">
        <f t="shared" si="17"/>
        <v>0.99916666666666665</v>
      </c>
    </row>
    <row r="448" spans="1:16" x14ac:dyDescent="0.25">
      <c r="A448" s="169">
        <f t="shared" si="18"/>
        <v>23.45</v>
      </c>
      <c r="B448" s="166">
        <v>23</v>
      </c>
      <c r="C448" s="32">
        <v>45</v>
      </c>
      <c r="D448" s="33">
        <v>0.73</v>
      </c>
      <c r="E448" s="33">
        <v>0.83</v>
      </c>
      <c r="F448" s="33">
        <v>0.98</v>
      </c>
      <c r="G448" s="33">
        <v>1.1299999999999999</v>
      </c>
      <c r="H448" s="33">
        <v>1.23</v>
      </c>
      <c r="I448" s="33">
        <v>1.23</v>
      </c>
      <c r="J448" s="33">
        <v>1.17</v>
      </c>
      <c r="K448" s="33">
        <v>1.08</v>
      </c>
      <c r="L448" s="33">
        <v>0.96</v>
      </c>
      <c r="M448" s="33">
        <v>0.84</v>
      </c>
      <c r="N448" s="33">
        <v>0.74</v>
      </c>
      <c r="O448" s="33">
        <v>0.7</v>
      </c>
      <c r="P448" s="34">
        <f t="shared" si="17"/>
        <v>0.96833333333333327</v>
      </c>
    </row>
    <row r="449" spans="1:16" x14ac:dyDescent="0.25">
      <c r="A449" s="169">
        <f t="shared" si="18"/>
        <v>23.5</v>
      </c>
      <c r="B449" s="166">
        <v>23</v>
      </c>
      <c r="C449" s="32">
        <v>50</v>
      </c>
      <c r="D449" s="33">
        <v>0.68</v>
      </c>
      <c r="E449" s="33">
        <v>0.78</v>
      </c>
      <c r="F449" s="33">
        <v>0.94</v>
      </c>
      <c r="G449" s="33">
        <v>1.1000000000000001</v>
      </c>
      <c r="H449" s="33">
        <v>1.21</v>
      </c>
      <c r="I449" s="33">
        <v>1.22</v>
      </c>
      <c r="J449" s="33">
        <v>1.1599999999999999</v>
      </c>
      <c r="K449" s="33">
        <v>1.06</v>
      </c>
      <c r="L449" s="33">
        <v>0.92</v>
      </c>
      <c r="M449" s="33">
        <v>0.79</v>
      </c>
      <c r="N449" s="33">
        <v>0.68</v>
      </c>
      <c r="O449" s="33">
        <v>0.64</v>
      </c>
      <c r="P449" s="34">
        <f t="shared" si="17"/>
        <v>0.93166666666666664</v>
      </c>
    </row>
    <row r="450" spans="1:16" x14ac:dyDescent="0.25">
      <c r="A450" s="169">
        <f t="shared" si="18"/>
        <v>23.55</v>
      </c>
      <c r="B450" s="166">
        <v>23</v>
      </c>
      <c r="C450" s="32">
        <v>55</v>
      </c>
      <c r="D450" s="33">
        <v>0.61</v>
      </c>
      <c r="E450" s="33">
        <v>0.73</v>
      </c>
      <c r="F450" s="33">
        <v>0.89</v>
      </c>
      <c r="G450" s="33">
        <v>1.07</v>
      </c>
      <c r="H450" s="33">
        <v>1.19</v>
      </c>
      <c r="I450" s="33">
        <v>1.2</v>
      </c>
      <c r="J450" s="33">
        <v>1.1299999999999999</v>
      </c>
      <c r="K450" s="33">
        <v>1.02</v>
      </c>
      <c r="L450" s="33">
        <v>0.88</v>
      </c>
      <c r="M450" s="33">
        <v>0.73</v>
      </c>
      <c r="N450" s="33">
        <v>0.62</v>
      </c>
      <c r="O450" s="33">
        <v>0.56999999999999995</v>
      </c>
      <c r="P450" s="34">
        <f t="shared" si="17"/>
        <v>0.88666666666666671</v>
      </c>
    </row>
    <row r="451" spans="1:16" x14ac:dyDescent="0.25">
      <c r="A451" s="169">
        <f t="shared" si="18"/>
        <v>23.6</v>
      </c>
      <c r="B451" s="166">
        <v>23</v>
      </c>
      <c r="C451" s="32">
        <v>60</v>
      </c>
      <c r="D451" s="33">
        <v>0.54</v>
      </c>
      <c r="E451" s="33">
        <v>0.67</v>
      </c>
      <c r="F451" s="33">
        <v>0.84</v>
      </c>
      <c r="G451" s="33">
        <v>1.03</v>
      </c>
      <c r="H451" s="33">
        <v>1.1599999999999999</v>
      </c>
      <c r="I451" s="33">
        <v>1.18</v>
      </c>
      <c r="J451" s="33">
        <v>1.1000000000000001</v>
      </c>
      <c r="K451" s="33">
        <v>0.99</v>
      </c>
      <c r="L451" s="33">
        <v>0.83</v>
      </c>
      <c r="M451" s="33">
        <v>0.67</v>
      </c>
      <c r="N451" s="33">
        <v>0.55000000000000004</v>
      </c>
      <c r="O451" s="33">
        <v>0.5</v>
      </c>
      <c r="P451" s="34">
        <f t="shared" si="17"/>
        <v>0.83833333333333337</v>
      </c>
    </row>
    <row r="452" spans="1:16" x14ac:dyDescent="0.25">
      <c r="A452" s="169">
        <f t="shared" si="18"/>
        <v>23.65</v>
      </c>
      <c r="B452" s="166">
        <v>23</v>
      </c>
      <c r="C452" s="32">
        <v>65</v>
      </c>
      <c r="D452" s="33">
        <v>0.47</v>
      </c>
      <c r="E452" s="33">
        <v>0.6</v>
      </c>
      <c r="F452" s="33">
        <v>0.79</v>
      </c>
      <c r="G452" s="33">
        <v>0.99</v>
      </c>
      <c r="H452" s="33">
        <v>1.1299999999999999</v>
      </c>
      <c r="I452" s="33">
        <v>1.1399999999999999</v>
      </c>
      <c r="J452" s="33">
        <v>1.06</v>
      </c>
      <c r="K452" s="33">
        <v>0.94</v>
      </c>
      <c r="L452" s="33">
        <v>0.78</v>
      </c>
      <c r="M452" s="33">
        <v>0.61</v>
      </c>
      <c r="N452" s="33">
        <v>0.48</v>
      </c>
      <c r="O452" s="33">
        <v>0.43</v>
      </c>
      <c r="P452" s="34">
        <f t="shared" si="17"/>
        <v>0.78500000000000003</v>
      </c>
    </row>
    <row r="453" spans="1:16" x14ac:dyDescent="0.25">
      <c r="A453" s="169">
        <f t="shared" si="18"/>
        <v>23.7</v>
      </c>
      <c r="B453" s="166">
        <v>23</v>
      </c>
      <c r="C453" s="32">
        <v>70</v>
      </c>
      <c r="D453" s="33">
        <v>0.4</v>
      </c>
      <c r="E453" s="33">
        <v>0.53</v>
      </c>
      <c r="F453" s="33">
        <v>0.73</v>
      </c>
      <c r="G453" s="33">
        <v>0.94</v>
      </c>
      <c r="H453" s="33">
        <v>1.08</v>
      </c>
      <c r="I453" s="33">
        <v>1.1000000000000001</v>
      </c>
      <c r="J453" s="33">
        <v>1.02</v>
      </c>
      <c r="K453" s="33">
        <v>0.89</v>
      </c>
      <c r="L453" s="33">
        <v>0.72</v>
      </c>
      <c r="M453" s="33">
        <v>0.54</v>
      </c>
      <c r="N453" s="33">
        <v>0.41</v>
      </c>
      <c r="O453" s="33">
        <v>0.35</v>
      </c>
      <c r="P453" s="34">
        <f t="shared" si="17"/>
        <v>0.72583333333333322</v>
      </c>
    </row>
    <row r="454" spans="1:16" x14ac:dyDescent="0.25">
      <c r="A454" s="169">
        <f t="shared" si="18"/>
        <v>23.75</v>
      </c>
      <c r="B454" s="166">
        <v>23</v>
      </c>
      <c r="C454" s="32">
        <v>75</v>
      </c>
      <c r="D454" s="33">
        <v>0.32</v>
      </c>
      <c r="E454" s="33">
        <v>0.46</v>
      </c>
      <c r="F454" s="33">
        <v>0.66</v>
      </c>
      <c r="G454" s="33">
        <v>0.88</v>
      </c>
      <c r="H454" s="33">
        <v>1.03</v>
      </c>
      <c r="I454" s="33">
        <v>1.05</v>
      </c>
      <c r="J454" s="33">
        <v>0.97</v>
      </c>
      <c r="K454" s="33">
        <v>0.84</v>
      </c>
      <c r="L454" s="33">
        <v>0.66</v>
      </c>
      <c r="M454" s="33">
        <v>0.47</v>
      </c>
      <c r="N454" s="33">
        <v>0.33</v>
      </c>
      <c r="O454" s="33">
        <v>0.28000000000000003</v>
      </c>
      <c r="P454" s="34">
        <f t="shared" si="17"/>
        <v>0.66249999999999998</v>
      </c>
    </row>
    <row r="455" spans="1:16" x14ac:dyDescent="0.25">
      <c r="A455" s="169">
        <f t="shared" si="18"/>
        <v>23.8</v>
      </c>
      <c r="B455" s="166">
        <v>23</v>
      </c>
      <c r="C455" s="32">
        <v>80</v>
      </c>
      <c r="D455" s="33">
        <v>0.24</v>
      </c>
      <c r="E455" s="33">
        <v>0.39</v>
      </c>
      <c r="F455" s="33">
        <v>0.59</v>
      </c>
      <c r="G455" s="33">
        <v>0.81</v>
      </c>
      <c r="H455" s="33">
        <v>0.97</v>
      </c>
      <c r="I455" s="33">
        <v>1</v>
      </c>
      <c r="J455" s="33">
        <v>0.91</v>
      </c>
      <c r="K455" s="33">
        <v>0.78</v>
      </c>
      <c r="L455" s="33">
        <v>0.59</v>
      </c>
      <c r="M455" s="33">
        <v>0.4</v>
      </c>
      <c r="N455" s="33">
        <v>0.26</v>
      </c>
      <c r="O455" s="33">
        <v>0.2</v>
      </c>
      <c r="P455" s="34">
        <f t="shared" si="17"/>
        <v>0.59500000000000008</v>
      </c>
    </row>
    <row r="456" spans="1:16" x14ac:dyDescent="0.25">
      <c r="A456" s="169">
        <f t="shared" si="18"/>
        <v>23.85</v>
      </c>
      <c r="B456" s="166">
        <v>23</v>
      </c>
      <c r="C456" s="32">
        <v>85</v>
      </c>
      <c r="D456" s="33">
        <v>0.17</v>
      </c>
      <c r="E456" s="33">
        <v>0.31</v>
      </c>
      <c r="F456" s="33">
        <v>0.52</v>
      </c>
      <c r="G456" s="33">
        <v>0.74</v>
      </c>
      <c r="H456" s="33">
        <v>0.91</v>
      </c>
      <c r="I456" s="33">
        <v>0.94</v>
      </c>
      <c r="J456" s="33">
        <v>0.85</v>
      </c>
      <c r="K456" s="33">
        <v>0.71</v>
      </c>
      <c r="L456" s="33">
        <v>0.52</v>
      </c>
      <c r="M456" s="33">
        <v>0.32</v>
      </c>
      <c r="N456" s="33">
        <v>0.18</v>
      </c>
      <c r="O456" s="33">
        <v>0.12</v>
      </c>
      <c r="P456" s="34">
        <f t="shared" si="17"/>
        <v>0.52416666666666667</v>
      </c>
    </row>
    <row r="457" spans="1:16" x14ac:dyDescent="0.25">
      <c r="A457" s="169">
        <f t="shared" si="18"/>
        <v>23.9</v>
      </c>
      <c r="B457" s="166">
        <v>23</v>
      </c>
      <c r="C457" s="32">
        <v>90</v>
      </c>
      <c r="D457" s="33">
        <v>0.08</v>
      </c>
      <c r="E457" s="33">
        <v>0.23</v>
      </c>
      <c r="F457" s="33">
        <v>0.44</v>
      </c>
      <c r="G457" s="33">
        <v>0.67</v>
      </c>
      <c r="H457" s="33">
        <v>0.84</v>
      </c>
      <c r="I457" s="33">
        <v>0.87</v>
      </c>
      <c r="J457" s="33">
        <v>0.79</v>
      </c>
      <c r="K457" s="33">
        <v>0.64</v>
      </c>
      <c r="L457" s="33">
        <v>0.45</v>
      </c>
      <c r="M457" s="33">
        <v>0.25</v>
      </c>
      <c r="N457" s="33">
        <v>0.1</v>
      </c>
      <c r="O457" s="33">
        <v>0.08</v>
      </c>
      <c r="P457" s="34">
        <f t="shared" si="17"/>
        <v>0.45333333333333331</v>
      </c>
    </row>
    <row r="458" spans="1:16" x14ac:dyDescent="0.25">
      <c r="A458" s="169">
        <f t="shared" si="18"/>
        <v>24</v>
      </c>
      <c r="B458" s="166">
        <v>24</v>
      </c>
      <c r="C458" s="32">
        <v>0</v>
      </c>
      <c r="D458" s="33">
        <v>1</v>
      </c>
      <c r="E458" s="33">
        <v>1</v>
      </c>
      <c r="F458" s="33">
        <v>1</v>
      </c>
      <c r="G458" s="33">
        <v>1</v>
      </c>
      <c r="H458" s="33">
        <v>1</v>
      </c>
      <c r="I458" s="33">
        <v>1</v>
      </c>
      <c r="J458" s="33">
        <v>1</v>
      </c>
      <c r="K458" s="33">
        <v>1</v>
      </c>
      <c r="L458" s="33">
        <v>1</v>
      </c>
      <c r="M458" s="33">
        <v>1</v>
      </c>
      <c r="N458" s="33">
        <v>1</v>
      </c>
      <c r="O458" s="33">
        <v>1</v>
      </c>
      <c r="P458" s="34">
        <f t="shared" si="17"/>
        <v>1</v>
      </c>
    </row>
    <row r="459" spans="1:16" x14ac:dyDescent="0.25">
      <c r="A459" s="169">
        <f t="shared" si="18"/>
        <v>24.05</v>
      </c>
      <c r="B459" s="166">
        <v>24</v>
      </c>
      <c r="C459" s="32">
        <v>5</v>
      </c>
      <c r="D459" s="33">
        <v>1</v>
      </c>
      <c r="E459" s="33">
        <v>1.01</v>
      </c>
      <c r="F459" s="33">
        <v>1.03</v>
      </c>
      <c r="G459" s="33">
        <v>1.05</v>
      </c>
      <c r="H459" s="33">
        <v>1.06</v>
      </c>
      <c r="I459" s="33">
        <v>1.06</v>
      </c>
      <c r="J459" s="33">
        <v>1.05</v>
      </c>
      <c r="K459" s="33">
        <v>1.04</v>
      </c>
      <c r="L459" s="33">
        <v>1.02</v>
      </c>
      <c r="M459" s="33">
        <v>1.01</v>
      </c>
      <c r="N459" s="33">
        <v>1</v>
      </c>
      <c r="O459" s="33">
        <v>0.99</v>
      </c>
      <c r="P459" s="34">
        <f t="shared" si="17"/>
        <v>1.0266666666666666</v>
      </c>
    </row>
    <row r="460" spans="1:16" x14ac:dyDescent="0.25">
      <c r="A460" s="169">
        <f t="shared" si="18"/>
        <v>24.1</v>
      </c>
      <c r="B460" s="166">
        <v>24</v>
      </c>
      <c r="C460" s="32">
        <v>10</v>
      </c>
      <c r="D460" s="33">
        <v>0.99</v>
      </c>
      <c r="E460" s="33">
        <v>1.01</v>
      </c>
      <c r="F460" s="33">
        <v>1.05</v>
      </c>
      <c r="G460" s="33">
        <v>1.08</v>
      </c>
      <c r="H460" s="33">
        <v>1.1100000000000001</v>
      </c>
      <c r="I460" s="33">
        <v>1.1100000000000001</v>
      </c>
      <c r="J460" s="33">
        <v>1.0900000000000001</v>
      </c>
      <c r="K460" s="33">
        <v>1.07</v>
      </c>
      <c r="L460" s="33">
        <v>1.04</v>
      </c>
      <c r="M460" s="33">
        <v>1.01</v>
      </c>
      <c r="N460" s="33">
        <v>0.99</v>
      </c>
      <c r="O460" s="33">
        <v>0.98</v>
      </c>
      <c r="P460" s="34">
        <f t="shared" si="17"/>
        <v>1.0441666666666667</v>
      </c>
    </row>
    <row r="461" spans="1:16" x14ac:dyDescent="0.25">
      <c r="A461" s="169">
        <f t="shared" si="18"/>
        <v>24.15</v>
      </c>
      <c r="B461" s="166">
        <v>24</v>
      </c>
      <c r="C461" s="32">
        <v>15</v>
      </c>
      <c r="D461" s="33">
        <v>0.97</v>
      </c>
      <c r="E461" s="33">
        <v>1.01</v>
      </c>
      <c r="F461" s="33">
        <v>1.06</v>
      </c>
      <c r="G461" s="33">
        <v>1.1100000000000001</v>
      </c>
      <c r="H461" s="33">
        <v>1.1499999999999999</v>
      </c>
      <c r="I461" s="33">
        <v>1.1499999999999999</v>
      </c>
      <c r="J461" s="33">
        <v>1.1200000000000001</v>
      </c>
      <c r="K461" s="33">
        <v>1.0900000000000001</v>
      </c>
      <c r="L461" s="33">
        <v>1.05</v>
      </c>
      <c r="M461" s="33">
        <v>1.01</v>
      </c>
      <c r="N461" s="33">
        <v>0.97</v>
      </c>
      <c r="O461" s="33">
        <v>0.96</v>
      </c>
      <c r="P461" s="34">
        <f t="shared" si="17"/>
        <v>1.0541666666666669</v>
      </c>
    </row>
    <row r="462" spans="1:16" x14ac:dyDescent="0.25">
      <c r="A462" s="169">
        <f t="shared" si="18"/>
        <v>24.2</v>
      </c>
      <c r="B462" s="166">
        <v>24</v>
      </c>
      <c r="C462" s="32">
        <v>20</v>
      </c>
      <c r="D462" s="33">
        <v>0.95</v>
      </c>
      <c r="E462" s="33">
        <v>1</v>
      </c>
      <c r="F462" s="33">
        <v>1.07</v>
      </c>
      <c r="G462" s="33">
        <v>1.1399999999999999</v>
      </c>
      <c r="H462" s="33">
        <v>1.18</v>
      </c>
      <c r="I462" s="33">
        <v>1.18</v>
      </c>
      <c r="J462" s="33">
        <v>1.1499999999999999</v>
      </c>
      <c r="K462" s="33">
        <v>1.1100000000000001</v>
      </c>
      <c r="L462" s="33">
        <v>1.06</v>
      </c>
      <c r="M462" s="33">
        <v>1</v>
      </c>
      <c r="N462" s="33">
        <v>0.95</v>
      </c>
      <c r="O462" s="33">
        <v>0.93</v>
      </c>
      <c r="P462" s="34">
        <f t="shared" si="17"/>
        <v>1.0599999999999998</v>
      </c>
    </row>
    <row r="463" spans="1:16" x14ac:dyDescent="0.25">
      <c r="A463" s="169">
        <f t="shared" si="18"/>
        <v>24.25</v>
      </c>
      <c r="B463" s="166">
        <v>24</v>
      </c>
      <c r="C463" s="32">
        <v>25</v>
      </c>
      <c r="D463" s="33">
        <v>0.92</v>
      </c>
      <c r="E463" s="33">
        <v>0.98</v>
      </c>
      <c r="F463" s="33">
        <v>1.07</v>
      </c>
      <c r="G463" s="33">
        <v>1.1499999999999999</v>
      </c>
      <c r="H463" s="33">
        <v>1.21</v>
      </c>
      <c r="I463" s="33">
        <v>1.21</v>
      </c>
      <c r="J463" s="33">
        <v>1.17</v>
      </c>
      <c r="K463" s="33">
        <v>1.1200000000000001</v>
      </c>
      <c r="L463" s="33">
        <v>1.05</v>
      </c>
      <c r="M463" s="33">
        <v>0.98</v>
      </c>
      <c r="N463" s="33">
        <v>0.92</v>
      </c>
      <c r="O463" s="33">
        <v>0.9</v>
      </c>
      <c r="P463" s="34">
        <f t="shared" si="17"/>
        <v>1.0566666666666666</v>
      </c>
    </row>
    <row r="464" spans="1:16" x14ac:dyDescent="0.25">
      <c r="A464" s="169">
        <f t="shared" si="18"/>
        <v>24.3</v>
      </c>
      <c r="B464" s="166">
        <v>24</v>
      </c>
      <c r="C464" s="32">
        <v>30</v>
      </c>
      <c r="D464" s="33">
        <v>0.89</v>
      </c>
      <c r="E464" s="33">
        <v>0.96</v>
      </c>
      <c r="F464" s="33">
        <v>1.06</v>
      </c>
      <c r="G464" s="33">
        <v>1.1599999999999999</v>
      </c>
      <c r="H464" s="33">
        <v>1.23</v>
      </c>
      <c r="I464" s="33">
        <v>1.23</v>
      </c>
      <c r="J464" s="33">
        <v>1.19</v>
      </c>
      <c r="K464" s="33">
        <v>1.1200000000000001</v>
      </c>
      <c r="L464" s="33">
        <v>1.04</v>
      </c>
      <c r="M464" s="33">
        <v>0.96</v>
      </c>
      <c r="N464" s="33">
        <v>0.89</v>
      </c>
      <c r="O464" s="33">
        <v>0.86</v>
      </c>
      <c r="P464" s="34">
        <f t="shared" si="17"/>
        <v>1.0491666666666666</v>
      </c>
    </row>
    <row r="465" spans="1:16" x14ac:dyDescent="0.25">
      <c r="A465" s="169">
        <f t="shared" si="18"/>
        <v>24.35</v>
      </c>
      <c r="B465" s="166">
        <v>24</v>
      </c>
      <c r="C465" s="32">
        <v>35</v>
      </c>
      <c r="D465" s="33">
        <v>0.85</v>
      </c>
      <c r="E465" s="33">
        <v>0.93</v>
      </c>
      <c r="F465" s="33">
        <v>1.04</v>
      </c>
      <c r="G465" s="33">
        <v>1.1599999999999999</v>
      </c>
      <c r="H465" s="33">
        <v>1.24</v>
      </c>
      <c r="I465" s="33">
        <v>1.24</v>
      </c>
      <c r="J465" s="33">
        <v>1.19</v>
      </c>
      <c r="K465" s="33">
        <v>1.1200000000000001</v>
      </c>
      <c r="L465" s="33">
        <v>1.03</v>
      </c>
      <c r="M465" s="33">
        <v>0.92</v>
      </c>
      <c r="N465" s="33">
        <v>0.85</v>
      </c>
      <c r="O465" s="33">
        <v>0.82</v>
      </c>
      <c r="P465" s="34">
        <f t="shared" si="17"/>
        <v>1.0325</v>
      </c>
    </row>
    <row r="466" spans="1:16" x14ac:dyDescent="0.25">
      <c r="A466" s="169">
        <f t="shared" si="18"/>
        <v>24.4</v>
      </c>
      <c r="B466" s="166">
        <v>24</v>
      </c>
      <c r="C466" s="32">
        <v>40</v>
      </c>
      <c r="D466" s="33">
        <v>0.8</v>
      </c>
      <c r="E466" s="33">
        <v>0.89</v>
      </c>
      <c r="F466" s="33">
        <v>1.02</v>
      </c>
      <c r="G466" s="33">
        <v>1.1599999999999999</v>
      </c>
      <c r="H466" s="33">
        <v>1.25</v>
      </c>
      <c r="I466" s="33">
        <v>1.25</v>
      </c>
      <c r="J466" s="33">
        <v>1.19</v>
      </c>
      <c r="K466" s="33">
        <v>1.1100000000000001</v>
      </c>
      <c r="L466" s="33">
        <v>1</v>
      </c>
      <c r="M466" s="33">
        <v>0.89</v>
      </c>
      <c r="N466" s="33">
        <v>0.8</v>
      </c>
      <c r="O466" s="33">
        <v>0.77</v>
      </c>
      <c r="P466" s="34">
        <f t="shared" si="17"/>
        <v>1.0108333333333335</v>
      </c>
    </row>
    <row r="467" spans="1:16" x14ac:dyDescent="0.25">
      <c r="A467" s="169">
        <f t="shared" si="18"/>
        <v>24.45</v>
      </c>
      <c r="B467" s="166">
        <v>24</v>
      </c>
      <c r="C467" s="32">
        <v>45</v>
      </c>
      <c r="D467" s="33">
        <v>0.74</v>
      </c>
      <c r="E467" s="33">
        <v>0.84</v>
      </c>
      <c r="F467" s="33">
        <v>0.99</v>
      </c>
      <c r="G467" s="33">
        <v>1.1399999999999999</v>
      </c>
      <c r="H467" s="33">
        <v>1.24</v>
      </c>
      <c r="I467" s="33">
        <v>1.25</v>
      </c>
      <c r="J467" s="33">
        <v>1.18</v>
      </c>
      <c r="K467" s="33">
        <v>1.0900000000000001</v>
      </c>
      <c r="L467" s="33">
        <v>0.97</v>
      </c>
      <c r="M467" s="33">
        <v>0.84</v>
      </c>
      <c r="N467" s="33">
        <v>0.75</v>
      </c>
      <c r="O467" s="33">
        <v>0.71</v>
      </c>
      <c r="P467" s="34">
        <f t="shared" si="17"/>
        <v>0.9783333333333335</v>
      </c>
    </row>
    <row r="468" spans="1:16" x14ac:dyDescent="0.25">
      <c r="A468" s="169">
        <f t="shared" si="18"/>
        <v>24.5</v>
      </c>
      <c r="B468" s="166">
        <v>24</v>
      </c>
      <c r="C468" s="32">
        <v>50</v>
      </c>
      <c r="D468" s="33">
        <v>0.69</v>
      </c>
      <c r="E468" s="33">
        <v>0.79</v>
      </c>
      <c r="F468" s="33">
        <v>0.95</v>
      </c>
      <c r="G468" s="33">
        <v>1.1200000000000001</v>
      </c>
      <c r="H468" s="33">
        <v>1.23</v>
      </c>
      <c r="I468" s="33">
        <v>1.24</v>
      </c>
      <c r="J468" s="33">
        <v>1.17</v>
      </c>
      <c r="K468" s="33">
        <v>1.07</v>
      </c>
      <c r="L468" s="33">
        <v>0.94</v>
      </c>
      <c r="M468" s="33">
        <v>0.8</v>
      </c>
      <c r="N468" s="33">
        <v>0.69</v>
      </c>
      <c r="O468" s="33">
        <v>0.65</v>
      </c>
      <c r="P468" s="34">
        <f t="shared" si="17"/>
        <v>0.94499999999999995</v>
      </c>
    </row>
    <row r="469" spans="1:16" x14ac:dyDescent="0.25">
      <c r="A469" s="169">
        <f t="shared" si="18"/>
        <v>24.55</v>
      </c>
      <c r="B469" s="166">
        <v>24</v>
      </c>
      <c r="C469" s="32">
        <v>55</v>
      </c>
      <c r="D469" s="33">
        <v>0.62</v>
      </c>
      <c r="E469" s="33">
        <v>0.74</v>
      </c>
      <c r="F469" s="33">
        <v>0.91</v>
      </c>
      <c r="G469" s="33">
        <v>1.0900000000000001</v>
      </c>
      <c r="H469" s="33">
        <v>1.21</v>
      </c>
      <c r="I469" s="33">
        <v>1.22</v>
      </c>
      <c r="J469" s="33">
        <v>1.1499999999999999</v>
      </c>
      <c r="K469" s="33">
        <v>1.04</v>
      </c>
      <c r="L469" s="33">
        <v>0.89</v>
      </c>
      <c r="M469" s="33">
        <v>0.74</v>
      </c>
      <c r="N469" s="33">
        <v>0.63</v>
      </c>
      <c r="O469" s="33">
        <v>0.57999999999999996</v>
      </c>
      <c r="P469" s="34">
        <f t="shared" si="17"/>
        <v>0.90166666666666673</v>
      </c>
    </row>
    <row r="470" spans="1:16" x14ac:dyDescent="0.25">
      <c r="A470" s="169">
        <f t="shared" si="18"/>
        <v>24.6</v>
      </c>
      <c r="B470" s="166">
        <v>24</v>
      </c>
      <c r="C470" s="32">
        <v>60</v>
      </c>
      <c r="D470" s="33">
        <v>0.56000000000000005</v>
      </c>
      <c r="E470" s="33">
        <v>0.68</v>
      </c>
      <c r="F470" s="33">
        <v>0.86</v>
      </c>
      <c r="G470" s="33">
        <v>1.05</v>
      </c>
      <c r="H470" s="33">
        <v>1.18</v>
      </c>
      <c r="I470" s="33">
        <v>1.19</v>
      </c>
      <c r="J470" s="33">
        <v>1.1200000000000001</v>
      </c>
      <c r="K470" s="33">
        <v>1</v>
      </c>
      <c r="L470" s="33">
        <v>0.85</v>
      </c>
      <c r="M470" s="33">
        <v>0.68</v>
      </c>
      <c r="N470" s="33">
        <v>0.56000000000000005</v>
      </c>
      <c r="O470" s="33">
        <v>0.52</v>
      </c>
      <c r="P470" s="34">
        <f t="shared" si="17"/>
        <v>0.85416666666666663</v>
      </c>
    </row>
    <row r="471" spans="1:16" x14ac:dyDescent="0.25">
      <c r="A471" s="169">
        <f t="shared" si="18"/>
        <v>24.65</v>
      </c>
      <c r="B471" s="166">
        <v>24</v>
      </c>
      <c r="C471" s="32">
        <v>65</v>
      </c>
      <c r="D471" s="33">
        <v>0.49</v>
      </c>
      <c r="E471" s="33">
        <v>0.62</v>
      </c>
      <c r="F471" s="33">
        <v>0.8</v>
      </c>
      <c r="G471" s="33">
        <v>1</v>
      </c>
      <c r="H471" s="33">
        <v>1.1399999999999999</v>
      </c>
      <c r="I471" s="33">
        <v>1.1599999999999999</v>
      </c>
      <c r="J471" s="33">
        <v>1.08</v>
      </c>
      <c r="K471" s="33">
        <v>0.96</v>
      </c>
      <c r="L471" s="33">
        <v>0.79</v>
      </c>
      <c r="M471" s="33">
        <v>0.62</v>
      </c>
      <c r="N471" s="33">
        <v>0.49</v>
      </c>
      <c r="O471" s="33">
        <v>0.44</v>
      </c>
      <c r="P471" s="34">
        <f t="shared" si="17"/>
        <v>0.79916666666666647</v>
      </c>
    </row>
    <row r="472" spans="1:16" x14ac:dyDescent="0.25">
      <c r="A472" s="169">
        <f t="shared" si="18"/>
        <v>24.7</v>
      </c>
      <c r="B472" s="166">
        <v>24</v>
      </c>
      <c r="C472" s="32">
        <v>70</v>
      </c>
      <c r="D472" s="33">
        <v>0.41</v>
      </c>
      <c r="E472" s="33">
        <v>0.55000000000000004</v>
      </c>
      <c r="F472" s="33">
        <v>0.74</v>
      </c>
      <c r="G472" s="33">
        <v>0.95</v>
      </c>
      <c r="H472" s="33">
        <v>1.1000000000000001</v>
      </c>
      <c r="I472" s="33">
        <v>1.1200000000000001</v>
      </c>
      <c r="J472" s="33">
        <v>1.04</v>
      </c>
      <c r="K472" s="33">
        <v>0.91</v>
      </c>
      <c r="L472" s="33">
        <v>0.73</v>
      </c>
      <c r="M472" s="33">
        <v>0.56000000000000005</v>
      </c>
      <c r="N472" s="33">
        <v>0.42</v>
      </c>
      <c r="O472" s="33">
        <v>0.37</v>
      </c>
      <c r="P472" s="34">
        <f t="shared" si="17"/>
        <v>0.7416666666666667</v>
      </c>
    </row>
    <row r="473" spans="1:16" x14ac:dyDescent="0.25">
      <c r="A473" s="169">
        <f t="shared" si="18"/>
        <v>24.75</v>
      </c>
      <c r="B473" s="166">
        <v>24</v>
      </c>
      <c r="C473" s="32">
        <v>75</v>
      </c>
      <c r="D473" s="33">
        <v>0.34</v>
      </c>
      <c r="E473" s="33">
        <v>0.48</v>
      </c>
      <c r="F473" s="33">
        <v>0.68</v>
      </c>
      <c r="G473" s="33">
        <v>0.9</v>
      </c>
      <c r="H473" s="33">
        <v>1.05</v>
      </c>
      <c r="I473" s="33">
        <v>1.07</v>
      </c>
      <c r="J473" s="33">
        <v>0.99</v>
      </c>
      <c r="K473" s="33">
        <v>0.85</v>
      </c>
      <c r="L473" s="33">
        <v>0.67</v>
      </c>
      <c r="M473" s="33">
        <v>0.49</v>
      </c>
      <c r="N473" s="33">
        <v>0.35</v>
      </c>
      <c r="O473" s="33">
        <v>0.28999999999999998</v>
      </c>
      <c r="P473" s="34">
        <f t="shared" si="17"/>
        <v>0.68</v>
      </c>
    </row>
    <row r="474" spans="1:16" x14ac:dyDescent="0.25">
      <c r="A474" s="169">
        <f t="shared" si="18"/>
        <v>24.8</v>
      </c>
      <c r="B474" s="166">
        <v>24</v>
      </c>
      <c r="C474" s="32">
        <v>80</v>
      </c>
      <c r="D474" s="33">
        <v>0.26</v>
      </c>
      <c r="E474" s="33">
        <v>0.4</v>
      </c>
      <c r="F474" s="33">
        <v>0.61</v>
      </c>
      <c r="G474" s="33">
        <v>0.83</v>
      </c>
      <c r="H474" s="33">
        <v>0.99</v>
      </c>
      <c r="I474" s="33">
        <v>1.02</v>
      </c>
      <c r="J474" s="33">
        <v>0.93</v>
      </c>
      <c r="K474" s="33">
        <v>0.79</v>
      </c>
      <c r="L474" s="33">
        <v>0.6</v>
      </c>
      <c r="M474" s="33">
        <v>0.41</v>
      </c>
      <c r="N474" s="33">
        <v>0.27</v>
      </c>
      <c r="O474" s="33">
        <v>0.21</v>
      </c>
      <c r="P474" s="34">
        <f t="shared" si="17"/>
        <v>0.61</v>
      </c>
    </row>
    <row r="475" spans="1:16" x14ac:dyDescent="0.25">
      <c r="A475" s="169">
        <f t="shared" si="18"/>
        <v>24.85</v>
      </c>
      <c r="B475" s="166">
        <v>24</v>
      </c>
      <c r="C475" s="32">
        <v>85</v>
      </c>
      <c r="D475" s="33">
        <v>0.18</v>
      </c>
      <c r="E475" s="33">
        <v>0.32</v>
      </c>
      <c r="F475" s="33">
        <v>0.53</v>
      </c>
      <c r="G475" s="33">
        <v>0.76</v>
      </c>
      <c r="H475" s="33">
        <v>0.93</v>
      </c>
      <c r="I475" s="33">
        <v>0.96</v>
      </c>
      <c r="J475" s="33">
        <v>0.87</v>
      </c>
      <c r="K475" s="33">
        <v>0.73</v>
      </c>
      <c r="L475" s="33">
        <v>0.53</v>
      </c>
      <c r="M475" s="33">
        <v>0.34</v>
      </c>
      <c r="N475" s="33">
        <v>0.19</v>
      </c>
      <c r="O475" s="33">
        <v>0.13</v>
      </c>
      <c r="P475" s="34">
        <f t="shared" si="17"/>
        <v>0.53916666666666668</v>
      </c>
    </row>
    <row r="476" spans="1:16" x14ac:dyDescent="0.25">
      <c r="A476" s="169">
        <f t="shared" si="18"/>
        <v>24.9</v>
      </c>
      <c r="B476" s="166">
        <v>24</v>
      </c>
      <c r="C476" s="32">
        <v>90</v>
      </c>
      <c r="D476" s="33">
        <v>0.1</v>
      </c>
      <c r="E476" s="33">
        <v>0.24</v>
      </c>
      <c r="F476" s="33">
        <v>0.46</v>
      </c>
      <c r="G476" s="33">
        <v>0.69</v>
      </c>
      <c r="H476" s="33">
        <v>0.86</v>
      </c>
      <c r="I476" s="33">
        <v>0.89</v>
      </c>
      <c r="J476" s="33">
        <v>0.81</v>
      </c>
      <c r="K476" s="33">
        <v>0.66</v>
      </c>
      <c r="L476" s="33">
        <v>0.46</v>
      </c>
      <c r="M476" s="33">
        <v>0.26</v>
      </c>
      <c r="N476" s="33">
        <v>0.11</v>
      </c>
      <c r="O476" s="33">
        <v>0.08</v>
      </c>
      <c r="P476" s="34">
        <f t="shared" si="17"/>
        <v>0.46833333333333343</v>
      </c>
    </row>
    <row r="477" spans="1:16" x14ac:dyDescent="0.25">
      <c r="A477" s="169">
        <f t="shared" si="18"/>
        <v>25</v>
      </c>
      <c r="B477" s="166">
        <v>25</v>
      </c>
      <c r="C477" s="32">
        <v>0</v>
      </c>
      <c r="D477" s="33">
        <v>1</v>
      </c>
      <c r="E477" s="33">
        <v>1</v>
      </c>
      <c r="F477" s="33">
        <v>1</v>
      </c>
      <c r="G477" s="33">
        <v>1</v>
      </c>
      <c r="H477" s="33">
        <v>1</v>
      </c>
      <c r="I477" s="33">
        <v>1</v>
      </c>
      <c r="J477" s="33">
        <v>1</v>
      </c>
      <c r="K477" s="33">
        <v>1</v>
      </c>
      <c r="L477" s="33">
        <v>1</v>
      </c>
      <c r="M477" s="33">
        <v>1</v>
      </c>
      <c r="N477" s="33">
        <v>1</v>
      </c>
      <c r="O477" s="33">
        <v>1</v>
      </c>
      <c r="P477" s="34">
        <f t="shared" si="17"/>
        <v>1</v>
      </c>
    </row>
    <row r="478" spans="1:16" x14ac:dyDescent="0.25">
      <c r="A478" s="169">
        <f t="shared" si="18"/>
        <v>25.05</v>
      </c>
      <c r="B478" s="166">
        <v>25</v>
      </c>
      <c r="C478" s="32">
        <v>5</v>
      </c>
      <c r="D478" s="33">
        <v>1</v>
      </c>
      <c r="E478" s="33">
        <v>1.01</v>
      </c>
      <c r="F478" s="33">
        <v>1.03</v>
      </c>
      <c r="G478" s="33">
        <v>1.05</v>
      </c>
      <c r="H478" s="33">
        <v>1.06</v>
      </c>
      <c r="I478" s="33">
        <v>1.06</v>
      </c>
      <c r="J478" s="33">
        <v>1.05</v>
      </c>
      <c r="K478" s="33">
        <v>1.04</v>
      </c>
      <c r="L478" s="33">
        <v>1.03</v>
      </c>
      <c r="M478" s="33">
        <v>1.01</v>
      </c>
      <c r="N478" s="33">
        <v>1</v>
      </c>
      <c r="O478" s="33">
        <v>1</v>
      </c>
      <c r="P478" s="34">
        <f t="shared" si="17"/>
        <v>1.0283333333333333</v>
      </c>
    </row>
    <row r="479" spans="1:16" x14ac:dyDescent="0.25">
      <c r="A479" s="169">
        <f t="shared" si="18"/>
        <v>25.1</v>
      </c>
      <c r="B479" s="166">
        <v>25</v>
      </c>
      <c r="C479" s="32">
        <v>10</v>
      </c>
      <c r="D479" s="33">
        <v>0.99</v>
      </c>
      <c r="E479" s="33">
        <v>1.02</v>
      </c>
      <c r="F479" s="33">
        <v>1.05</v>
      </c>
      <c r="G479" s="33">
        <v>1.0900000000000001</v>
      </c>
      <c r="H479" s="33">
        <v>1.1100000000000001</v>
      </c>
      <c r="I479" s="33">
        <v>1.1100000000000001</v>
      </c>
      <c r="J479" s="33">
        <v>1.0900000000000001</v>
      </c>
      <c r="K479" s="33">
        <v>1.07</v>
      </c>
      <c r="L479" s="33">
        <v>1.04</v>
      </c>
      <c r="M479" s="33">
        <v>1.01</v>
      </c>
      <c r="N479" s="33">
        <v>0.99</v>
      </c>
      <c r="O479" s="33">
        <v>0.98</v>
      </c>
      <c r="P479" s="34">
        <f t="shared" si="17"/>
        <v>1.0458333333333334</v>
      </c>
    </row>
    <row r="480" spans="1:16" x14ac:dyDescent="0.25">
      <c r="A480" s="169">
        <f t="shared" si="18"/>
        <v>25.15</v>
      </c>
      <c r="B480" s="166">
        <v>25</v>
      </c>
      <c r="C480" s="32">
        <v>15</v>
      </c>
      <c r="D480" s="33">
        <v>0.98</v>
      </c>
      <c r="E480" s="33">
        <v>1.01</v>
      </c>
      <c r="F480" s="33">
        <v>1.07</v>
      </c>
      <c r="G480" s="33">
        <v>1.1200000000000001</v>
      </c>
      <c r="H480" s="33">
        <v>1.1499999999999999</v>
      </c>
      <c r="I480" s="33">
        <v>1.1499999999999999</v>
      </c>
      <c r="J480" s="33">
        <v>1.1299999999999999</v>
      </c>
      <c r="K480" s="33">
        <v>1.1000000000000001</v>
      </c>
      <c r="L480" s="33">
        <v>1.06</v>
      </c>
      <c r="M480" s="33">
        <v>1.01</v>
      </c>
      <c r="N480" s="33">
        <v>0.98</v>
      </c>
      <c r="O480" s="33">
        <v>0.96</v>
      </c>
      <c r="P480" s="34">
        <f t="shared" si="17"/>
        <v>1.0600000000000003</v>
      </c>
    </row>
    <row r="481" spans="1:16" x14ac:dyDescent="0.25">
      <c r="A481" s="169">
        <f t="shared" si="18"/>
        <v>25.2</v>
      </c>
      <c r="B481" s="166">
        <v>25</v>
      </c>
      <c r="C481" s="32">
        <v>20</v>
      </c>
      <c r="D481" s="33">
        <v>0.96</v>
      </c>
      <c r="E481" s="33">
        <v>1</v>
      </c>
      <c r="F481" s="33">
        <v>1.07</v>
      </c>
      <c r="G481" s="33">
        <v>1.1399999999999999</v>
      </c>
      <c r="H481" s="33">
        <v>1.19</v>
      </c>
      <c r="I481" s="33">
        <v>1.19</v>
      </c>
      <c r="J481" s="33">
        <v>1.1599999999999999</v>
      </c>
      <c r="K481" s="33">
        <v>1.1200000000000001</v>
      </c>
      <c r="L481" s="33">
        <v>1.06</v>
      </c>
      <c r="M481" s="33">
        <v>1</v>
      </c>
      <c r="N481" s="33">
        <v>0.96</v>
      </c>
      <c r="O481" s="33">
        <v>0.94</v>
      </c>
      <c r="P481" s="34">
        <f t="shared" si="17"/>
        <v>1.0658333333333332</v>
      </c>
    </row>
    <row r="482" spans="1:16" x14ac:dyDescent="0.25">
      <c r="A482" s="169">
        <f t="shared" si="18"/>
        <v>25.25</v>
      </c>
      <c r="B482" s="166">
        <v>25</v>
      </c>
      <c r="C482" s="32">
        <v>25</v>
      </c>
      <c r="D482" s="33">
        <v>0.93</v>
      </c>
      <c r="E482" s="33">
        <v>0.99</v>
      </c>
      <c r="F482" s="33">
        <v>1.07</v>
      </c>
      <c r="G482" s="33">
        <v>1.1599999999999999</v>
      </c>
      <c r="H482" s="33">
        <v>1.22</v>
      </c>
      <c r="I482" s="33">
        <v>1.22</v>
      </c>
      <c r="J482" s="33">
        <v>1.18</v>
      </c>
      <c r="K482" s="33">
        <v>1.1299999999999999</v>
      </c>
      <c r="L482" s="33">
        <v>1.06</v>
      </c>
      <c r="M482" s="33">
        <v>0.99</v>
      </c>
      <c r="N482" s="33">
        <v>0.93</v>
      </c>
      <c r="O482" s="33">
        <v>0.91</v>
      </c>
      <c r="P482" s="34">
        <f t="shared" si="17"/>
        <v>1.0658333333333332</v>
      </c>
    </row>
    <row r="483" spans="1:16" x14ac:dyDescent="0.25">
      <c r="A483" s="169">
        <f t="shared" si="18"/>
        <v>25.3</v>
      </c>
      <c r="B483" s="166">
        <v>25</v>
      </c>
      <c r="C483" s="32">
        <v>30</v>
      </c>
      <c r="D483" s="33">
        <v>0.89</v>
      </c>
      <c r="E483" s="33">
        <v>0.96</v>
      </c>
      <c r="F483" s="33">
        <v>1.07</v>
      </c>
      <c r="G483" s="33">
        <v>1.17</v>
      </c>
      <c r="H483" s="33">
        <v>1.24</v>
      </c>
      <c r="I483" s="33">
        <v>1.24</v>
      </c>
      <c r="J483" s="33">
        <v>1.19</v>
      </c>
      <c r="K483" s="33">
        <v>1.1299999999999999</v>
      </c>
      <c r="L483" s="33">
        <v>1.05</v>
      </c>
      <c r="M483" s="33">
        <v>0.96</v>
      </c>
      <c r="N483" s="33">
        <v>0.9</v>
      </c>
      <c r="O483" s="33">
        <v>0.87</v>
      </c>
      <c r="P483" s="34">
        <f t="shared" si="17"/>
        <v>1.0558333333333334</v>
      </c>
    </row>
    <row r="484" spans="1:16" x14ac:dyDescent="0.25">
      <c r="A484" s="169">
        <f t="shared" si="18"/>
        <v>25.35</v>
      </c>
      <c r="B484" s="166">
        <v>25</v>
      </c>
      <c r="C484" s="32">
        <v>35</v>
      </c>
      <c r="D484" s="33">
        <v>0.85</v>
      </c>
      <c r="E484" s="33">
        <v>0.93</v>
      </c>
      <c r="F484" s="33">
        <v>1.05</v>
      </c>
      <c r="G484" s="33">
        <v>1.17</v>
      </c>
      <c r="H484" s="33">
        <v>1.25</v>
      </c>
      <c r="I484" s="33">
        <v>1.26</v>
      </c>
      <c r="J484" s="33">
        <v>1.2</v>
      </c>
      <c r="K484" s="33">
        <v>1.1299999999999999</v>
      </c>
      <c r="L484" s="33">
        <v>1.03</v>
      </c>
      <c r="M484" s="33">
        <v>0.93</v>
      </c>
      <c r="N484" s="33">
        <v>0.86</v>
      </c>
      <c r="O484" s="33">
        <v>0.83</v>
      </c>
      <c r="P484" s="34">
        <f t="shared" si="17"/>
        <v>1.0408333333333333</v>
      </c>
    </row>
    <row r="485" spans="1:16" x14ac:dyDescent="0.25">
      <c r="A485" s="169">
        <f t="shared" si="18"/>
        <v>25.4</v>
      </c>
      <c r="B485" s="166">
        <v>25</v>
      </c>
      <c r="C485" s="32">
        <v>40</v>
      </c>
      <c r="D485" s="33">
        <v>0.81</v>
      </c>
      <c r="E485" s="33">
        <v>0.9</v>
      </c>
      <c r="F485" s="33">
        <v>1.03</v>
      </c>
      <c r="G485" s="33">
        <v>1.17</v>
      </c>
      <c r="H485" s="33">
        <v>1.26</v>
      </c>
      <c r="I485" s="33">
        <v>1.26</v>
      </c>
      <c r="J485" s="33">
        <v>1.2</v>
      </c>
      <c r="K485" s="33">
        <v>1.1200000000000001</v>
      </c>
      <c r="L485" s="33">
        <v>1.01</v>
      </c>
      <c r="M485" s="33">
        <v>0.9</v>
      </c>
      <c r="N485" s="33">
        <v>0.81</v>
      </c>
      <c r="O485" s="33">
        <v>0.78</v>
      </c>
      <c r="P485" s="34">
        <f t="shared" si="17"/>
        <v>1.0208333333333333</v>
      </c>
    </row>
    <row r="486" spans="1:16" x14ac:dyDescent="0.25">
      <c r="A486" s="169">
        <f t="shared" si="18"/>
        <v>25.45</v>
      </c>
      <c r="B486" s="166">
        <v>25</v>
      </c>
      <c r="C486" s="32">
        <v>45</v>
      </c>
      <c r="D486" s="33">
        <v>0.76</v>
      </c>
      <c r="E486" s="33">
        <v>0.86</v>
      </c>
      <c r="F486" s="33">
        <v>1</v>
      </c>
      <c r="G486" s="33">
        <v>1.1499999999999999</v>
      </c>
      <c r="H486" s="33">
        <v>1.26</v>
      </c>
      <c r="I486" s="33">
        <v>1.26</v>
      </c>
      <c r="J486" s="33">
        <v>1.2</v>
      </c>
      <c r="K486" s="33">
        <v>1.1000000000000001</v>
      </c>
      <c r="L486" s="33">
        <v>0.98</v>
      </c>
      <c r="M486" s="33">
        <v>0.85</v>
      </c>
      <c r="N486" s="33">
        <v>0.76</v>
      </c>
      <c r="O486" s="33">
        <v>0.72</v>
      </c>
      <c r="P486" s="34">
        <f t="shared" si="17"/>
        <v>0.9916666666666667</v>
      </c>
    </row>
    <row r="487" spans="1:16" x14ac:dyDescent="0.25">
      <c r="A487" s="169">
        <f t="shared" si="18"/>
        <v>25.5</v>
      </c>
      <c r="B487" s="166">
        <v>25</v>
      </c>
      <c r="C487" s="32">
        <v>50</v>
      </c>
      <c r="D487" s="33">
        <v>0.7</v>
      </c>
      <c r="E487" s="33">
        <v>0.81</v>
      </c>
      <c r="F487" s="33">
        <v>0.96</v>
      </c>
      <c r="G487" s="33">
        <v>1.1299999999999999</v>
      </c>
      <c r="H487" s="33">
        <v>1.25</v>
      </c>
      <c r="I487" s="33">
        <v>1.25</v>
      </c>
      <c r="J487" s="33">
        <v>1.18</v>
      </c>
      <c r="K487" s="33">
        <v>1.08</v>
      </c>
      <c r="L487" s="33">
        <v>0.95</v>
      </c>
      <c r="M487" s="33">
        <v>0.81</v>
      </c>
      <c r="N487" s="33">
        <v>0.7</v>
      </c>
      <c r="O487" s="33">
        <v>0.66</v>
      </c>
      <c r="P487" s="34">
        <f t="shared" si="17"/>
        <v>0.95666666666666655</v>
      </c>
    </row>
    <row r="488" spans="1:16" x14ac:dyDescent="0.25">
      <c r="A488" s="169">
        <f t="shared" si="18"/>
        <v>25.55</v>
      </c>
      <c r="B488" s="166">
        <v>25</v>
      </c>
      <c r="C488" s="32">
        <v>55</v>
      </c>
      <c r="D488" s="33">
        <v>0.64</v>
      </c>
      <c r="E488" s="33">
        <v>0.75</v>
      </c>
      <c r="F488" s="33">
        <v>0.92</v>
      </c>
      <c r="G488" s="33">
        <v>1.1000000000000001</v>
      </c>
      <c r="H488" s="33">
        <v>1.23</v>
      </c>
      <c r="I488" s="33">
        <v>1.23</v>
      </c>
      <c r="J488" s="33">
        <v>1.1599999999999999</v>
      </c>
      <c r="K488" s="33">
        <v>1.05</v>
      </c>
      <c r="L488" s="33">
        <v>0.91</v>
      </c>
      <c r="M488" s="33">
        <v>0.75</v>
      </c>
      <c r="N488" s="33">
        <v>0.64</v>
      </c>
      <c r="O488" s="33">
        <v>0.6</v>
      </c>
      <c r="P488" s="34">
        <f t="shared" si="17"/>
        <v>0.91500000000000015</v>
      </c>
    </row>
    <row r="489" spans="1:16" x14ac:dyDescent="0.25">
      <c r="A489" s="169">
        <f t="shared" si="18"/>
        <v>25.6</v>
      </c>
      <c r="B489" s="166">
        <v>25</v>
      </c>
      <c r="C489" s="32">
        <v>60</v>
      </c>
      <c r="D489" s="33">
        <v>0.56999999999999995</v>
      </c>
      <c r="E489" s="33">
        <v>0.69</v>
      </c>
      <c r="F489" s="33">
        <v>0.87</v>
      </c>
      <c r="G489" s="33">
        <v>1.07</v>
      </c>
      <c r="H489" s="33">
        <v>1.2</v>
      </c>
      <c r="I489" s="33">
        <v>1.21</v>
      </c>
      <c r="J489" s="33">
        <v>1.1299999999999999</v>
      </c>
      <c r="K489" s="33">
        <v>1.01</v>
      </c>
      <c r="L489" s="33">
        <v>0.86</v>
      </c>
      <c r="M489" s="33">
        <v>0.7</v>
      </c>
      <c r="N489" s="33">
        <v>0.57999999999999996</v>
      </c>
      <c r="O489" s="33">
        <v>0.53</v>
      </c>
      <c r="P489" s="34">
        <f t="shared" si="17"/>
        <v>0.86833333333333318</v>
      </c>
    </row>
    <row r="490" spans="1:16" x14ac:dyDescent="0.25">
      <c r="A490" s="169">
        <f t="shared" si="18"/>
        <v>25.65</v>
      </c>
      <c r="B490" s="166">
        <v>25</v>
      </c>
      <c r="C490" s="32">
        <v>65</v>
      </c>
      <c r="D490" s="33">
        <v>0.5</v>
      </c>
      <c r="E490" s="33">
        <v>0.63</v>
      </c>
      <c r="F490" s="33">
        <v>0.82</v>
      </c>
      <c r="G490" s="33">
        <v>1.02</v>
      </c>
      <c r="H490" s="33">
        <v>1.1599999999999999</v>
      </c>
      <c r="I490" s="33">
        <v>1.18</v>
      </c>
      <c r="J490" s="33">
        <v>1.0900000000000001</v>
      </c>
      <c r="K490" s="33">
        <v>0.97</v>
      </c>
      <c r="L490" s="33">
        <v>0.81</v>
      </c>
      <c r="M490" s="33">
        <v>0.63</v>
      </c>
      <c r="N490" s="33">
        <v>0.51</v>
      </c>
      <c r="O490" s="33">
        <v>0.46</v>
      </c>
      <c r="P490" s="34">
        <f t="shared" si="17"/>
        <v>0.81500000000000006</v>
      </c>
    </row>
    <row r="491" spans="1:16" x14ac:dyDescent="0.25">
      <c r="A491" s="169">
        <f t="shared" si="18"/>
        <v>25.7</v>
      </c>
      <c r="B491" s="166">
        <v>25</v>
      </c>
      <c r="C491" s="32">
        <v>70</v>
      </c>
      <c r="D491" s="33">
        <v>0.43</v>
      </c>
      <c r="E491" s="33">
        <v>0.56000000000000005</v>
      </c>
      <c r="F491" s="33">
        <v>0.76</v>
      </c>
      <c r="G491" s="33">
        <v>0.97</v>
      </c>
      <c r="H491" s="33">
        <v>1.1200000000000001</v>
      </c>
      <c r="I491" s="33">
        <v>1.1399999999999999</v>
      </c>
      <c r="J491" s="33">
        <v>1.05</v>
      </c>
      <c r="K491" s="33">
        <v>0.92</v>
      </c>
      <c r="L491" s="33">
        <v>0.75</v>
      </c>
      <c r="M491" s="33">
        <v>0.56999999999999995</v>
      </c>
      <c r="N491" s="33">
        <v>0.43</v>
      </c>
      <c r="O491" s="33">
        <v>0.38</v>
      </c>
      <c r="P491" s="34">
        <f t="shared" si="17"/>
        <v>0.75666666666666671</v>
      </c>
    </row>
    <row r="492" spans="1:16" x14ac:dyDescent="0.25">
      <c r="A492" s="169">
        <f t="shared" si="18"/>
        <v>25.75</v>
      </c>
      <c r="B492" s="166">
        <v>25</v>
      </c>
      <c r="C492" s="32">
        <v>75</v>
      </c>
      <c r="D492" s="33">
        <v>0.35</v>
      </c>
      <c r="E492" s="33">
        <v>0.49</v>
      </c>
      <c r="F492" s="33">
        <v>0.69</v>
      </c>
      <c r="G492" s="33">
        <v>0.91</v>
      </c>
      <c r="H492" s="33">
        <v>1.07</v>
      </c>
      <c r="I492" s="33">
        <v>1.0900000000000001</v>
      </c>
      <c r="J492" s="33">
        <v>1</v>
      </c>
      <c r="K492" s="33">
        <v>0.87</v>
      </c>
      <c r="L492" s="33">
        <v>0.69</v>
      </c>
      <c r="M492" s="33">
        <v>0.5</v>
      </c>
      <c r="N492" s="33">
        <v>0.36</v>
      </c>
      <c r="O492" s="33">
        <v>0.31</v>
      </c>
      <c r="P492" s="34">
        <f t="shared" si="17"/>
        <v>0.69416666666666671</v>
      </c>
    </row>
    <row r="493" spans="1:16" x14ac:dyDescent="0.25">
      <c r="A493" s="169">
        <f t="shared" si="18"/>
        <v>25.8</v>
      </c>
      <c r="B493" s="166">
        <v>25</v>
      </c>
      <c r="C493" s="32">
        <v>80</v>
      </c>
      <c r="D493" s="33">
        <v>0.27</v>
      </c>
      <c r="E493" s="33">
        <v>0.42</v>
      </c>
      <c r="F493" s="33">
        <v>0.62</v>
      </c>
      <c r="G493" s="33">
        <v>0.85</v>
      </c>
      <c r="H493" s="33">
        <v>1.01</v>
      </c>
      <c r="I493" s="33">
        <v>1.04</v>
      </c>
      <c r="J493" s="33">
        <v>0.95</v>
      </c>
      <c r="K493" s="33">
        <v>0.81</v>
      </c>
      <c r="L493" s="33">
        <v>0.62</v>
      </c>
      <c r="M493" s="33">
        <v>0.43</v>
      </c>
      <c r="N493" s="33">
        <v>0.28000000000000003</v>
      </c>
      <c r="O493" s="33">
        <v>0.23</v>
      </c>
      <c r="P493" s="34">
        <f t="shared" si="17"/>
        <v>0.62750000000000006</v>
      </c>
    </row>
    <row r="494" spans="1:16" x14ac:dyDescent="0.25">
      <c r="A494" s="169">
        <f t="shared" si="18"/>
        <v>25.85</v>
      </c>
      <c r="B494" s="166">
        <v>25</v>
      </c>
      <c r="C494" s="32">
        <v>85</v>
      </c>
      <c r="D494" s="33">
        <v>0.19</v>
      </c>
      <c r="E494" s="33">
        <v>0.34</v>
      </c>
      <c r="F494" s="33">
        <v>0.55000000000000004</v>
      </c>
      <c r="G494" s="33">
        <v>0.78</v>
      </c>
      <c r="H494" s="33">
        <v>0.95</v>
      </c>
      <c r="I494" s="33">
        <v>0.98</v>
      </c>
      <c r="J494" s="33">
        <v>0.89</v>
      </c>
      <c r="K494" s="33">
        <v>0.74</v>
      </c>
      <c r="L494" s="33">
        <v>0.55000000000000004</v>
      </c>
      <c r="M494" s="33">
        <v>0.35</v>
      </c>
      <c r="N494" s="33">
        <v>0.21</v>
      </c>
      <c r="O494" s="33">
        <v>0.15</v>
      </c>
      <c r="P494" s="34">
        <f t="shared" si="17"/>
        <v>0.55666666666666664</v>
      </c>
    </row>
    <row r="495" spans="1:16" x14ac:dyDescent="0.25">
      <c r="A495" s="169">
        <f t="shared" si="18"/>
        <v>25.9</v>
      </c>
      <c r="B495" s="166">
        <v>25</v>
      </c>
      <c r="C495" s="32">
        <v>90</v>
      </c>
      <c r="D495" s="33">
        <v>0.11</v>
      </c>
      <c r="E495" s="33">
        <v>0.26</v>
      </c>
      <c r="F495" s="33">
        <v>0.47</v>
      </c>
      <c r="G495" s="33">
        <v>0.71</v>
      </c>
      <c r="H495" s="33">
        <v>0.88</v>
      </c>
      <c r="I495" s="33">
        <v>0.91</v>
      </c>
      <c r="J495" s="33">
        <v>0.82</v>
      </c>
      <c r="K495" s="33">
        <v>0.67</v>
      </c>
      <c r="L495" s="33">
        <v>0.48</v>
      </c>
      <c r="M495" s="33">
        <v>0.28000000000000003</v>
      </c>
      <c r="N495" s="33">
        <v>0.13</v>
      </c>
      <c r="O495" s="33">
        <v>0.08</v>
      </c>
      <c r="P495" s="34">
        <f t="shared" si="17"/>
        <v>0.48333333333333339</v>
      </c>
    </row>
    <row r="496" spans="1:16" x14ac:dyDescent="0.25">
      <c r="A496" s="169">
        <f t="shared" si="18"/>
        <v>26</v>
      </c>
      <c r="B496" s="166">
        <v>26</v>
      </c>
      <c r="C496" s="32">
        <v>0</v>
      </c>
      <c r="D496" s="33">
        <v>1</v>
      </c>
      <c r="E496" s="33">
        <v>1</v>
      </c>
      <c r="F496" s="33">
        <v>1</v>
      </c>
      <c r="G496" s="33">
        <v>1</v>
      </c>
      <c r="H496" s="33">
        <v>1</v>
      </c>
      <c r="I496" s="33">
        <v>1</v>
      </c>
      <c r="J496" s="33">
        <v>1</v>
      </c>
      <c r="K496" s="33">
        <v>1</v>
      </c>
      <c r="L496" s="33">
        <v>1</v>
      </c>
      <c r="M496" s="33">
        <v>1</v>
      </c>
      <c r="N496" s="33">
        <v>1</v>
      </c>
      <c r="O496" s="33">
        <v>1</v>
      </c>
      <c r="P496" s="34">
        <f t="shared" si="17"/>
        <v>1</v>
      </c>
    </row>
    <row r="497" spans="1:16" x14ac:dyDescent="0.25">
      <c r="A497" s="169">
        <f t="shared" si="18"/>
        <v>26.05</v>
      </c>
      <c r="B497" s="166">
        <v>26</v>
      </c>
      <c r="C497" s="32">
        <v>5</v>
      </c>
      <c r="D497" s="33">
        <v>1</v>
      </c>
      <c r="E497" s="33">
        <v>1.01</v>
      </c>
      <c r="F497" s="33">
        <v>1.03</v>
      </c>
      <c r="G497" s="33">
        <v>1.05</v>
      </c>
      <c r="H497" s="33">
        <v>1.06</v>
      </c>
      <c r="I497" s="33">
        <v>1.06</v>
      </c>
      <c r="J497" s="33">
        <v>1.05</v>
      </c>
      <c r="K497" s="33">
        <v>1.04</v>
      </c>
      <c r="L497" s="33">
        <v>1.03</v>
      </c>
      <c r="M497" s="33">
        <v>1.01</v>
      </c>
      <c r="N497" s="33">
        <v>1</v>
      </c>
      <c r="O497" s="33">
        <v>1</v>
      </c>
      <c r="P497" s="34">
        <f t="shared" si="17"/>
        <v>1.0283333333333333</v>
      </c>
    </row>
    <row r="498" spans="1:16" x14ac:dyDescent="0.25">
      <c r="A498" s="169">
        <f t="shared" si="18"/>
        <v>26.1</v>
      </c>
      <c r="B498" s="166">
        <v>26</v>
      </c>
      <c r="C498" s="32">
        <v>10</v>
      </c>
      <c r="D498" s="33">
        <v>0.99</v>
      </c>
      <c r="E498" s="33">
        <v>1.02</v>
      </c>
      <c r="F498" s="33">
        <v>1.05</v>
      </c>
      <c r="G498" s="33">
        <v>1.0900000000000001</v>
      </c>
      <c r="H498" s="33">
        <v>1.1100000000000001</v>
      </c>
      <c r="I498" s="33">
        <v>1.1100000000000001</v>
      </c>
      <c r="J498" s="33">
        <v>1.0900000000000001</v>
      </c>
      <c r="K498" s="33">
        <v>1.07</v>
      </c>
      <c r="L498" s="33">
        <v>1.05</v>
      </c>
      <c r="M498" s="33">
        <v>1.02</v>
      </c>
      <c r="N498" s="33">
        <v>0.99</v>
      </c>
      <c r="O498" s="33">
        <v>0.99</v>
      </c>
      <c r="P498" s="34">
        <f t="shared" si="17"/>
        <v>1.0483333333333333</v>
      </c>
    </row>
    <row r="499" spans="1:16" x14ac:dyDescent="0.25">
      <c r="A499" s="169">
        <f t="shared" si="18"/>
        <v>26.15</v>
      </c>
      <c r="B499" s="166">
        <v>26</v>
      </c>
      <c r="C499" s="32">
        <v>15</v>
      </c>
      <c r="D499" s="33">
        <v>0.98</v>
      </c>
      <c r="E499" s="33">
        <v>1.02</v>
      </c>
      <c r="F499" s="33">
        <v>1.07</v>
      </c>
      <c r="G499" s="33">
        <v>1.1200000000000001</v>
      </c>
      <c r="H499" s="33">
        <v>1.1599999999999999</v>
      </c>
      <c r="I499" s="33">
        <v>1.1599999999999999</v>
      </c>
      <c r="J499" s="33">
        <v>1.1299999999999999</v>
      </c>
      <c r="K499" s="33">
        <v>1.1000000000000001</v>
      </c>
      <c r="L499" s="33">
        <v>1.06</v>
      </c>
      <c r="M499" s="33">
        <v>1.02</v>
      </c>
      <c r="N499" s="33">
        <v>0.98</v>
      </c>
      <c r="O499" s="33">
        <v>0.97</v>
      </c>
      <c r="P499" s="34">
        <f t="shared" si="17"/>
        <v>1.0641666666666667</v>
      </c>
    </row>
    <row r="500" spans="1:16" x14ac:dyDescent="0.25">
      <c r="A500" s="169">
        <f t="shared" si="18"/>
        <v>26.2</v>
      </c>
      <c r="B500" s="166">
        <v>26</v>
      </c>
      <c r="C500" s="32">
        <v>20</v>
      </c>
      <c r="D500" s="33">
        <v>0.96</v>
      </c>
      <c r="E500" s="33">
        <v>1.01</v>
      </c>
      <c r="F500" s="33">
        <v>1.08</v>
      </c>
      <c r="G500" s="33">
        <v>1.1499999999999999</v>
      </c>
      <c r="H500" s="33">
        <v>1.2</v>
      </c>
      <c r="I500" s="33">
        <v>1.2</v>
      </c>
      <c r="J500" s="33">
        <v>1.1599999999999999</v>
      </c>
      <c r="K500" s="33">
        <v>1.1200000000000001</v>
      </c>
      <c r="L500" s="33">
        <v>1.07</v>
      </c>
      <c r="M500" s="33">
        <v>1.01</v>
      </c>
      <c r="N500" s="33">
        <v>0.96</v>
      </c>
      <c r="O500" s="33">
        <v>0.94</v>
      </c>
      <c r="P500" s="34">
        <f t="shared" ref="P500:P563" si="19">AVERAGE(D500:O500)</f>
        <v>1.0716666666666665</v>
      </c>
    </row>
    <row r="501" spans="1:16" x14ac:dyDescent="0.25">
      <c r="A501" s="169">
        <f t="shared" si="18"/>
        <v>26.25</v>
      </c>
      <c r="B501" s="166">
        <v>26</v>
      </c>
      <c r="C501" s="32">
        <v>25</v>
      </c>
      <c r="D501" s="33">
        <v>0.93</v>
      </c>
      <c r="E501" s="33">
        <v>0.99</v>
      </c>
      <c r="F501" s="33">
        <v>1.08</v>
      </c>
      <c r="G501" s="33">
        <v>1.17</v>
      </c>
      <c r="H501" s="33">
        <v>1.23</v>
      </c>
      <c r="I501" s="33">
        <v>1.23</v>
      </c>
      <c r="J501" s="33">
        <v>1.19</v>
      </c>
      <c r="K501" s="33">
        <v>1.1299999999999999</v>
      </c>
      <c r="L501" s="33">
        <v>1.06</v>
      </c>
      <c r="M501" s="33">
        <v>0.99</v>
      </c>
      <c r="N501" s="33">
        <v>0.94</v>
      </c>
      <c r="O501" s="33">
        <v>0.91</v>
      </c>
      <c r="P501" s="34">
        <f t="shared" si="19"/>
        <v>1.0708333333333333</v>
      </c>
    </row>
    <row r="502" spans="1:16" x14ac:dyDescent="0.25">
      <c r="A502" s="169">
        <f t="shared" si="18"/>
        <v>26.3</v>
      </c>
      <c r="B502" s="166">
        <v>26</v>
      </c>
      <c r="C502" s="32">
        <v>30</v>
      </c>
      <c r="D502" s="33">
        <v>0.9</v>
      </c>
      <c r="E502" s="33">
        <v>0.97</v>
      </c>
      <c r="F502" s="33">
        <v>1.07</v>
      </c>
      <c r="G502" s="33">
        <v>1.18</v>
      </c>
      <c r="H502" s="33">
        <v>1.25</v>
      </c>
      <c r="I502" s="33">
        <v>1.25</v>
      </c>
      <c r="J502" s="33">
        <v>1.2</v>
      </c>
      <c r="K502" s="33">
        <v>1.1399999999999999</v>
      </c>
      <c r="L502" s="33">
        <v>1.06</v>
      </c>
      <c r="M502" s="33">
        <v>0.97</v>
      </c>
      <c r="N502" s="33">
        <v>0.9</v>
      </c>
      <c r="O502" s="33">
        <v>0.88</v>
      </c>
      <c r="P502" s="34">
        <f t="shared" si="19"/>
        <v>1.0641666666666669</v>
      </c>
    </row>
    <row r="503" spans="1:16" x14ac:dyDescent="0.25">
      <c r="A503" s="169">
        <f t="shared" si="18"/>
        <v>26.35</v>
      </c>
      <c r="B503" s="166">
        <v>26</v>
      </c>
      <c r="C503" s="32">
        <v>35</v>
      </c>
      <c r="D503" s="33">
        <v>0.86</v>
      </c>
      <c r="E503" s="33">
        <v>0.94</v>
      </c>
      <c r="F503" s="33">
        <v>1.06</v>
      </c>
      <c r="G503" s="33">
        <v>1.18</v>
      </c>
      <c r="H503" s="33">
        <v>1.27</v>
      </c>
      <c r="I503" s="33">
        <v>1.27</v>
      </c>
      <c r="J503" s="33">
        <v>1.21</v>
      </c>
      <c r="K503" s="33">
        <v>1.1399999999999999</v>
      </c>
      <c r="L503" s="33">
        <v>1.04</v>
      </c>
      <c r="M503" s="33">
        <v>0.94</v>
      </c>
      <c r="N503" s="33">
        <v>0.86</v>
      </c>
      <c r="O503" s="33">
        <v>0.83</v>
      </c>
      <c r="P503" s="34">
        <f t="shared" si="19"/>
        <v>1.0499999999999998</v>
      </c>
    </row>
    <row r="504" spans="1:16" x14ac:dyDescent="0.25">
      <c r="A504" s="169">
        <f t="shared" si="18"/>
        <v>26.4</v>
      </c>
      <c r="B504" s="166">
        <v>26</v>
      </c>
      <c r="C504" s="32">
        <v>40</v>
      </c>
      <c r="D504" s="33">
        <v>0.82</v>
      </c>
      <c r="E504" s="33">
        <v>0.91</v>
      </c>
      <c r="F504" s="33">
        <v>1.04</v>
      </c>
      <c r="G504" s="33">
        <v>1.18</v>
      </c>
      <c r="H504" s="33">
        <v>1.27</v>
      </c>
      <c r="I504" s="33">
        <v>1.27</v>
      </c>
      <c r="J504" s="33">
        <v>1.21</v>
      </c>
      <c r="K504" s="33">
        <v>1.1299999999999999</v>
      </c>
      <c r="L504" s="33">
        <v>1.02</v>
      </c>
      <c r="M504" s="33">
        <v>0.91</v>
      </c>
      <c r="N504" s="33">
        <v>0.82</v>
      </c>
      <c r="O504" s="33">
        <v>0.79</v>
      </c>
      <c r="P504" s="34">
        <f t="shared" si="19"/>
        <v>1.0308333333333335</v>
      </c>
    </row>
    <row r="505" spans="1:16" x14ac:dyDescent="0.25">
      <c r="A505" s="169">
        <f t="shared" si="18"/>
        <v>26.45</v>
      </c>
      <c r="B505" s="166">
        <v>26</v>
      </c>
      <c r="C505" s="32">
        <v>45</v>
      </c>
      <c r="D505" s="33">
        <v>0.77</v>
      </c>
      <c r="E505" s="33">
        <v>0.87</v>
      </c>
      <c r="F505" s="33">
        <v>1.01</v>
      </c>
      <c r="G505" s="33">
        <v>1.17</v>
      </c>
      <c r="H505" s="33">
        <v>1.27</v>
      </c>
      <c r="I505" s="33">
        <v>1.27</v>
      </c>
      <c r="J505" s="33">
        <v>1.21</v>
      </c>
      <c r="K505" s="33">
        <v>1.1100000000000001</v>
      </c>
      <c r="L505" s="33">
        <v>0.99</v>
      </c>
      <c r="M505" s="33">
        <v>0.86</v>
      </c>
      <c r="N505" s="33">
        <v>0.77</v>
      </c>
      <c r="O505" s="33">
        <v>0.73</v>
      </c>
      <c r="P505" s="34">
        <f t="shared" si="19"/>
        <v>1.0024999999999999</v>
      </c>
    </row>
    <row r="506" spans="1:16" x14ac:dyDescent="0.25">
      <c r="A506" s="169">
        <f t="shared" si="18"/>
        <v>26.5</v>
      </c>
      <c r="B506" s="166">
        <v>26</v>
      </c>
      <c r="C506" s="32">
        <v>50</v>
      </c>
      <c r="D506" s="33">
        <v>0.71</v>
      </c>
      <c r="E506" s="33">
        <v>0.82</v>
      </c>
      <c r="F506" s="33">
        <v>0.98</v>
      </c>
      <c r="G506" s="33">
        <v>1.1499999999999999</v>
      </c>
      <c r="H506" s="33">
        <v>1.26</v>
      </c>
      <c r="I506" s="33">
        <v>1.27</v>
      </c>
      <c r="J506" s="33">
        <v>1.19</v>
      </c>
      <c r="K506" s="33">
        <v>1.0900000000000001</v>
      </c>
      <c r="L506" s="33">
        <v>0.96</v>
      </c>
      <c r="M506" s="33">
        <v>0.82</v>
      </c>
      <c r="N506" s="33">
        <v>0.71</v>
      </c>
      <c r="O506" s="33">
        <v>0.67</v>
      </c>
      <c r="P506" s="34">
        <f t="shared" si="19"/>
        <v>0.96916666666666673</v>
      </c>
    </row>
    <row r="507" spans="1:16" x14ac:dyDescent="0.25">
      <c r="A507" s="169">
        <f t="shared" si="18"/>
        <v>26.55</v>
      </c>
      <c r="B507" s="166">
        <v>26</v>
      </c>
      <c r="C507" s="32">
        <v>55</v>
      </c>
      <c r="D507" s="33">
        <v>0.65</v>
      </c>
      <c r="E507" s="33">
        <v>0.76</v>
      </c>
      <c r="F507" s="33">
        <v>0.94</v>
      </c>
      <c r="G507" s="33">
        <v>1.1200000000000001</v>
      </c>
      <c r="H507" s="33">
        <v>1.24</v>
      </c>
      <c r="I507" s="33">
        <v>1.25</v>
      </c>
      <c r="J507" s="33">
        <v>1.17</v>
      </c>
      <c r="K507" s="33">
        <v>1.06</v>
      </c>
      <c r="L507" s="33">
        <v>0.92</v>
      </c>
      <c r="M507" s="33">
        <v>0.77</v>
      </c>
      <c r="N507" s="33">
        <v>0.65</v>
      </c>
      <c r="O507" s="33">
        <v>0.61</v>
      </c>
      <c r="P507" s="34">
        <f t="shared" si="19"/>
        <v>0.92833333333333323</v>
      </c>
    </row>
    <row r="508" spans="1:16" x14ac:dyDescent="0.25">
      <c r="A508" s="169">
        <f t="shared" si="18"/>
        <v>26.6</v>
      </c>
      <c r="B508" s="166">
        <v>26</v>
      </c>
      <c r="C508" s="32">
        <v>60</v>
      </c>
      <c r="D508" s="33">
        <v>0.57999999999999996</v>
      </c>
      <c r="E508" s="33">
        <v>0.71</v>
      </c>
      <c r="F508" s="33">
        <v>0.89</v>
      </c>
      <c r="G508" s="33">
        <v>1.08</v>
      </c>
      <c r="H508" s="33">
        <v>1.22</v>
      </c>
      <c r="I508" s="33">
        <v>1.23</v>
      </c>
      <c r="J508" s="33">
        <v>1.1499999999999999</v>
      </c>
      <c r="K508" s="33">
        <v>1.03</v>
      </c>
      <c r="L508" s="33">
        <v>0.87</v>
      </c>
      <c r="M508" s="33">
        <v>0.71</v>
      </c>
      <c r="N508" s="33">
        <v>0.59</v>
      </c>
      <c r="O508" s="33">
        <v>0.54</v>
      </c>
      <c r="P508" s="34">
        <f t="shared" si="19"/>
        <v>0.88333333333333341</v>
      </c>
    </row>
    <row r="509" spans="1:16" x14ac:dyDescent="0.25">
      <c r="A509" s="169">
        <f t="shared" si="18"/>
        <v>26.65</v>
      </c>
      <c r="B509" s="166">
        <v>26</v>
      </c>
      <c r="C509" s="32">
        <v>65</v>
      </c>
      <c r="D509" s="33">
        <v>0.51</v>
      </c>
      <c r="E509" s="33">
        <v>0.64</v>
      </c>
      <c r="F509" s="33">
        <v>0.83</v>
      </c>
      <c r="G509" s="33">
        <v>1.04</v>
      </c>
      <c r="H509" s="33">
        <v>1.18</v>
      </c>
      <c r="I509" s="33">
        <v>1.19</v>
      </c>
      <c r="J509" s="33">
        <v>1.1100000000000001</v>
      </c>
      <c r="K509" s="33">
        <v>0.98</v>
      </c>
      <c r="L509" s="33">
        <v>0.82</v>
      </c>
      <c r="M509" s="33">
        <v>0.65</v>
      </c>
      <c r="N509" s="33">
        <v>0.52</v>
      </c>
      <c r="O509" s="33">
        <v>0.47</v>
      </c>
      <c r="P509" s="34">
        <f t="shared" si="19"/>
        <v>0.82833333333333348</v>
      </c>
    </row>
    <row r="510" spans="1:16" x14ac:dyDescent="0.25">
      <c r="A510" s="169">
        <f t="shared" ref="A510:A573" si="20">B510+(C510/100)</f>
        <v>26.7</v>
      </c>
      <c r="B510" s="166">
        <v>26</v>
      </c>
      <c r="C510" s="32">
        <v>70</v>
      </c>
      <c r="D510" s="33">
        <v>0.44</v>
      </c>
      <c r="E510" s="33">
        <v>0.57999999999999996</v>
      </c>
      <c r="F510" s="33">
        <v>0.77</v>
      </c>
      <c r="G510" s="33">
        <v>0.99</v>
      </c>
      <c r="H510" s="33">
        <v>1.1399999999999999</v>
      </c>
      <c r="I510" s="33">
        <v>1.1599999999999999</v>
      </c>
      <c r="J510" s="33">
        <v>1.07</v>
      </c>
      <c r="K510" s="33">
        <v>0.94</v>
      </c>
      <c r="L510" s="33">
        <v>0.76</v>
      </c>
      <c r="M510" s="33">
        <v>0.57999999999999996</v>
      </c>
      <c r="N510" s="33">
        <v>0.45</v>
      </c>
      <c r="O510" s="33">
        <v>0.4</v>
      </c>
      <c r="P510" s="34">
        <f t="shared" si="19"/>
        <v>0.77333333333333332</v>
      </c>
    </row>
    <row r="511" spans="1:16" x14ac:dyDescent="0.25">
      <c r="A511" s="169">
        <f t="shared" si="20"/>
        <v>26.75</v>
      </c>
      <c r="B511" s="166">
        <v>26</v>
      </c>
      <c r="C511" s="32">
        <v>75</v>
      </c>
      <c r="D511" s="33">
        <v>0.37</v>
      </c>
      <c r="E511" s="33">
        <v>0.5</v>
      </c>
      <c r="F511" s="33">
        <v>0.71</v>
      </c>
      <c r="G511" s="33">
        <v>0.93</v>
      </c>
      <c r="H511" s="33">
        <v>1.0900000000000001</v>
      </c>
      <c r="I511" s="33">
        <v>1.1100000000000001</v>
      </c>
      <c r="J511" s="33">
        <v>1.02</v>
      </c>
      <c r="K511" s="33">
        <v>0.88</v>
      </c>
      <c r="L511" s="33">
        <v>0.7</v>
      </c>
      <c r="M511" s="33">
        <v>0.51</v>
      </c>
      <c r="N511" s="33">
        <v>0.37</v>
      </c>
      <c r="O511" s="33">
        <v>0.32</v>
      </c>
      <c r="P511" s="34">
        <f t="shared" si="19"/>
        <v>0.70916666666666661</v>
      </c>
    </row>
    <row r="512" spans="1:16" x14ac:dyDescent="0.25">
      <c r="A512" s="169">
        <f t="shared" si="20"/>
        <v>26.8</v>
      </c>
      <c r="B512" s="166">
        <v>26</v>
      </c>
      <c r="C512" s="32">
        <v>80</v>
      </c>
      <c r="D512" s="33">
        <v>0.28999999999999998</v>
      </c>
      <c r="E512" s="33">
        <v>0.43</v>
      </c>
      <c r="F512" s="33">
        <v>0.64</v>
      </c>
      <c r="G512" s="33">
        <v>0.87</v>
      </c>
      <c r="H512" s="33">
        <v>1.04</v>
      </c>
      <c r="I512" s="33">
        <v>1.06</v>
      </c>
      <c r="J512" s="33">
        <v>0.97</v>
      </c>
      <c r="K512" s="33">
        <v>0.82</v>
      </c>
      <c r="L512" s="33">
        <v>0.63</v>
      </c>
      <c r="M512" s="33">
        <v>0.44</v>
      </c>
      <c r="N512" s="33">
        <v>0.3</v>
      </c>
      <c r="O512" s="33">
        <v>0.24</v>
      </c>
      <c r="P512" s="34">
        <f t="shared" si="19"/>
        <v>0.64416666666666667</v>
      </c>
    </row>
    <row r="513" spans="1:16" x14ac:dyDescent="0.25">
      <c r="A513" s="169">
        <f t="shared" si="20"/>
        <v>26.85</v>
      </c>
      <c r="B513" s="166">
        <v>26</v>
      </c>
      <c r="C513" s="32">
        <v>85</v>
      </c>
      <c r="D513" s="33">
        <v>0.21</v>
      </c>
      <c r="E513" s="33">
        <v>0.35</v>
      </c>
      <c r="F513" s="33">
        <v>0.56999999999999995</v>
      </c>
      <c r="G513" s="33">
        <v>0.8</v>
      </c>
      <c r="H513" s="33">
        <v>0.97</v>
      </c>
      <c r="I513" s="33">
        <v>1</v>
      </c>
      <c r="J513" s="33">
        <v>0.91</v>
      </c>
      <c r="K513" s="33">
        <v>0.76</v>
      </c>
      <c r="L513" s="33">
        <v>0.56000000000000005</v>
      </c>
      <c r="M513" s="33">
        <v>0.37</v>
      </c>
      <c r="N513" s="33">
        <v>0.22</v>
      </c>
      <c r="O513" s="33">
        <v>0.16</v>
      </c>
      <c r="P513" s="34">
        <f t="shared" si="19"/>
        <v>0.57333333333333325</v>
      </c>
    </row>
    <row r="514" spans="1:16" x14ac:dyDescent="0.25">
      <c r="A514" s="169">
        <f t="shared" si="20"/>
        <v>26.9</v>
      </c>
      <c r="B514" s="166">
        <v>26</v>
      </c>
      <c r="C514" s="32">
        <v>90</v>
      </c>
      <c r="D514" s="33">
        <v>0.13</v>
      </c>
      <c r="E514" s="33">
        <v>0.27</v>
      </c>
      <c r="F514" s="33">
        <v>0.49</v>
      </c>
      <c r="G514" s="33">
        <v>0.73</v>
      </c>
      <c r="H514" s="33">
        <v>0.9</v>
      </c>
      <c r="I514" s="33">
        <v>0.93</v>
      </c>
      <c r="J514" s="33">
        <v>0.84</v>
      </c>
      <c r="K514" s="33">
        <v>0.69</v>
      </c>
      <c r="L514" s="33">
        <v>0.49</v>
      </c>
      <c r="M514" s="33">
        <v>0.28999999999999998</v>
      </c>
      <c r="N514" s="33">
        <v>0.14000000000000001</v>
      </c>
      <c r="O514" s="33">
        <v>0.08</v>
      </c>
      <c r="P514" s="34">
        <f t="shared" si="19"/>
        <v>0.49833333333333335</v>
      </c>
    </row>
    <row r="515" spans="1:16" x14ac:dyDescent="0.25">
      <c r="A515" s="169">
        <f t="shared" si="20"/>
        <v>27</v>
      </c>
      <c r="B515" s="166">
        <v>27</v>
      </c>
      <c r="C515" s="32">
        <v>0</v>
      </c>
      <c r="D515" s="33">
        <v>1</v>
      </c>
      <c r="E515" s="33">
        <v>1</v>
      </c>
      <c r="F515" s="33">
        <v>1</v>
      </c>
      <c r="G515" s="33">
        <v>1</v>
      </c>
      <c r="H515" s="33">
        <v>1</v>
      </c>
      <c r="I515" s="33">
        <v>1</v>
      </c>
      <c r="J515" s="33">
        <v>1</v>
      </c>
      <c r="K515" s="33">
        <v>1</v>
      </c>
      <c r="L515" s="33">
        <v>1</v>
      </c>
      <c r="M515" s="33">
        <v>1</v>
      </c>
      <c r="N515" s="33">
        <v>1</v>
      </c>
      <c r="O515" s="33">
        <v>1</v>
      </c>
      <c r="P515" s="34">
        <f t="shared" si="19"/>
        <v>1</v>
      </c>
    </row>
    <row r="516" spans="1:16" x14ac:dyDescent="0.25">
      <c r="A516" s="169">
        <f t="shared" si="20"/>
        <v>27.05</v>
      </c>
      <c r="B516" s="166">
        <v>27</v>
      </c>
      <c r="C516" s="32">
        <v>5</v>
      </c>
      <c r="D516" s="33">
        <v>1</v>
      </c>
      <c r="E516" s="33">
        <v>1.01</v>
      </c>
      <c r="F516" s="33">
        <v>1.03</v>
      </c>
      <c r="G516" s="33">
        <v>1.05</v>
      </c>
      <c r="H516" s="33">
        <v>1.06</v>
      </c>
      <c r="I516" s="33">
        <v>1.06</v>
      </c>
      <c r="J516" s="33">
        <v>1.05</v>
      </c>
      <c r="K516" s="33">
        <v>1.04</v>
      </c>
      <c r="L516" s="33">
        <v>1.03</v>
      </c>
      <c r="M516" s="33">
        <v>1.01</v>
      </c>
      <c r="N516" s="33">
        <v>1</v>
      </c>
      <c r="O516" s="33">
        <v>1</v>
      </c>
      <c r="P516" s="34">
        <f t="shared" si="19"/>
        <v>1.0283333333333333</v>
      </c>
    </row>
    <row r="517" spans="1:16" x14ac:dyDescent="0.25">
      <c r="A517" s="169">
        <f t="shared" si="20"/>
        <v>27.1</v>
      </c>
      <c r="B517" s="166">
        <v>27</v>
      </c>
      <c r="C517" s="32">
        <v>10</v>
      </c>
      <c r="D517" s="33">
        <v>1</v>
      </c>
      <c r="E517" s="33">
        <v>1.02</v>
      </c>
      <c r="F517" s="33">
        <v>1.06</v>
      </c>
      <c r="G517" s="33">
        <v>1.0900000000000001</v>
      </c>
      <c r="H517" s="33">
        <v>1.1200000000000001</v>
      </c>
      <c r="I517" s="33">
        <v>1.1100000000000001</v>
      </c>
      <c r="J517" s="33">
        <v>1.1000000000000001</v>
      </c>
      <c r="K517" s="33">
        <v>1.08</v>
      </c>
      <c r="L517" s="33">
        <v>1.05</v>
      </c>
      <c r="M517" s="33">
        <v>1.02</v>
      </c>
      <c r="N517" s="33">
        <v>1</v>
      </c>
      <c r="O517" s="33">
        <v>0.99</v>
      </c>
      <c r="P517" s="34">
        <f t="shared" si="19"/>
        <v>1.0533333333333335</v>
      </c>
    </row>
    <row r="518" spans="1:16" x14ac:dyDescent="0.25">
      <c r="A518" s="169">
        <f t="shared" si="20"/>
        <v>27.15</v>
      </c>
      <c r="B518" s="166">
        <v>27</v>
      </c>
      <c r="C518" s="32">
        <v>15</v>
      </c>
      <c r="D518" s="33">
        <v>0.99</v>
      </c>
      <c r="E518" s="33">
        <v>1.02</v>
      </c>
      <c r="F518" s="33">
        <v>1.07</v>
      </c>
      <c r="G518" s="33">
        <v>1.1299999999999999</v>
      </c>
      <c r="H518" s="33">
        <v>1.1599999999999999</v>
      </c>
      <c r="I518" s="33">
        <v>1.1599999999999999</v>
      </c>
      <c r="J518" s="33">
        <v>1.1399999999999999</v>
      </c>
      <c r="K518" s="33">
        <v>1.1000000000000001</v>
      </c>
      <c r="L518" s="33">
        <v>1.06</v>
      </c>
      <c r="M518" s="33">
        <v>1.02</v>
      </c>
      <c r="N518" s="33">
        <v>0.99</v>
      </c>
      <c r="O518" s="33">
        <v>0.97</v>
      </c>
      <c r="P518" s="34">
        <f t="shared" si="19"/>
        <v>1.0675000000000001</v>
      </c>
    </row>
    <row r="519" spans="1:16" x14ac:dyDescent="0.25">
      <c r="A519" s="169">
        <f t="shared" si="20"/>
        <v>27.2</v>
      </c>
      <c r="B519" s="166">
        <v>27</v>
      </c>
      <c r="C519" s="32">
        <v>20</v>
      </c>
      <c r="D519" s="33">
        <v>0.97</v>
      </c>
      <c r="E519" s="33">
        <v>1.01</v>
      </c>
      <c r="F519" s="33">
        <v>1.08</v>
      </c>
      <c r="G519" s="33">
        <v>1.1599999999999999</v>
      </c>
      <c r="H519" s="33">
        <v>1.21</v>
      </c>
      <c r="I519" s="33">
        <v>1.2</v>
      </c>
      <c r="J519" s="33">
        <v>1.17</v>
      </c>
      <c r="K519" s="33">
        <v>1.1299999999999999</v>
      </c>
      <c r="L519" s="33">
        <v>1.07</v>
      </c>
      <c r="M519" s="33">
        <v>1.01</v>
      </c>
      <c r="N519" s="33">
        <v>0.97</v>
      </c>
      <c r="O519" s="33">
        <v>0.95</v>
      </c>
      <c r="P519" s="34">
        <f t="shared" si="19"/>
        <v>1.0774999999999999</v>
      </c>
    </row>
    <row r="520" spans="1:16" x14ac:dyDescent="0.25">
      <c r="A520" s="169">
        <f t="shared" si="20"/>
        <v>27.25</v>
      </c>
      <c r="B520" s="166">
        <v>27</v>
      </c>
      <c r="C520" s="32">
        <v>25</v>
      </c>
      <c r="D520" s="33">
        <v>0.94</v>
      </c>
      <c r="E520" s="33">
        <v>1</v>
      </c>
      <c r="F520" s="33">
        <v>1.0900000000000001</v>
      </c>
      <c r="G520" s="33">
        <v>1.18</v>
      </c>
      <c r="H520" s="33">
        <v>1.24</v>
      </c>
      <c r="I520" s="33">
        <v>1.24</v>
      </c>
      <c r="J520" s="33">
        <v>1.19</v>
      </c>
      <c r="K520" s="33">
        <v>1.1399999999999999</v>
      </c>
      <c r="L520" s="33">
        <v>1.07</v>
      </c>
      <c r="M520" s="33">
        <v>1</v>
      </c>
      <c r="N520" s="33">
        <v>0.94</v>
      </c>
      <c r="O520" s="33">
        <v>0.92</v>
      </c>
      <c r="P520" s="34">
        <f t="shared" si="19"/>
        <v>1.0791666666666668</v>
      </c>
    </row>
    <row r="521" spans="1:16" x14ac:dyDescent="0.25">
      <c r="A521" s="169">
        <f t="shared" si="20"/>
        <v>27.3</v>
      </c>
      <c r="B521" s="166">
        <v>27</v>
      </c>
      <c r="C521" s="32">
        <v>30</v>
      </c>
      <c r="D521" s="33">
        <v>0.91</v>
      </c>
      <c r="E521" s="33">
        <v>0.98</v>
      </c>
      <c r="F521" s="33">
        <v>1.08</v>
      </c>
      <c r="G521" s="33">
        <v>1.19</v>
      </c>
      <c r="H521" s="33">
        <v>1.26</v>
      </c>
      <c r="I521" s="33">
        <v>1.26</v>
      </c>
      <c r="J521" s="33">
        <v>1.21</v>
      </c>
      <c r="K521" s="33">
        <v>1.1499999999999999</v>
      </c>
      <c r="L521" s="33">
        <v>1.06</v>
      </c>
      <c r="M521" s="33">
        <v>0.98</v>
      </c>
      <c r="N521" s="33">
        <v>0.91</v>
      </c>
      <c r="O521" s="33">
        <v>0.88</v>
      </c>
      <c r="P521" s="34">
        <f t="shared" si="19"/>
        <v>1.0725</v>
      </c>
    </row>
    <row r="522" spans="1:16" x14ac:dyDescent="0.25">
      <c r="A522" s="169">
        <f t="shared" si="20"/>
        <v>27.35</v>
      </c>
      <c r="B522" s="166">
        <v>27</v>
      </c>
      <c r="C522" s="32">
        <v>35</v>
      </c>
      <c r="D522" s="33">
        <v>0.87</v>
      </c>
      <c r="E522" s="33">
        <v>0.95</v>
      </c>
      <c r="F522" s="33">
        <v>1.07</v>
      </c>
      <c r="G522" s="33">
        <v>1.2</v>
      </c>
      <c r="H522" s="33">
        <v>1.28</v>
      </c>
      <c r="I522" s="33">
        <v>1.28</v>
      </c>
      <c r="J522" s="33">
        <v>1.22</v>
      </c>
      <c r="K522" s="33">
        <v>1.1499999999999999</v>
      </c>
      <c r="L522" s="33">
        <v>1.05</v>
      </c>
      <c r="M522" s="33">
        <v>0.95</v>
      </c>
      <c r="N522" s="33">
        <v>0.87</v>
      </c>
      <c r="O522" s="33">
        <v>0.84</v>
      </c>
      <c r="P522" s="34">
        <f t="shared" si="19"/>
        <v>1.0608333333333333</v>
      </c>
    </row>
    <row r="523" spans="1:16" x14ac:dyDescent="0.25">
      <c r="A523" s="169">
        <f t="shared" si="20"/>
        <v>27.4</v>
      </c>
      <c r="B523" s="166">
        <v>27</v>
      </c>
      <c r="C523" s="32">
        <v>40</v>
      </c>
      <c r="D523" s="33">
        <v>0.83</v>
      </c>
      <c r="E523" s="33">
        <v>0.92</v>
      </c>
      <c r="F523" s="33">
        <v>1.05</v>
      </c>
      <c r="G523" s="33">
        <v>1.19</v>
      </c>
      <c r="H523" s="33">
        <v>1.29</v>
      </c>
      <c r="I523" s="33">
        <v>1.29</v>
      </c>
      <c r="J523" s="33">
        <v>1.22</v>
      </c>
      <c r="K523" s="33">
        <v>1.1399999999999999</v>
      </c>
      <c r="L523" s="33">
        <v>1.03</v>
      </c>
      <c r="M523" s="33">
        <v>0.91</v>
      </c>
      <c r="N523" s="33">
        <v>0.83</v>
      </c>
      <c r="O523" s="33">
        <v>0.79</v>
      </c>
      <c r="P523" s="34">
        <f t="shared" si="19"/>
        <v>1.0408333333333333</v>
      </c>
    </row>
    <row r="524" spans="1:16" x14ac:dyDescent="0.25">
      <c r="A524" s="169">
        <f t="shared" si="20"/>
        <v>27.45</v>
      </c>
      <c r="B524" s="166">
        <v>27</v>
      </c>
      <c r="C524" s="32">
        <v>45</v>
      </c>
      <c r="D524" s="33">
        <v>0.78</v>
      </c>
      <c r="E524" s="33">
        <v>0.88</v>
      </c>
      <c r="F524" s="33">
        <v>1.02</v>
      </c>
      <c r="G524" s="33">
        <v>1.18</v>
      </c>
      <c r="H524" s="33">
        <v>1.29</v>
      </c>
      <c r="I524" s="33">
        <v>1.29</v>
      </c>
      <c r="J524" s="33">
        <v>1.22</v>
      </c>
      <c r="K524" s="33">
        <v>1.1200000000000001</v>
      </c>
      <c r="L524" s="33">
        <v>1</v>
      </c>
      <c r="M524" s="33">
        <v>0.87</v>
      </c>
      <c r="N524" s="33">
        <v>0.78</v>
      </c>
      <c r="O524" s="33">
        <v>0.74</v>
      </c>
      <c r="P524" s="34">
        <f t="shared" si="19"/>
        <v>1.0141666666666667</v>
      </c>
    </row>
    <row r="525" spans="1:16" x14ac:dyDescent="0.25">
      <c r="A525" s="169">
        <f t="shared" si="20"/>
        <v>27.5</v>
      </c>
      <c r="B525" s="166">
        <v>27</v>
      </c>
      <c r="C525" s="32">
        <v>50</v>
      </c>
      <c r="D525" s="33">
        <v>0.72</v>
      </c>
      <c r="E525" s="33">
        <v>0.83</v>
      </c>
      <c r="F525" s="33">
        <v>0.99</v>
      </c>
      <c r="G525" s="33">
        <v>1.1599999999999999</v>
      </c>
      <c r="H525" s="33">
        <v>1.28</v>
      </c>
      <c r="I525" s="33">
        <v>1.28</v>
      </c>
      <c r="J525" s="33">
        <v>1.21</v>
      </c>
      <c r="K525" s="33">
        <v>1.1000000000000001</v>
      </c>
      <c r="L525" s="33">
        <v>0.97</v>
      </c>
      <c r="M525" s="33">
        <v>0.83</v>
      </c>
      <c r="N525" s="33">
        <v>0.72</v>
      </c>
      <c r="O525" s="33">
        <v>0.68</v>
      </c>
      <c r="P525" s="34">
        <f t="shared" si="19"/>
        <v>0.98083333333333345</v>
      </c>
    </row>
    <row r="526" spans="1:16" x14ac:dyDescent="0.25">
      <c r="A526" s="169">
        <f t="shared" si="20"/>
        <v>27.55</v>
      </c>
      <c r="B526" s="166">
        <v>27</v>
      </c>
      <c r="C526" s="32">
        <v>55</v>
      </c>
      <c r="D526" s="33">
        <v>0.66</v>
      </c>
      <c r="E526" s="33">
        <v>0.78</v>
      </c>
      <c r="F526" s="33">
        <v>0.95</v>
      </c>
      <c r="G526" s="33">
        <v>1.1299999999999999</v>
      </c>
      <c r="H526" s="33">
        <v>1.26</v>
      </c>
      <c r="I526" s="33">
        <v>1.27</v>
      </c>
      <c r="J526" s="33">
        <v>1.19</v>
      </c>
      <c r="K526" s="33">
        <v>1.07</v>
      </c>
      <c r="L526" s="33">
        <v>0.93</v>
      </c>
      <c r="M526" s="33">
        <v>0.78</v>
      </c>
      <c r="N526" s="33">
        <v>0.66</v>
      </c>
      <c r="O526" s="33">
        <v>0.62</v>
      </c>
      <c r="P526" s="34">
        <f t="shared" si="19"/>
        <v>0.94166666666666643</v>
      </c>
    </row>
    <row r="527" spans="1:16" x14ac:dyDescent="0.25">
      <c r="A527" s="169">
        <f t="shared" si="20"/>
        <v>27.6</v>
      </c>
      <c r="B527" s="166">
        <v>27</v>
      </c>
      <c r="C527" s="32">
        <v>60</v>
      </c>
      <c r="D527" s="33">
        <v>0.6</v>
      </c>
      <c r="E527" s="33">
        <v>0.72</v>
      </c>
      <c r="F527" s="33">
        <v>0.9</v>
      </c>
      <c r="G527" s="33">
        <v>1.1000000000000001</v>
      </c>
      <c r="H527" s="33">
        <v>1.24</v>
      </c>
      <c r="I527" s="33">
        <v>1.24</v>
      </c>
      <c r="J527" s="33">
        <v>0.16</v>
      </c>
      <c r="K527" s="33">
        <v>1.04</v>
      </c>
      <c r="L527" s="33">
        <v>0.88</v>
      </c>
      <c r="M527" s="33">
        <v>0.72</v>
      </c>
      <c r="N527" s="33">
        <v>0.6</v>
      </c>
      <c r="O527" s="33">
        <v>0.55000000000000004</v>
      </c>
      <c r="P527" s="34">
        <f t="shared" si="19"/>
        <v>0.8125</v>
      </c>
    </row>
    <row r="528" spans="1:16" x14ac:dyDescent="0.25">
      <c r="A528" s="169">
        <f t="shared" si="20"/>
        <v>27.65</v>
      </c>
      <c r="B528" s="166">
        <v>27</v>
      </c>
      <c r="C528" s="32">
        <v>65</v>
      </c>
      <c r="D528" s="33">
        <v>0.53</v>
      </c>
      <c r="E528" s="33">
        <v>0.66</v>
      </c>
      <c r="F528" s="33">
        <v>0.85</v>
      </c>
      <c r="G528" s="33">
        <v>1.06</v>
      </c>
      <c r="H528" s="33">
        <v>1.2</v>
      </c>
      <c r="I528" s="33">
        <v>1.21</v>
      </c>
      <c r="J528" s="33">
        <v>1.1299999999999999</v>
      </c>
      <c r="K528" s="33">
        <v>1</v>
      </c>
      <c r="L528" s="33">
        <v>0.83</v>
      </c>
      <c r="M528" s="33">
        <v>0.66</v>
      </c>
      <c r="N528" s="33">
        <v>0.53</v>
      </c>
      <c r="O528" s="33">
        <v>0.48</v>
      </c>
      <c r="P528" s="34">
        <f t="shared" si="19"/>
        <v>0.84499999999999986</v>
      </c>
    </row>
    <row r="529" spans="1:16" x14ac:dyDescent="0.25">
      <c r="A529" s="169">
        <f t="shared" si="20"/>
        <v>27.7</v>
      </c>
      <c r="B529" s="166">
        <v>27</v>
      </c>
      <c r="C529" s="32">
        <v>70</v>
      </c>
      <c r="D529" s="33">
        <v>0.45</v>
      </c>
      <c r="E529" s="33">
        <v>0.59</v>
      </c>
      <c r="F529" s="33">
        <v>0.79</v>
      </c>
      <c r="G529" s="33">
        <v>1.01</v>
      </c>
      <c r="H529" s="33">
        <v>1.1599999999999999</v>
      </c>
      <c r="I529" s="33">
        <v>1.17</v>
      </c>
      <c r="J529" s="33">
        <v>1.0900000000000001</v>
      </c>
      <c r="K529" s="33">
        <v>0.95</v>
      </c>
      <c r="L529" s="33">
        <v>0.78</v>
      </c>
      <c r="M529" s="33">
        <v>0.6</v>
      </c>
      <c r="N529" s="33">
        <v>0.46</v>
      </c>
      <c r="O529" s="33">
        <v>0.41</v>
      </c>
      <c r="P529" s="34">
        <f t="shared" si="19"/>
        <v>0.78833333333333344</v>
      </c>
    </row>
    <row r="530" spans="1:16" x14ac:dyDescent="0.25">
      <c r="A530" s="169">
        <f t="shared" si="20"/>
        <v>27.75</v>
      </c>
      <c r="B530" s="166">
        <v>27</v>
      </c>
      <c r="C530" s="32">
        <v>75</v>
      </c>
      <c r="D530" s="33">
        <v>0.38</v>
      </c>
      <c r="E530" s="33">
        <v>0.52</v>
      </c>
      <c r="F530" s="33">
        <v>0.73</v>
      </c>
      <c r="G530" s="33">
        <v>0.95</v>
      </c>
      <c r="H530" s="33">
        <v>0.11</v>
      </c>
      <c r="I530" s="33">
        <v>1.1299999999999999</v>
      </c>
      <c r="J530" s="33">
        <v>1.04</v>
      </c>
      <c r="K530" s="33">
        <v>0.9</v>
      </c>
      <c r="L530" s="33">
        <v>0.71</v>
      </c>
      <c r="M530" s="33">
        <v>0.53</v>
      </c>
      <c r="N530" s="33">
        <v>0.39</v>
      </c>
      <c r="O530" s="33">
        <v>0.33</v>
      </c>
      <c r="P530" s="34">
        <f t="shared" si="19"/>
        <v>0.64333333333333331</v>
      </c>
    </row>
    <row r="531" spans="1:16" x14ac:dyDescent="0.25">
      <c r="A531" s="169">
        <f t="shared" si="20"/>
        <v>27.8</v>
      </c>
      <c r="B531" s="166">
        <v>27</v>
      </c>
      <c r="C531" s="32">
        <v>80</v>
      </c>
      <c r="D531" s="33">
        <v>0.3</v>
      </c>
      <c r="E531" s="33">
        <v>0.45</v>
      </c>
      <c r="F531" s="33">
        <v>0.66</v>
      </c>
      <c r="G531" s="33">
        <v>0.89</v>
      </c>
      <c r="H531" s="33">
        <v>1.06</v>
      </c>
      <c r="I531" s="33">
        <v>1.08</v>
      </c>
      <c r="J531" s="33">
        <v>0.98</v>
      </c>
      <c r="K531" s="33">
        <v>0.84</v>
      </c>
      <c r="L531" s="33">
        <v>0.65</v>
      </c>
      <c r="M531" s="33">
        <v>0.45</v>
      </c>
      <c r="N531" s="33">
        <v>0.31</v>
      </c>
      <c r="O531" s="33">
        <v>0.26</v>
      </c>
      <c r="P531" s="34">
        <f t="shared" si="19"/>
        <v>0.66083333333333327</v>
      </c>
    </row>
    <row r="532" spans="1:16" x14ac:dyDescent="0.25">
      <c r="A532" s="169">
        <f t="shared" si="20"/>
        <v>27.85</v>
      </c>
      <c r="B532" s="166">
        <v>27</v>
      </c>
      <c r="C532" s="32">
        <v>85</v>
      </c>
      <c r="D532" s="33">
        <v>0.22</v>
      </c>
      <c r="E532" s="33">
        <v>0.37</v>
      </c>
      <c r="F532" s="33">
        <v>0.57999999999999996</v>
      </c>
      <c r="G532" s="33">
        <v>0.82</v>
      </c>
      <c r="H532" s="33">
        <v>1</v>
      </c>
      <c r="I532" s="33">
        <v>1.02</v>
      </c>
      <c r="J532" s="33">
        <v>0.93</v>
      </c>
      <c r="K532" s="33">
        <v>0.78</v>
      </c>
      <c r="L532" s="33">
        <v>0.57999999999999996</v>
      </c>
      <c r="M532" s="33">
        <v>0.38</v>
      </c>
      <c r="N532" s="33">
        <v>0.23</v>
      </c>
      <c r="O532" s="33">
        <v>0.18</v>
      </c>
      <c r="P532" s="34">
        <f t="shared" si="19"/>
        <v>0.59083333333333332</v>
      </c>
    </row>
    <row r="533" spans="1:16" x14ac:dyDescent="0.25">
      <c r="A533" s="169">
        <f t="shared" si="20"/>
        <v>27.9</v>
      </c>
      <c r="B533" s="166">
        <v>27</v>
      </c>
      <c r="C533" s="32">
        <v>90</v>
      </c>
      <c r="D533" s="33">
        <v>0.14000000000000001</v>
      </c>
      <c r="E533" s="33">
        <v>0.28999999999999998</v>
      </c>
      <c r="F533" s="33">
        <v>0.51</v>
      </c>
      <c r="G533" s="33">
        <v>0.75</v>
      </c>
      <c r="H533" s="33">
        <v>0.93</v>
      </c>
      <c r="I533" s="33">
        <v>0.95</v>
      </c>
      <c r="J533" s="33">
        <v>0.86</v>
      </c>
      <c r="K533" s="33">
        <v>0.71</v>
      </c>
      <c r="L533" s="33">
        <v>0.51</v>
      </c>
      <c r="M533" s="33">
        <v>0.3</v>
      </c>
      <c r="N533" s="33">
        <v>0.15</v>
      </c>
      <c r="O533" s="33">
        <v>0.1</v>
      </c>
      <c r="P533" s="34">
        <f t="shared" si="19"/>
        <v>0.51666666666666672</v>
      </c>
    </row>
    <row r="534" spans="1:16" x14ac:dyDescent="0.25">
      <c r="A534" s="169">
        <f t="shared" si="20"/>
        <v>28</v>
      </c>
      <c r="B534" s="166">
        <v>28</v>
      </c>
      <c r="C534" s="32">
        <v>0</v>
      </c>
      <c r="D534" s="33">
        <v>1</v>
      </c>
      <c r="E534" s="33">
        <v>1</v>
      </c>
      <c r="F534" s="33">
        <v>1</v>
      </c>
      <c r="G534" s="33">
        <v>1</v>
      </c>
      <c r="H534" s="33">
        <v>1</v>
      </c>
      <c r="I534" s="33">
        <v>1</v>
      </c>
      <c r="J534" s="33">
        <v>1</v>
      </c>
      <c r="K534" s="33">
        <v>1</v>
      </c>
      <c r="L534" s="33">
        <v>1</v>
      </c>
      <c r="M534" s="33">
        <v>1</v>
      </c>
      <c r="N534" s="33">
        <v>1</v>
      </c>
      <c r="O534" s="33">
        <v>1</v>
      </c>
      <c r="P534" s="34">
        <f t="shared" si="19"/>
        <v>1</v>
      </c>
    </row>
    <row r="535" spans="1:16" x14ac:dyDescent="0.25">
      <c r="A535" s="169">
        <f t="shared" si="20"/>
        <v>28.05</v>
      </c>
      <c r="B535" s="166">
        <v>28</v>
      </c>
      <c r="C535" s="32">
        <v>5</v>
      </c>
      <c r="D535" s="33">
        <v>1</v>
      </c>
      <c r="E535" s="33">
        <v>1.02</v>
      </c>
      <c r="F535" s="33">
        <v>1.03</v>
      </c>
      <c r="G535" s="33">
        <v>1.05</v>
      </c>
      <c r="H535" s="33">
        <v>1.06</v>
      </c>
      <c r="I535" s="33">
        <v>1.06</v>
      </c>
      <c r="J535" s="33">
        <v>1.05</v>
      </c>
      <c r="K535" s="33">
        <v>1.04</v>
      </c>
      <c r="L535" s="33">
        <v>1.03</v>
      </c>
      <c r="M535" s="33">
        <v>1.01</v>
      </c>
      <c r="N535" s="33">
        <v>1</v>
      </c>
      <c r="O535" s="33">
        <v>1</v>
      </c>
      <c r="P535" s="34">
        <f t="shared" si="19"/>
        <v>1.0291666666666666</v>
      </c>
    </row>
    <row r="536" spans="1:16" x14ac:dyDescent="0.25">
      <c r="A536" s="169">
        <f t="shared" si="20"/>
        <v>28.1</v>
      </c>
      <c r="B536" s="166">
        <v>28</v>
      </c>
      <c r="C536" s="32">
        <v>10</v>
      </c>
      <c r="D536" s="33">
        <v>1</v>
      </c>
      <c r="E536" s="33">
        <v>1.02</v>
      </c>
      <c r="F536" s="33">
        <v>1.06</v>
      </c>
      <c r="G536" s="33">
        <v>1.1000000000000001</v>
      </c>
      <c r="H536" s="33">
        <v>1.1200000000000001</v>
      </c>
      <c r="I536" s="33">
        <v>1.1200000000000001</v>
      </c>
      <c r="J536" s="33">
        <v>1.1000000000000001</v>
      </c>
      <c r="K536" s="33">
        <v>1.08</v>
      </c>
      <c r="L536" s="33">
        <v>1.05</v>
      </c>
      <c r="M536" s="33">
        <v>1.02</v>
      </c>
      <c r="N536" s="33">
        <v>1</v>
      </c>
      <c r="O536" s="33">
        <v>0.99</v>
      </c>
      <c r="P536" s="34">
        <f t="shared" si="19"/>
        <v>1.0549999999999999</v>
      </c>
    </row>
    <row r="537" spans="1:16" x14ac:dyDescent="0.25">
      <c r="A537" s="169">
        <f t="shared" si="20"/>
        <v>28.15</v>
      </c>
      <c r="B537" s="166">
        <v>28</v>
      </c>
      <c r="C537" s="32">
        <v>15</v>
      </c>
      <c r="D537" s="33">
        <v>0.99</v>
      </c>
      <c r="E537" s="33">
        <v>1.03</v>
      </c>
      <c r="F537" s="33">
        <v>1.08</v>
      </c>
      <c r="G537" s="33">
        <v>1.1299999999999999</v>
      </c>
      <c r="H537" s="33">
        <v>1.17</v>
      </c>
      <c r="I537" s="33">
        <v>1.17</v>
      </c>
      <c r="J537" s="33">
        <v>1.1399999999999999</v>
      </c>
      <c r="K537" s="33">
        <v>1.1100000000000001</v>
      </c>
      <c r="L537" s="33">
        <v>1.07</v>
      </c>
      <c r="M537" s="33">
        <v>1.02</v>
      </c>
      <c r="N537" s="33">
        <v>0.99</v>
      </c>
      <c r="O537" s="33">
        <v>0.98</v>
      </c>
      <c r="P537" s="34">
        <f t="shared" si="19"/>
        <v>1.0733333333333335</v>
      </c>
    </row>
    <row r="538" spans="1:16" x14ac:dyDescent="0.25">
      <c r="A538" s="169">
        <f t="shared" si="20"/>
        <v>28.2</v>
      </c>
      <c r="B538" s="166">
        <v>28</v>
      </c>
      <c r="C538" s="32">
        <v>20</v>
      </c>
      <c r="D538" s="33">
        <v>0.97</v>
      </c>
      <c r="E538" s="33">
        <v>1.02</v>
      </c>
      <c r="F538" s="33">
        <v>1.0900000000000001</v>
      </c>
      <c r="G538" s="33">
        <v>1.1599999999999999</v>
      </c>
      <c r="H538" s="33">
        <v>1.21</v>
      </c>
      <c r="I538" s="33">
        <v>1.21</v>
      </c>
      <c r="J538" s="33">
        <v>1.17</v>
      </c>
      <c r="K538" s="33">
        <v>1.1299999999999999</v>
      </c>
      <c r="L538" s="33">
        <v>1.08</v>
      </c>
      <c r="M538" s="33">
        <v>1.02</v>
      </c>
      <c r="N538" s="33">
        <v>0.97</v>
      </c>
      <c r="O538" s="33">
        <v>0.95</v>
      </c>
      <c r="P538" s="34">
        <f t="shared" si="19"/>
        <v>1.0816666666666668</v>
      </c>
    </row>
    <row r="539" spans="1:16" x14ac:dyDescent="0.25">
      <c r="A539" s="169">
        <f t="shared" si="20"/>
        <v>28.25</v>
      </c>
      <c r="B539" s="166">
        <v>28</v>
      </c>
      <c r="C539" s="32">
        <v>25</v>
      </c>
      <c r="D539" s="33">
        <v>0.95</v>
      </c>
      <c r="E539" s="33">
        <v>1.01</v>
      </c>
      <c r="F539" s="33">
        <v>1.0900000000000001</v>
      </c>
      <c r="G539" s="33">
        <v>1.19</v>
      </c>
      <c r="H539" s="33">
        <v>1.25</v>
      </c>
      <c r="I539" s="33">
        <v>1.24</v>
      </c>
      <c r="J539" s="33">
        <v>1.2</v>
      </c>
      <c r="K539" s="33">
        <v>1.1499999999999999</v>
      </c>
      <c r="L539" s="33">
        <v>1.08</v>
      </c>
      <c r="M539" s="33">
        <v>1</v>
      </c>
      <c r="N539" s="33">
        <v>0.95</v>
      </c>
      <c r="O539" s="33">
        <v>0.93</v>
      </c>
      <c r="P539" s="34">
        <f t="shared" si="19"/>
        <v>1.0866666666666667</v>
      </c>
    </row>
    <row r="540" spans="1:16" x14ac:dyDescent="0.25">
      <c r="A540" s="169">
        <f t="shared" si="20"/>
        <v>28.3</v>
      </c>
      <c r="B540" s="166">
        <v>28</v>
      </c>
      <c r="C540" s="32">
        <v>30</v>
      </c>
      <c r="D540" s="33">
        <v>0.92</v>
      </c>
      <c r="E540" s="33">
        <v>0.99</v>
      </c>
      <c r="F540" s="33">
        <v>1.0900000000000001</v>
      </c>
      <c r="G540" s="33">
        <v>1.2</v>
      </c>
      <c r="H540" s="33">
        <v>1.27</v>
      </c>
      <c r="I540" s="33">
        <v>1.27</v>
      </c>
      <c r="J540" s="33">
        <v>1.22</v>
      </c>
      <c r="K540" s="33">
        <v>1.1499999999999999</v>
      </c>
      <c r="L540" s="33">
        <v>1.07</v>
      </c>
      <c r="M540" s="33">
        <v>0.98</v>
      </c>
      <c r="N540" s="33">
        <v>0.92</v>
      </c>
      <c r="O540" s="33">
        <v>0.89</v>
      </c>
      <c r="P540" s="34">
        <f t="shared" si="19"/>
        <v>1.0808333333333333</v>
      </c>
    </row>
    <row r="541" spans="1:16" x14ac:dyDescent="0.25">
      <c r="A541" s="169">
        <f t="shared" si="20"/>
        <v>28.35</v>
      </c>
      <c r="B541" s="166">
        <v>28</v>
      </c>
      <c r="C541" s="32">
        <v>35</v>
      </c>
      <c r="D541" s="33">
        <v>0.88</v>
      </c>
      <c r="E541" s="33">
        <v>0.96</v>
      </c>
      <c r="F541" s="33">
        <v>1.08</v>
      </c>
      <c r="G541" s="33">
        <v>1.21</v>
      </c>
      <c r="H541" s="33">
        <v>1.29</v>
      </c>
      <c r="I541" s="33">
        <v>1.29</v>
      </c>
      <c r="J541" s="33">
        <v>1.23</v>
      </c>
      <c r="K541" s="33">
        <v>1.1599999999999999</v>
      </c>
      <c r="L541" s="33">
        <v>1.06</v>
      </c>
      <c r="M541" s="33">
        <v>0.96</v>
      </c>
      <c r="N541" s="33">
        <v>0.88</v>
      </c>
      <c r="O541" s="33">
        <v>0.85</v>
      </c>
      <c r="P541" s="34">
        <f t="shared" si="19"/>
        <v>1.0708333333333335</v>
      </c>
    </row>
    <row r="542" spans="1:16" x14ac:dyDescent="0.25">
      <c r="A542" s="169">
        <f t="shared" si="20"/>
        <v>28.4</v>
      </c>
      <c r="B542" s="166">
        <v>28</v>
      </c>
      <c r="C542" s="32">
        <v>40</v>
      </c>
      <c r="D542" s="33">
        <v>0.84</v>
      </c>
      <c r="E542" s="33">
        <v>0.93</v>
      </c>
      <c r="F542" s="33">
        <v>1.06</v>
      </c>
      <c r="G542" s="33">
        <v>1.21</v>
      </c>
      <c r="H542" s="33">
        <v>1.3</v>
      </c>
      <c r="I542" s="33">
        <v>1.3</v>
      </c>
      <c r="J542" s="33">
        <v>1.24</v>
      </c>
      <c r="K542" s="33">
        <v>1.1499999999999999</v>
      </c>
      <c r="L542" s="33">
        <v>1.04</v>
      </c>
      <c r="M542" s="33">
        <v>0.92</v>
      </c>
      <c r="N542" s="33">
        <v>0.84</v>
      </c>
      <c r="O542" s="33">
        <v>0.8</v>
      </c>
      <c r="P542" s="34">
        <f t="shared" si="19"/>
        <v>1.0525</v>
      </c>
    </row>
    <row r="543" spans="1:16" x14ac:dyDescent="0.25">
      <c r="A543" s="169">
        <f t="shared" si="20"/>
        <v>28.45</v>
      </c>
      <c r="B543" s="166">
        <v>28</v>
      </c>
      <c r="C543" s="32">
        <v>45</v>
      </c>
      <c r="D543" s="33">
        <v>0.79</v>
      </c>
      <c r="E543" s="33">
        <v>0.89</v>
      </c>
      <c r="F543" s="33">
        <v>1.04</v>
      </c>
      <c r="G543" s="33">
        <v>1.2</v>
      </c>
      <c r="H543" s="33">
        <v>1.3</v>
      </c>
      <c r="I543" s="33">
        <v>1.3</v>
      </c>
      <c r="J543" s="33">
        <v>1.23</v>
      </c>
      <c r="K543" s="33">
        <v>1.1399999999999999</v>
      </c>
      <c r="L543" s="33">
        <v>1.01</v>
      </c>
      <c r="M543" s="33">
        <v>0.89</v>
      </c>
      <c r="N543" s="33">
        <v>0.79</v>
      </c>
      <c r="O543" s="33">
        <v>0.75</v>
      </c>
      <c r="P543" s="34">
        <f t="shared" si="19"/>
        <v>1.0275000000000001</v>
      </c>
    </row>
    <row r="544" spans="1:16" x14ac:dyDescent="0.25">
      <c r="A544" s="169">
        <f t="shared" si="20"/>
        <v>28.5</v>
      </c>
      <c r="B544" s="166">
        <v>28</v>
      </c>
      <c r="C544" s="32">
        <v>50</v>
      </c>
      <c r="D544" s="33">
        <v>0.73</v>
      </c>
      <c r="E544" s="33">
        <v>0.84</v>
      </c>
      <c r="F544" s="33">
        <v>1</v>
      </c>
      <c r="G544" s="33">
        <v>1.18</v>
      </c>
      <c r="H544" s="33">
        <v>1.3</v>
      </c>
      <c r="I544" s="33">
        <v>1.3</v>
      </c>
      <c r="J544" s="33">
        <v>1.22</v>
      </c>
      <c r="K544" s="33">
        <v>1.1200000000000001</v>
      </c>
      <c r="L544" s="33">
        <v>0.98</v>
      </c>
      <c r="M544" s="33">
        <v>0.84</v>
      </c>
      <c r="N544" s="33">
        <v>0.73</v>
      </c>
      <c r="O544" s="33">
        <v>0.69</v>
      </c>
      <c r="P544" s="34">
        <f t="shared" si="19"/>
        <v>0.99416666666666664</v>
      </c>
    </row>
    <row r="545" spans="1:16" x14ac:dyDescent="0.25">
      <c r="A545" s="169">
        <f t="shared" si="20"/>
        <v>28.55</v>
      </c>
      <c r="B545" s="166">
        <v>28</v>
      </c>
      <c r="C545" s="32">
        <v>55</v>
      </c>
      <c r="D545" s="33">
        <v>0.67</v>
      </c>
      <c r="E545" s="33">
        <v>0.79</v>
      </c>
      <c r="F545" s="33">
        <v>0.96</v>
      </c>
      <c r="G545" s="33">
        <v>1.1499999999999999</v>
      </c>
      <c r="H545" s="33">
        <v>1.28</v>
      </c>
      <c r="I545" s="33">
        <v>1.28</v>
      </c>
      <c r="J545" s="33">
        <v>1.2</v>
      </c>
      <c r="K545" s="33">
        <v>1.0900000000000001</v>
      </c>
      <c r="L545" s="33">
        <v>0.94</v>
      </c>
      <c r="M545" s="33">
        <v>0.79</v>
      </c>
      <c r="N545" s="33">
        <v>0.68</v>
      </c>
      <c r="O545" s="33">
        <v>0.63</v>
      </c>
      <c r="P545" s="34">
        <f t="shared" si="19"/>
        <v>0.95499999999999996</v>
      </c>
    </row>
    <row r="546" spans="1:16" x14ac:dyDescent="0.25">
      <c r="A546" s="169">
        <f t="shared" si="20"/>
        <v>28.6</v>
      </c>
      <c r="B546" s="166">
        <v>28</v>
      </c>
      <c r="C546" s="32">
        <v>60</v>
      </c>
      <c r="D546" s="33">
        <v>0.61</v>
      </c>
      <c r="E546" s="33">
        <v>0.73</v>
      </c>
      <c r="F546" s="33">
        <v>0.92</v>
      </c>
      <c r="G546" s="33">
        <v>1.1200000000000001</v>
      </c>
      <c r="H546" s="33">
        <v>1.26</v>
      </c>
      <c r="I546" s="33">
        <v>1.26</v>
      </c>
      <c r="J546" s="33">
        <v>1.18</v>
      </c>
      <c r="K546" s="33">
        <v>1.05</v>
      </c>
      <c r="L546" s="33">
        <v>0.9</v>
      </c>
      <c r="M546" s="33">
        <v>0.73</v>
      </c>
      <c r="N546" s="33">
        <v>0.61</v>
      </c>
      <c r="O546" s="33">
        <v>0.56999999999999995</v>
      </c>
      <c r="P546" s="34">
        <f t="shared" si="19"/>
        <v>0.91166666666666663</v>
      </c>
    </row>
    <row r="547" spans="1:16" x14ac:dyDescent="0.25">
      <c r="A547" s="169">
        <f t="shared" si="20"/>
        <v>28.65</v>
      </c>
      <c r="B547" s="166">
        <v>28</v>
      </c>
      <c r="C547" s="32">
        <v>65</v>
      </c>
      <c r="D547" s="33">
        <v>0.54</v>
      </c>
      <c r="E547" s="33">
        <v>0.67</v>
      </c>
      <c r="F547" s="33">
        <v>0.86</v>
      </c>
      <c r="G547" s="33">
        <v>1.08</v>
      </c>
      <c r="H547" s="33">
        <v>1.22</v>
      </c>
      <c r="I547" s="33">
        <v>1.23</v>
      </c>
      <c r="J547" s="33">
        <v>1.1399999999999999</v>
      </c>
      <c r="K547" s="33">
        <v>1.01</v>
      </c>
      <c r="L547" s="33">
        <v>0.85</v>
      </c>
      <c r="M547" s="33">
        <v>0.67</v>
      </c>
      <c r="N547" s="33">
        <v>0.55000000000000004</v>
      </c>
      <c r="O547" s="33">
        <v>0.5</v>
      </c>
      <c r="P547" s="34">
        <f t="shared" si="19"/>
        <v>0.86</v>
      </c>
    </row>
    <row r="548" spans="1:16" x14ac:dyDescent="0.25">
      <c r="A548" s="169">
        <f t="shared" si="20"/>
        <v>28.7</v>
      </c>
      <c r="B548" s="166">
        <v>28</v>
      </c>
      <c r="C548" s="32">
        <v>70</v>
      </c>
      <c r="D548" s="33">
        <v>0.47</v>
      </c>
      <c r="E548" s="33">
        <v>0.6</v>
      </c>
      <c r="F548" s="33">
        <v>0.81</v>
      </c>
      <c r="G548" s="33">
        <v>1.03</v>
      </c>
      <c r="H548" s="33">
        <v>1.18</v>
      </c>
      <c r="I548" s="33">
        <v>1.19</v>
      </c>
      <c r="J548" s="33">
        <v>1.1000000000000001</v>
      </c>
      <c r="K548" s="33">
        <v>0.97</v>
      </c>
      <c r="L548" s="33">
        <v>0.79</v>
      </c>
      <c r="M548" s="33">
        <v>0.61</v>
      </c>
      <c r="N548" s="33">
        <v>0.48</v>
      </c>
      <c r="O548" s="33">
        <v>0.42</v>
      </c>
      <c r="P548" s="34">
        <f t="shared" si="19"/>
        <v>0.80416666666666659</v>
      </c>
    </row>
    <row r="549" spans="1:16" x14ac:dyDescent="0.25">
      <c r="A549" s="169">
        <f t="shared" si="20"/>
        <v>28.75</v>
      </c>
      <c r="B549" s="166">
        <v>28</v>
      </c>
      <c r="C549" s="32">
        <v>75</v>
      </c>
      <c r="D549" s="33">
        <v>0.39</v>
      </c>
      <c r="E549" s="33">
        <v>0.53</v>
      </c>
      <c r="F549" s="33">
        <v>0.74</v>
      </c>
      <c r="G549" s="33">
        <v>0.97</v>
      </c>
      <c r="H549" s="33">
        <v>1.1399999999999999</v>
      </c>
      <c r="I549" s="33">
        <v>1.1499999999999999</v>
      </c>
      <c r="J549" s="33">
        <v>1.06</v>
      </c>
      <c r="K549" s="33">
        <v>0.91</v>
      </c>
      <c r="L549" s="33">
        <v>0.73</v>
      </c>
      <c r="M549" s="33">
        <v>0.54</v>
      </c>
      <c r="N549" s="33">
        <v>0.4</v>
      </c>
      <c r="O549" s="33">
        <v>0.35</v>
      </c>
      <c r="P549" s="34">
        <f t="shared" si="19"/>
        <v>0.74250000000000005</v>
      </c>
    </row>
    <row r="550" spans="1:16" x14ac:dyDescent="0.25">
      <c r="A550" s="169">
        <f t="shared" si="20"/>
        <v>28.8</v>
      </c>
      <c r="B550" s="166">
        <v>28</v>
      </c>
      <c r="C550" s="32">
        <v>80</v>
      </c>
      <c r="D550" s="33">
        <v>0.32</v>
      </c>
      <c r="E550" s="33">
        <v>0.46</v>
      </c>
      <c r="F550" s="33">
        <v>0.67</v>
      </c>
      <c r="G550" s="33">
        <v>0.91</v>
      </c>
      <c r="H550" s="33">
        <v>1.08</v>
      </c>
      <c r="I550" s="33">
        <v>1.1000000000000001</v>
      </c>
      <c r="J550" s="33">
        <v>1</v>
      </c>
      <c r="K550" s="33">
        <v>0.86</v>
      </c>
      <c r="L550" s="33">
        <v>0.66</v>
      </c>
      <c r="M550" s="33">
        <v>0.47</v>
      </c>
      <c r="N550" s="33">
        <v>0.33</v>
      </c>
      <c r="O550" s="33">
        <v>0.27</v>
      </c>
      <c r="P550" s="34">
        <f t="shared" si="19"/>
        <v>0.6775000000000001</v>
      </c>
    </row>
    <row r="551" spans="1:16" x14ac:dyDescent="0.25">
      <c r="A551" s="169">
        <f t="shared" si="20"/>
        <v>28.85</v>
      </c>
      <c r="B551" s="166">
        <v>28</v>
      </c>
      <c r="C551" s="32">
        <v>85</v>
      </c>
      <c r="D551" s="33">
        <v>0.24</v>
      </c>
      <c r="E551" s="33">
        <v>0.38</v>
      </c>
      <c r="F551" s="33">
        <v>0.6</v>
      </c>
      <c r="G551" s="33">
        <v>0.84</v>
      </c>
      <c r="H551" s="33">
        <v>1.02</v>
      </c>
      <c r="I551" s="33">
        <v>1.04</v>
      </c>
      <c r="J551" s="33">
        <v>0.94</v>
      </c>
      <c r="K551" s="33">
        <v>0.79</v>
      </c>
      <c r="L551" s="33">
        <v>0.59</v>
      </c>
      <c r="M551" s="33">
        <v>0.39</v>
      </c>
      <c r="N551" s="33">
        <v>0.25</v>
      </c>
      <c r="O551" s="33">
        <v>0.19</v>
      </c>
      <c r="P551" s="34">
        <f t="shared" si="19"/>
        <v>0.60583333333333333</v>
      </c>
    </row>
    <row r="552" spans="1:16" x14ac:dyDescent="0.25">
      <c r="A552" s="169">
        <f t="shared" si="20"/>
        <v>28.9</v>
      </c>
      <c r="B552" s="166">
        <v>28</v>
      </c>
      <c r="C552" s="32">
        <v>90</v>
      </c>
      <c r="D552" s="33">
        <v>0.16</v>
      </c>
      <c r="E552" s="33">
        <v>0.31</v>
      </c>
      <c r="F552" s="33">
        <v>0.53</v>
      </c>
      <c r="G552" s="33">
        <v>0.77</v>
      </c>
      <c r="H552" s="33">
        <v>0.95</v>
      </c>
      <c r="I552" s="33">
        <v>0.98</v>
      </c>
      <c r="J552" s="33">
        <v>0.88</v>
      </c>
      <c r="K552" s="33">
        <v>0.72</v>
      </c>
      <c r="L552" s="33">
        <v>0.52</v>
      </c>
      <c r="M552" s="33">
        <v>0.32</v>
      </c>
      <c r="N552" s="33">
        <v>0.17</v>
      </c>
      <c r="O552" s="33">
        <v>0.11</v>
      </c>
      <c r="P552" s="34">
        <f t="shared" si="19"/>
        <v>0.53500000000000003</v>
      </c>
    </row>
    <row r="553" spans="1:16" x14ac:dyDescent="0.25">
      <c r="A553" s="169">
        <f t="shared" si="20"/>
        <v>29</v>
      </c>
      <c r="B553" s="166">
        <v>29</v>
      </c>
      <c r="C553" s="32">
        <v>0</v>
      </c>
      <c r="D553" s="33">
        <v>1</v>
      </c>
      <c r="E553" s="33">
        <v>1</v>
      </c>
      <c r="F553" s="33">
        <v>1</v>
      </c>
      <c r="G553" s="33">
        <v>1</v>
      </c>
      <c r="H553" s="33">
        <v>1</v>
      </c>
      <c r="I553" s="33">
        <v>1</v>
      </c>
      <c r="J553" s="33">
        <v>1</v>
      </c>
      <c r="K553" s="33">
        <v>1</v>
      </c>
      <c r="L553" s="33">
        <v>1</v>
      </c>
      <c r="M553" s="33">
        <v>1</v>
      </c>
      <c r="N553" s="33">
        <v>1</v>
      </c>
      <c r="O553" s="33">
        <v>1</v>
      </c>
      <c r="P553" s="34">
        <f t="shared" si="19"/>
        <v>1</v>
      </c>
    </row>
    <row r="554" spans="1:16" x14ac:dyDescent="0.25">
      <c r="A554" s="169">
        <f t="shared" si="20"/>
        <v>29.05</v>
      </c>
      <c r="B554" s="166">
        <v>29</v>
      </c>
      <c r="C554" s="32">
        <v>5</v>
      </c>
      <c r="D554" s="33">
        <v>1</v>
      </c>
      <c r="E554" s="33">
        <v>1.02</v>
      </c>
      <c r="F554" s="33">
        <v>12.03</v>
      </c>
      <c r="G554" s="33">
        <v>1.05</v>
      </c>
      <c r="H554" s="33">
        <v>1.07</v>
      </c>
      <c r="I554" s="33">
        <v>1.06</v>
      </c>
      <c r="J554" s="33">
        <v>1.05</v>
      </c>
      <c r="K554" s="33">
        <v>1.04</v>
      </c>
      <c r="L554" s="33">
        <v>1.03</v>
      </c>
      <c r="M554" s="33">
        <v>1.02</v>
      </c>
      <c r="N554" s="33">
        <v>1</v>
      </c>
      <c r="O554" s="33">
        <v>1</v>
      </c>
      <c r="P554" s="34">
        <f t="shared" si="19"/>
        <v>1.9474999999999998</v>
      </c>
    </row>
    <row r="555" spans="1:16" x14ac:dyDescent="0.25">
      <c r="A555" s="169">
        <f t="shared" si="20"/>
        <v>29.1</v>
      </c>
      <c r="B555" s="166">
        <v>29</v>
      </c>
      <c r="C555" s="32">
        <v>10</v>
      </c>
      <c r="D555" s="33">
        <v>1</v>
      </c>
      <c r="E555" s="33">
        <v>1.03</v>
      </c>
      <c r="F555" s="33">
        <v>1.06</v>
      </c>
      <c r="G555" s="33">
        <v>1.1000000000000001</v>
      </c>
      <c r="H555" s="33">
        <v>1.1200000000000001</v>
      </c>
      <c r="I555" s="33">
        <v>1.1200000000000001</v>
      </c>
      <c r="J555" s="33">
        <v>1.1000000000000001</v>
      </c>
      <c r="K555" s="33">
        <v>1.08</v>
      </c>
      <c r="L555" s="33">
        <v>1.05</v>
      </c>
      <c r="M555" s="33">
        <v>1.02</v>
      </c>
      <c r="N555" s="33">
        <v>1</v>
      </c>
      <c r="O555" s="33">
        <v>0.99</v>
      </c>
      <c r="P555" s="34">
        <f t="shared" si="19"/>
        <v>1.0558333333333334</v>
      </c>
    </row>
    <row r="556" spans="1:16" x14ac:dyDescent="0.25">
      <c r="A556" s="169">
        <f t="shared" si="20"/>
        <v>29.15</v>
      </c>
      <c r="B556" s="166">
        <v>29</v>
      </c>
      <c r="C556" s="32">
        <v>15</v>
      </c>
      <c r="D556" s="33">
        <v>0.99</v>
      </c>
      <c r="E556" s="33">
        <v>1.03</v>
      </c>
      <c r="F556" s="33">
        <v>1.08</v>
      </c>
      <c r="G556" s="33">
        <v>1.1399999999999999</v>
      </c>
      <c r="H556" s="33">
        <v>1.18</v>
      </c>
      <c r="I556" s="33">
        <v>1.17</v>
      </c>
      <c r="J556" s="33">
        <v>1.1499999999999999</v>
      </c>
      <c r="K556" s="33">
        <v>1.1100000000000001</v>
      </c>
      <c r="L556" s="33">
        <v>1.07</v>
      </c>
      <c r="M556" s="33">
        <v>1.03</v>
      </c>
      <c r="N556" s="33">
        <v>0.99</v>
      </c>
      <c r="O556" s="33">
        <v>0.98</v>
      </c>
      <c r="P556" s="34">
        <f t="shared" si="19"/>
        <v>1.0766666666666667</v>
      </c>
    </row>
    <row r="557" spans="1:16" x14ac:dyDescent="0.25">
      <c r="A557" s="169">
        <f t="shared" si="20"/>
        <v>29.2</v>
      </c>
      <c r="B557" s="166">
        <v>29</v>
      </c>
      <c r="C557" s="32">
        <v>20</v>
      </c>
      <c r="D557" s="33">
        <v>0.98</v>
      </c>
      <c r="E557" s="33">
        <v>1.03</v>
      </c>
      <c r="F557" s="33">
        <v>1.1000000000000001</v>
      </c>
      <c r="G557" s="33">
        <v>1.17</v>
      </c>
      <c r="H557" s="33">
        <v>1.22</v>
      </c>
      <c r="I557" s="33">
        <v>1.22</v>
      </c>
      <c r="J557" s="33">
        <v>1.18</v>
      </c>
      <c r="K557" s="33">
        <v>1.1399999999999999</v>
      </c>
      <c r="L557" s="33">
        <v>1.08</v>
      </c>
      <c r="M557" s="33">
        <v>1.02</v>
      </c>
      <c r="N557" s="33">
        <v>0.98</v>
      </c>
      <c r="O557" s="33">
        <v>0.96</v>
      </c>
      <c r="P557" s="34">
        <f t="shared" si="19"/>
        <v>1.0899999999999999</v>
      </c>
    </row>
    <row r="558" spans="1:16" x14ac:dyDescent="0.25">
      <c r="A558" s="169">
        <f t="shared" si="20"/>
        <v>29.25</v>
      </c>
      <c r="B558" s="166">
        <v>29</v>
      </c>
      <c r="C558" s="32">
        <v>25</v>
      </c>
      <c r="D558" s="33">
        <v>0.95</v>
      </c>
      <c r="E558" s="33">
        <v>1.01</v>
      </c>
      <c r="F558" s="33">
        <v>1.1000000000000001</v>
      </c>
      <c r="G558" s="33">
        <v>1.2</v>
      </c>
      <c r="H558" s="33">
        <v>1.26</v>
      </c>
      <c r="I558" s="33">
        <v>1.25</v>
      </c>
      <c r="J558" s="33">
        <v>1.21</v>
      </c>
      <c r="K558" s="33">
        <v>1.1499999999999999</v>
      </c>
      <c r="L558" s="33">
        <v>1.08</v>
      </c>
      <c r="M558" s="33">
        <v>1.01</v>
      </c>
      <c r="N558" s="33">
        <v>0.95</v>
      </c>
      <c r="O558" s="33">
        <v>0.93</v>
      </c>
      <c r="P558" s="34">
        <f t="shared" si="19"/>
        <v>1.0916666666666666</v>
      </c>
    </row>
    <row r="559" spans="1:16" x14ac:dyDescent="0.25">
      <c r="A559" s="169">
        <f t="shared" si="20"/>
        <v>29.3</v>
      </c>
      <c r="B559" s="166">
        <v>29</v>
      </c>
      <c r="C559" s="32">
        <v>30</v>
      </c>
      <c r="D559" s="33">
        <v>0.92</v>
      </c>
      <c r="E559" s="33">
        <v>1</v>
      </c>
      <c r="F559" s="33">
        <v>1.1000000000000001</v>
      </c>
      <c r="G559" s="33">
        <v>1.21</v>
      </c>
      <c r="H559" s="33">
        <v>1.28</v>
      </c>
      <c r="I559" s="33">
        <v>1.28</v>
      </c>
      <c r="J559" s="33">
        <v>1.23</v>
      </c>
      <c r="K559" s="33">
        <v>1.1599999999999999</v>
      </c>
      <c r="L559" s="33">
        <v>1.08</v>
      </c>
      <c r="M559" s="33">
        <v>0.99</v>
      </c>
      <c r="N559" s="33">
        <v>0.92</v>
      </c>
      <c r="O559" s="33">
        <v>0.9</v>
      </c>
      <c r="P559" s="34">
        <f t="shared" si="19"/>
        <v>1.0891666666666668</v>
      </c>
    </row>
    <row r="560" spans="1:16" x14ac:dyDescent="0.25">
      <c r="A560" s="169">
        <f t="shared" si="20"/>
        <v>29.35</v>
      </c>
      <c r="B560" s="166">
        <v>29</v>
      </c>
      <c r="C560" s="32">
        <v>35</v>
      </c>
      <c r="D560" s="33">
        <v>0.89</v>
      </c>
      <c r="E560" s="33">
        <v>0.97</v>
      </c>
      <c r="F560" s="33">
        <v>1.0900000000000001</v>
      </c>
      <c r="G560" s="33">
        <v>1.22</v>
      </c>
      <c r="H560" s="33">
        <v>1.3</v>
      </c>
      <c r="I560" s="33">
        <v>1.3</v>
      </c>
      <c r="J560" s="33">
        <v>1.24</v>
      </c>
      <c r="K560" s="33">
        <v>1.17</v>
      </c>
      <c r="L560" s="33">
        <v>1.07</v>
      </c>
      <c r="M560" s="33">
        <v>0.97</v>
      </c>
      <c r="N560" s="33">
        <v>0.89</v>
      </c>
      <c r="O560" s="33">
        <v>0.86</v>
      </c>
      <c r="P560" s="34">
        <f t="shared" si="19"/>
        <v>1.0808333333333333</v>
      </c>
    </row>
    <row r="561" spans="1:16" x14ac:dyDescent="0.25">
      <c r="A561" s="169">
        <f t="shared" si="20"/>
        <v>29.4</v>
      </c>
      <c r="B561" s="166">
        <v>29</v>
      </c>
      <c r="C561" s="32">
        <v>40</v>
      </c>
      <c r="D561" s="33">
        <v>0.85</v>
      </c>
      <c r="E561" s="33">
        <v>0.94</v>
      </c>
      <c r="F561" s="33">
        <v>1.07</v>
      </c>
      <c r="G561" s="33">
        <v>1.22</v>
      </c>
      <c r="H561" s="33">
        <v>1.32</v>
      </c>
      <c r="I561" s="33">
        <v>1.31</v>
      </c>
      <c r="J561" s="33">
        <v>1.25</v>
      </c>
      <c r="K561" s="33">
        <v>1.1599999999999999</v>
      </c>
      <c r="L561" s="33">
        <v>1.05</v>
      </c>
      <c r="M561" s="33">
        <v>0.93</v>
      </c>
      <c r="N561" s="33">
        <v>0.85</v>
      </c>
      <c r="O561" s="33">
        <v>0.81</v>
      </c>
      <c r="P561" s="34">
        <f t="shared" si="19"/>
        <v>1.0633333333333335</v>
      </c>
    </row>
    <row r="562" spans="1:16" x14ac:dyDescent="0.25">
      <c r="A562" s="169">
        <f t="shared" si="20"/>
        <v>29.45</v>
      </c>
      <c r="B562" s="166">
        <v>29</v>
      </c>
      <c r="C562" s="32">
        <v>45</v>
      </c>
      <c r="D562" s="33">
        <v>0.8</v>
      </c>
      <c r="E562" s="33">
        <v>0.9</v>
      </c>
      <c r="F562" s="33">
        <v>1.05</v>
      </c>
      <c r="G562" s="33">
        <v>1.21</v>
      </c>
      <c r="H562" s="33">
        <v>1.32</v>
      </c>
      <c r="I562" s="33">
        <v>1.32</v>
      </c>
      <c r="J562" s="33">
        <v>1.24</v>
      </c>
      <c r="K562" s="33">
        <v>1.1499999999999999</v>
      </c>
      <c r="L562" s="33">
        <v>1.02</v>
      </c>
      <c r="M562" s="33">
        <v>0.9</v>
      </c>
      <c r="N562" s="33">
        <v>0.8</v>
      </c>
      <c r="O562" s="33">
        <v>0.76</v>
      </c>
      <c r="P562" s="34">
        <f t="shared" si="19"/>
        <v>1.0391666666666668</v>
      </c>
    </row>
    <row r="563" spans="1:16" x14ac:dyDescent="0.25">
      <c r="A563" s="169">
        <f t="shared" si="20"/>
        <v>29.5</v>
      </c>
      <c r="B563" s="166">
        <v>29</v>
      </c>
      <c r="C563" s="32">
        <v>50</v>
      </c>
      <c r="D563" s="33">
        <v>0.74</v>
      </c>
      <c r="E563" s="33">
        <v>0.85</v>
      </c>
      <c r="F563" s="33">
        <v>1.02</v>
      </c>
      <c r="G563" s="33">
        <v>119</v>
      </c>
      <c r="H563" s="33">
        <v>1.31</v>
      </c>
      <c r="I563" s="33">
        <v>1.31</v>
      </c>
      <c r="J563" s="33">
        <v>1.23</v>
      </c>
      <c r="K563" s="33">
        <v>1.1299999999999999</v>
      </c>
      <c r="L563" s="33">
        <v>0.99</v>
      </c>
      <c r="M563" s="33">
        <v>0.85</v>
      </c>
      <c r="N563" s="33">
        <v>0.75</v>
      </c>
      <c r="O563" s="33">
        <v>0.71</v>
      </c>
      <c r="P563" s="34">
        <f t="shared" si="19"/>
        <v>10.824166666666668</v>
      </c>
    </row>
    <row r="564" spans="1:16" x14ac:dyDescent="0.25">
      <c r="A564" s="169">
        <f t="shared" si="20"/>
        <v>29.55</v>
      </c>
      <c r="B564" s="166">
        <v>29</v>
      </c>
      <c r="C564" s="32">
        <v>55</v>
      </c>
      <c r="D564" s="33">
        <v>0.68</v>
      </c>
      <c r="E564" s="33">
        <v>0.8</v>
      </c>
      <c r="F564" s="33">
        <v>0.98</v>
      </c>
      <c r="G564" s="33">
        <v>1.17</v>
      </c>
      <c r="H564" s="33">
        <v>1.3</v>
      </c>
      <c r="I564" s="33">
        <v>1.3</v>
      </c>
      <c r="J564" s="33">
        <v>1.22</v>
      </c>
      <c r="K564" s="33">
        <v>1.1000000000000001</v>
      </c>
      <c r="L564" s="33">
        <v>0.95</v>
      </c>
      <c r="M564" s="33">
        <v>0.8</v>
      </c>
      <c r="N564" s="33">
        <v>0.69</v>
      </c>
      <c r="O564" s="33">
        <v>0.64</v>
      </c>
      <c r="P564" s="34">
        <f t="shared" ref="P564:P627" si="21">AVERAGE(D564:O564)</f>
        <v>0.96916666666666662</v>
      </c>
    </row>
    <row r="565" spans="1:16" x14ac:dyDescent="0.25">
      <c r="A565" s="169">
        <f t="shared" si="20"/>
        <v>29.6</v>
      </c>
      <c r="B565" s="166">
        <v>29</v>
      </c>
      <c r="C565" s="32">
        <v>60</v>
      </c>
      <c r="D565" s="33">
        <v>0.62</v>
      </c>
      <c r="E565" s="33">
        <v>0.75</v>
      </c>
      <c r="F565" s="33">
        <v>0.93</v>
      </c>
      <c r="G565" s="33">
        <v>1.1399999999999999</v>
      </c>
      <c r="H565" s="33">
        <v>1.28</v>
      </c>
      <c r="I565" s="33">
        <v>1.28</v>
      </c>
      <c r="J565" s="33">
        <v>1.19</v>
      </c>
      <c r="K565" s="33">
        <v>1.07</v>
      </c>
      <c r="L565" s="33">
        <v>0.91</v>
      </c>
      <c r="M565" s="33">
        <v>0.75</v>
      </c>
      <c r="N565" s="33">
        <v>0.63</v>
      </c>
      <c r="O565" s="33">
        <v>0.57999999999999996</v>
      </c>
      <c r="P565" s="34">
        <f t="shared" si="21"/>
        <v>0.92750000000000021</v>
      </c>
    </row>
    <row r="566" spans="1:16" x14ac:dyDescent="0.25">
      <c r="A566" s="169">
        <f t="shared" si="20"/>
        <v>29.65</v>
      </c>
      <c r="B566" s="166">
        <v>29</v>
      </c>
      <c r="C566" s="32">
        <v>65</v>
      </c>
      <c r="D566" s="33">
        <v>0.55000000000000004</v>
      </c>
      <c r="E566" s="33">
        <v>0.69</v>
      </c>
      <c r="F566" s="33">
        <v>0.88</v>
      </c>
      <c r="G566" s="33">
        <v>1.1000000000000001</v>
      </c>
      <c r="H566" s="33">
        <v>1.24</v>
      </c>
      <c r="I566" s="33">
        <v>1.25</v>
      </c>
      <c r="J566" s="33">
        <v>1.1599999999999999</v>
      </c>
      <c r="K566" s="33">
        <v>1.03</v>
      </c>
      <c r="L566" s="33">
        <v>0.86</v>
      </c>
      <c r="M566" s="33">
        <v>0.69</v>
      </c>
      <c r="N566" s="33">
        <v>0.56000000000000005</v>
      </c>
      <c r="O566" s="33">
        <v>0.51</v>
      </c>
      <c r="P566" s="34">
        <f t="shared" si="21"/>
        <v>0.87666666666666659</v>
      </c>
    </row>
    <row r="567" spans="1:16" x14ac:dyDescent="0.25">
      <c r="A567" s="169">
        <f t="shared" si="20"/>
        <v>29.7</v>
      </c>
      <c r="B567" s="166">
        <v>29</v>
      </c>
      <c r="C567" s="32">
        <v>70</v>
      </c>
      <c r="D567" s="33">
        <v>0.48</v>
      </c>
      <c r="E567" s="33">
        <v>0.62</v>
      </c>
      <c r="F567" s="33">
        <v>0.82</v>
      </c>
      <c r="G567" s="33">
        <v>1.05</v>
      </c>
      <c r="H567" s="33">
        <v>1.2</v>
      </c>
      <c r="I567" s="33">
        <v>1.22</v>
      </c>
      <c r="J567" s="33">
        <v>1.1200000000000001</v>
      </c>
      <c r="K567" s="33">
        <v>0.98</v>
      </c>
      <c r="L567" s="33">
        <v>0.8</v>
      </c>
      <c r="M567" s="33">
        <v>0.62</v>
      </c>
      <c r="N567" s="33">
        <v>0.49</v>
      </c>
      <c r="O567" s="33">
        <v>0.44</v>
      </c>
      <c r="P567" s="34">
        <f t="shared" si="21"/>
        <v>0.82</v>
      </c>
    </row>
    <row r="568" spans="1:16" x14ac:dyDescent="0.25">
      <c r="A568" s="169">
        <f t="shared" si="20"/>
        <v>29.75</v>
      </c>
      <c r="B568" s="166">
        <v>29</v>
      </c>
      <c r="C568" s="32">
        <v>75</v>
      </c>
      <c r="D568" s="33">
        <v>0.41</v>
      </c>
      <c r="E568" s="33">
        <v>0.55000000000000004</v>
      </c>
      <c r="F568" s="33">
        <v>0.76</v>
      </c>
      <c r="G568" s="33">
        <v>0.99</v>
      </c>
      <c r="H568" s="33">
        <v>1.1599999999999999</v>
      </c>
      <c r="I568" s="33">
        <v>1.17</v>
      </c>
      <c r="J568" s="33">
        <v>1.07</v>
      </c>
      <c r="K568" s="33">
        <v>0.93</v>
      </c>
      <c r="L568" s="33">
        <v>0.74</v>
      </c>
      <c r="M568" s="33">
        <v>0.55000000000000004</v>
      </c>
      <c r="N568" s="33">
        <v>0.42</v>
      </c>
      <c r="O568" s="33">
        <v>0.36</v>
      </c>
      <c r="P568" s="34">
        <f t="shared" si="21"/>
        <v>0.75916666666666666</v>
      </c>
    </row>
    <row r="569" spans="1:16" x14ac:dyDescent="0.25">
      <c r="A569" s="169">
        <f t="shared" si="20"/>
        <v>29.8</v>
      </c>
      <c r="B569" s="166">
        <v>29</v>
      </c>
      <c r="C569" s="32">
        <v>80</v>
      </c>
      <c r="D569" s="33">
        <v>0.33</v>
      </c>
      <c r="E569" s="33">
        <v>0.48</v>
      </c>
      <c r="F569" s="33">
        <v>0.69</v>
      </c>
      <c r="G569" s="33">
        <v>0.93</v>
      </c>
      <c r="H569" s="33">
        <v>1.1000000000000001</v>
      </c>
      <c r="I569" s="33">
        <v>1.1200000000000001</v>
      </c>
      <c r="J569" s="33">
        <v>1.02</v>
      </c>
      <c r="K569" s="33">
        <v>0.87</v>
      </c>
      <c r="L569" s="33">
        <v>0.68</v>
      </c>
      <c r="M569" s="33">
        <v>0.48</v>
      </c>
      <c r="N569" s="33">
        <v>0.34</v>
      </c>
      <c r="O569" s="33">
        <v>0.28000000000000003</v>
      </c>
      <c r="P569" s="34">
        <f t="shared" si="21"/>
        <v>0.69333333333333325</v>
      </c>
    </row>
    <row r="570" spans="1:16" x14ac:dyDescent="0.25">
      <c r="A570" s="169">
        <f t="shared" si="20"/>
        <v>29.85</v>
      </c>
      <c r="B570" s="166">
        <v>29</v>
      </c>
      <c r="C570" s="32">
        <v>85</v>
      </c>
      <c r="D570" s="33">
        <v>0.25</v>
      </c>
      <c r="E570" s="33">
        <v>0.4</v>
      </c>
      <c r="F570" s="33">
        <v>0.62</v>
      </c>
      <c r="G570" s="33">
        <v>0.87</v>
      </c>
      <c r="H570" s="33">
        <v>1.04</v>
      </c>
      <c r="I570" s="33">
        <v>1.06</v>
      </c>
      <c r="J570" s="33">
        <v>0.96</v>
      </c>
      <c r="K570" s="33">
        <v>0.81</v>
      </c>
      <c r="L570" s="33">
        <v>0.61</v>
      </c>
      <c r="M570" s="33">
        <v>0.41</v>
      </c>
      <c r="N570" s="33">
        <v>0.26</v>
      </c>
      <c r="O570" s="33">
        <v>0.21</v>
      </c>
      <c r="P570" s="34">
        <f t="shared" si="21"/>
        <v>0.625</v>
      </c>
    </row>
    <row r="571" spans="1:16" x14ac:dyDescent="0.25">
      <c r="A571" s="169">
        <f t="shared" si="20"/>
        <v>29.9</v>
      </c>
      <c r="B571" s="166">
        <v>29</v>
      </c>
      <c r="C571" s="32">
        <v>90</v>
      </c>
      <c r="D571" s="33">
        <v>0.17</v>
      </c>
      <c r="E571" s="33">
        <v>0.32</v>
      </c>
      <c r="F571" s="33">
        <v>0.54</v>
      </c>
      <c r="G571" s="33">
        <v>0.79</v>
      </c>
      <c r="H571" s="33">
        <v>0.97</v>
      </c>
      <c r="I571" s="33">
        <v>1</v>
      </c>
      <c r="J571" s="33">
        <v>0.9</v>
      </c>
      <c r="K571" s="33">
        <v>0.74</v>
      </c>
      <c r="L571" s="33">
        <v>0.54</v>
      </c>
      <c r="M571" s="33">
        <v>0.33</v>
      </c>
      <c r="N571" s="33">
        <v>0.18</v>
      </c>
      <c r="O571" s="33">
        <v>0.13</v>
      </c>
      <c r="P571" s="34">
        <f t="shared" si="21"/>
        <v>0.5508333333333334</v>
      </c>
    </row>
    <row r="572" spans="1:16" x14ac:dyDescent="0.25">
      <c r="A572" s="169">
        <f t="shared" si="20"/>
        <v>30</v>
      </c>
      <c r="B572" s="166">
        <v>30</v>
      </c>
      <c r="C572" s="32">
        <v>0</v>
      </c>
      <c r="D572" s="33">
        <v>1</v>
      </c>
      <c r="E572" s="33">
        <v>1</v>
      </c>
      <c r="F572" s="33">
        <v>1</v>
      </c>
      <c r="G572" s="33">
        <v>1</v>
      </c>
      <c r="H572" s="33">
        <v>1</v>
      </c>
      <c r="I572" s="33">
        <v>1</v>
      </c>
      <c r="J572" s="33">
        <v>1</v>
      </c>
      <c r="K572" s="33">
        <v>1</v>
      </c>
      <c r="L572" s="33">
        <v>1</v>
      </c>
      <c r="M572" s="33">
        <v>1</v>
      </c>
      <c r="N572" s="33">
        <v>1</v>
      </c>
      <c r="O572" s="33">
        <v>1</v>
      </c>
      <c r="P572" s="34">
        <f t="shared" si="21"/>
        <v>1</v>
      </c>
    </row>
    <row r="573" spans="1:16" x14ac:dyDescent="0.25">
      <c r="A573" s="169">
        <f t="shared" si="20"/>
        <v>30.05</v>
      </c>
      <c r="B573" s="166">
        <v>30</v>
      </c>
      <c r="C573" s="32">
        <v>5</v>
      </c>
      <c r="D573" s="33">
        <v>1.01</v>
      </c>
      <c r="E573" s="33">
        <v>1.02</v>
      </c>
      <c r="F573" s="33">
        <v>1.04</v>
      </c>
      <c r="G573" s="33">
        <v>1.06</v>
      </c>
      <c r="H573" s="33">
        <v>1.07</v>
      </c>
      <c r="I573" s="33">
        <v>1.07</v>
      </c>
      <c r="J573" s="33">
        <v>1.06</v>
      </c>
      <c r="K573" s="33">
        <v>1.05</v>
      </c>
      <c r="L573" s="33">
        <v>1.03</v>
      </c>
      <c r="M573" s="33">
        <v>1.02</v>
      </c>
      <c r="N573" s="33">
        <v>1.01</v>
      </c>
      <c r="O573" s="33">
        <v>1</v>
      </c>
      <c r="P573" s="34">
        <f t="shared" si="21"/>
        <v>1.0366666666666668</v>
      </c>
    </row>
    <row r="574" spans="1:16" x14ac:dyDescent="0.25">
      <c r="A574" s="169">
        <f t="shared" ref="A574:A637" si="22">B574+(C574/100)</f>
        <v>30.1</v>
      </c>
      <c r="B574" s="166">
        <v>30</v>
      </c>
      <c r="C574" s="32">
        <v>10</v>
      </c>
      <c r="D574" s="33">
        <v>1</v>
      </c>
      <c r="E574" s="33">
        <v>1.03</v>
      </c>
      <c r="F574" s="33">
        <v>1.07</v>
      </c>
      <c r="G574" s="33">
        <v>1.1000000000000001</v>
      </c>
      <c r="H574" s="33">
        <v>1.1299999999999999</v>
      </c>
      <c r="I574" s="33">
        <v>1.1200000000000001</v>
      </c>
      <c r="J574" s="33">
        <v>1.1100000000000001</v>
      </c>
      <c r="K574" s="33">
        <v>1.08</v>
      </c>
      <c r="L574" s="33">
        <v>1.06</v>
      </c>
      <c r="M574" s="33">
        <v>1.03</v>
      </c>
      <c r="N574" s="33">
        <v>1</v>
      </c>
      <c r="O574" s="33">
        <v>1</v>
      </c>
      <c r="P574" s="34">
        <f t="shared" si="21"/>
        <v>1.0608333333333333</v>
      </c>
    </row>
    <row r="575" spans="1:16" x14ac:dyDescent="0.25">
      <c r="A575" s="169">
        <f t="shared" si="22"/>
        <v>30.15</v>
      </c>
      <c r="B575" s="166">
        <v>30</v>
      </c>
      <c r="C575" s="32">
        <v>15</v>
      </c>
      <c r="D575" s="33">
        <v>1</v>
      </c>
      <c r="E575" s="33">
        <v>1.03</v>
      </c>
      <c r="F575" s="33">
        <v>1.0900000000000001</v>
      </c>
      <c r="G575" s="33">
        <v>1.1499999999999999</v>
      </c>
      <c r="H575" s="33">
        <v>1.18</v>
      </c>
      <c r="I575" s="33">
        <v>1.18</v>
      </c>
      <c r="J575" s="33">
        <v>1.1499999999999999</v>
      </c>
      <c r="K575" s="33">
        <v>1.1200000000000001</v>
      </c>
      <c r="L575" s="33">
        <v>1.07</v>
      </c>
      <c r="M575" s="33">
        <v>1.03</v>
      </c>
      <c r="N575" s="33">
        <v>1</v>
      </c>
      <c r="O575" s="33">
        <v>0.98</v>
      </c>
      <c r="P575" s="34">
        <f t="shared" si="21"/>
        <v>1.0816666666666666</v>
      </c>
    </row>
    <row r="576" spans="1:16" x14ac:dyDescent="0.25">
      <c r="A576" s="169">
        <f t="shared" si="22"/>
        <v>30.2</v>
      </c>
      <c r="B576" s="166">
        <v>30</v>
      </c>
      <c r="C576" s="32">
        <v>20</v>
      </c>
      <c r="D576" s="33">
        <v>0.98</v>
      </c>
      <c r="E576" s="33">
        <v>1.03</v>
      </c>
      <c r="F576" s="33">
        <v>1.1000000000000001</v>
      </c>
      <c r="G576" s="33">
        <v>1.18</v>
      </c>
      <c r="H576" s="33">
        <v>1.23</v>
      </c>
      <c r="I576" s="33">
        <v>1.22</v>
      </c>
      <c r="J576" s="33">
        <v>1.19</v>
      </c>
      <c r="K576" s="33">
        <v>1.1399999999999999</v>
      </c>
      <c r="L576" s="33">
        <v>1.0900000000000001</v>
      </c>
      <c r="M576" s="33">
        <v>1.03</v>
      </c>
      <c r="N576" s="33">
        <v>0.98</v>
      </c>
      <c r="O576" s="33">
        <v>0.96</v>
      </c>
      <c r="P576" s="34">
        <f t="shared" si="21"/>
        <v>1.0941666666666665</v>
      </c>
    </row>
    <row r="577" spans="1:16" x14ac:dyDescent="0.25">
      <c r="A577" s="169">
        <f t="shared" si="22"/>
        <v>30.25</v>
      </c>
      <c r="B577" s="166">
        <v>30</v>
      </c>
      <c r="C577" s="32">
        <v>25</v>
      </c>
      <c r="D577" s="33">
        <v>0.96</v>
      </c>
      <c r="E577" s="33">
        <v>1.02</v>
      </c>
      <c r="F577" s="33">
        <v>1.1100000000000001</v>
      </c>
      <c r="G577" s="33">
        <v>1.2</v>
      </c>
      <c r="H577" s="33">
        <v>1.27</v>
      </c>
      <c r="I577" s="33">
        <v>1.26</v>
      </c>
      <c r="J577" s="33">
        <v>1.22</v>
      </c>
      <c r="K577" s="33">
        <v>1.1599999999999999</v>
      </c>
      <c r="L577" s="33">
        <v>1.0900000000000001</v>
      </c>
      <c r="M577" s="33">
        <v>1.02</v>
      </c>
      <c r="N577" s="33">
        <v>0.96</v>
      </c>
      <c r="O577" s="33">
        <v>0.94</v>
      </c>
      <c r="P577" s="34">
        <f t="shared" si="21"/>
        <v>1.1008333333333333</v>
      </c>
    </row>
    <row r="578" spans="1:16" x14ac:dyDescent="0.25">
      <c r="A578" s="169">
        <f t="shared" si="22"/>
        <v>30.3</v>
      </c>
      <c r="B578" s="166">
        <v>30</v>
      </c>
      <c r="C578" s="32">
        <v>30</v>
      </c>
      <c r="D578" s="33">
        <v>0.93</v>
      </c>
      <c r="E578" s="33">
        <v>1</v>
      </c>
      <c r="F578" s="33">
        <v>1.1100000000000001</v>
      </c>
      <c r="G578" s="33">
        <v>1.22</v>
      </c>
      <c r="H578" s="33">
        <v>1.3</v>
      </c>
      <c r="I578" s="33">
        <v>1.29</v>
      </c>
      <c r="J578" s="33">
        <v>1.24</v>
      </c>
      <c r="K578" s="33">
        <v>1.17</v>
      </c>
      <c r="L578" s="33">
        <v>1.0900000000000001</v>
      </c>
      <c r="M578" s="33">
        <v>1</v>
      </c>
      <c r="N578" s="33">
        <v>0.93</v>
      </c>
      <c r="O578" s="33">
        <v>0.91</v>
      </c>
      <c r="P578" s="34">
        <f t="shared" si="21"/>
        <v>1.0991666666666666</v>
      </c>
    </row>
    <row r="579" spans="1:16" x14ac:dyDescent="0.25">
      <c r="A579" s="169">
        <f t="shared" si="22"/>
        <v>30.35</v>
      </c>
      <c r="B579" s="166">
        <v>30</v>
      </c>
      <c r="C579" s="32">
        <v>35</v>
      </c>
      <c r="D579" s="33">
        <v>0.9</v>
      </c>
      <c r="E579" s="33">
        <v>0.98</v>
      </c>
      <c r="F579" s="33">
        <v>1.1000000000000001</v>
      </c>
      <c r="G579" s="33">
        <v>1.23</v>
      </c>
      <c r="H579" s="33">
        <v>1.32</v>
      </c>
      <c r="I579" s="33">
        <v>1.31</v>
      </c>
      <c r="J579" s="33">
        <v>1.25</v>
      </c>
      <c r="K579" s="33">
        <v>1.17</v>
      </c>
      <c r="L579" s="33">
        <v>1.08</v>
      </c>
      <c r="M579" s="33">
        <v>0.97</v>
      </c>
      <c r="N579" s="33">
        <v>0.9</v>
      </c>
      <c r="O579" s="33">
        <v>0.87</v>
      </c>
      <c r="P579" s="34">
        <f t="shared" si="21"/>
        <v>1.0900000000000001</v>
      </c>
    </row>
    <row r="580" spans="1:16" x14ac:dyDescent="0.25">
      <c r="A580" s="169">
        <f t="shared" si="22"/>
        <v>30.4</v>
      </c>
      <c r="B580" s="166">
        <v>30</v>
      </c>
      <c r="C580" s="32">
        <v>40</v>
      </c>
      <c r="D580" s="33">
        <v>0.85</v>
      </c>
      <c r="E580" s="33">
        <v>0.95</v>
      </c>
      <c r="F580" s="33">
        <v>1.08</v>
      </c>
      <c r="G580" s="33">
        <v>1.23</v>
      </c>
      <c r="H580" s="33">
        <v>1.33</v>
      </c>
      <c r="I580" s="33">
        <v>1.33</v>
      </c>
      <c r="J580" s="33">
        <v>1.26</v>
      </c>
      <c r="K580" s="33">
        <v>1.17</v>
      </c>
      <c r="L580" s="33">
        <v>1.06</v>
      </c>
      <c r="M580" s="33">
        <v>0.94</v>
      </c>
      <c r="N580" s="33">
        <v>0.86</v>
      </c>
      <c r="O580" s="33">
        <v>0.82</v>
      </c>
      <c r="P580" s="34">
        <f t="shared" si="21"/>
        <v>1.0733333333333333</v>
      </c>
    </row>
    <row r="581" spans="1:16" x14ac:dyDescent="0.25">
      <c r="A581" s="169">
        <f t="shared" si="22"/>
        <v>30.45</v>
      </c>
      <c r="B581" s="166">
        <v>30</v>
      </c>
      <c r="C581" s="32">
        <v>45</v>
      </c>
      <c r="D581" s="33">
        <v>0.81</v>
      </c>
      <c r="E581" s="33">
        <v>0.91</v>
      </c>
      <c r="F581" s="33">
        <v>1.06</v>
      </c>
      <c r="G581" s="33">
        <v>1.22</v>
      </c>
      <c r="H581" s="33">
        <v>1.33</v>
      </c>
      <c r="I581" s="33">
        <v>1.33</v>
      </c>
      <c r="J581" s="33">
        <v>1.26</v>
      </c>
      <c r="K581" s="33">
        <v>1.1599999999999999</v>
      </c>
      <c r="L581" s="33">
        <v>1.04</v>
      </c>
      <c r="M581" s="33">
        <v>0.91</v>
      </c>
      <c r="N581" s="33">
        <v>0.81</v>
      </c>
      <c r="O581" s="33">
        <v>0.77</v>
      </c>
      <c r="P581" s="34">
        <f t="shared" si="21"/>
        <v>1.0508333333333335</v>
      </c>
    </row>
    <row r="582" spans="1:16" x14ac:dyDescent="0.25">
      <c r="A582" s="169">
        <f t="shared" si="22"/>
        <v>30.5</v>
      </c>
      <c r="B582" s="166">
        <v>30</v>
      </c>
      <c r="C582" s="32">
        <v>50</v>
      </c>
      <c r="D582" s="33">
        <v>0.75</v>
      </c>
      <c r="E582" s="33">
        <v>0.87</v>
      </c>
      <c r="F582" s="33">
        <v>1.03</v>
      </c>
      <c r="G582" s="33">
        <v>1.21</v>
      </c>
      <c r="H582" s="33">
        <v>1.33</v>
      </c>
      <c r="I582" s="33">
        <v>1.33</v>
      </c>
      <c r="J582" s="33">
        <v>1.25</v>
      </c>
      <c r="K582" s="33">
        <v>1.1399999999999999</v>
      </c>
      <c r="L582" s="33">
        <v>1</v>
      </c>
      <c r="M582" s="33">
        <v>0.86</v>
      </c>
      <c r="N582" s="33">
        <v>0.76</v>
      </c>
      <c r="O582" s="33">
        <v>0.72</v>
      </c>
      <c r="P582" s="34">
        <f t="shared" si="21"/>
        <v>1.0208333333333333</v>
      </c>
    </row>
    <row r="583" spans="1:16" x14ac:dyDescent="0.25">
      <c r="A583" s="169">
        <f t="shared" si="22"/>
        <v>30.55</v>
      </c>
      <c r="B583" s="166">
        <v>30</v>
      </c>
      <c r="C583" s="32">
        <v>55</v>
      </c>
      <c r="D583" s="33">
        <v>0.7</v>
      </c>
      <c r="E583" s="33">
        <v>0.82</v>
      </c>
      <c r="F583" s="33">
        <v>0.99</v>
      </c>
      <c r="G583" s="33">
        <v>1.19</v>
      </c>
      <c r="H583" s="33">
        <v>1.32</v>
      </c>
      <c r="I583" s="33">
        <v>1.32</v>
      </c>
      <c r="J583" s="33">
        <v>1.23</v>
      </c>
      <c r="K583" s="33">
        <v>1.1200000000000001</v>
      </c>
      <c r="L583" s="33">
        <v>0.97</v>
      </c>
      <c r="M583" s="33">
        <v>0.81</v>
      </c>
      <c r="N583" s="33">
        <v>0.7</v>
      </c>
      <c r="O583" s="33">
        <v>0.66</v>
      </c>
      <c r="P583" s="34">
        <f t="shared" si="21"/>
        <v>0.98583333333333345</v>
      </c>
    </row>
    <row r="584" spans="1:16" x14ac:dyDescent="0.25">
      <c r="A584" s="169">
        <f t="shared" si="22"/>
        <v>30.6</v>
      </c>
      <c r="B584" s="166">
        <v>30</v>
      </c>
      <c r="C584" s="32">
        <v>60</v>
      </c>
      <c r="D584" s="33">
        <v>0.63</v>
      </c>
      <c r="E584" s="33">
        <v>0.76</v>
      </c>
      <c r="F584" s="33">
        <v>0.95</v>
      </c>
      <c r="G584" s="33">
        <v>1.1499999999999999</v>
      </c>
      <c r="H584" s="33">
        <v>1.3</v>
      </c>
      <c r="I584" s="33">
        <v>1.3</v>
      </c>
      <c r="J584" s="33">
        <v>1.21</v>
      </c>
      <c r="K584" s="33">
        <v>1.08</v>
      </c>
      <c r="L584" s="33">
        <v>0.92</v>
      </c>
      <c r="M584" s="33">
        <v>0.76</v>
      </c>
      <c r="N584" s="33">
        <v>0.64</v>
      </c>
      <c r="O584" s="33">
        <v>0.59</v>
      </c>
      <c r="P584" s="34">
        <f t="shared" si="21"/>
        <v>0.9408333333333333</v>
      </c>
    </row>
    <row r="585" spans="1:16" x14ac:dyDescent="0.25">
      <c r="A585" s="169">
        <f t="shared" si="22"/>
        <v>30.65</v>
      </c>
      <c r="B585" s="166">
        <v>30</v>
      </c>
      <c r="C585" s="32">
        <v>65</v>
      </c>
      <c r="D585" s="33">
        <v>0.56999999999999995</v>
      </c>
      <c r="E585" s="33">
        <v>0.7</v>
      </c>
      <c r="F585" s="33">
        <v>0.9</v>
      </c>
      <c r="G585" s="33">
        <v>1.1100000000000001</v>
      </c>
      <c r="H585" s="33">
        <v>1.27</v>
      </c>
      <c r="I585" s="33">
        <v>1.27</v>
      </c>
      <c r="J585" s="33">
        <v>1.18</v>
      </c>
      <c r="K585" s="33">
        <v>1.04</v>
      </c>
      <c r="L585" s="33">
        <v>0.87</v>
      </c>
      <c r="M585" s="33">
        <v>0.7</v>
      </c>
      <c r="N585" s="33">
        <v>0.56999999999999995</v>
      </c>
      <c r="O585" s="33">
        <v>0.52</v>
      </c>
      <c r="P585" s="34">
        <f t="shared" si="21"/>
        <v>0.8916666666666665</v>
      </c>
    </row>
    <row r="586" spans="1:16" x14ac:dyDescent="0.25">
      <c r="A586" s="169">
        <f t="shared" si="22"/>
        <v>30.7</v>
      </c>
      <c r="B586" s="166">
        <v>30</v>
      </c>
      <c r="C586" s="32">
        <v>70</v>
      </c>
      <c r="D586" s="33">
        <v>0.5</v>
      </c>
      <c r="E586" s="33">
        <v>0.63</v>
      </c>
      <c r="F586" s="33">
        <v>0.84</v>
      </c>
      <c r="G586" s="33">
        <v>1.07</v>
      </c>
      <c r="H586" s="33">
        <v>1.23</v>
      </c>
      <c r="I586" s="33">
        <v>1.24</v>
      </c>
      <c r="J586" s="33">
        <v>1.1399999999999999</v>
      </c>
      <c r="K586" s="33">
        <v>1</v>
      </c>
      <c r="L586" s="33">
        <v>0.82</v>
      </c>
      <c r="M586" s="33">
        <v>0.64</v>
      </c>
      <c r="N586" s="33">
        <v>0.5</v>
      </c>
      <c r="O586" s="33">
        <v>0.45</v>
      </c>
      <c r="P586" s="34">
        <f t="shared" si="21"/>
        <v>0.83833333333333326</v>
      </c>
    </row>
    <row r="587" spans="1:16" x14ac:dyDescent="0.25">
      <c r="A587" s="169">
        <f t="shared" si="22"/>
        <v>30.75</v>
      </c>
      <c r="B587" s="166">
        <v>30</v>
      </c>
      <c r="C587" s="32">
        <v>75</v>
      </c>
      <c r="D587" s="33">
        <v>0.42</v>
      </c>
      <c r="E587" s="33">
        <v>0.56000000000000005</v>
      </c>
      <c r="F587" s="33">
        <v>0.78</v>
      </c>
      <c r="G587" s="33">
        <v>1.01</v>
      </c>
      <c r="H587" s="33">
        <v>1.18</v>
      </c>
      <c r="I587" s="33">
        <v>1.19</v>
      </c>
      <c r="J587" s="33">
        <v>1.0900000000000001</v>
      </c>
      <c r="K587" s="33">
        <v>0.95</v>
      </c>
      <c r="L587" s="33">
        <v>0.76</v>
      </c>
      <c r="M587" s="33">
        <v>0.56999999999999995</v>
      </c>
      <c r="N587" s="33">
        <v>0.43</v>
      </c>
      <c r="O587" s="33">
        <v>0.38</v>
      </c>
      <c r="P587" s="34">
        <f t="shared" si="21"/>
        <v>0.77666666666666673</v>
      </c>
    </row>
    <row r="588" spans="1:16" x14ac:dyDescent="0.25">
      <c r="A588" s="169">
        <f t="shared" si="22"/>
        <v>30.8</v>
      </c>
      <c r="B588" s="166">
        <v>30</v>
      </c>
      <c r="C588" s="32">
        <v>80</v>
      </c>
      <c r="D588" s="33">
        <v>0.35</v>
      </c>
      <c r="E588" s="33">
        <v>0.49</v>
      </c>
      <c r="F588" s="33">
        <v>0.71</v>
      </c>
      <c r="G588" s="33">
        <v>0.95</v>
      </c>
      <c r="H588" s="33">
        <v>1.1299999999999999</v>
      </c>
      <c r="I588" s="33">
        <v>1.1399999999999999</v>
      </c>
      <c r="J588" s="33">
        <v>1.04</v>
      </c>
      <c r="K588" s="33">
        <v>0.89</v>
      </c>
      <c r="L588" s="33">
        <v>0.69</v>
      </c>
      <c r="M588" s="33">
        <v>0.5</v>
      </c>
      <c r="N588" s="33">
        <v>0.35</v>
      </c>
      <c r="O588" s="33">
        <v>0.3</v>
      </c>
      <c r="P588" s="34">
        <f t="shared" si="21"/>
        <v>0.71166666666666656</v>
      </c>
    </row>
    <row r="589" spans="1:16" x14ac:dyDescent="0.25">
      <c r="A589" s="169">
        <f t="shared" si="22"/>
        <v>30.85</v>
      </c>
      <c r="B589" s="166">
        <v>30</v>
      </c>
      <c r="C589" s="32">
        <v>85</v>
      </c>
      <c r="D589" s="33">
        <v>0.27</v>
      </c>
      <c r="E589" s="33">
        <v>0.42</v>
      </c>
      <c r="F589" s="33">
        <v>0.64</v>
      </c>
      <c r="G589" s="33">
        <v>0.89</v>
      </c>
      <c r="H589" s="33">
        <v>1.07</v>
      </c>
      <c r="I589" s="33">
        <v>1.0900000000000001</v>
      </c>
      <c r="J589" s="33">
        <v>0.98</v>
      </c>
      <c r="K589" s="33">
        <v>0.83</v>
      </c>
      <c r="L589" s="33">
        <v>0.63</v>
      </c>
      <c r="M589" s="33">
        <v>0.42</v>
      </c>
      <c r="N589" s="33">
        <v>0.28000000000000003</v>
      </c>
      <c r="O589" s="33">
        <v>0.22</v>
      </c>
      <c r="P589" s="34">
        <f t="shared" si="21"/>
        <v>0.64499999999999991</v>
      </c>
    </row>
    <row r="590" spans="1:16" x14ac:dyDescent="0.25">
      <c r="A590" s="169">
        <f t="shared" si="22"/>
        <v>30.9</v>
      </c>
      <c r="B590" s="166">
        <v>30</v>
      </c>
      <c r="C590" s="32">
        <v>90</v>
      </c>
      <c r="D590" s="33">
        <v>0.19</v>
      </c>
      <c r="E590" s="33">
        <v>0.34</v>
      </c>
      <c r="F590" s="33">
        <v>0.56000000000000005</v>
      </c>
      <c r="G590" s="33">
        <v>0.81</v>
      </c>
      <c r="H590" s="33">
        <v>1</v>
      </c>
      <c r="I590" s="33">
        <v>1.02</v>
      </c>
      <c r="J590" s="33">
        <v>0.92</v>
      </c>
      <c r="K590" s="33">
        <v>0.76</v>
      </c>
      <c r="L590" s="33">
        <v>0.55000000000000004</v>
      </c>
      <c r="M590" s="33">
        <v>0.35</v>
      </c>
      <c r="N590" s="33">
        <v>0.2</v>
      </c>
      <c r="O590" s="33">
        <v>0.14000000000000001</v>
      </c>
      <c r="P590" s="34">
        <f t="shared" si="21"/>
        <v>0.56999999999999995</v>
      </c>
    </row>
    <row r="591" spans="1:16" x14ac:dyDescent="0.25">
      <c r="A591" s="169">
        <f t="shared" si="22"/>
        <v>31</v>
      </c>
      <c r="B591" s="166">
        <v>31</v>
      </c>
      <c r="C591" s="32">
        <v>0</v>
      </c>
      <c r="D591" s="33">
        <v>1</v>
      </c>
      <c r="E591" s="33">
        <v>1</v>
      </c>
      <c r="F591" s="33">
        <v>1</v>
      </c>
      <c r="G591" s="33">
        <v>1</v>
      </c>
      <c r="H591" s="33">
        <v>1</v>
      </c>
      <c r="I591" s="33">
        <v>1</v>
      </c>
      <c r="J591" s="33">
        <v>1</v>
      </c>
      <c r="K591" s="33">
        <v>1</v>
      </c>
      <c r="L591" s="33">
        <v>1</v>
      </c>
      <c r="M591" s="33">
        <v>1</v>
      </c>
      <c r="N591" s="33">
        <v>1</v>
      </c>
      <c r="O591" s="33">
        <v>1</v>
      </c>
      <c r="P591" s="34">
        <f t="shared" si="21"/>
        <v>1</v>
      </c>
    </row>
    <row r="592" spans="1:16" x14ac:dyDescent="0.25">
      <c r="A592" s="169">
        <f t="shared" si="22"/>
        <v>31.05</v>
      </c>
      <c r="B592" s="166">
        <v>31</v>
      </c>
      <c r="C592" s="32">
        <v>5</v>
      </c>
      <c r="D592" s="33">
        <v>1.01</v>
      </c>
      <c r="E592" s="33">
        <v>1.02</v>
      </c>
      <c r="F592" s="33">
        <v>1.04</v>
      </c>
      <c r="G592" s="33">
        <v>1.06</v>
      </c>
      <c r="H592" s="33">
        <v>1.07</v>
      </c>
      <c r="I592" s="33">
        <v>1.07</v>
      </c>
      <c r="J592" s="33">
        <v>1.06</v>
      </c>
      <c r="K592" s="33">
        <v>1.05</v>
      </c>
      <c r="L592" s="33">
        <v>1.03</v>
      </c>
      <c r="M592" s="33">
        <v>1.02</v>
      </c>
      <c r="N592" s="33">
        <v>1.01</v>
      </c>
      <c r="O592" s="33">
        <v>1</v>
      </c>
      <c r="P592" s="34">
        <f t="shared" si="21"/>
        <v>1.0366666666666668</v>
      </c>
    </row>
    <row r="593" spans="1:16" x14ac:dyDescent="0.25">
      <c r="A593" s="169">
        <f t="shared" si="22"/>
        <v>31.1</v>
      </c>
      <c r="B593" s="166">
        <v>31</v>
      </c>
      <c r="C593" s="32">
        <v>10</v>
      </c>
      <c r="D593" s="33">
        <v>1.01</v>
      </c>
      <c r="E593" s="33">
        <v>1.03</v>
      </c>
      <c r="F593" s="33">
        <v>1.07</v>
      </c>
      <c r="G593" s="33">
        <v>1.1100000000000001</v>
      </c>
      <c r="H593" s="33">
        <v>1.1299999999999999</v>
      </c>
      <c r="I593" s="33">
        <v>1.1299999999999999</v>
      </c>
      <c r="J593" s="33">
        <v>1.1100000000000001</v>
      </c>
      <c r="K593" s="33">
        <v>1.0900000000000001</v>
      </c>
      <c r="L593" s="33">
        <v>1.06</v>
      </c>
      <c r="M593" s="33">
        <v>1.03</v>
      </c>
      <c r="N593" s="33">
        <v>1.01</v>
      </c>
      <c r="O593" s="33">
        <v>1</v>
      </c>
      <c r="P593" s="34">
        <f t="shared" si="21"/>
        <v>1.0650000000000002</v>
      </c>
    </row>
    <row r="594" spans="1:16" x14ac:dyDescent="0.25">
      <c r="A594" s="169">
        <f t="shared" si="22"/>
        <v>31.15</v>
      </c>
      <c r="B594" s="166">
        <v>31</v>
      </c>
      <c r="C594" s="32">
        <v>15</v>
      </c>
      <c r="D594" s="33">
        <v>1</v>
      </c>
      <c r="E594" s="33">
        <v>1.04</v>
      </c>
      <c r="F594" s="33">
        <v>1.0900000000000001</v>
      </c>
      <c r="G594" s="33">
        <v>1.1499999999999999</v>
      </c>
      <c r="H594" s="33">
        <v>1.19</v>
      </c>
      <c r="I594" s="33">
        <v>1.18</v>
      </c>
      <c r="J594" s="33">
        <v>1.1499999999999999</v>
      </c>
      <c r="K594" s="33">
        <v>1.1200000000000001</v>
      </c>
      <c r="L594" s="33">
        <v>1.08</v>
      </c>
      <c r="M594" s="33">
        <v>1.03</v>
      </c>
      <c r="N594" s="33">
        <v>1</v>
      </c>
      <c r="O594" s="33">
        <v>0.99</v>
      </c>
      <c r="P594" s="34">
        <f t="shared" si="21"/>
        <v>1.0849999999999997</v>
      </c>
    </row>
    <row r="595" spans="1:16" x14ac:dyDescent="0.25">
      <c r="A595" s="169">
        <f t="shared" si="22"/>
        <v>31.2</v>
      </c>
      <c r="B595" s="166">
        <v>31</v>
      </c>
      <c r="C595" s="32">
        <v>20</v>
      </c>
      <c r="D595" s="33">
        <v>0.99</v>
      </c>
      <c r="E595" s="33">
        <v>1.04</v>
      </c>
      <c r="F595" s="33">
        <v>1.1100000000000001</v>
      </c>
      <c r="G595" s="33">
        <v>1.19</v>
      </c>
      <c r="H595" s="33">
        <v>1.24</v>
      </c>
      <c r="I595" s="33">
        <v>1.23</v>
      </c>
      <c r="J595" s="33">
        <v>1.19</v>
      </c>
      <c r="K595" s="33">
        <v>1.1499999999999999</v>
      </c>
      <c r="L595" s="33">
        <v>1.0900000000000001</v>
      </c>
      <c r="M595" s="33">
        <v>1.03</v>
      </c>
      <c r="N595" s="33">
        <v>0.99</v>
      </c>
      <c r="O595" s="33">
        <v>0.97</v>
      </c>
      <c r="P595" s="34">
        <f t="shared" si="21"/>
        <v>1.1016666666666668</v>
      </c>
    </row>
    <row r="596" spans="1:16" x14ac:dyDescent="0.25">
      <c r="A596" s="169">
        <f t="shared" si="22"/>
        <v>31.25</v>
      </c>
      <c r="B596" s="166">
        <v>31</v>
      </c>
      <c r="C596" s="32">
        <v>25</v>
      </c>
      <c r="D596" s="33">
        <v>0.97</v>
      </c>
      <c r="E596" s="33">
        <v>1.03</v>
      </c>
      <c r="F596" s="33">
        <v>1.1200000000000001</v>
      </c>
      <c r="G596" s="33">
        <v>1.21</v>
      </c>
      <c r="H596" s="33">
        <v>1.28</v>
      </c>
      <c r="I596" s="33">
        <v>1.27</v>
      </c>
      <c r="J596" s="33">
        <v>1.22</v>
      </c>
      <c r="K596" s="33">
        <v>1.17</v>
      </c>
      <c r="L596" s="33">
        <v>1.1000000000000001</v>
      </c>
      <c r="M596" s="33">
        <v>1.02</v>
      </c>
      <c r="N596" s="33">
        <v>0.97</v>
      </c>
      <c r="O596" s="33">
        <v>0.94</v>
      </c>
      <c r="P596" s="34">
        <f t="shared" si="21"/>
        <v>1.1083333333333334</v>
      </c>
    </row>
    <row r="597" spans="1:16" x14ac:dyDescent="0.25">
      <c r="A597" s="169">
        <f t="shared" si="22"/>
        <v>31.3</v>
      </c>
      <c r="B597" s="166">
        <v>31</v>
      </c>
      <c r="C597" s="32">
        <v>30</v>
      </c>
      <c r="D597" s="33">
        <v>0.94</v>
      </c>
      <c r="E597" s="33">
        <v>1.01</v>
      </c>
      <c r="F597" s="33">
        <v>1.1200000000000001</v>
      </c>
      <c r="G597" s="33">
        <v>1.23</v>
      </c>
      <c r="H597" s="33">
        <v>1.31</v>
      </c>
      <c r="I597" s="33">
        <v>1.3</v>
      </c>
      <c r="J597" s="33">
        <v>1.25</v>
      </c>
      <c r="K597" s="33">
        <v>1.18</v>
      </c>
      <c r="L597" s="33">
        <v>1.0900000000000001</v>
      </c>
      <c r="M597" s="33">
        <v>1.01</v>
      </c>
      <c r="N597" s="33">
        <v>0.94</v>
      </c>
      <c r="O597" s="33">
        <v>0.91</v>
      </c>
      <c r="P597" s="34">
        <f t="shared" si="21"/>
        <v>1.1074999999999999</v>
      </c>
    </row>
    <row r="598" spans="1:16" x14ac:dyDescent="0.25">
      <c r="A598" s="169">
        <f t="shared" si="22"/>
        <v>31.35</v>
      </c>
      <c r="B598" s="166">
        <v>31</v>
      </c>
      <c r="C598" s="32">
        <v>35</v>
      </c>
      <c r="D598" s="33">
        <v>0.9</v>
      </c>
      <c r="E598" s="33">
        <v>0.99</v>
      </c>
      <c r="F598" s="33">
        <v>1.1100000000000001</v>
      </c>
      <c r="G598" s="33">
        <v>1.24</v>
      </c>
      <c r="H598" s="33">
        <v>1.33</v>
      </c>
      <c r="I598" s="33">
        <v>1.33</v>
      </c>
      <c r="J598" s="33">
        <v>1.26</v>
      </c>
      <c r="K598" s="33">
        <v>1.18</v>
      </c>
      <c r="L598" s="33">
        <v>1.0900000000000001</v>
      </c>
      <c r="M598" s="33">
        <v>0.98</v>
      </c>
      <c r="N598" s="33">
        <v>0.9</v>
      </c>
      <c r="O598" s="33">
        <v>0.88</v>
      </c>
      <c r="P598" s="34">
        <f t="shared" si="21"/>
        <v>1.0991666666666668</v>
      </c>
    </row>
    <row r="599" spans="1:16" x14ac:dyDescent="0.25">
      <c r="A599" s="169">
        <f t="shared" si="22"/>
        <v>31.4</v>
      </c>
      <c r="B599" s="166">
        <v>31</v>
      </c>
      <c r="C599" s="32">
        <v>40</v>
      </c>
      <c r="D599" s="33">
        <v>0.86</v>
      </c>
      <c r="E599" s="33">
        <v>0.96</v>
      </c>
      <c r="F599" s="33">
        <v>1.1000000000000001</v>
      </c>
      <c r="G599" s="33">
        <v>1.25</v>
      </c>
      <c r="H599" s="33">
        <v>1.35</v>
      </c>
      <c r="I599" s="33">
        <v>1.34</v>
      </c>
      <c r="J599" s="33">
        <v>1.27</v>
      </c>
      <c r="K599" s="33">
        <v>1.18</v>
      </c>
      <c r="L599" s="33">
        <v>1.07</v>
      </c>
      <c r="M599" s="33">
        <v>0.95</v>
      </c>
      <c r="N599" s="33">
        <v>0.86</v>
      </c>
      <c r="O599" s="33">
        <v>0.83</v>
      </c>
      <c r="P599" s="34">
        <f t="shared" si="21"/>
        <v>1.0849999999999997</v>
      </c>
    </row>
    <row r="600" spans="1:16" x14ac:dyDescent="0.25">
      <c r="A600" s="169">
        <f t="shared" si="22"/>
        <v>31.45</v>
      </c>
      <c r="B600" s="166">
        <v>31</v>
      </c>
      <c r="C600" s="32">
        <v>45</v>
      </c>
      <c r="D600" s="33">
        <v>0.82</v>
      </c>
      <c r="E600" s="33">
        <v>0.92</v>
      </c>
      <c r="F600" s="33">
        <v>1.07</v>
      </c>
      <c r="G600" s="33">
        <v>1.24</v>
      </c>
      <c r="H600" s="33">
        <v>1.35</v>
      </c>
      <c r="I600" s="33">
        <v>1.35</v>
      </c>
      <c r="J600" s="33">
        <v>1.27</v>
      </c>
      <c r="K600" s="33">
        <v>1.17</v>
      </c>
      <c r="L600" s="33">
        <v>1.05</v>
      </c>
      <c r="M600" s="33">
        <v>0.92</v>
      </c>
      <c r="N600" s="33">
        <v>0.82</v>
      </c>
      <c r="O600" s="33">
        <v>0.78</v>
      </c>
      <c r="P600" s="34">
        <f t="shared" si="21"/>
        <v>1.0633333333333332</v>
      </c>
    </row>
    <row r="601" spans="1:16" x14ac:dyDescent="0.25">
      <c r="A601" s="169">
        <f t="shared" si="22"/>
        <v>31.5</v>
      </c>
      <c r="B601" s="166">
        <v>31</v>
      </c>
      <c r="C601" s="32">
        <v>50</v>
      </c>
      <c r="D601" s="33">
        <v>0.77</v>
      </c>
      <c r="E601" s="33">
        <v>0.88</v>
      </c>
      <c r="F601" s="33">
        <v>1.04</v>
      </c>
      <c r="G601" s="33">
        <v>1.23</v>
      </c>
      <c r="H601" s="33">
        <v>1.35</v>
      </c>
      <c r="I601" s="33">
        <v>1.35</v>
      </c>
      <c r="J601" s="33">
        <v>1.26</v>
      </c>
      <c r="K601" s="33">
        <v>1.1499999999999999</v>
      </c>
      <c r="L601" s="33">
        <v>1.02</v>
      </c>
      <c r="M601" s="33">
        <v>0.87</v>
      </c>
      <c r="N601" s="33">
        <v>0.77</v>
      </c>
      <c r="O601" s="33">
        <v>0.73</v>
      </c>
      <c r="P601" s="34">
        <f t="shared" si="21"/>
        <v>1.0349999999999999</v>
      </c>
    </row>
    <row r="602" spans="1:16" x14ac:dyDescent="0.25">
      <c r="A602" s="169">
        <f t="shared" si="22"/>
        <v>31.55</v>
      </c>
      <c r="B602" s="166">
        <v>31</v>
      </c>
      <c r="C602" s="32">
        <v>55</v>
      </c>
      <c r="D602" s="33">
        <v>0.71</v>
      </c>
      <c r="E602" s="33">
        <v>0.83</v>
      </c>
      <c r="F602" s="33">
        <v>1.01</v>
      </c>
      <c r="G602" s="33">
        <v>12</v>
      </c>
      <c r="H602" s="33">
        <v>1.34</v>
      </c>
      <c r="I602" s="33">
        <v>1.34</v>
      </c>
      <c r="J602" s="33">
        <v>1.25</v>
      </c>
      <c r="K602" s="33">
        <v>1.1299999999999999</v>
      </c>
      <c r="L602" s="33">
        <v>0.98</v>
      </c>
      <c r="M602" s="33">
        <v>0.83</v>
      </c>
      <c r="N602" s="33">
        <v>0.71</v>
      </c>
      <c r="O602" s="33">
        <v>0.67</v>
      </c>
      <c r="P602" s="34">
        <f t="shared" si="21"/>
        <v>1.9000000000000001</v>
      </c>
    </row>
    <row r="603" spans="1:16" x14ac:dyDescent="0.25">
      <c r="A603" s="169">
        <f t="shared" si="22"/>
        <v>31.6</v>
      </c>
      <c r="B603" s="166">
        <v>31</v>
      </c>
      <c r="C603" s="32">
        <v>60</v>
      </c>
      <c r="D603" s="33">
        <v>0.65</v>
      </c>
      <c r="E603" s="33">
        <v>0.77</v>
      </c>
      <c r="F603" s="33">
        <v>0.96</v>
      </c>
      <c r="G603" s="33">
        <v>1.17</v>
      </c>
      <c r="H603" s="33">
        <v>1.32</v>
      </c>
      <c r="I603" s="33">
        <v>1.32</v>
      </c>
      <c r="J603" s="33">
        <v>1.22</v>
      </c>
      <c r="K603" s="33">
        <v>1.1000000000000001</v>
      </c>
      <c r="L603" s="33">
        <v>0.94</v>
      </c>
      <c r="M603" s="33">
        <v>0.77</v>
      </c>
      <c r="N603" s="33">
        <v>0.65</v>
      </c>
      <c r="O603" s="33">
        <v>0.6</v>
      </c>
      <c r="P603" s="34">
        <f t="shared" si="21"/>
        <v>0.9558333333333332</v>
      </c>
    </row>
    <row r="604" spans="1:16" x14ac:dyDescent="0.25">
      <c r="A604" s="169">
        <f t="shared" si="22"/>
        <v>31.65</v>
      </c>
      <c r="B604" s="166">
        <v>31</v>
      </c>
      <c r="C604" s="32">
        <v>65</v>
      </c>
      <c r="D604" s="33">
        <v>0.57999999999999996</v>
      </c>
      <c r="E604" s="33">
        <v>0.71</v>
      </c>
      <c r="F604" s="33">
        <v>0.91</v>
      </c>
      <c r="G604" s="33">
        <v>1.1299999999999999</v>
      </c>
      <c r="H604" s="33">
        <v>1.29</v>
      </c>
      <c r="I604" s="33">
        <v>1.29</v>
      </c>
      <c r="J604" s="33">
        <v>1.19</v>
      </c>
      <c r="K604" s="33">
        <v>1.06</v>
      </c>
      <c r="L604" s="33">
        <v>0.89</v>
      </c>
      <c r="M604" s="33">
        <v>0.71</v>
      </c>
      <c r="N604" s="33">
        <v>0.59</v>
      </c>
      <c r="O604" s="33">
        <v>0.54</v>
      </c>
      <c r="P604" s="34">
        <f t="shared" si="21"/>
        <v>0.90750000000000008</v>
      </c>
    </row>
    <row r="605" spans="1:16" x14ac:dyDescent="0.25">
      <c r="A605" s="169">
        <f t="shared" si="22"/>
        <v>31.7</v>
      </c>
      <c r="B605" s="166">
        <v>31</v>
      </c>
      <c r="C605" s="32">
        <v>70</v>
      </c>
      <c r="D605" s="33">
        <v>0.51</v>
      </c>
      <c r="E605" s="33">
        <v>0.65</v>
      </c>
      <c r="F605" s="33">
        <v>0.86</v>
      </c>
      <c r="G605" s="33">
        <v>1.0900000000000001</v>
      </c>
      <c r="H605" s="33">
        <v>1.25</v>
      </c>
      <c r="I605" s="33">
        <v>1.26</v>
      </c>
      <c r="J605" s="33">
        <v>1.1599999999999999</v>
      </c>
      <c r="K605" s="33">
        <v>1.01</v>
      </c>
      <c r="L605" s="33">
        <v>0.83</v>
      </c>
      <c r="M605" s="33">
        <v>0.65</v>
      </c>
      <c r="N605" s="33">
        <v>0.52</v>
      </c>
      <c r="O605" s="33">
        <v>0.46</v>
      </c>
      <c r="P605" s="34">
        <f t="shared" si="21"/>
        <v>0.85416666666666663</v>
      </c>
    </row>
    <row r="606" spans="1:16" x14ac:dyDescent="0.25">
      <c r="A606" s="169">
        <f t="shared" si="22"/>
        <v>31.75</v>
      </c>
      <c r="B606" s="166">
        <v>31</v>
      </c>
      <c r="C606" s="32">
        <v>75</v>
      </c>
      <c r="D606" s="33">
        <v>0.44</v>
      </c>
      <c r="E606" s="33">
        <v>0.57999999999999996</v>
      </c>
      <c r="F606" s="33">
        <v>0.79</v>
      </c>
      <c r="G606" s="33">
        <v>1.04</v>
      </c>
      <c r="H606" s="33">
        <v>1.2</v>
      </c>
      <c r="I606" s="33">
        <v>1.21</v>
      </c>
      <c r="J606" s="33">
        <v>1.1100000000000001</v>
      </c>
      <c r="K606" s="33">
        <v>0.96</v>
      </c>
      <c r="L606" s="33">
        <v>0.77</v>
      </c>
      <c r="M606" s="33">
        <v>0.57999999999999996</v>
      </c>
      <c r="N606" s="33">
        <v>0.44</v>
      </c>
      <c r="O606" s="33">
        <v>0.39</v>
      </c>
      <c r="P606" s="34">
        <f t="shared" si="21"/>
        <v>0.79249999999999998</v>
      </c>
    </row>
    <row r="607" spans="1:16" x14ac:dyDescent="0.25">
      <c r="A607" s="169">
        <f t="shared" si="22"/>
        <v>31.8</v>
      </c>
      <c r="B607" s="166">
        <v>31</v>
      </c>
      <c r="C607" s="32">
        <v>80</v>
      </c>
      <c r="D607" s="33">
        <v>0.36</v>
      </c>
      <c r="E607" s="33">
        <v>0.51</v>
      </c>
      <c r="F607" s="33">
        <v>0.73</v>
      </c>
      <c r="G607" s="33">
        <v>0.98</v>
      </c>
      <c r="H607" s="33">
        <v>1.1499999999999999</v>
      </c>
      <c r="I607" s="33">
        <v>1.17</v>
      </c>
      <c r="J607" s="33">
        <v>1.06</v>
      </c>
      <c r="K607" s="33">
        <v>0.91</v>
      </c>
      <c r="L607" s="33">
        <v>0.71</v>
      </c>
      <c r="M607" s="33">
        <v>0.51</v>
      </c>
      <c r="N607" s="33">
        <v>0.37</v>
      </c>
      <c r="O607" s="33">
        <v>0.31</v>
      </c>
      <c r="P607" s="34">
        <f t="shared" si="21"/>
        <v>0.73083333333333345</v>
      </c>
    </row>
    <row r="608" spans="1:16" x14ac:dyDescent="0.25">
      <c r="A608" s="169">
        <f t="shared" si="22"/>
        <v>31.85</v>
      </c>
      <c r="B608" s="166">
        <v>31</v>
      </c>
      <c r="C608" s="32">
        <v>85</v>
      </c>
      <c r="D608" s="33">
        <v>0.28000000000000003</v>
      </c>
      <c r="E608" s="33">
        <v>0.43</v>
      </c>
      <c r="F608" s="33">
        <v>0.66</v>
      </c>
      <c r="G608" s="33">
        <v>0.91</v>
      </c>
      <c r="H608" s="33">
        <v>1.0900000000000001</v>
      </c>
      <c r="I608" s="33">
        <v>1.1100000000000001</v>
      </c>
      <c r="J608" s="33">
        <v>1</v>
      </c>
      <c r="K608" s="33">
        <v>0.84</v>
      </c>
      <c r="L608" s="33">
        <v>0.64</v>
      </c>
      <c r="M608" s="33">
        <v>0.44</v>
      </c>
      <c r="N608" s="33">
        <v>0.28999999999999998</v>
      </c>
      <c r="O608" s="33">
        <v>0.23</v>
      </c>
      <c r="P608" s="34">
        <f t="shared" si="21"/>
        <v>0.66</v>
      </c>
    </row>
    <row r="609" spans="1:16" x14ac:dyDescent="0.25">
      <c r="A609" s="169">
        <f t="shared" si="22"/>
        <v>31.9</v>
      </c>
      <c r="B609" s="166">
        <v>31</v>
      </c>
      <c r="C609" s="32">
        <v>90</v>
      </c>
      <c r="D609" s="33">
        <v>0.2</v>
      </c>
      <c r="E609" s="33">
        <v>0.35</v>
      </c>
      <c r="F609" s="33">
        <v>0.57999999999999996</v>
      </c>
      <c r="G609" s="33">
        <v>0.84</v>
      </c>
      <c r="H609" s="33">
        <v>1.02</v>
      </c>
      <c r="I609" s="33">
        <v>1.05</v>
      </c>
      <c r="J609" s="33">
        <v>0.94</v>
      </c>
      <c r="K609" s="33">
        <v>0.78</v>
      </c>
      <c r="L609" s="33">
        <v>0.56999999999999995</v>
      </c>
      <c r="M609" s="33">
        <v>0.36</v>
      </c>
      <c r="N609" s="33">
        <v>0.21</v>
      </c>
      <c r="O609" s="33">
        <v>0.16</v>
      </c>
      <c r="P609" s="34">
        <f t="shared" si="21"/>
        <v>0.58833333333333349</v>
      </c>
    </row>
    <row r="610" spans="1:16" x14ac:dyDescent="0.25">
      <c r="A610" s="169">
        <f t="shared" si="22"/>
        <v>32</v>
      </c>
      <c r="B610" s="166">
        <v>32</v>
      </c>
      <c r="C610" s="32">
        <v>0</v>
      </c>
      <c r="D610" s="33">
        <v>1</v>
      </c>
      <c r="E610" s="33">
        <v>1</v>
      </c>
      <c r="F610" s="33">
        <v>1</v>
      </c>
      <c r="G610" s="33">
        <v>1</v>
      </c>
      <c r="H610" s="33">
        <v>1</v>
      </c>
      <c r="I610" s="33">
        <v>1</v>
      </c>
      <c r="J610" s="33">
        <v>1</v>
      </c>
      <c r="K610" s="33">
        <v>1</v>
      </c>
      <c r="L610" s="33">
        <v>1</v>
      </c>
      <c r="M610" s="33">
        <v>1</v>
      </c>
      <c r="N610" s="33">
        <v>1</v>
      </c>
      <c r="O610" s="33">
        <v>1</v>
      </c>
      <c r="P610" s="34">
        <f t="shared" si="21"/>
        <v>1</v>
      </c>
    </row>
    <row r="611" spans="1:16" x14ac:dyDescent="0.25">
      <c r="A611" s="169">
        <f t="shared" si="22"/>
        <v>32.049999999999997</v>
      </c>
      <c r="B611" s="166">
        <v>32</v>
      </c>
      <c r="C611" s="32">
        <v>5</v>
      </c>
      <c r="D611" s="33">
        <v>1.01</v>
      </c>
      <c r="E611" s="33">
        <v>1.02</v>
      </c>
      <c r="F611" s="33">
        <v>1.04</v>
      </c>
      <c r="G611" s="33">
        <v>1.06</v>
      </c>
      <c r="H611" s="33">
        <v>1.07</v>
      </c>
      <c r="I611" s="33">
        <v>1.07</v>
      </c>
      <c r="J611" s="33">
        <v>1.06</v>
      </c>
      <c r="K611" s="33">
        <v>1.05</v>
      </c>
      <c r="L611" s="33">
        <v>1.03</v>
      </c>
      <c r="M611" s="33">
        <v>1.02</v>
      </c>
      <c r="N611" s="33">
        <v>1.01</v>
      </c>
      <c r="O611" s="33">
        <v>1</v>
      </c>
      <c r="P611" s="34">
        <f t="shared" si="21"/>
        <v>1.0366666666666668</v>
      </c>
    </row>
    <row r="612" spans="1:16" x14ac:dyDescent="0.25">
      <c r="A612" s="169">
        <f t="shared" si="22"/>
        <v>32.1</v>
      </c>
      <c r="B612" s="166">
        <v>32</v>
      </c>
      <c r="C612" s="32">
        <v>10</v>
      </c>
      <c r="D612" s="33">
        <v>1.01</v>
      </c>
      <c r="E612" s="33">
        <v>1.04</v>
      </c>
      <c r="F612" s="33">
        <v>1.07</v>
      </c>
      <c r="G612" s="33">
        <v>1.1100000000000001</v>
      </c>
      <c r="H612" s="33">
        <v>1.1399999999999999</v>
      </c>
      <c r="I612" s="33">
        <v>1.1299999999999999</v>
      </c>
      <c r="J612" s="33">
        <v>1.1100000000000001</v>
      </c>
      <c r="K612" s="33">
        <v>1.0900000000000001</v>
      </c>
      <c r="L612" s="33">
        <v>1.06</v>
      </c>
      <c r="M612" s="33">
        <v>1.03</v>
      </c>
      <c r="N612" s="33">
        <v>1.01</v>
      </c>
      <c r="O612" s="33">
        <v>1</v>
      </c>
      <c r="P612" s="34">
        <f t="shared" si="21"/>
        <v>1.0666666666666667</v>
      </c>
    </row>
    <row r="613" spans="1:16" x14ac:dyDescent="0.25">
      <c r="A613" s="169">
        <f t="shared" si="22"/>
        <v>32.15</v>
      </c>
      <c r="B613" s="166">
        <v>32</v>
      </c>
      <c r="C613" s="32">
        <v>15</v>
      </c>
      <c r="D613" s="33">
        <v>1</v>
      </c>
      <c r="E613" s="33">
        <v>1.04</v>
      </c>
      <c r="F613" s="33">
        <v>1.1000000000000001</v>
      </c>
      <c r="G613" s="33">
        <v>1.1599999999999999</v>
      </c>
      <c r="H613" s="33">
        <v>1.19</v>
      </c>
      <c r="I613" s="33">
        <v>1.19</v>
      </c>
      <c r="J613" s="33">
        <v>1.1599999999999999</v>
      </c>
      <c r="K613" s="33">
        <v>1.1200000000000001</v>
      </c>
      <c r="L613" s="33">
        <v>1.08</v>
      </c>
      <c r="M613" s="33">
        <v>1.04</v>
      </c>
      <c r="N613" s="33">
        <v>1</v>
      </c>
      <c r="O613" s="33">
        <v>0.99</v>
      </c>
      <c r="P613" s="34">
        <f t="shared" si="21"/>
        <v>1.0891666666666668</v>
      </c>
    </row>
    <row r="614" spans="1:16" x14ac:dyDescent="0.25">
      <c r="A614" s="169">
        <f t="shared" si="22"/>
        <v>32.200000000000003</v>
      </c>
      <c r="B614" s="166">
        <v>32</v>
      </c>
      <c r="C614" s="32">
        <v>20</v>
      </c>
      <c r="D614" s="33">
        <v>0.99</v>
      </c>
      <c r="E614" s="33">
        <v>1.04</v>
      </c>
      <c r="F614" s="33">
        <v>1.1100000000000001</v>
      </c>
      <c r="G614" s="33">
        <v>1.19</v>
      </c>
      <c r="H614" s="33">
        <v>1.24</v>
      </c>
      <c r="I614" s="33">
        <v>1.24</v>
      </c>
      <c r="J614" s="33">
        <v>1.2</v>
      </c>
      <c r="K614" s="33">
        <v>1.1499999999999999</v>
      </c>
      <c r="L614" s="33">
        <v>1.1000000000000001</v>
      </c>
      <c r="M614" s="33">
        <v>1.04</v>
      </c>
      <c r="N614" s="33">
        <v>0.99</v>
      </c>
      <c r="O614" s="33">
        <v>0.97</v>
      </c>
      <c r="P614" s="34">
        <f t="shared" si="21"/>
        <v>1.1050000000000002</v>
      </c>
    </row>
    <row r="615" spans="1:16" x14ac:dyDescent="0.25">
      <c r="A615" s="169">
        <f t="shared" si="22"/>
        <v>32.25</v>
      </c>
      <c r="B615" s="166">
        <v>32</v>
      </c>
      <c r="C615" s="32">
        <v>25</v>
      </c>
      <c r="D615" s="33">
        <v>0.97</v>
      </c>
      <c r="E615" s="33">
        <v>1.03</v>
      </c>
      <c r="F615" s="33">
        <v>1.1200000000000001</v>
      </c>
      <c r="G615" s="33">
        <v>1.22</v>
      </c>
      <c r="H615" s="33">
        <v>1.29</v>
      </c>
      <c r="I615" s="33">
        <v>1.28</v>
      </c>
      <c r="J615" s="33">
        <v>1.3</v>
      </c>
      <c r="K615" s="33">
        <v>1.17</v>
      </c>
      <c r="L615" s="33">
        <v>1.1000000000000001</v>
      </c>
      <c r="M615" s="33">
        <v>1.03</v>
      </c>
      <c r="N615" s="33">
        <v>0.97</v>
      </c>
      <c r="O615" s="33">
        <v>0.95</v>
      </c>
      <c r="P615" s="34">
        <f t="shared" si="21"/>
        <v>1.1191666666666666</v>
      </c>
    </row>
    <row r="616" spans="1:16" x14ac:dyDescent="0.25">
      <c r="A616" s="169">
        <f t="shared" si="22"/>
        <v>32.299999999999997</v>
      </c>
      <c r="B616" s="166">
        <v>32</v>
      </c>
      <c r="C616" s="32">
        <v>30</v>
      </c>
      <c r="D616" s="33">
        <v>0.95</v>
      </c>
      <c r="E616" s="33">
        <v>1.02</v>
      </c>
      <c r="F616" s="33">
        <v>1.1299999999999999</v>
      </c>
      <c r="G616" s="33">
        <v>1.24</v>
      </c>
      <c r="H616" s="33">
        <v>1.32</v>
      </c>
      <c r="I616" s="33">
        <v>1.31</v>
      </c>
      <c r="J616" s="33">
        <v>1.26</v>
      </c>
      <c r="K616" s="33">
        <v>1.19</v>
      </c>
      <c r="L616" s="33">
        <v>1.1000000000000001</v>
      </c>
      <c r="M616" s="33">
        <v>1.01</v>
      </c>
      <c r="N616" s="33">
        <v>0.95</v>
      </c>
      <c r="O616" s="33">
        <v>0.92</v>
      </c>
      <c r="P616" s="34">
        <f t="shared" si="21"/>
        <v>1.1166666666666665</v>
      </c>
    </row>
    <row r="617" spans="1:16" x14ac:dyDescent="0.25">
      <c r="A617" s="169">
        <f t="shared" si="22"/>
        <v>32.35</v>
      </c>
      <c r="B617" s="166">
        <v>32</v>
      </c>
      <c r="C617" s="32">
        <v>35</v>
      </c>
      <c r="D617" s="33">
        <v>0.91</v>
      </c>
      <c r="E617" s="33">
        <v>1</v>
      </c>
      <c r="F617" s="33">
        <v>1.1200000000000001</v>
      </c>
      <c r="G617" s="33">
        <v>1.26</v>
      </c>
      <c r="H617" s="33">
        <v>1.34</v>
      </c>
      <c r="I617" s="33">
        <v>1.34</v>
      </c>
      <c r="J617" s="33">
        <v>1.27</v>
      </c>
      <c r="K617" s="33">
        <v>1.19</v>
      </c>
      <c r="L617" s="33">
        <v>1.0900000000000001</v>
      </c>
      <c r="M617" s="33">
        <v>0.99</v>
      </c>
      <c r="N617" s="33">
        <v>0.91</v>
      </c>
      <c r="O617" s="33">
        <v>0.88</v>
      </c>
      <c r="P617" s="34">
        <f t="shared" si="21"/>
        <v>1.1083333333333334</v>
      </c>
    </row>
    <row r="618" spans="1:16" x14ac:dyDescent="0.25">
      <c r="A618" s="169">
        <f t="shared" si="22"/>
        <v>32.4</v>
      </c>
      <c r="B618" s="166">
        <v>32</v>
      </c>
      <c r="C618" s="32">
        <v>40</v>
      </c>
      <c r="D618" s="33">
        <v>0.87</v>
      </c>
      <c r="E618" s="33">
        <v>0.97</v>
      </c>
      <c r="F618" s="33">
        <v>1.1100000000000001</v>
      </c>
      <c r="G618" s="33">
        <v>1.26</v>
      </c>
      <c r="H618" s="33">
        <v>1.36</v>
      </c>
      <c r="I618" s="33">
        <v>1.35</v>
      </c>
      <c r="J618" s="33">
        <v>1.28</v>
      </c>
      <c r="K618" s="33">
        <v>1.19</v>
      </c>
      <c r="L618" s="33">
        <v>1.08</v>
      </c>
      <c r="M618" s="33">
        <v>0.96</v>
      </c>
      <c r="N618" s="33">
        <v>0.87</v>
      </c>
      <c r="O618" s="33">
        <v>0.84</v>
      </c>
      <c r="P618" s="34">
        <f t="shared" si="21"/>
        <v>1.095</v>
      </c>
    </row>
    <row r="619" spans="1:16" x14ac:dyDescent="0.25">
      <c r="A619" s="169">
        <f t="shared" si="22"/>
        <v>32.450000000000003</v>
      </c>
      <c r="B619" s="166">
        <v>32</v>
      </c>
      <c r="C619" s="32">
        <v>45</v>
      </c>
      <c r="D619" s="33">
        <v>0.83</v>
      </c>
      <c r="E619" s="33">
        <v>0.93</v>
      </c>
      <c r="F619" s="33">
        <v>1.0900000000000001</v>
      </c>
      <c r="G619" s="33">
        <v>1.26</v>
      </c>
      <c r="H619" s="33">
        <v>1.37</v>
      </c>
      <c r="I619" s="33">
        <v>1.36</v>
      </c>
      <c r="J619" s="33">
        <v>1.28</v>
      </c>
      <c r="K619" s="33">
        <v>1.18</v>
      </c>
      <c r="L619" s="33">
        <v>1.06</v>
      </c>
      <c r="M619" s="33">
        <v>0.93</v>
      </c>
      <c r="N619" s="33">
        <v>0.83</v>
      </c>
      <c r="O619" s="33">
        <v>0.79</v>
      </c>
      <c r="P619" s="34">
        <f t="shared" si="21"/>
        <v>1.0758333333333334</v>
      </c>
    </row>
    <row r="620" spans="1:16" x14ac:dyDescent="0.25">
      <c r="A620" s="169">
        <f t="shared" si="22"/>
        <v>32.5</v>
      </c>
      <c r="B620" s="166">
        <v>32</v>
      </c>
      <c r="C620" s="32">
        <v>50</v>
      </c>
      <c r="D620" s="33">
        <v>0.78</v>
      </c>
      <c r="E620" s="33">
        <v>0.89</v>
      </c>
      <c r="F620" s="33">
        <v>1.06</v>
      </c>
      <c r="G620" s="33">
        <v>1.24</v>
      </c>
      <c r="H620" s="33">
        <v>1.37</v>
      </c>
      <c r="I620" s="33">
        <v>1.36</v>
      </c>
      <c r="J620" s="33">
        <v>1.28</v>
      </c>
      <c r="K620" s="33">
        <v>1.17</v>
      </c>
      <c r="L620" s="33">
        <v>1.03</v>
      </c>
      <c r="M620" s="33">
        <v>0.88</v>
      </c>
      <c r="N620" s="33">
        <v>0.78</v>
      </c>
      <c r="O620" s="33">
        <v>0.74</v>
      </c>
      <c r="P620" s="34">
        <f t="shared" si="21"/>
        <v>1.0483333333333333</v>
      </c>
    </row>
    <row r="621" spans="1:16" x14ac:dyDescent="0.25">
      <c r="A621" s="169">
        <f t="shared" si="22"/>
        <v>32.549999999999997</v>
      </c>
      <c r="B621" s="166">
        <v>32</v>
      </c>
      <c r="C621" s="32">
        <v>55</v>
      </c>
      <c r="D621" s="33">
        <v>0.72</v>
      </c>
      <c r="E621" s="33">
        <v>0.84</v>
      </c>
      <c r="F621" s="33">
        <v>1.02</v>
      </c>
      <c r="G621" s="33">
        <v>1.22</v>
      </c>
      <c r="H621" s="33">
        <v>1.36</v>
      </c>
      <c r="I621" s="33">
        <v>1.35</v>
      </c>
      <c r="J621" s="33">
        <v>1.26</v>
      </c>
      <c r="K621" s="33">
        <v>1.1399999999999999</v>
      </c>
      <c r="L621" s="33">
        <v>0.99</v>
      </c>
      <c r="M621" s="33">
        <v>0.84</v>
      </c>
      <c r="N621" s="33">
        <v>0.72</v>
      </c>
      <c r="O621" s="33">
        <v>0.68</v>
      </c>
      <c r="P621" s="34">
        <f t="shared" si="21"/>
        <v>1.0116666666666667</v>
      </c>
    </row>
    <row r="622" spans="1:16" x14ac:dyDescent="0.25">
      <c r="A622" s="169">
        <f t="shared" si="22"/>
        <v>32.6</v>
      </c>
      <c r="B622" s="166">
        <v>32</v>
      </c>
      <c r="C622" s="32">
        <v>60</v>
      </c>
      <c r="D622" s="33">
        <v>0.66</v>
      </c>
      <c r="E622" s="33">
        <v>0.79</v>
      </c>
      <c r="F622" s="33">
        <v>0.98</v>
      </c>
      <c r="G622" s="33">
        <v>1.19</v>
      </c>
      <c r="H622" s="33">
        <v>1.34</v>
      </c>
      <c r="I622" s="33">
        <v>1.34</v>
      </c>
      <c r="J622" s="33">
        <v>1.24</v>
      </c>
      <c r="K622" s="33">
        <v>1.1100000000000001</v>
      </c>
      <c r="L622" s="33">
        <v>0.95</v>
      </c>
      <c r="M622" s="33">
        <v>0.78</v>
      </c>
      <c r="N622" s="33">
        <v>0.66</v>
      </c>
      <c r="O622" s="33">
        <v>0.62</v>
      </c>
      <c r="P622" s="34">
        <f t="shared" si="21"/>
        <v>0.97166666666666657</v>
      </c>
    </row>
    <row r="623" spans="1:16" x14ac:dyDescent="0.25">
      <c r="A623" s="169">
        <f t="shared" si="22"/>
        <v>32.65</v>
      </c>
      <c r="B623" s="166">
        <v>32</v>
      </c>
      <c r="C623" s="32">
        <v>65</v>
      </c>
      <c r="D623" s="33">
        <v>0.59</v>
      </c>
      <c r="E623" s="33">
        <v>0.73</v>
      </c>
      <c r="F623" s="33">
        <v>0.93</v>
      </c>
      <c r="G623" s="33">
        <v>1.1499999999999999</v>
      </c>
      <c r="H623" s="33">
        <v>1.31</v>
      </c>
      <c r="I623" s="33">
        <v>1.31</v>
      </c>
      <c r="J623" s="33">
        <v>1.21</v>
      </c>
      <c r="K623" s="33">
        <v>1.07</v>
      </c>
      <c r="L623" s="33">
        <v>0.9</v>
      </c>
      <c r="M623" s="33">
        <v>0.73</v>
      </c>
      <c r="N623" s="33">
        <v>0.6</v>
      </c>
      <c r="O623" s="33">
        <v>0.55000000000000004</v>
      </c>
      <c r="P623" s="34">
        <f t="shared" si="21"/>
        <v>0.92333333333333334</v>
      </c>
    </row>
    <row r="624" spans="1:16" x14ac:dyDescent="0.25">
      <c r="A624" s="169">
        <f t="shared" si="22"/>
        <v>32.700000000000003</v>
      </c>
      <c r="B624" s="166">
        <v>32</v>
      </c>
      <c r="C624" s="32">
        <v>70</v>
      </c>
      <c r="D624" s="33">
        <v>0.53</v>
      </c>
      <c r="E624" s="33">
        <v>0.66</v>
      </c>
      <c r="F624" s="33">
        <v>0.87</v>
      </c>
      <c r="G624" s="33">
        <v>1.1100000000000001</v>
      </c>
      <c r="H624" s="33">
        <v>1.27</v>
      </c>
      <c r="I624" s="33">
        <v>1.28</v>
      </c>
      <c r="J624" s="33">
        <v>1.17</v>
      </c>
      <c r="K624" s="33">
        <v>1.03</v>
      </c>
      <c r="L624" s="33">
        <v>0.85</v>
      </c>
      <c r="M624" s="33">
        <v>0.66</v>
      </c>
      <c r="N624" s="33">
        <v>0.53</v>
      </c>
      <c r="O624" s="33">
        <v>0.48</v>
      </c>
      <c r="P624" s="34">
        <f t="shared" si="21"/>
        <v>0.87</v>
      </c>
    </row>
    <row r="625" spans="1:16" x14ac:dyDescent="0.25">
      <c r="A625" s="169">
        <f t="shared" si="22"/>
        <v>32.75</v>
      </c>
      <c r="B625" s="166">
        <v>32</v>
      </c>
      <c r="C625" s="32">
        <v>75</v>
      </c>
      <c r="D625" s="33">
        <v>0.45</v>
      </c>
      <c r="E625" s="33">
        <v>0.6</v>
      </c>
      <c r="F625" s="33" t="s">
        <v>420</v>
      </c>
      <c r="G625" s="33">
        <v>1.06</v>
      </c>
      <c r="H625" s="33">
        <v>1.23</v>
      </c>
      <c r="I625" s="33">
        <v>1.24</v>
      </c>
      <c r="J625" s="33">
        <v>1.1299999999999999</v>
      </c>
      <c r="K625" s="33">
        <v>0.98</v>
      </c>
      <c r="L625" s="33">
        <v>0.79</v>
      </c>
      <c r="M625" s="33">
        <v>0.6</v>
      </c>
      <c r="N625" s="33">
        <v>0.46</v>
      </c>
      <c r="O625" s="33">
        <v>0.4</v>
      </c>
      <c r="P625" s="34">
        <f t="shared" si="21"/>
        <v>0.81272727272727285</v>
      </c>
    </row>
    <row r="626" spans="1:16" x14ac:dyDescent="0.25">
      <c r="A626" s="169">
        <f t="shared" si="22"/>
        <v>32.799999999999997</v>
      </c>
      <c r="B626" s="166">
        <v>32</v>
      </c>
      <c r="C626" s="32">
        <v>80</v>
      </c>
      <c r="D626" s="33">
        <v>0.38</v>
      </c>
      <c r="E626" s="33">
        <v>0.52</v>
      </c>
      <c r="F626" s="33">
        <v>0.75</v>
      </c>
      <c r="G626" s="33">
        <v>1</v>
      </c>
      <c r="H626" s="33">
        <v>1.18</v>
      </c>
      <c r="I626" s="33">
        <v>1.19</v>
      </c>
      <c r="J626" s="33">
        <v>1.08</v>
      </c>
      <c r="K626" s="33">
        <v>0.92</v>
      </c>
      <c r="L626" s="33">
        <v>0.73</v>
      </c>
      <c r="M626" s="33">
        <v>0.53</v>
      </c>
      <c r="N626" s="33">
        <v>0.38</v>
      </c>
      <c r="O626" s="33">
        <v>0.33</v>
      </c>
      <c r="P626" s="34">
        <f t="shared" si="21"/>
        <v>0.74916666666666665</v>
      </c>
    </row>
    <row r="627" spans="1:16" x14ac:dyDescent="0.25">
      <c r="A627" s="169">
        <f t="shared" si="22"/>
        <v>32.85</v>
      </c>
      <c r="B627" s="166">
        <v>32</v>
      </c>
      <c r="C627" s="32">
        <v>85</v>
      </c>
      <c r="D627" s="33">
        <v>0.3</v>
      </c>
      <c r="E627" s="33">
        <v>0.45</v>
      </c>
      <c r="F627" s="33">
        <v>0.67</v>
      </c>
      <c r="G627" s="33">
        <v>0.93</v>
      </c>
      <c r="H627" s="33">
        <v>1.1200000000000001</v>
      </c>
      <c r="I627" s="33">
        <v>1.1299999999999999</v>
      </c>
      <c r="J627" s="33">
        <v>1.02</v>
      </c>
      <c r="K627" s="33">
        <v>0.86</v>
      </c>
      <c r="L627" s="33">
        <v>0.66</v>
      </c>
      <c r="M627" s="33">
        <v>0.45</v>
      </c>
      <c r="N627" s="33">
        <v>0.31</v>
      </c>
      <c r="O627" s="33">
        <v>0.25</v>
      </c>
      <c r="P627" s="34">
        <f t="shared" si="21"/>
        <v>0.67916666666666659</v>
      </c>
    </row>
    <row r="628" spans="1:16" x14ac:dyDescent="0.25">
      <c r="A628" s="169">
        <f t="shared" si="22"/>
        <v>32.9</v>
      </c>
      <c r="B628" s="166">
        <v>32</v>
      </c>
      <c r="C628" s="32">
        <v>90</v>
      </c>
      <c r="D628" s="33">
        <v>0.22</v>
      </c>
      <c r="E628" s="33">
        <v>0.37</v>
      </c>
      <c r="F628" s="33">
        <v>0.6</v>
      </c>
      <c r="G628" s="33">
        <v>0.86</v>
      </c>
      <c r="H628" s="33">
        <v>1.05</v>
      </c>
      <c r="I628" s="33">
        <v>1.07</v>
      </c>
      <c r="J628" s="33">
        <v>0.96</v>
      </c>
      <c r="K628" s="33">
        <v>0.79</v>
      </c>
      <c r="L628" s="33">
        <v>0.59</v>
      </c>
      <c r="M628" s="33">
        <v>0.38</v>
      </c>
      <c r="N628" s="33">
        <v>0.23</v>
      </c>
      <c r="O628" s="33">
        <v>0.17</v>
      </c>
      <c r="P628" s="34">
        <f t="shared" ref="P628:P691" si="23">AVERAGE(D628:O628)</f>
        <v>0.60750000000000004</v>
      </c>
    </row>
    <row r="629" spans="1:16" x14ac:dyDescent="0.25">
      <c r="A629" s="169">
        <f t="shared" si="22"/>
        <v>33</v>
      </c>
      <c r="B629" s="166">
        <v>33</v>
      </c>
      <c r="C629" s="32">
        <v>0</v>
      </c>
      <c r="D629" s="33">
        <v>1</v>
      </c>
      <c r="E629" s="33">
        <v>1</v>
      </c>
      <c r="F629" s="33">
        <v>1</v>
      </c>
      <c r="G629" s="33">
        <v>1</v>
      </c>
      <c r="H629" s="33">
        <v>1</v>
      </c>
      <c r="I629" s="33">
        <v>1</v>
      </c>
      <c r="J629" s="33">
        <v>1</v>
      </c>
      <c r="K629" s="33">
        <v>1</v>
      </c>
      <c r="L629" s="33">
        <v>1</v>
      </c>
      <c r="M629" s="33">
        <v>1</v>
      </c>
      <c r="N629" s="33">
        <v>1</v>
      </c>
      <c r="O629" s="33">
        <v>1</v>
      </c>
      <c r="P629" s="34">
        <f t="shared" si="23"/>
        <v>1</v>
      </c>
    </row>
    <row r="630" spans="1:16" x14ac:dyDescent="0.25">
      <c r="A630" s="169">
        <f t="shared" si="22"/>
        <v>33.049999999999997</v>
      </c>
      <c r="B630" s="166">
        <v>33</v>
      </c>
      <c r="C630" s="32">
        <v>5</v>
      </c>
      <c r="D630" s="33">
        <v>1.01</v>
      </c>
      <c r="E630" s="33">
        <v>1.02</v>
      </c>
      <c r="F630" s="33">
        <v>1.04</v>
      </c>
      <c r="G630" s="33">
        <v>1.06</v>
      </c>
      <c r="H630" s="33">
        <v>1.07</v>
      </c>
      <c r="I630" s="33">
        <v>1.07</v>
      </c>
      <c r="J630" s="33">
        <v>1.06</v>
      </c>
      <c r="K630" s="33">
        <v>1.05</v>
      </c>
      <c r="L630" s="33">
        <v>1.04</v>
      </c>
      <c r="M630" s="33">
        <v>1.02</v>
      </c>
      <c r="N630" s="33">
        <v>1.01</v>
      </c>
      <c r="O630" s="33">
        <v>1.01</v>
      </c>
      <c r="P630" s="34">
        <f t="shared" si="23"/>
        <v>1.0383333333333333</v>
      </c>
    </row>
    <row r="631" spans="1:16" x14ac:dyDescent="0.25">
      <c r="A631" s="169">
        <f t="shared" si="22"/>
        <v>33.1</v>
      </c>
      <c r="B631" s="166">
        <v>33</v>
      </c>
      <c r="C631" s="32">
        <v>10</v>
      </c>
      <c r="D631" s="33">
        <v>1.01</v>
      </c>
      <c r="E631" s="33">
        <v>1.04</v>
      </c>
      <c r="F631" s="33">
        <v>1.07</v>
      </c>
      <c r="G631" s="33">
        <v>1.1200000000000001</v>
      </c>
      <c r="H631" s="33">
        <v>1.1399999999999999</v>
      </c>
      <c r="I631" s="33">
        <v>1.1399999999999999</v>
      </c>
      <c r="J631" s="33">
        <v>1.1200000000000001</v>
      </c>
      <c r="K631" s="33">
        <v>1.0900000000000001</v>
      </c>
      <c r="L631" s="33">
        <v>1.06</v>
      </c>
      <c r="M631" s="33">
        <v>1.03</v>
      </c>
      <c r="N631" s="33">
        <v>1.01</v>
      </c>
      <c r="O631" s="33">
        <v>1</v>
      </c>
      <c r="P631" s="34">
        <f t="shared" si="23"/>
        <v>1.0691666666666666</v>
      </c>
    </row>
    <row r="632" spans="1:16" x14ac:dyDescent="0.25">
      <c r="A632" s="169">
        <f t="shared" si="22"/>
        <v>33.15</v>
      </c>
      <c r="B632" s="166">
        <v>33</v>
      </c>
      <c r="C632" s="32">
        <v>15</v>
      </c>
      <c r="D632" s="33">
        <v>1.01</v>
      </c>
      <c r="E632" s="33">
        <v>1.05</v>
      </c>
      <c r="F632" s="33">
        <v>1.1000000000000001</v>
      </c>
      <c r="G632" s="33">
        <v>1.1599999999999999</v>
      </c>
      <c r="H632" s="33">
        <v>1.2</v>
      </c>
      <c r="I632" s="33">
        <v>1.19</v>
      </c>
      <c r="J632" s="33">
        <v>1.1599999999999999</v>
      </c>
      <c r="K632" s="33">
        <v>1.1299999999999999</v>
      </c>
      <c r="L632" s="33">
        <v>1.0900000000000001</v>
      </c>
      <c r="M632" s="33">
        <v>1.04</v>
      </c>
      <c r="N632" s="33">
        <v>1.01</v>
      </c>
      <c r="O632" s="33">
        <v>1</v>
      </c>
      <c r="P632" s="34">
        <f t="shared" si="23"/>
        <v>1.095</v>
      </c>
    </row>
    <row r="633" spans="1:16" x14ac:dyDescent="0.25">
      <c r="A633" s="169">
        <f t="shared" si="22"/>
        <v>33.200000000000003</v>
      </c>
      <c r="B633" s="166">
        <v>33</v>
      </c>
      <c r="C633" s="32">
        <v>20</v>
      </c>
      <c r="D633" s="33">
        <v>1</v>
      </c>
      <c r="E633" s="33">
        <v>1.05</v>
      </c>
      <c r="F633" s="33">
        <v>1.1200000000000001</v>
      </c>
      <c r="G633" s="33">
        <v>1.2</v>
      </c>
      <c r="H633" s="33">
        <v>1.25</v>
      </c>
      <c r="I633" s="33">
        <v>1.24</v>
      </c>
      <c r="J633" s="33">
        <v>1.2</v>
      </c>
      <c r="K633" s="33">
        <v>1.1599999999999999</v>
      </c>
      <c r="L633" s="33">
        <v>1.1000000000000001</v>
      </c>
      <c r="M633" s="33">
        <v>1.04</v>
      </c>
      <c r="N633" s="33">
        <v>1</v>
      </c>
      <c r="O633" s="33">
        <v>0.98</v>
      </c>
      <c r="P633" s="34">
        <f t="shared" si="23"/>
        <v>1.1116666666666666</v>
      </c>
    </row>
    <row r="634" spans="1:16" x14ac:dyDescent="0.25">
      <c r="A634" s="169">
        <f t="shared" si="22"/>
        <v>33.25</v>
      </c>
      <c r="B634" s="166">
        <v>33</v>
      </c>
      <c r="C634" s="32">
        <v>25</v>
      </c>
      <c r="D634" s="33">
        <v>0.98</v>
      </c>
      <c r="E634" s="33">
        <v>1.04</v>
      </c>
      <c r="F634" s="33">
        <v>1.1299999999999999</v>
      </c>
      <c r="G634" s="33">
        <v>1.23</v>
      </c>
      <c r="H634" s="33">
        <v>1.3</v>
      </c>
      <c r="I634" s="33">
        <v>1.29</v>
      </c>
      <c r="J634" s="33">
        <v>1.24</v>
      </c>
      <c r="K634" s="33">
        <v>1.18</v>
      </c>
      <c r="L634" s="33">
        <v>1.1100000000000001</v>
      </c>
      <c r="M634" s="33">
        <v>1.03</v>
      </c>
      <c r="N634" s="33">
        <v>0.98</v>
      </c>
      <c r="O634" s="33">
        <v>0.96</v>
      </c>
      <c r="P634" s="34">
        <f t="shared" si="23"/>
        <v>1.1224999999999998</v>
      </c>
    </row>
    <row r="635" spans="1:16" x14ac:dyDescent="0.25">
      <c r="A635" s="169">
        <f t="shared" si="22"/>
        <v>33.299999999999997</v>
      </c>
      <c r="B635" s="166">
        <v>33</v>
      </c>
      <c r="C635" s="32">
        <v>30</v>
      </c>
      <c r="D635" s="33">
        <v>0.95</v>
      </c>
      <c r="E635" s="33">
        <v>1.03</v>
      </c>
      <c r="F635" s="33">
        <v>1.1399999999999999</v>
      </c>
      <c r="G635" s="33">
        <v>1.25</v>
      </c>
      <c r="H635" s="33">
        <v>1.33</v>
      </c>
      <c r="I635" s="33">
        <v>1.32</v>
      </c>
      <c r="J635" s="33">
        <v>1.26</v>
      </c>
      <c r="K635" s="33">
        <v>1.2</v>
      </c>
      <c r="L635" s="33">
        <v>1.1100000000000001</v>
      </c>
      <c r="M635" s="33">
        <v>1.02</v>
      </c>
      <c r="N635" s="33">
        <v>0.95</v>
      </c>
      <c r="O635" s="33">
        <v>0.93</v>
      </c>
      <c r="P635" s="34">
        <f t="shared" si="23"/>
        <v>1.1241666666666665</v>
      </c>
    </row>
    <row r="636" spans="1:16" x14ac:dyDescent="0.25">
      <c r="A636" s="169">
        <f t="shared" si="22"/>
        <v>33.35</v>
      </c>
      <c r="B636" s="166">
        <v>33</v>
      </c>
      <c r="C636" s="32">
        <v>35</v>
      </c>
      <c r="D636" s="33">
        <v>0.92</v>
      </c>
      <c r="E636" s="33">
        <v>1.01</v>
      </c>
      <c r="F636" s="33">
        <v>1.1299999999999999</v>
      </c>
      <c r="G636" s="33">
        <v>1.27</v>
      </c>
      <c r="H636" s="33">
        <v>1.36</v>
      </c>
      <c r="I636" s="33">
        <v>1.35</v>
      </c>
      <c r="J636" s="33">
        <v>1.28</v>
      </c>
      <c r="K636" s="33">
        <v>1.2</v>
      </c>
      <c r="L636" s="33">
        <v>1.1000000000000001</v>
      </c>
      <c r="M636" s="33">
        <v>1</v>
      </c>
      <c r="N636" s="33">
        <v>0.92</v>
      </c>
      <c r="O636" s="33">
        <v>0.89</v>
      </c>
      <c r="P636" s="34">
        <f t="shared" si="23"/>
        <v>1.1191666666666666</v>
      </c>
    </row>
    <row r="637" spans="1:16" x14ac:dyDescent="0.25">
      <c r="A637" s="169">
        <f t="shared" si="22"/>
        <v>33.4</v>
      </c>
      <c r="B637" s="166">
        <v>33</v>
      </c>
      <c r="C637" s="32">
        <v>40</v>
      </c>
      <c r="D637" s="33">
        <v>0.88</v>
      </c>
      <c r="E637" s="33">
        <v>0.98</v>
      </c>
      <c r="F637" s="33">
        <v>1.1200000000000001</v>
      </c>
      <c r="G637" s="33">
        <v>1.27</v>
      </c>
      <c r="H637" s="33">
        <v>1.38</v>
      </c>
      <c r="I637" s="33">
        <v>1.37</v>
      </c>
      <c r="J637" s="33">
        <v>1.29</v>
      </c>
      <c r="K637" s="33">
        <v>1.2</v>
      </c>
      <c r="L637" s="33">
        <v>1.0900000000000001</v>
      </c>
      <c r="M637" s="33">
        <v>0.97</v>
      </c>
      <c r="N637" s="33">
        <v>0.88</v>
      </c>
      <c r="O637" s="33">
        <v>0.85</v>
      </c>
      <c r="P637" s="34">
        <f t="shared" si="23"/>
        <v>1.1066666666666667</v>
      </c>
    </row>
    <row r="638" spans="1:16" x14ac:dyDescent="0.25">
      <c r="A638" s="169">
        <f t="shared" ref="A638:A701" si="24">B638+(C638/100)</f>
        <v>33.450000000000003</v>
      </c>
      <c r="B638" s="166">
        <v>33</v>
      </c>
      <c r="C638" s="32">
        <v>45</v>
      </c>
      <c r="D638" s="33">
        <v>0.84</v>
      </c>
      <c r="E638" s="33">
        <v>0.94</v>
      </c>
      <c r="F638" s="33">
        <v>1.1000000000000001</v>
      </c>
      <c r="G638" s="33">
        <v>1.27</v>
      </c>
      <c r="H638" s="33">
        <v>1.39</v>
      </c>
      <c r="I638" s="33">
        <v>1.38</v>
      </c>
      <c r="J638" s="33">
        <v>1.3</v>
      </c>
      <c r="K638" s="33">
        <v>1.2</v>
      </c>
      <c r="L638" s="33">
        <v>1.07</v>
      </c>
      <c r="M638" s="33">
        <v>0.94</v>
      </c>
      <c r="N638" s="33">
        <v>0.84</v>
      </c>
      <c r="O638" s="33">
        <v>0.8</v>
      </c>
      <c r="P638" s="34">
        <f t="shared" si="23"/>
        <v>1.0891666666666666</v>
      </c>
    </row>
    <row r="639" spans="1:16" x14ac:dyDescent="0.25">
      <c r="A639" s="169">
        <f t="shared" si="24"/>
        <v>33.5</v>
      </c>
      <c r="B639" s="166">
        <v>33</v>
      </c>
      <c r="C639" s="32">
        <v>50</v>
      </c>
      <c r="D639" s="33">
        <v>0.79</v>
      </c>
      <c r="E639" s="33">
        <v>0.9</v>
      </c>
      <c r="F639" s="33">
        <v>1.07</v>
      </c>
      <c r="G639" s="33">
        <v>1.26</v>
      </c>
      <c r="H639" s="33">
        <v>1.39</v>
      </c>
      <c r="I639" s="33">
        <v>1.38</v>
      </c>
      <c r="J639" s="33">
        <v>1.29</v>
      </c>
      <c r="K639" s="33">
        <v>1.18</v>
      </c>
      <c r="L639" s="33">
        <v>1.04</v>
      </c>
      <c r="M639" s="33">
        <v>0.9</v>
      </c>
      <c r="N639" s="33">
        <v>0.79</v>
      </c>
      <c r="O639" s="33">
        <v>0.75</v>
      </c>
      <c r="P639" s="34">
        <f t="shared" si="23"/>
        <v>1.0616666666666665</v>
      </c>
    </row>
    <row r="640" spans="1:16" x14ac:dyDescent="0.25">
      <c r="A640" s="169">
        <f t="shared" si="24"/>
        <v>33.549999999999997</v>
      </c>
      <c r="B640" s="166">
        <v>33</v>
      </c>
      <c r="C640" s="32">
        <v>55</v>
      </c>
      <c r="D640" s="33">
        <v>0.73</v>
      </c>
      <c r="E640" s="33">
        <v>0.85</v>
      </c>
      <c r="F640" s="33">
        <v>1.04</v>
      </c>
      <c r="G640" s="33">
        <v>1.24</v>
      </c>
      <c r="H640" s="33">
        <v>1.38</v>
      </c>
      <c r="I640" s="33">
        <v>1.37</v>
      </c>
      <c r="J640" s="33">
        <v>1.28</v>
      </c>
      <c r="K640" s="33">
        <v>1.1599999999999999</v>
      </c>
      <c r="L640" s="33">
        <v>1.01</v>
      </c>
      <c r="M640" s="33">
        <v>0.85</v>
      </c>
      <c r="N640" s="33">
        <v>0.74</v>
      </c>
      <c r="O640" s="33">
        <v>0.69</v>
      </c>
      <c r="P640" s="34">
        <f t="shared" si="23"/>
        <v>1.0283333333333333</v>
      </c>
    </row>
    <row r="641" spans="1:16" x14ac:dyDescent="0.25">
      <c r="A641" s="169">
        <f t="shared" si="24"/>
        <v>33.6</v>
      </c>
      <c r="B641" s="166">
        <v>33</v>
      </c>
      <c r="C641" s="32">
        <v>60</v>
      </c>
      <c r="D641" s="33">
        <v>0.67</v>
      </c>
      <c r="E641" s="33">
        <v>0.8</v>
      </c>
      <c r="F641" s="33">
        <v>1</v>
      </c>
      <c r="G641" s="33">
        <v>1.21</v>
      </c>
      <c r="H641" s="33">
        <v>1.36</v>
      </c>
      <c r="I641" s="33">
        <v>1.36</v>
      </c>
      <c r="J641" s="33">
        <v>1.26</v>
      </c>
      <c r="K641" s="33">
        <v>1.1299999999999999</v>
      </c>
      <c r="L641" s="33">
        <v>0.96</v>
      </c>
      <c r="M641" s="33">
        <v>0.8</v>
      </c>
      <c r="N641" s="33">
        <v>0.68</v>
      </c>
      <c r="O641" s="33">
        <v>0.63</v>
      </c>
      <c r="P641" s="34">
        <f t="shared" si="23"/>
        <v>0.9883333333333334</v>
      </c>
    </row>
    <row r="642" spans="1:16" x14ac:dyDescent="0.25">
      <c r="A642" s="169">
        <f t="shared" si="24"/>
        <v>33.65</v>
      </c>
      <c r="B642" s="166">
        <v>33</v>
      </c>
      <c r="C642" s="32">
        <v>65</v>
      </c>
      <c r="D642" s="33">
        <v>0.61</v>
      </c>
      <c r="E642" s="33">
        <v>0.74</v>
      </c>
      <c r="F642" s="33">
        <v>0.95</v>
      </c>
      <c r="G642" s="33">
        <v>1.18</v>
      </c>
      <c r="H642" s="33">
        <v>1.33</v>
      </c>
      <c r="I642" s="33">
        <v>1.33</v>
      </c>
      <c r="J642" s="33">
        <v>1.23</v>
      </c>
      <c r="K642" s="33">
        <v>1.0900000000000001</v>
      </c>
      <c r="L642" s="33">
        <v>0.92</v>
      </c>
      <c r="M642" s="33">
        <v>0.74</v>
      </c>
      <c r="N642" s="33">
        <v>0.61</v>
      </c>
      <c r="O642" s="33">
        <v>0.56000000000000005</v>
      </c>
      <c r="P642" s="34">
        <f t="shared" si="23"/>
        <v>0.9408333333333333</v>
      </c>
    </row>
    <row r="643" spans="1:16" x14ac:dyDescent="0.25">
      <c r="A643" s="169">
        <f t="shared" si="24"/>
        <v>33.700000000000003</v>
      </c>
      <c r="B643" s="166">
        <v>33</v>
      </c>
      <c r="C643" s="32">
        <v>70</v>
      </c>
      <c r="D643" s="33">
        <v>0.54</v>
      </c>
      <c r="E643" s="33">
        <v>0.68</v>
      </c>
      <c r="F643" s="33">
        <v>0.89</v>
      </c>
      <c r="G643" s="33">
        <v>1.1299999999999999</v>
      </c>
      <c r="H643" s="33">
        <v>1.3</v>
      </c>
      <c r="I643" s="33">
        <v>1.3</v>
      </c>
      <c r="J643" s="33">
        <v>1.19</v>
      </c>
      <c r="K643" s="33">
        <v>1.05</v>
      </c>
      <c r="L643" s="33">
        <v>0.86</v>
      </c>
      <c r="M643" s="33">
        <v>0.68</v>
      </c>
      <c r="N643" s="33">
        <v>0.54</v>
      </c>
      <c r="O643" s="33">
        <v>0.49</v>
      </c>
      <c r="P643" s="34">
        <f t="shared" si="23"/>
        <v>0.88750000000000007</v>
      </c>
    </row>
    <row r="644" spans="1:16" x14ac:dyDescent="0.25">
      <c r="A644" s="169">
        <f t="shared" si="24"/>
        <v>33.75</v>
      </c>
      <c r="B644" s="166">
        <v>33</v>
      </c>
      <c r="C644" s="32">
        <v>75</v>
      </c>
      <c r="D644" s="33">
        <v>0.47</v>
      </c>
      <c r="E644" s="33">
        <v>0.61</v>
      </c>
      <c r="F644" s="33">
        <v>0.83</v>
      </c>
      <c r="G644" s="33">
        <v>1.08</v>
      </c>
      <c r="H644" s="33">
        <v>1.25</v>
      </c>
      <c r="I644" s="33">
        <v>1.26</v>
      </c>
      <c r="J644" s="33">
        <v>1.1499999999999999</v>
      </c>
      <c r="K644" s="33">
        <v>1</v>
      </c>
      <c r="L644" s="33">
        <v>0.81</v>
      </c>
      <c r="M644" s="33">
        <v>0.61</v>
      </c>
      <c r="N644" s="33">
        <v>0.47</v>
      </c>
      <c r="O644" s="33">
        <v>0.42</v>
      </c>
      <c r="P644" s="34">
        <f t="shared" si="23"/>
        <v>0.83000000000000007</v>
      </c>
    </row>
    <row r="645" spans="1:16" x14ac:dyDescent="0.25">
      <c r="A645" s="169">
        <f t="shared" si="24"/>
        <v>33.799999999999997</v>
      </c>
      <c r="B645" s="166">
        <v>33</v>
      </c>
      <c r="C645" s="32">
        <v>80</v>
      </c>
      <c r="D645" s="33">
        <v>0.39</v>
      </c>
      <c r="E645" s="33">
        <v>0.54</v>
      </c>
      <c r="F645" s="33">
        <v>0.76</v>
      </c>
      <c r="G645" s="33">
        <v>1032</v>
      </c>
      <c r="H645" s="33">
        <v>1.2</v>
      </c>
      <c r="I645" s="33">
        <v>1.21</v>
      </c>
      <c r="J645" s="33">
        <v>1.1000000000000001</v>
      </c>
      <c r="K645" s="33">
        <v>0.94</v>
      </c>
      <c r="L645" s="33">
        <v>0.74</v>
      </c>
      <c r="M645" s="33">
        <v>0.54</v>
      </c>
      <c r="N645" s="33">
        <v>0.4</v>
      </c>
      <c r="O645" s="33">
        <v>0.34</v>
      </c>
      <c r="P645" s="34">
        <f t="shared" si="23"/>
        <v>86.68</v>
      </c>
    </row>
    <row r="646" spans="1:16" x14ac:dyDescent="0.25">
      <c r="A646" s="169">
        <f t="shared" si="24"/>
        <v>33.85</v>
      </c>
      <c r="B646" s="166">
        <v>33</v>
      </c>
      <c r="C646" s="32">
        <v>85</v>
      </c>
      <c r="D646" s="33">
        <v>0.31</v>
      </c>
      <c r="E646" s="33">
        <v>0.46</v>
      </c>
      <c r="F646" s="33">
        <v>0.69</v>
      </c>
      <c r="G646" s="33">
        <v>0.95</v>
      </c>
      <c r="H646" s="33">
        <v>1.1399999999999999</v>
      </c>
      <c r="I646" s="33">
        <v>1.1599999999999999</v>
      </c>
      <c r="J646" s="33">
        <v>1.04</v>
      </c>
      <c r="K646" s="33">
        <v>0.88</v>
      </c>
      <c r="L646" s="33">
        <v>0.67</v>
      </c>
      <c r="M646" s="33">
        <v>0.47</v>
      </c>
      <c r="N646" s="33">
        <v>0.32</v>
      </c>
      <c r="O646" s="33">
        <v>0.26</v>
      </c>
      <c r="P646" s="34">
        <f t="shared" si="23"/>
        <v>0.6958333333333333</v>
      </c>
    </row>
    <row r="647" spans="1:16" x14ac:dyDescent="0.25">
      <c r="A647" s="169">
        <f t="shared" si="24"/>
        <v>33.9</v>
      </c>
      <c r="B647" s="166">
        <v>33</v>
      </c>
      <c r="C647" s="32">
        <v>90</v>
      </c>
      <c r="D647" s="33">
        <v>0.23</v>
      </c>
      <c r="E647" s="33">
        <v>0.39</v>
      </c>
      <c r="F647" s="33">
        <v>0.62</v>
      </c>
      <c r="G647" s="33">
        <v>0.88</v>
      </c>
      <c r="H647" s="33">
        <v>1.08</v>
      </c>
      <c r="I647" s="33">
        <v>1.0900000000000001</v>
      </c>
      <c r="J647" s="33">
        <v>0.98</v>
      </c>
      <c r="K647" s="33">
        <v>0.81</v>
      </c>
      <c r="L647" s="33">
        <v>0.6</v>
      </c>
      <c r="M647" s="33">
        <v>0.39</v>
      </c>
      <c r="N647" s="33">
        <v>0.24</v>
      </c>
      <c r="O647" s="33">
        <v>0.18</v>
      </c>
      <c r="P647" s="34">
        <f t="shared" si="23"/>
        <v>0.62416666666666665</v>
      </c>
    </row>
    <row r="648" spans="1:16" x14ac:dyDescent="0.25">
      <c r="A648" s="169">
        <f t="shared" si="24"/>
        <v>34</v>
      </c>
      <c r="B648" s="166">
        <v>34</v>
      </c>
      <c r="C648" s="32">
        <v>0</v>
      </c>
      <c r="D648" s="33">
        <v>1</v>
      </c>
      <c r="E648" s="33">
        <v>1</v>
      </c>
      <c r="F648" s="33">
        <v>1</v>
      </c>
      <c r="G648" s="33">
        <v>1</v>
      </c>
      <c r="H648" s="33">
        <v>1</v>
      </c>
      <c r="I648" s="33">
        <v>1</v>
      </c>
      <c r="J648" s="33">
        <v>1</v>
      </c>
      <c r="K648" s="33">
        <v>1</v>
      </c>
      <c r="L648" s="33">
        <v>1</v>
      </c>
      <c r="M648" s="33">
        <v>1</v>
      </c>
      <c r="N648" s="33">
        <v>1</v>
      </c>
      <c r="O648" s="33">
        <v>1</v>
      </c>
      <c r="P648" s="34">
        <f t="shared" si="23"/>
        <v>1</v>
      </c>
    </row>
    <row r="649" spans="1:16" x14ac:dyDescent="0.25">
      <c r="A649" s="169">
        <f t="shared" si="24"/>
        <v>34.049999999999997</v>
      </c>
      <c r="B649" s="166">
        <v>34</v>
      </c>
      <c r="C649" s="32">
        <v>5</v>
      </c>
      <c r="D649" s="33">
        <v>1.01</v>
      </c>
      <c r="E649" s="33">
        <v>1.02</v>
      </c>
      <c r="F649" s="33">
        <v>1.04</v>
      </c>
      <c r="G649" s="33">
        <v>1.06</v>
      </c>
      <c r="H649" s="33">
        <v>1.07</v>
      </c>
      <c r="I649" s="33">
        <v>1.07</v>
      </c>
      <c r="J649" s="33">
        <v>1.06</v>
      </c>
      <c r="K649" s="33">
        <v>1.05</v>
      </c>
      <c r="L649" s="33">
        <v>1.03</v>
      </c>
      <c r="M649" s="33">
        <v>1.02</v>
      </c>
      <c r="N649" s="33">
        <v>1.01</v>
      </c>
      <c r="O649" s="33">
        <v>1</v>
      </c>
      <c r="P649" s="34">
        <f t="shared" si="23"/>
        <v>1.0366666666666668</v>
      </c>
    </row>
    <row r="650" spans="1:16" x14ac:dyDescent="0.25">
      <c r="A650" s="169">
        <f t="shared" si="24"/>
        <v>34.1</v>
      </c>
      <c r="B650" s="166">
        <v>34</v>
      </c>
      <c r="C650" s="32">
        <v>10</v>
      </c>
      <c r="D650" s="33">
        <v>1.01</v>
      </c>
      <c r="E650" s="33">
        <v>1.04</v>
      </c>
      <c r="F650" s="33">
        <v>1.07</v>
      </c>
      <c r="G650" s="33">
        <v>1.1100000000000001</v>
      </c>
      <c r="H650" s="33">
        <v>1.1399999999999999</v>
      </c>
      <c r="I650" s="33">
        <v>1.1299999999999999</v>
      </c>
      <c r="J650" s="33">
        <v>1.1100000000000001</v>
      </c>
      <c r="K650" s="33">
        <v>1.0900000000000001</v>
      </c>
      <c r="L650" s="33">
        <v>1.06</v>
      </c>
      <c r="M650" s="33">
        <v>1.03</v>
      </c>
      <c r="N650" s="33">
        <v>1.01</v>
      </c>
      <c r="O650" s="33">
        <v>1</v>
      </c>
      <c r="P650" s="34">
        <f t="shared" si="23"/>
        <v>1.0666666666666667</v>
      </c>
    </row>
    <row r="651" spans="1:16" x14ac:dyDescent="0.25">
      <c r="A651" s="169">
        <f t="shared" si="24"/>
        <v>34.15</v>
      </c>
      <c r="B651" s="166">
        <v>34</v>
      </c>
      <c r="C651" s="32">
        <v>15</v>
      </c>
      <c r="D651" s="33">
        <v>1</v>
      </c>
      <c r="E651" s="33">
        <v>1.04</v>
      </c>
      <c r="F651" s="33">
        <v>1.1000000000000001</v>
      </c>
      <c r="G651" s="33">
        <v>1.1599999999999999</v>
      </c>
      <c r="H651" s="33">
        <v>1.19</v>
      </c>
      <c r="I651" s="33">
        <v>1.19</v>
      </c>
      <c r="J651" s="33">
        <v>1.1599999999999999</v>
      </c>
      <c r="K651" s="33">
        <v>1.1200000000000001</v>
      </c>
      <c r="L651" s="33">
        <v>1.08</v>
      </c>
      <c r="M651" s="33">
        <v>1.04</v>
      </c>
      <c r="N651" s="33">
        <v>1</v>
      </c>
      <c r="O651" s="33">
        <v>0.99</v>
      </c>
      <c r="P651" s="34">
        <f t="shared" si="23"/>
        <v>1.0891666666666668</v>
      </c>
    </row>
    <row r="652" spans="1:16" x14ac:dyDescent="0.25">
      <c r="A652" s="169">
        <f t="shared" si="24"/>
        <v>34.200000000000003</v>
      </c>
      <c r="B652" s="166">
        <v>34</v>
      </c>
      <c r="C652" s="32">
        <v>20</v>
      </c>
      <c r="D652" s="33">
        <v>0.99</v>
      </c>
      <c r="E652" s="33">
        <v>1.04</v>
      </c>
      <c r="F652" s="33">
        <v>1.1100000000000001</v>
      </c>
      <c r="G652" s="33">
        <v>1.19</v>
      </c>
      <c r="H652" s="33">
        <v>1.24</v>
      </c>
      <c r="I652" s="33">
        <v>1.24</v>
      </c>
      <c r="J652" s="33">
        <v>1.2</v>
      </c>
      <c r="K652" s="33">
        <v>1.1499999999999999</v>
      </c>
      <c r="L652" s="33">
        <v>1.1000000000000001</v>
      </c>
      <c r="M652" s="33">
        <v>1.04</v>
      </c>
      <c r="N652" s="33">
        <v>0.99</v>
      </c>
      <c r="O652" s="33">
        <v>0.97</v>
      </c>
      <c r="P652" s="34">
        <f t="shared" si="23"/>
        <v>1.1050000000000002</v>
      </c>
    </row>
    <row r="653" spans="1:16" x14ac:dyDescent="0.25">
      <c r="A653" s="169">
        <f t="shared" si="24"/>
        <v>34.25</v>
      </c>
      <c r="B653" s="166">
        <v>34</v>
      </c>
      <c r="C653" s="32">
        <v>25</v>
      </c>
      <c r="D653" s="33">
        <v>0.97</v>
      </c>
      <c r="E653" s="33">
        <v>1.03</v>
      </c>
      <c r="F653" s="33">
        <v>1.1200000000000001</v>
      </c>
      <c r="G653" s="33">
        <v>1.22</v>
      </c>
      <c r="H653" s="33">
        <v>1.29</v>
      </c>
      <c r="I653" s="33">
        <v>1.28</v>
      </c>
      <c r="J653" s="33">
        <v>1.3</v>
      </c>
      <c r="K653" s="33">
        <v>1.17</v>
      </c>
      <c r="L653" s="33">
        <v>1.1000000000000001</v>
      </c>
      <c r="M653" s="33">
        <v>1.03</v>
      </c>
      <c r="N653" s="33">
        <v>0.97</v>
      </c>
      <c r="O653" s="33">
        <v>0.95</v>
      </c>
      <c r="P653" s="34">
        <f t="shared" si="23"/>
        <v>1.1191666666666666</v>
      </c>
    </row>
    <row r="654" spans="1:16" x14ac:dyDescent="0.25">
      <c r="A654" s="169">
        <f t="shared" si="24"/>
        <v>34.299999999999997</v>
      </c>
      <c r="B654" s="166">
        <v>34</v>
      </c>
      <c r="C654" s="32">
        <v>30</v>
      </c>
      <c r="D654" s="33">
        <v>0.95</v>
      </c>
      <c r="E654" s="33">
        <v>1.02</v>
      </c>
      <c r="F654" s="33">
        <v>1.1299999999999999</v>
      </c>
      <c r="G654" s="33">
        <v>1.24</v>
      </c>
      <c r="H654" s="33">
        <v>1.32</v>
      </c>
      <c r="I654" s="33">
        <v>1.31</v>
      </c>
      <c r="J654" s="33">
        <v>1.26</v>
      </c>
      <c r="K654" s="33">
        <v>1.19</v>
      </c>
      <c r="L654" s="33">
        <v>1.1000000000000001</v>
      </c>
      <c r="M654" s="33">
        <v>1.01</v>
      </c>
      <c r="N654" s="33">
        <v>0.95</v>
      </c>
      <c r="O654" s="33">
        <v>0.92</v>
      </c>
      <c r="P654" s="34">
        <f t="shared" si="23"/>
        <v>1.1166666666666665</v>
      </c>
    </row>
    <row r="655" spans="1:16" x14ac:dyDescent="0.25">
      <c r="A655" s="169">
        <f t="shared" si="24"/>
        <v>34.35</v>
      </c>
      <c r="B655" s="166">
        <v>34</v>
      </c>
      <c r="C655" s="32">
        <v>35</v>
      </c>
      <c r="D655" s="33">
        <v>0.91</v>
      </c>
      <c r="E655" s="33">
        <v>1</v>
      </c>
      <c r="F655" s="33">
        <v>1.1200000000000001</v>
      </c>
      <c r="G655" s="33">
        <v>1.26</v>
      </c>
      <c r="H655" s="33">
        <v>1.34</v>
      </c>
      <c r="I655" s="33">
        <v>1.34</v>
      </c>
      <c r="J655" s="33">
        <v>1.27</v>
      </c>
      <c r="K655" s="33">
        <v>1.19</v>
      </c>
      <c r="L655" s="33">
        <v>1.0900000000000001</v>
      </c>
      <c r="M655" s="33">
        <v>0.99</v>
      </c>
      <c r="N655" s="33">
        <v>0.91</v>
      </c>
      <c r="O655" s="33">
        <v>0.88</v>
      </c>
      <c r="P655" s="34">
        <f t="shared" si="23"/>
        <v>1.1083333333333334</v>
      </c>
    </row>
    <row r="656" spans="1:16" x14ac:dyDescent="0.25">
      <c r="A656" s="169">
        <f t="shared" si="24"/>
        <v>34.4</v>
      </c>
      <c r="B656" s="166">
        <v>34</v>
      </c>
      <c r="C656" s="32">
        <v>40</v>
      </c>
      <c r="D656" s="33">
        <v>0.87</v>
      </c>
      <c r="E656" s="33">
        <v>0.97</v>
      </c>
      <c r="F656" s="33">
        <v>1.1100000000000001</v>
      </c>
      <c r="G656" s="33">
        <v>1.26</v>
      </c>
      <c r="H656" s="33">
        <v>1.36</v>
      </c>
      <c r="I656" s="33">
        <v>1.35</v>
      </c>
      <c r="J656" s="33">
        <v>1.28</v>
      </c>
      <c r="K656" s="33">
        <v>1.19</v>
      </c>
      <c r="L656" s="33">
        <v>1.08</v>
      </c>
      <c r="M656" s="33">
        <v>0.96</v>
      </c>
      <c r="N656" s="33">
        <v>0.87</v>
      </c>
      <c r="O656" s="33">
        <v>0.84</v>
      </c>
      <c r="P656" s="34">
        <f t="shared" si="23"/>
        <v>1.095</v>
      </c>
    </row>
    <row r="657" spans="1:16" x14ac:dyDescent="0.25">
      <c r="A657" s="169">
        <f t="shared" si="24"/>
        <v>34.450000000000003</v>
      </c>
      <c r="B657" s="166">
        <v>34</v>
      </c>
      <c r="C657" s="32">
        <v>45</v>
      </c>
      <c r="D657" s="33">
        <v>0.83</v>
      </c>
      <c r="E657" s="33">
        <v>0.93</v>
      </c>
      <c r="F657" s="33">
        <v>1.0900000000000001</v>
      </c>
      <c r="G657" s="33">
        <v>1.26</v>
      </c>
      <c r="H657" s="33">
        <v>1.37</v>
      </c>
      <c r="I657" s="33">
        <v>1.36</v>
      </c>
      <c r="J657" s="33">
        <v>1.28</v>
      </c>
      <c r="K657" s="33">
        <v>1.18</v>
      </c>
      <c r="L657" s="33">
        <v>1.06</v>
      </c>
      <c r="M657" s="33">
        <v>0.93</v>
      </c>
      <c r="N657" s="33">
        <v>0.83</v>
      </c>
      <c r="O657" s="33">
        <v>0.79</v>
      </c>
      <c r="P657" s="34">
        <f t="shared" si="23"/>
        <v>1.0758333333333334</v>
      </c>
    </row>
    <row r="658" spans="1:16" x14ac:dyDescent="0.25">
      <c r="A658" s="169">
        <f t="shared" si="24"/>
        <v>34.5</v>
      </c>
      <c r="B658" s="166">
        <v>34</v>
      </c>
      <c r="C658" s="32">
        <v>50</v>
      </c>
      <c r="D658" s="33">
        <v>0.78</v>
      </c>
      <c r="E658" s="33">
        <v>0.89</v>
      </c>
      <c r="F658" s="33">
        <v>1.06</v>
      </c>
      <c r="G658" s="33">
        <v>1.24</v>
      </c>
      <c r="H658" s="33">
        <v>1.37</v>
      </c>
      <c r="I658" s="33">
        <v>1.36</v>
      </c>
      <c r="J658" s="33">
        <v>1.28</v>
      </c>
      <c r="K658" s="33">
        <v>1.17</v>
      </c>
      <c r="L658" s="33">
        <v>1.03</v>
      </c>
      <c r="M658" s="33">
        <v>0.88</v>
      </c>
      <c r="N658" s="33">
        <v>0.78</v>
      </c>
      <c r="O658" s="33">
        <v>0.74</v>
      </c>
      <c r="P658" s="34">
        <f t="shared" si="23"/>
        <v>1.0483333333333333</v>
      </c>
    </row>
    <row r="659" spans="1:16" x14ac:dyDescent="0.25">
      <c r="A659" s="169">
        <f t="shared" si="24"/>
        <v>34.549999999999997</v>
      </c>
      <c r="B659" s="166">
        <v>34</v>
      </c>
      <c r="C659" s="32">
        <v>55</v>
      </c>
      <c r="D659" s="33">
        <v>0.72</v>
      </c>
      <c r="E659" s="33">
        <v>0.84</v>
      </c>
      <c r="F659" s="33">
        <v>1.02</v>
      </c>
      <c r="G659" s="33">
        <v>1.22</v>
      </c>
      <c r="H659" s="33">
        <v>1.36</v>
      </c>
      <c r="I659" s="33">
        <v>1.35</v>
      </c>
      <c r="J659" s="33">
        <v>1.26</v>
      </c>
      <c r="K659" s="33">
        <v>1.1399999999999999</v>
      </c>
      <c r="L659" s="33">
        <v>0.99</v>
      </c>
      <c r="M659" s="33">
        <v>0.84</v>
      </c>
      <c r="N659" s="33">
        <v>0.72</v>
      </c>
      <c r="O659" s="33">
        <v>0.68</v>
      </c>
      <c r="P659" s="34">
        <f t="shared" si="23"/>
        <v>1.0116666666666667</v>
      </c>
    </row>
    <row r="660" spans="1:16" x14ac:dyDescent="0.25">
      <c r="A660" s="169">
        <f t="shared" si="24"/>
        <v>34.6</v>
      </c>
      <c r="B660" s="166">
        <v>34</v>
      </c>
      <c r="C660" s="32">
        <v>60</v>
      </c>
      <c r="D660" s="33">
        <v>0.66</v>
      </c>
      <c r="E660" s="33">
        <v>0.79</v>
      </c>
      <c r="F660" s="33">
        <v>0.98</v>
      </c>
      <c r="G660" s="33">
        <v>1.19</v>
      </c>
      <c r="H660" s="33">
        <v>1.34</v>
      </c>
      <c r="I660" s="33">
        <v>1.34</v>
      </c>
      <c r="J660" s="33">
        <v>1.24</v>
      </c>
      <c r="K660" s="33">
        <v>1.1100000000000001</v>
      </c>
      <c r="L660" s="33">
        <v>0.95</v>
      </c>
      <c r="M660" s="33">
        <v>0.78</v>
      </c>
      <c r="N660" s="33">
        <v>0.66</v>
      </c>
      <c r="O660" s="33">
        <v>0.62</v>
      </c>
      <c r="P660" s="34">
        <f t="shared" si="23"/>
        <v>0.97166666666666657</v>
      </c>
    </row>
    <row r="661" spans="1:16" x14ac:dyDescent="0.25">
      <c r="A661" s="169">
        <f t="shared" si="24"/>
        <v>34.65</v>
      </c>
      <c r="B661" s="166">
        <v>34</v>
      </c>
      <c r="C661" s="32">
        <v>65</v>
      </c>
      <c r="D661" s="33">
        <v>0.59</v>
      </c>
      <c r="E661" s="33">
        <v>0.73</v>
      </c>
      <c r="F661" s="33">
        <v>0.93</v>
      </c>
      <c r="G661" s="33">
        <v>1.1499999999999999</v>
      </c>
      <c r="H661" s="33">
        <v>1.31</v>
      </c>
      <c r="I661" s="33">
        <v>1.31</v>
      </c>
      <c r="J661" s="33">
        <v>1.21</v>
      </c>
      <c r="K661" s="33">
        <v>1.07</v>
      </c>
      <c r="L661" s="33">
        <v>0.9</v>
      </c>
      <c r="M661" s="33">
        <v>0.73</v>
      </c>
      <c r="N661" s="33">
        <v>0.6</v>
      </c>
      <c r="O661" s="33">
        <v>0.55000000000000004</v>
      </c>
      <c r="P661" s="34">
        <f t="shared" si="23"/>
        <v>0.92333333333333334</v>
      </c>
    </row>
    <row r="662" spans="1:16" x14ac:dyDescent="0.25">
      <c r="A662" s="169">
        <f t="shared" si="24"/>
        <v>34.700000000000003</v>
      </c>
      <c r="B662" s="166">
        <v>34</v>
      </c>
      <c r="C662" s="32">
        <v>70</v>
      </c>
      <c r="D662" s="33">
        <v>0.53</v>
      </c>
      <c r="E662" s="33">
        <v>0.66</v>
      </c>
      <c r="F662" s="33">
        <v>0.87</v>
      </c>
      <c r="G662" s="33">
        <v>1.1100000000000001</v>
      </c>
      <c r="H662" s="33">
        <v>1.27</v>
      </c>
      <c r="I662" s="33">
        <v>1.28</v>
      </c>
      <c r="J662" s="33">
        <v>1.17</v>
      </c>
      <c r="K662" s="33">
        <v>1.03</v>
      </c>
      <c r="L662" s="33">
        <v>0.85</v>
      </c>
      <c r="M662" s="33">
        <v>0.66</v>
      </c>
      <c r="N662" s="33">
        <v>0.53</v>
      </c>
      <c r="O662" s="33">
        <v>0.48</v>
      </c>
      <c r="P662" s="34">
        <f t="shared" si="23"/>
        <v>0.87</v>
      </c>
    </row>
    <row r="663" spans="1:16" x14ac:dyDescent="0.25">
      <c r="A663" s="169">
        <f t="shared" si="24"/>
        <v>34.75</v>
      </c>
      <c r="B663" s="166">
        <v>34</v>
      </c>
      <c r="C663" s="32">
        <v>75</v>
      </c>
      <c r="D663" s="33">
        <v>0.45</v>
      </c>
      <c r="E663" s="33">
        <v>0.6</v>
      </c>
      <c r="F663" s="33" t="s">
        <v>420</v>
      </c>
      <c r="G663" s="33">
        <v>1.06</v>
      </c>
      <c r="H663" s="33">
        <v>1.23</v>
      </c>
      <c r="I663" s="33">
        <v>1.24</v>
      </c>
      <c r="J663" s="33">
        <v>1.1299999999999999</v>
      </c>
      <c r="K663" s="33">
        <v>0.98</v>
      </c>
      <c r="L663" s="33">
        <v>0.79</v>
      </c>
      <c r="M663" s="33">
        <v>0.6</v>
      </c>
      <c r="N663" s="33">
        <v>0.46</v>
      </c>
      <c r="O663" s="33">
        <v>0.4</v>
      </c>
      <c r="P663" s="34">
        <f t="shared" si="23"/>
        <v>0.81272727272727285</v>
      </c>
    </row>
    <row r="664" spans="1:16" x14ac:dyDescent="0.25">
      <c r="A664" s="169">
        <f t="shared" si="24"/>
        <v>34.799999999999997</v>
      </c>
      <c r="B664" s="166">
        <v>34</v>
      </c>
      <c r="C664" s="32">
        <v>80</v>
      </c>
      <c r="D664" s="33">
        <v>0.38</v>
      </c>
      <c r="E664" s="33">
        <v>0.52</v>
      </c>
      <c r="F664" s="33">
        <v>0.75</v>
      </c>
      <c r="G664" s="33">
        <v>1</v>
      </c>
      <c r="H664" s="33">
        <v>1.18</v>
      </c>
      <c r="I664" s="33">
        <v>1.19</v>
      </c>
      <c r="J664" s="33">
        <v>1.08</v>
      </c>
      <c r="K664" s="33">
        <v>0.92</v>
      </c>
      <c r="L664" s="33">
        <v>0.73</v>
      </c>
      <c r="M664" s="33">
        <v>0.53</v>
      </c>
      <c r="N664" s="33">
        <v>0.38</v>
      </c>
      <c r="O664" s="33">
        <v>0.33</v>
      </c>
      <c r="P664" s="34">
        <f t="shared" si="23"/>
        <v>0.74916666666666665</v>
      </c>
    </row>
    <row r="665" spans="1:16" x14ac:dyDescent="0.25">
      <c r="A665" s="169">
        <f t="shared" si="24"/>
        <v>34.85</v>
      </c>
      <c r="B665" s="166">
        <v>34</v>
      </c>
      <c r="C665" s="32">
        <v>85</v>
      </c>
      <c r="D665" s="33">
        <v>0.3</v>
      </c>
      <c r="E665" s="33">
        <v>0.45</v>
      </c>
      <c r="F665" s="33">
        <v>0.67</v>
      </c>
      <c r="G665" s="33">
        <v>0.93</v>
      </c>
      <c r="H665" s="33">
        <v>1.1200000000000001</v>
      </c>
      <c r="I665" s="33">
        <v>1.1299999999999999</v>
      </c>
      <c r="J665" s="33">
        <v>1.02</v>
      </c>
      <c r="K665" s="33">
        <v>0.86</v>
      </c>
      <c r="L665" s="33">
        <v>0.66</v>
      </c>
      <c r="M665" s="33">
        <v>0.45</v>
      </c>
      <c r="N665" s="33">
        <v>0.31</v>
      </c>
      <c r="O665" s="33">
        <v>0.25</v>
      </c>
      <c r="P665" s="34">
        <f t="shared" si="23"/>
        <v>0.67916666666666659</v>
      </c>
    </row>
    <row r="666" spans="1:16" x14ac:dyDescent="0.25">
      <c r="A666" s="169">
        <f t="shared" si="24"/>
        <v>34.9</v>
      </c>
      <c r="B666" s="166">
        <v>34</v>
      </c>
      <c r="C666" s="32">
        <v>90</v>
      </c>
      <c r="D666" s="33">
        <v>0.22</v>
      </c>
      <c r="E666" s="33">
        <v>0.37</v>
      </c>
      <c r="F666" s="33">
        <v>0.6</v>
      </c>
      <c r="G666" s="33">
        <v>0.86</v>
      </c>
      <c r="H666" s="33">
        <v>1.05</v>
      </c>
      <c r="I666" s="33">
        <v>1.07</v>
      </c>
      <c r="J666" s="33">
        <v>0.96</v>
      </c>
      <c r="K666" s="33">
        <v>0.79</v>
      </c>
      <c r="L666" s="33">
        <v>0.59</v>
      </c>
      <c r="M666" s="33">
        <v>0.38</v>
      </c>
      <c r="N666" s="33">
        <v>0.23</v>
      </c>
      <c r="O666" s="33">
        <v>0.17</v>
      </c>
      <c r="P666" s="34">
        <f t="shared" si="23"/>
        <v>0.60750000000000004</v>
      </c>
    </row>
    <row r="667" spans="1:16" x14ac:dyDescent="0.25">
      <c r="A667" s="169">
        <f t="shared" si="24"/>
        <v>35</v>
      </c>
      <c r="B667" s="166">
        <v>35</v>
      </c>
      <c r="C667" s="32">
        <v>0</v>
      </c>
      <c r="D667" s="33">
        <v>1</v>
      </c>
      <c r="E667" s="33">
        <v>1</v>
      </c>
      <c r="F667" s="33">
        <v>1</v>
      </c>
      <c r="G667" s="33">
        <v>1</v>
      </c>
      <c r="H667" s="33">
        <v>1</v>
      </c>
      <c r="I667" s="33">
        <v>1</v>
      </c>
      <c r="J667" s="33">
        <v>1</v>
      </c>
      <c r="K667" s="33">
        <v>1</v>
      </c>
      <c r="L667" s="33">
        <v>1</v>
      </c>
      <c r="M667" s="33">
        <v>1</v>
      </c>
      <c r="N667" s="33">
        <v>1</v>
      </c>
      <c r="O667" s="33">
        <v>1</v>
      </c>
      <c r="P667" s="34">
        <f t="shared" si="23"/>
        <v>1</v>
      </c>
    </row>
    <row r="668" spans="1:16" x14ac:dyDescent="0.25">
      <c r="A668" s="169">
        <f t="shared" si="24"/>
        <v>35.049999999999997</v>
      </c>
      <c r="B668" s="166">
        <v>35</v>
      </c>
      <c r="C668" s="32">
        <v>5</v>
      </c>
      <c r="D668" s="33">
        <v>1.01</v>
      </c>
      <c r="E668" s="33">
        <v>1.03</v>
      </c>
      <c r="F668" s="33">
        <v>1.04</v>
      </c>
      <c r="G668" s="33">
        <v>1.06</v>
      </c>
      <c r="H668" s="33">
        <v>1.08</v>
      </c>
      <c r="I668" s="33">
        <v>1.07</v>
      </c>
      <c r="J668" s="33">
        <v>1.06</v>
      </c>
      <c r="K668" s="33">
        <v>1.05</v>
      </c>
      <c r="L668" s="33">
        <v>1.04</v>
      </c>
      <c r="M668" s="33">
        <v>1.02</v>
      </c>
      <c r="N668" s="33">
        <v>1.01</v>
      </c>
      <c r="O668" s="33">
        <v>1.01</v>
      </c>
      <c r="P668" s="34">
        <f t="shared" si="23"/>
        <v>1.04</v>
      </c>
    </row>
    <row r="669" spans="1:16" x14ac:dyDescent="0.25">
      <c r="A669" s="169">
        <f t="shared" si="24"/>
        <v>35.1</v>
      </c>
      <c r="B669" s="166">
        <v>35</v>
      </c>
      <c r="C669" s="32">
        <v>10</v>
      </c>
      <c r="D669" s="33">
        <v>1.02</v>
      </c>
      <c r="E669" s="33">
        <v>1.04</v>
      </c>
      <c r="F669" s="33">
        <v>1.08</v>
      </c>
      <c r="G669" s="33">
        <v>1.1200000000000001</v>
      </c>
      <c r="H669" s="33">
        <v>1.1499999999999999</v>
      </c>
      <c r="I669" s="33">
        <v>1.1399999999999999</v>
      </c>
      <c r="J669" s="33">
        <v>1.1200000000000001</v>
      </c>
      <c r="K669" s="33">
        <v>1.1000000000000001</v>
      </c>
      <c r="L669" s="33">
        <v>1.07</v>
      </c>
      <c r="M669" s="33">
        <v>1.04</v>
      </c>
      <c r="N669" s="33">
        <v>1.02</v>
      </c>
      <c r="O669" s="33">
        <v>1.01</v>
      </c>
      <c r="P669" s="34">
        <f t="shared" si="23"/>
        <v>1.0758333333333332</v>
      </c>
    </row>
    <row r="670" spans="1:16" x14ac:dyDescent="0.25">
      <c r="A670" s="169">
        <f t="shared" si="24"/>
        <v>35.15</v>
      </c>
      <c r="B670" s="166">
        <v>35</v>
      </c>
      <c r="C670" s="32">
        <v>15</v>
      </c>
      <c r="D670" s="33">
        <v>1.02</v>
      </c>
      <c r="E670" s="33">
        <v>1.05</v>
      </c>
      <c r="F670" s="33">
        <v>1.1100000000000001</v>
      </c>
      <c r="G670" s="33">
        <v>1.17</v>
      </c>
      <c r="H670" s="33">
        <v>1.21</v>
      </c>
      <c r="I670" s="33">
        <v>1.21</v>
      </c>
      <c r="J670" s="33">
        <v>1.17</v>
      </c>
      <c r="K670" s="33">
        <v>1.1399999999999999</v>
      </c>
      <c r="L670" s="33">
        <v>1.0900000000000001</v>
      </c>
      <c r="M670" s="33">
        <v>1.05</v>
      </c>
      <c r="N670" s="33">
        <v>1.02</v>
      </c>
      <c r="O670" s="33">
        <v>1</v>
      </c>
      <c r="P670" s="34">
        <f t="shared" si="23"/>
        <v>1.1033333333333333</v>
      </c>
    </row>
    <row r="671" spans="1:16" x14ac:dyDescent="0.25">
      <c r="A671" s="169">
        <f t="shared" si="24"/>
        <v>35.200000000000003</v>
      </c>
      <c r="B671" s="166">
        <v>35</v>
      </c>
      <c r="C671" s="32">
        <v>20</v>
      </c>
      <c r="D671" s="33">
        <v>1.01</v>
      </c>
      <c r="E671" s="33">
        <v>1.06</v>
      </c>
      <c r="F671" s="33">
        <v>1.1299999999999999</v>
      </c>
      <c r="G671" s="33">
        <v>1.22</v>
      </c>
      <c r="H671" s="33">
        <v>1.27</v>
      </c>
      <c r="I671" s="33">
        <v>1.26</v>
      </c>
      <c r="J671" s="33">
        <v>1.22</v>
      </c>
      <c r="K671" s="33">
        <v>1.17</v>
      </c>
      <c r="L671" s="33">
        <v>1.1100000000000001</v>
      </c>
      <c r="M671" s="33">
        <v>1.05</v>
      </c>
      <c r="N671" s="33">
        <v>1.01</v>
      </c>
      <c r="O671" s="33">
        <v>0.99</v>
      </c>
      <c r="P671" s="34">
        <f t="shared" si="23"/>
        <v>1.125</v>
      </c>
    </row>
    <row r="672" spans="1:16" x14ac:dyDescent="0.25">
      <c r="A672" s="169">
        <f t="shared" si="24"/>
        <v>35.25</v>
      </c>
      <c r="B672" s="166">
        <v>35</v>
      </c>
      <c r="C672" s="32">
        <v>25</v>
      </c>
      <c r="D672" s="33">
        <v>0.99</v>
      </c>
      <c r="E672" s="33">
        <v>1.05</v>
      </c>
      <c r="F672" s="33">
        <v>1.1499999999999999</v>
      </c>
      <c r="G672" s="33">
        <v>1.25</v>
      </c>
      <c r="H672" s="33">
        <v>1.32</v>
      </c>
      <c r="I672" s="33">
        <v>1.31</v>
      </c>
      <c r="J672" s="33">
        <v>1.25</v>
      </c>
      <c r="K672" s="33">
        <v>1.2</v>
      </c>
      <c r="L672" s="33">
        <v>1.1200000000000001</v>
      </c>
      <c r="M672" s="33">
        <v>1.05</v>
      </c>
      <c r="N672" s="33">
        <v>0.99</v>
      </c>
      <c r="O672" s="33">
        <v>0.97</v>
      </c>
      <c r="P672" s="34">
        <f t="shared" si="23"/>
        <v>1.1375000000000002</v>
      </c>
    </row>
    <row r="673" spans="1:16" x14ac:dyDescent="0.25">
      <c r="A673" s="169">
        <f t="shared" si="24"/>
        <v>35.299999999999997</v>
      </c>
      <c r="B673" s="166">
        <v>35</v>
      </c>
      <c r="C673" s="32">
        <v>30</v>
      </c>
      <c r="D673" s="33">
        <v>0.97</v>
      </c>
      <c r="E673" s="33">
        <v>1.04</v>
      </c>
      <c r="F673" s="33">
        <v>1.1499999999999999</v>
      </c>
      <c r="G673" s="33">
        <v>1.28</v>
      </c>
      <c r="H673" s="33">
        <v>1.36</v>
      </c>
      <c r="I673" s="33">
        <v>1.35</v>
      </c>
      <c r="J673" s="33">
        <v>1.28</v>
      </c>
      <c r="K673" s="33">
        <v>1.21</v>
      </c>
      <c r="L673" s="33">
        <v>1.1299999999999999</v>
      </c>
      <c r="M673" s="33">
        <v>1.04</v>
      </c>
      <c r="N673" s="33">
        <v>0.97</v>
      </c>
      <c r="O673" s="33">
        <v>0.94</v>
      </c>
      <c r="P673" s="34">
        <f t="shared" si="23"/>
        <v>1.1433333333333333</v>
      </c>
    </row>
    <row r="674" spans="1:16" x14ac:dyDescent="0.25">
      <c r="A674" s="169">
        <f t="shared" si="24"/>
        <v>35.35</v>
      </c>
      <c r="B674" s="166">
        <v>35</v>
      </c>
      <c r="C674" s="32">
        <v>35</v>
      </c>
      <c r="D674" s="33">
        <v>0.94</v>
      </c>
      <c r="E674" s="33">
        <v>1.02</v>
      </c>
      <c r="F674" s="33">
        <v>1.1499999999999999</v>
      </c>
      <c r="G674" s="33">
        <v>1.29</v>
      </c>
      <c r="H674" s="33">
        <v>1.39</v>
      </c>
      <c r="I674" s="33">
        <v>1.38</v>
      </c>
      <c r="J674" s="33">
        <v>1.31</v>
      </c>
      <c r="K674" s="33">
        <v>1.22</v>
      </c>
      <c r="L674" s="33">
        <v>1.1200000000000001</v>
      </c>
      <c r="M674" s="33">
        <v>1.02</v>
      </c>
      <c r="N674" s="33">
        <v>0.94</v>
      </c>
      <c r="O674" s="33">
        <v>0.91</v>
      </c>
      <c r="P674" s="34">
        <f t="shared" si="23"/>
        <v>1.1408333333333334</v>
      </c>
    </row>
    <row r="675" spans="1:16" x14ac:dyDescent="0.25">
      <c r="A675" s="169">
        <f t="shared" si="24"/>
        <v>35.4</v>
      </c>
      <c r="B675" s="166">
        <v>35</v>
      </c>
      <c r="C675" s="32">
        <v>40</v>
      </c>
      <c r="D675" s="33">
        <v>0.9</v>
      </c>
      <c r="E675" s="33">
        <v>1</v>
      </c>
      <c r="F675" s="33">
        <v>1.1399999999999999</v>
      </c>
      <c r="G675" s="33">
        <v>1.3</v>
      </c>
      <c r="H675" s="33">
        <v>1.41</v>
      </c>
      <c r="I675" s="33">
        <v>1.4</v>
      </c>
      <c r="J675" s="33">
        <v>1.32</v>
      </c>
      <c r="K675" s="33">
        <v>1.23</v>
      </c>
      <c r="L675" s="33">
        <v>1.1100000000000001</v>
      </c>
      <c r="M675" s="33">
        <v>0.99</v>
      </c>
      <c r="N675" s="33">
        <v>0.9</v>
      </c>
      <c r="O675" s="33">
        <v>0.87</v>
      </c>
      <c r="P675" s="34">
        <f t="shared" si="23"/>
        <v>1.1308333333333334</v>
      </c>
    </row>
    <row r="676" spans="1:16" x14ac:dyDescent="0.25">
      <c r="A676" s="169">
        <f t="shared" si="24"/>
        <v>35.450000000000003</v>
      </c>
      <c r="B676" s="166">
        <v>35</v>
      </c>
      <c r="C676" s="32">
        <v>45</v>
      </c>
      <c r="D676" s="33">
        <v>0.86</v>
      </c>
      <c r="E676" s="33">
        <v>0.97</v>
      </c>
      <c r="F676" s="33">
        <v>1.1299999999999999</v>
      </c>
      <c r="G676" s="33">
        <v>1.3</v>
      </c>
      <c r="H676" s="33">
        <v>1.42</v>
      </c>
      <c r="I676" s="33">
        <v>1.41</v>
      </c>
      <c r="J676" s="33">
        <v>1.33</v>
      </c>
      <c r="K676" s="33">
        <v>1.22</v>
      </c>
      <c r="L676" s="33">
        <v>1.0900000000000001</v>
      </c>
      <c r="M676" s="33">
        <v>0.96</v>
      </c>
      <c r="N676" s="33">
        <v>0.86</v>
      </c>
      <c r="O676" s="33">
        <v>0.82</v>
      </c>
      <c r="P676" s="34">
        <f t="shared" si="23"/>
        <v>1.1141666666666667</v>
      </c>
    </row>
    <row r="677" spans="1:16" x14ac:dyDescent="0.25">
      <c r="A677" s="169">
        <f t="shared" si="24"/>
        <v>35.5</v>
      </c>
      <c r="B677" s="166">
        <v>35</v>
      </c>
      <c r="C677" s="32">
        <v>50</v>
      </c>
      <c r="D677" s="33">
        <v>0.81</v>
      </c>
      <c r="E677" s="33">
        <v>0.93</v>
      </c>
      <c r="F677" s="33">
        <v>1.1000000000000001</v>
      </c>
      <c r="G677" s="33">
        <v>1.3</v>
      </c>
      <c r="H677" s="33">
        <v>1.43</v>
      </c>
      <c r="I677" s="33">
        <v>1.42</v>
      </c>
      <c r="J677" s="33">
        <v>1.32</v>
      </c>
      <c r="K677" s="33">
        <v>1.21</v>
      </c>
      <c r="L677" s="33">
        <v>1.07</v>
      </c>
      <c r="M677" s="33">
        <v>0.92</v>
      </c>
      <c r="N677" s="33">
        <v>0.81</v>
      </c>
      <c r="O677" s="33">
        <v>0.77</v>
      </c>
      <c r="P677" s="34">
        <f t="shared" si="23"/>
        <v>1.0908333333333333</v>
      </c>
    </row>
    <row r="678" spans="1:16" x14ac:dyDescent="0.25">
      <c r="A678" s="169">
        <f t="shared" si="24"/>
        <v>35.549999999999997</v>
      </c>
      <c r="B678" s="166">
        <v>35</v>
      </c>
      <c r="C678" s="32">
        <v>55</v>
      </c>
      <c r="D678" s="33">
        <v>0.76</v>
      </c>
      <c r="E678" s="33">
        <v>0.88</v>
      </c>
      <c r="F678" s="33">
        <v>1.07</v>
      </c>
      <c r="G678" s="33">
        <v>1.28</v>
      </c>
      <c r="H678" s="33">
        <v>1.42</v>
      </c>
      <c r="I678" s="33">
        <v>1.41</v>
      </c>
      <c r="J678" s="33">
        <v>1.31</v>
      </c>
      <c r="K678" s="33">
        <v>1.19</v>
      </c>
      <c r="L678" s="33">
        <v>1.03</v>
      </c>
      <c r="M678" s="33">
        <v>0.87</v>
      </c>
      <c r="N678" s="33">
        <v>0.76</v>
      </c>
      <c r="O678" s="33">
        <v>0.72</v>
      </c>
      <c r="P678" s="34">
        <f t="shared" si="23"/>
        <v>1.0583333333333333</v>
      </c>
    </row>
    <row r="679" spans="1:16" x14ac:dyDescent="0.25">
      <c r="A679" s="169">
        <f t="shared" si="24"/>
        <v>35.6</v>
      </c>
      <c r="B679" s="166">
        <v>35</v>
      </c>
      <c r="C679" s="32">
        <v>60</v>
      </c>
      <c r="D679" s="33">
        <v>0.7</v>
      </c>
      <c r="E679" s="33">
        <v>0.83</v>
      </c>
      <c r="F679" s="33">
        <v>1.03</v>
      </c>
      <c r="G679" s="33">
        <v>1.25</v>
      </c>
      <c r="H679" s="33">
        <v>1.41</v>
      </c>
      <c r="I679" s="33">
        <v>1.4</v>
      </c>
      <c r="J679" s="33">
        <v>1.29</v>
      </c>
      <c r="K679" s="33">
        <v>1.1599999999999999</v>
      </c>
      <c r="L679" s="33">
        <v>0.99</v>
      </c>
      <c r="M679" s="33">
        <v>0.82</v>
      </c>
      <c r="N679" s="33">
        <v>0.7</v>
      </c>
      <c r="O679" s="33">
        <v>0.66</v>
      </c>
      <c r="P679" s="34">
        <f t="shared" si="23"/>
        <v>1.0199999999999998</v>
      </c>
    </row>
    <row r="680" spans="1:16" x14ac:dyDescent="0.25">
      <c r="A680" s="169">
        <f t="shared" si="24"/>
        <v>35.65</v>
      </c>
      <c r="B680" s="166">
        <v>35</v>
      </c>
      <c r="C680" s="32">
        <v>65</v>
      </c>
      <c r="D680" s="33">
        <v>0.64</v>
      </c>
      <c r="E680" s="33">
        <v>0.77</v>
      </c>
      <c r="F680" s="33">
        <v>0.98</v>
      </c>
      <c r="G680" s="33">
        <v>1.22</v>
      </c>
      <c r="H680" s="33">
        <v>1.38</v>
      </c>
      <c r="I680" s="33">
        <v>1.38</v>
      </c>
      <c r="J680" s="33">
        <v>1.27</v>
      </c>
      <c r="K680" s="33">
        <v>1.1200000000000001</v>
      </c>
      <c r="L680" s="33">
        <v>0.95</v>
      </c>
      <c r="M680" s="33">
        <v>0.77</v>
      </c>
      <c r="N680" s="33">
        <v>0.64</v>
      </c>
      <c r="O680" s="33">
        <v>0.59</v>
      </c>
      <c r="P680" s="34">
        <f t="shared" si="23"/>
        <v>0.97583333333333344</v>
      </c>
    </row>
    <row r="681" spans="1:16" x14ac:dyDescent="0.25">
      <c r="A681" s="169">
        <f t="shared" si="24"/>
        <v>35.700000000000003</v>
      </c>
      <c r="B681" s="166">
        <v>35</v>
      </c>
      <c r="C681" s="32">
        <v>70</v>
      </c>
      <c r="D681" s="33">
        <v>0.56999999999999995</v>
      </c>
      <c r="E681" s="33">
        <v>0.71</v>
      </c>
      <c r="F681" s="33">
        <v>0.93</v>
      </c>
      <c r="G681" s="33">
        <v>1.18</v>
      </c>
      <c r="H681" s="33">
        <v>1.35</v>
      </c>
      <c r="I681" s="33">
        <v>1.35</v>
      </c>
      <c r="J681" s="33">
        <v>1.23</v>
      </c>
      <c r="K681" s="33">
        <v>1.08</v>
      </c>
      <c r="L681" s="33">
        <v>0.9</v>
      </c>
      <c r="M681" s="33">
        <v>0.71</v>
      </c>
      <c r="N681" s="33">
        <v>0.56999999999999995</v>
      </c>
      <c r="O681" s="33">
        <v>0.52</v>
      </c>
      <c r="P681" s="34">
        <f t="shared" si="23"/>
        <v>0.92500000000000016</v>
      </c>
    </row>
    <row r="682" spans="1:16" x14ac:dyDescent="0.25">
      <c r="A682" s="169">
        <f t="shared" si="24"/>
        <v>35.75</v>
      </c>
      <c r="B682" s="166">
        <v>35</v>
      </c>
      <c r="C682" s="32">
        <v>75</v>
      </c>
      <c r="D682" s="33">
        <v>0.5</v>
      </c>
      <c r="E682" s="33">
        <v>0.64</v>
      </c>
      <c r="F682" s="33">
        <v>0.87</v>
      </c>
      <c r="G682" s="33">
        <v>1.1299999999999999</v>
      </c>
      <c r="H682" s="33">
        <v>1.31</v>
      </c>
      <c r="I682" s="33">
        <v>1.31</v>
      </c>
      <c r="J682" s="33">
        <v>1.19</v>
      </c>
      <c r="K682" s="33">
        <v>1.03</v>
      </c>
      <c r="L682" s="33">
        <v>0.84</v>
      </c>
      <c r="M682" s="33">
        <v>0.64</v>
      </c>
      <c r="N682" s="33">
        <v>0.5</v>
      </c>
      <c r="O682" s="33">
        <v>0.45</v>
      </c>
      <c r="P682" s="34">
        <f t="shared" si="23"/>
        <v>0.86750000000000005</v>
      </c>
    </row>
    <row r="683" spans="1:16" x14ac:dyDescent="0.25">
      <c r="A683" s="169">
        <f t="shared" si="24"/>
        <v>35.799999999999997</v>
      </c>
      <c r="B683" s="166">
        <v>35</v>
      </c>
      <c r="C683" s="32">
        <v>80</v>
      </c>
      <c r="D683" s="33">
        <v>0.42</v>
      </c>
      <c r="E683" s="33">
        <v>0.56999999999999995</v>
      </c>
      <c r="F683" s="33">
        <v>8</v>
      </c>
      <c r="G683" s="33">
        <v>1.07</v>
      </c>
      <c r="H683" s="33">
        <v>1.26</v>
      </c>
      <c r="I683" s="33">
        <v>1.26</v>
      </c>
      <c r="J683" s="33">
        <v>1.1399999999999999</v>
      </c>
      <c r="K683" s="33">
        <v>0.98</v>
      </c>
      <c r="L683" s="33">
        <v>0.78</v>
      </c>
      <c r="M683" s="33">
        <v>0.56999999999999995</v>
      </c>
      <c r="N683" s="33">
        <v>0.43</v>
      </c>
      <c r="O683" s="33">
        <v>0.37</v>
      </c>
      <c r="P683" s="34">
        <f t="shared" si="23"/>
        <v>1.4041666666666668</v>
      </c>
    </row>
    <row r="684" spans="1:16" x14ac:dyDescent="0.25">
      <c r="A684" s="169">
        <f t="shared" si="24"/>
        <v>35.85</v>
      </c>
      <c r="B684" s="166">
        <v>35</v>
      </c>
      <c r="C684" s="32">
        <v>85</v>
      </c>
      <c r="D684" s="33">
        <v>0.34</v>
      </c>
      <c r="E684" s="33">
        <v>0.5</v>
      </c>
      <c r="F684" s="33">
        <v>0.73</v>
      </c>
      <c r="G684" s="33">
        <v>1</v>
      </c>
      <c r="H684" s="33">
        <v>1.2</v>
      </c>
      <c r="I684" s="33">
        <v>1.21</v>
      </c>
      <c r="J684" s="33">
        <v>1.0900000000000001</v>
      </c>
      <c r="K684" s="33">
        <v>0.92</v>
      </c>
      <c r="L684" s="33">
        <v>0.71</v>
      </c>
      <c r="M684" s="33">
        <v>0.5</v>
      </c>
      <c r="N684" s="33">
        <v>0.35</v>
      </c>
      <c r="O684" s="33">
        <v>0.28999999999999998</v>
      </c>
      <c r="P684" s="34">
        <f t="shared" si="23"/>
        <v>0.73666666666666647</v>
      </c>
    </row>
    <row r="685" spans="1:16" x14ac:dyDescent="0.25">
      <c r="A685" s="169">
        <f t="shared" si="24"/>
        <v>35.9</v>
      </c>
      <c r="B685" s="166">
        <v>35</v>
      </c>
      <c r="C685" s="32">
        <v>90</v>
      </c>
      <c r="D685" s="33">
        <v>0.26</v>
      </c>
      <c r="E685" s="33">
        <v>0.42</v>
      </c>
      <c r="F685" s="33">
        <v>0.66</v>
      </c>
      <c r="G685" s="33">
        <v>0.93</v>
      </c>
      <c r="H685" s="33">
        <v>1.1299999999999999</v>
      </c>
      <c r="I685" s="33">
        <v>1.1499999999999999</v>
      </c>
      <c r="J685" s="33">
        <v>1.02</v>
      </c>
      <c r="K685" s="33">
        <v>0.85</v>
      </c>
      <c r="L685" s="33">
        <v>0.64</v>
      </c>
      <c r="M685" s="33">
        <v>0.42</v>
      </c>
      <c r="N685" s="33">
        <v>0.27</v>
      </c>
      <c r="O685" s="33">
        <v>0.21</v>
      </c>
      <c r="P685" s="34">
        <f t="shared" si="23"/>
        <v>0.66333333333333333</v>
      </c>
    </row>
    <row r="686" spans="1:16" x14ac:dyDescent="0.25">
      <c r="A686" s="169">
        <f t="shared" si="24"/>
        <v>36</v>
      </c>
      <c r="B686" s="166">
        <v>36</v>
      </c>
      <c r="C686" s="32">
        <v>0</v>
      </c>
      <c r="D686" s="33">
        <v>1</v>
      </c>
      <c r="E686" s="33">
        <v>1</v>
      </c>
      <c r="F686" s="33">
        <v>1</v>
      </c>
      <c r="G686" s="33">
        <v>1</v>
      </c>
      <c r="H686" s="33">
        <v>1</v>
      </c>
      <c r="I686" s="33">
        <v>1</v>
      </c>
      <c r="J686" s="33">
        <v>1</v>
      </c>
      <c r="K686" s="33">
        <v>1</v>
      </c>
      <c r="L686" s="33">
        <v>1</v>
      </c>
      <c r="M686" s="33">
        <v>1</v>
      </c>
      <c r="N686" s="33">
        <v>1</v>
      </c>
      <c r="O686" s="33">
        <v>1</v>
      </c>
      <c r="P686" s="34">
        <f t="shared" si="23"/>
        <v>1</v>
      </c>
    </row>
    <row r="687" spans="1:16" x14ac:dyDescent="0.25">
      <c r="A687" s="169">
        <f t="shared" si="24"/>
        <v>36.049999999999997</v>
      </c>
      <c r="B687" s="166">
        <v>36</v>
      </c>
      <c r="C687" s="32">
        <v>5</v>
      </c>
      <c r="D687" s="33">
        <v>1.01</v>
      </c>
      <c r="E687" s="33">
        <v>1.03</v>
      </c>
      <c r="F687" s="33">
        <v>1.05</v>
      </c>
      <c r="G687" s="33">
        <v>1.07</v>
      </c>
      <c r="H687" s="33">
        <v>1.08</v>
      </c>
      <c r="I687" s="33">
        <v>1.08</v>
      </c>
      <c r="J687" s="33">
        <v>1.07</v>
      </c>
      <c r="K687" s="33">
        <v>1.05</v>
      </c>
      <c r="L687" s="33">
        <v>1.04</v>
      </c>
      <c r="M687" s="33">
        <v>1.02</v>
      </c>
      <c r="N687" s="33">
        <v>1.01</v>
      </c>
      <c r="O687" s="33">
        <v>1.01</v>
      </c>
      <c r="P687" s="34">
        <f t="shared" si="23"/>
        <v>1.0433333333333332</v>
      </c>
    </row>
    <row r="688" spans="1:16" x14ac:dyDescent="0.25">
      <c r="A688" s="169">
        <f t="shared" si="24"/>
        <v>36.1</v>
      </c>
      <c r="B688" s="166">
        <v>36</v>
      </c>
      <c r="C688" s="32">
        <v>10</v>
      </c>
      <c r="D688" s="33">
        <v>1.02</v>
      </c>
      <c r="E688" s="33">
        <v>1.05</v>
      </c>
      <c r="F688" s="33">
        <v>1.08</v>
      </c>
      <c r="G688" s="33">
        <v>1.1299999999999999</v>
      </c>
      <c r="H688" s="33">
        <v>1.1499999999999999</v>
      </c>
      <c r="I688" s="33">
        <v>1.1499999999999999</v>
      </c>
      <c r="J688" s="33">
        <v>1.1299999999999999</v>
      </c>
      <c r="K688" s="33">
        <v>1.1000000000000001</v>
      </c>
      <c r="L688" s="33">
        <v>1.07</v>
      </c>
      <c r="M688" s="33">
        <v>1.04</v>
      </c>
      <c r="N688" s="33">
        <v>1.02</v>
      </c>
      <c r="O688" s="33">
        <v>1.01</v>
      </c>
      <c r="P688" s="34">
        <f t="shared" si="23"/>
        <v>1.0791666666666668</v>
      </c>
    </row>
    <row r="689" spans="1:16" x14ac:dyDescent="0.25">
      <c r="A689" s="169">
        <f t="shared" si="24"/>
        <v>36.15</v>
      </c>
      <c r="B689" s="166">
        <v>36</v>
      </c>
      <c r="C689" s="32">
        <v>15</v>
      </c>
      <c r="D689" s="33">
        <v>1.02</v>
      </c>
      <c r="E689" s="33">
        <v>1.06</v>
      </c>
      <c r="F689" s="33">
        <v>1.1200000000000001</v>
      </c>
      <c r="G689" s="33">
        <v>1.18</v>
      </c>
      <c r="H689" s="33">
        <v>1.22</v>
      </c>
      <c r="I689" s="33">
        <v>1.21</v>
      </c>
      <c r="J689" s="33">
        <v>1.18</v>
      </c>
      <c r="K689" s="33">
        <v>1.1399999999999999</v>
      </c>
      <c r="L689" s="33">
        <v>1.1000000000000001</v>
      </c>
      <c r="M689" s="33">
        <v>1.05</v>
      </c>
      <c r="N689" s="33">
        <v>1.02</v>
      </c>
      <c r="O689" s="33">
        <v>1.01</v>
      </c>
      <c r="P689" s="34">
        <f t="shared" si="23"/>
        <v>1.1091666666666666</v>
      </c>
    </row>
    <row r="690" spans="1:16" x14ac:dyDescent="0.25">
      <c r="A690" s="169">
        <f t="shared" si="24"/>
        <v>36.200000000000003</v>
      </c>
      <c r="B690" s="166">
        <v>36</v>
      </c>
      <c r="C690" s="32">
        <v>20</v>
      </c>
      <c r="D690" s="33">
        <v>1.01</v>
      </c>
      <c r="E690" s="33">
        <v>1.06</v>
      </c>
      <c r="F690" s="33">
        <v>1.1399999999999999</v>
      </c>
      <c r="G690" s="33">
        <v>1.22</v>
      </c>
      <c r="H690" s="33">
        <v>1.28</v>
      </c>
      <c r="I690" s="33">
        <v>1.27</v>
      </c>
      <c r="J690" s="33">
        <v>1.22</v>
      </c>
      <c r="K690" s="33">
        <v>1.18</v>
      </c>
      <c r="L690" s="33">
        <v>1.1200000000000001</v>
      </c>
      <c r="M690" s="33">
        <v>1.06</v>
      </c>
      <c r="N690" s="33">
        <v>1.01</v>
      </c>
      <c r="O690" s="33">
        <v>0.99</v>
      </c>
      <c r="P690" s="34">
        <f t="shared" si="23"/>
        <v>1.1300000000000001</v>
      </c>
    </row>
    <row r="691" spans="1:16" x14ac:dyDescent="0.25">
      <c r="A691" s="169">
        <f t="shared" si="24"/>
        <v>36.25</v>
      </c>
      <c r="B691" s="166">
        <v>36</v>
      </c>
      <c r="C691" s="32">
        <v>25</v>
      </c>
      <c r="D691" s="33">
        <v>1</v>
      </c>
      <c r="E691" s="33">
        <v>1.06</v>
      </c>
      <c r="F691" s="33">
        <v>1.1599999999999999</v>
      </c>
      <c r="G691" s="33">
        <v>1.26</v>
      </c>
      <c r="H691" s="33">
        <v>1.33</v>
      </c>
      <c r="I691" s="33">
        <v>1.32</v>
      </c>
      <c r="J691" s="33">
        <v>1.26</v>
      </c>
      <c r="K691" s="33">
        <v>1.2</v>
      </c>
      <c r="L691" s="33">
        <v>1.1299999999999999</v>
      </c>
      <c r="M691" s="33">
        <v>1.05</v>
      </c>
      <c r="N691" s="33">
        <v>1</v>
      </c>
      <c r="O691" s="33">
        <v>0.98</v>
      </c>
      <c r="P691" s="34">
        <f t="shared" si="23"/>
        <v>1.1458333333333333</v>
      </c>
    </row>
    <row r="692" spans="1:16" x14ac:dyDescent="0.25">
      <c r="A692" s="169">
        <f t="shared" si="24"/>
        <v>36.299999999999997</v>
      </c>
      <c r="B692" s="166">
        <v>36</v>
      </c>
      <c r="C692" s="32">
        <v>30</v>
      </c>
      <c r="D692" s="33">
        <v>0.98</v>
      </c>
      <c r="E692" s="33">
        <v>1.05</v>
      </c>
      <c r="F692" s="33">
        <v>1.1599999999999999</v>
      </c>
      <c r="G692" s="33">
        <v>1.29</v>
      </c>
      <c r="H692" s="33">
        <v>1.37</v>
      </c>
      <c r="I692" s="33">
        <v>1.36</v>
      </c>
      <c r="J692" s="33">
        <v>1.29</v>
      </c>
      <c r="K692" s="33">
        <v>1.22</v>
      </c>
      <c r="L692" s="33">
        <v>1.1299999999999999</v>
      </c>
      <c r="M692" s="33">
        <v>1.04</v>
      </c>
      <c r="N692" s="33">
        <v>0.98</v>
      </c>
      <c r="O692" s="33">
        <v>0.95</v>
      </c>
      <c r="P692" s="34">
        <f t="shared" ref="P692:P755" si="25">AVERAGE(D692:O692)</f>
        <v>1.1516666666666666</v>
      </c>
    </row>
    <row r="693" spans="1:16" x14ac:dyDescent="0.25">
      <c r="A693" s="169">
        <f t="shared" si="24"/>
        <v>36.35</v>
      </c>
      <c r="B693" s="166">
        <v>36</v>
      </c>
      <c r="C693" s="32">
        <v>35</v>
      </c>
      <c r="D693" s="33">
        <v>0.95</v>
      </c>
      <c r="E693" s="33">
        <v>1.03</v>
      </c>
      <c r="F693" s="33">
        <v>1.1599999999999999</v>
      </c>
      <c r="G693" s="33">
        <v>1.31</v>
      </c>
      <c r="H693" s="33">
        <v>1.4</v>
      </c>
      <c r="I693" s="33">
        <v>1.39</v>
      </c>
      <c r="J693" s="33">
        <v>1.32</v>
      </c>
      <c r="K693" s="33">
        <v>1.23</v>
      </c>
      <c r="L693" s="33">
        <v>1.1299999999999999</v>
      </c>
      <c r="M693" s="33">
        <v>1.02</v>
      </c>
      <c r="N693" s="33">
        <v>0.95</v>
      </c>
      <c r="O693" s="33">
        <v>0.92</v>
      </c>
      <c r="P693" s="34">
        <f t="shared" si="25"/>
        <v>1.1508333333333332</v>
      </c>
    </row>
    <row r="694" spans="1:16" x14ac:dyDescent="0.25">
      <c r="A694" s="169">
        <f t="shared" si="24"/>
        <v>36.4</v>
      </c>
      <c r="B694" s="166">
        <v>36</v>
      </c>
      <c r="C694" s="32">
        <v>40</v>
      </c>
      <c r="D694" s="33">
        <v>0.91</v>
      </c>
      <c r="E694" s="33">
        <v>1.01</v>
      </c>
      <c r="F694" s="33">
        <v>1.1599999999999999</v>
      </c>
      <c r="G694" s="33">
        <v>1.32</v>
      </c>
      <c r="H694" s="33">
        <v>1.43</v>
      </c>
      <c r="I694" s="33">
        <v>1.41</v>
      </c>
      <c r="J694" s="33">
        <v>1.33</v>
      </c>
      <c r="K694" s="33">
        <v>1.24</v>
      </c>
      <c r="L694" s="33">
        <v>1.1200000000000001</v>
      </c>
      <c r="M694" s="33">
        <v>1</v>
      </c>
      <c r="N694" s="33">
        <v>0.91</v>
      </c>
      <c r="O694" s="33">
        <v>0.88</v>
      </c>
      <c r="P694" s="34">
        <f t="shared" si="25"/>
        <v>1.1433333333333333</v>
      </c>
    </row>
    <row r="695" spans="1:16" x14ac:dyDescent="0.25">
      <c r="A695" s="169">
        <f t="shared" si="24"/>
        <v>36.450000000000003</v>
      </c>
      <c r="B695" s="166">
        <v>36</v>
      </c>
      <c r="C695" s="32">
        <v>45</v>
      </c>
      <c r="D695" s="33">
        <v>0.87</v>
      </c>
      <c r="E695" s="33">
        <v>0.98</v>
      </c>
      <c r="F695" s="33">
        <v>1.1399999999999999</v>
      </c>
      <c r="G695" s="33">
        <v>1.32</v>
      </c>
      <c r="H695" s="33">
        <v>1.44</v>
      </c>
      <c r="I695" s="33">
        <v>1.43</v>
      </c>
      <c r="J695" s="33">
        <v>1.34</v>
      </c>
      <c r="K695" s="33">
        <v>1.23</v>
      </c>
      <c r="L695" s="33">
        <v>1.1000000000000001</v>
      </c>
      <c r="M695" s="33">
        <v>0.97</v>
      </c>
      <c r="N695" s="33">
        <v>0.87</v>
      </c>
      <c r="O695" s="33">
        <v>0.84</v>
      </c>
      <c r="P695" s="34">
        <f t="shared" si="25"/>
        <v>1.1274999999999999</v>
      </c>
    </row>
    <row r="696" spans="1:16" x14ac:dyDescent="0.25">
      <c r="A696" s="169">
        <f t="shared" si="24"/>
        <v>36.5</v>
      </c>
      <c r="B696" s="166">
        <v>36</v>
      </c>
      <c r="C696" s="32">
        <v>50</v>
      </c>
      <c r="D696" s="33">
        <v>0.82</v>
      </c>
      <c r="E696" s="33">
        <v>0.94</v>
      </c>
      <c r="F696" s="33">
        <v>1.1200000000000001</v>
      </c>
      <c r="G696" s="33">
        <v>1.31</v>
      </c>
      <c r="H696" s="33">
        <v>1.45</v>
      </c>
      <c r="I696" s="33">
        <v>1.44</v>
      </c>
      <c r="J696" s="33">
        <v>1.34</v>
      </c>
      <c r="K696" s="33">
        <v>1.22</v>
      </c>
      <c r="L696" s="33">
        <v>1.08</v>
      </c>
      <c r="M696" s="33">
        <v>0.93</v>
      </c>
      <c r="N696" s="33">
        <v>0.82</v>
      </c>
      <c r="O696" s="33">
        <v>0.78</v>
      </c>
      <c r="P696" s="34">
        <f t="shared" si="25"/>
        <v>1.1041666666666667</v>
      </c>
    </row>
    <row r="697" spans="1:16" x14ac:dyDescent="0.25">
      <c r="A697" s="169">
        <f t="shared" si="24"/>
        <v>36.549999999999997</v>
      </c>
      <c r="B697" s="166">
        <v>36</v>
      </c>
      <c r="C697" s="32">
        <v>55</v>
      </c>
      <c r="D697" s="33">
        <v>0.77</v>
      </c>
      <c r="E697" s="33">
        <v>0.9</v>
      </c>
      <c r="F697" s="33">
        <v>1.08</v>
      </c>
      <c r="G697" s="33">
        <v>1.3</v>
      </c>
      <c r="H697" s="33">
        <v>1.44</v>
      </c>
      <c r="I697" s="33">
        <v>1.43</v>
      </c>
      <c r="J697" s="33">
        <v>1.33</v>
      </c>
      <c r="K697" s="33">
        <v>1.2</v>
      </c>
      <c r="L697" s="33">
        <v>1.05</v>
      </c>
      <c r="M697" s="33">
        <v>0.89</v>
      </c>
      <c r="N697" s="33">
        <v>0.77</v>
      </c>
      <c r="O697" s="33">
        <v>0.73</v>
      </c>
      <c r="P697" s="34">
        <f t="shared" si="25"/>
        <v>1.0741666666666667</v>
      </c>
    </row>
    <row r="698" spans="1:16" x14ac:dyDescent="0.25">
      <c r="A698" s="169">
        <f t="shared" si="24"/>
        <v>36.6</v>
      </c>
      <c r="B698" s="166">
        <v>36</v>
      </c>
      <c r="C698" s="32">
        <v>60</v>
      </c>
      <c r="D698" s="33">
        <v>0.71</v>
      </c>
      <c r="E698" s="33">
        <v>0.84</v>
      </c>
      <c r="F698" s="33">
        <v>1.5</v>
      </c>
      <c r="G698" s="33">
        <v>1.27</v>
      </c>
      <c r="H698" s="33">
        <v>1.43</v>
      </c>
      <c r="I698" s="33">
        <v>1.42</v>
      </c>
      <c r="J698" s="33">
        <v>1.31</v>
      </c>
      <c r="K698" s="33">
        <v>1.17</v>
      </c>
      <c r="L698" s="33">
        <v>1.01</v>
      </c>
      <c r="M698" s="33">
        <v>0.84</v>
      </c>
      <c r="N698" s="33">
        <v>0.71</v>
      </c>
      <c r="O698" s="33">
        <v>0.67</v>
      </c>
      <c r="P698" s="34">
        <f t="shared" si="25"/>
        <v>1.0733333333333335</v>
      </c>
    </row>
    <row r="699" spans="1:16" x14ac:dyDescent="0.25">
      <c r="A699" s="169">
        <f t="shared" si="24"/>
        <v>36.65</v>
      </c>
      <c r="B699" s="166">
        <v>36</v>
      </c>
      <c r="C699" s="32">
        <v>65</v>
      </c>
      <c r="D699" s="33">
        <v>0.65</v>
      </c>
      <c r="E699" s="33">
        <v>0.79</v>
      </c>
      <c r="F699" s="33">
        <v>1</v>
      </c>
      <c r="G699" s="33">
        <v>1.24</v>
      </c>
      <c r="H699" s="33">
        <v>1.41</v>
      </c>
      <c r="I699" s="33">
        <v>1.4</v>
      </c>
      <c r="J699" s="33">
        <v>1.29</v>
      </c>
      <c r="K699" s="33">
        <v>1.1399999999999999</v>
      </c>
      <c r="L699" s="33">
        <v>0.96</v>
      </c>
      <c r="M699" s="33">
        <v>0.78</v>
      </c>
      <c r="N699" s="33">
        <v>0.65</v>
      </c>
      <c r="O699" s="33">
        <v>0.6</v>
      </c>
      <c r="P699" s="34">
        <f t="shared" si="25"/>
        <v>0.99249999999999983</v>
      </c>
    </row>
    <row r="700" spans="1:16" x14ac:dyDescent="0.25">
      <c r="A700" s="169">
        <f t="shared" si="24"/>
        <v>36.700000000000003</v>
      </c>
      <c r="B700" s="166">
        <v>36</v>
      </c>
      <c r="C700" s="32">
        <v>70</v>
      </c>
      <c r="D700" s="33">
        <v>0.57999999999999996</v>
      </c>
      <c r="E700" s="33">
        <v>0.73</v>
      </c>
      <c r="F700" s="33">
        <v>0.95</v>
      </c>
      <c r="G700" s="33">
        <v>1.2</v>
      </c>
      <c r="H700" s="33">
        <v>1.37</v>
      </c>
      <c r="I700" s="33">
        <v>1.37</v>
      </c>
      <c r="J700" s="33">
        <v>1.25</v>
      </c>
      <c r="K700" s="33">
        <v>1.1000000000000001</v>
      </c>
      <c r="L700" s="33">
        <v>0.91</v>
      </c>
      <c r="M700" s="33">
        <v>0.72</v>
      </c>
      <c r="N700" s="33">
        <v>0.59</v>
      </c>
      <c r="O700" s="33">
        <v>0.53</v>
      </c>
      <c r="P700" s="34">
        <f t="shared" si="25"/>
        <v>0.94166666666666676</v>
      </c>
    </row>
    <row r="701" spans="1:16" x14ac:dyDescent="0.25">
      <c r="A701" s="169">
        <f t="shared" si="24"/>
        <v>36.75</v>
      </c>
      <c r="B701" s="166">
        <v>36</v>
      </c>
      <c r="C701" s="32">
        <v>75</v>
      </c>
      <c r="D701" s="33">
        <v>0.51</v>
      </c>
      <c r="E701" s="33">
        <v>0.66</v>
      </c>
      <c r="F701" s="33">
        <v>0.89</v>
      </c>
      <c r="G701" s="33">
        <v>1.1499999999999999</v>
      </c>
      <c r="H701" s="33">
        <v>1.33</v>
      </c>
      <c r="I701" s="33">
        <v>1.33</v>
      </c>
      <c r="J701" s="33">
        <v>1.21</v>
      </c>
      <c r="K701" s="33">
        <v>1.05</v>
      </c>
      <c r="L701" s="33">
        <v>0.85</v>
      </c>
      <c r="M701" s="33">
        <v>0.66</v>
      </c>
      <c r="N701" s="33">
        <v>0.52</v>
      </c>
      <c r="O701" s="33">
        <v>0.46</v>
      </c>
      <c r="P701" s="34">
        <f t="shared" si="25"/>
        <v>0.88500000000000012</v>
      </c>
    </row>
    <row r="702" spans="1:16" x14ac:dyDescent="0.25">
      <c r="A702" s="169">
        <f t="shared" ref="A702:A765" si="26">B702+(C702/100)</f>
        <v>36.799999999999997</v>
      </c>
      <c r="B702" s="166">
        <v>36</v>
      </c>
      <c r="C702" s="32">
        <v>80</v>
      </c>
      <c r="D702" s="33">
        <v>0.44</v>
      </c>
      <c r="E702" s="33">
        <v>0.59</v>
      </c>
      <c r="F702" s="33">
        <v>0.82</v>
      </c>
      <c r="G702" s="33">
        <v>1.0900000000000001</v>
      </c>
      <c r="H702" s="33">
        <v>1.28</v>
      </c>
      <c r="I702" s="33">
        <v>1.29</v>
      </c>
      <c r="J702" s="33">
        <v>1.1599999999999999</v>
      </c>
      <c r="K702" s="33">
        <v>1</v>
      </c>
      <c r="L702" s="33">
        <v>0.79</v>
      </c>
      <c r="M702" s="33">
        <v>0.59</v>
      </c>
      <c r="N702" s="33">
        <v>0.44</v>
      </c>
      <c r="O702" s="33">
        <v>0.39</v>
      </c>
      <c r="P702" s="34">
        <f t="shared" si="25"/>
        <v>0.82333333333333336</v>
      </c>
    </row>
    <row r="703" spans="1:16" x14ac:dyDescent="0.25">
      <c r="A703" s="169">
        <f t="shared" si="26"/>
        <v>36.85</v>
      </c>
      <c r="B703" s="166">
        <v>36</v>
      </c>
      <c r="C703" s="32">
        <v>85</v>
      </c>
      <c r="D703" s="33">
        <v>0.36</v>
      </c>
      <c r="E703" s="33">
        <v>0.51</v>
      </c>
      <c r="F703" s="33">
        <v>0.75</v>
      </c>
      <c r="G703" s="33">
        <v>1.03</v>
      </c>
      <c r="H703" s="33">
        <v>1.23</v>
      </c>
      <c r="I703" s="33">
        <v>1.23</v>
      </c>
      <c r="J703" s="33">
        <v>1.1100000000000001</v>
      </c>
      <c r="K703" s="33">
        <v>0.94</v>
      </c>
      <c r="L703" s="33">
        <v>0.73</v>
      </c>
      <c r="M703" s="33">
        <v>0.52</v>
      </c>
      <c r="N703" s="33">
        <v>0.37</v>
      </c>
      <c r="O703" s="33">
        <v>0.31</v>
      </c>
      <c r="P703" s="34">
        <f t="shared" si="25"/>
        <v>0.75749999999999995</v>
      </c>
    </row>
    <row r="704" spans="1:16" x14ac:dyDescent="0.25">
      <c r="A704" s="169">
        <f t="shared" si="26"/>
        <v>36.9</v>
      </c>
      <c r="B704" s="166">
        <v>36</v>
      </c>
      <c r="C704" s="32">
        <v>90</v>
      </c>
      <c r="D704" s="33">
        <v>0.28000000000000003</v>
      </c>
      <c r="E704" s="33">
        <v>0.44</v>
      </c>
      <c r="F704" s="33">
        <v>0.68</v>
      </c>
      <c r="G704" s="33">
        <v>0.96</v>
      </c>
      <c r="H704" s="33">
        <v>1.1599999999999999</v>
      </c>
      <c r="I704" s="33">
        <v>1.17</v>
      </c>
      <c r="J704" s="33">
        <v>1.05</v>
      </c>
      <c r="K704" s="33">
        <v>0.87</v>
      </c>
      <c r="L704" s="33">
        <v>0.65</v>
      </c>
      <c r="M704" s="33">
        <v>0.44</v>
      </c>
      <c r="N704" s="33">
        <v>0.28999999999999998</v>
      </c>
      <c r="O704" s="33">
        <v>0.23</v>
      </c>
      <c r="P704" s="34">
        <f t="shared" si="25"/>
        <v>0.68500000000000005</v>
      </c>
    </row>
    <row r="705" spans="1:16" x14ac:dyDescent="0.25">
      <c r="A705" s="169">
        <f t="shared" si="26"/>
        <v>37</v>
      </c>
      <c r="B705" s="166">
        <v>37</v>
      </c>
      <c r="C705" s="32">
        <v>0</v>
      </c>
      <c r="D705" s="33">
        <v>1</v>
      </c>
      <c r="E705" s="33">
        <v>1</v>
      </c>
      <c r="F705" s="33">
        <v>1</v>
      </c>
      <c r="G705" s="33">
        <v>1</v>
      </c>
      <c r="H705" s="33">
        <v>1</v>
      </c>
      <c r="I705" s="33">
        <v>1</v>
      </c>
      <c r="J705" s="33">
        <v>1</v>
      </c>
      <c r="K705" s="33">
        <v>1</v>
      </c>
      <c r="L705" s="33">
        <v>1</v>
      </c>
      <c r="M705" s="33">
        <v>1</v>
      </c>
      <c r="N705" s="33">
        <v>1</v>
      </c>
      <c r="O705" s="33">
        <v>1</v>
      </c>
      <c r="P705" s="34">
        <f t="shared" si="25"/>
        <v>1</v>
      </c>
    </row>
    <row r="706" spans="1:16" x14ac:dyDescent="0.25">
      <c r="A706" s="169">
        <f t="shared" si="26"/>
        <v>37.049999999999997</v>
      </c>
      <c r="B706" s="166">
        <v>37</v>
      </c>
      <c r="C706" s="32">
        <v>5</v>
      </c>
      <c r="D706" s="33">
        <v>1.02</v>
      </c>
      <c r="E706" s="33">
        <v>1.03</v>
      </c>
      <c r="F706" s="33">
        <v>1.05</v>
      </c>
      <c r="G706" s="33">
        <v>1.07</v>
      </c>
      <c r="H706" s="33">
        <v>1.08</v>
      </c>
      <c r="I706" s="33">
        <v>1.08</v>
      </c>
      <c r="J706" s="33">
        <v>1.07</v>
      </c>
      <c r="K706" s="33">
        <v>1.06</v>
      </c>
      <c r="L706" s="33">
        <v>1.04</v>
      </c>
      <c r="M706" s="33">
        <v>1.03</v>
      </c>
      <c r="N706" s="33">
        <v>1.01</v>
      </c>
      <c r="O706" s="33">
        <v>1.01</v>
      </c>
      <c r="P706" s="34">
        <f t="shared" si="25"/>
        <v>1.0458333333333332</v>
      </c>
    </row>
    <row r="707" spans="1:16" x14ac:dyDescent="0.25">
      <c r="A707" s="169">
        <f t="shared" si="26"/>
        <v>37.1</v>
      </c>
      <c r="B707" s="166">
        <v>37</v>
      </c>
      <c r="C707" s="32">
        <v>10</v>
      </c>
      <c r="D707" s="33">
        <v>1.02</v>
      </c>
      <c r="E707" s="33">
        <v>1.05</v>
      </c>
      <c r="F707" s="33">
        <v>1.0900000000000001</v>
      </c>
      <c r="G707" s="33">
        <v>1.1299999999999999</v>
      </c>
      <c r="H707" s="33">
        <v>1.1599999999999999</v>
      </c>
      <c r="I707" s="33">
        <v>1.1499999999999999</v>
      </c>
      <c r="J707" s="33">
        <v>1.1299999999999999</v>
      </c>
      <c r="K707" s="33">
        <v>1.1000000000000001</v>
      </c>
      <c r="L707" s="33">
        <v>1.08</v>
      </c>
      <c r="M707" s="33">
        <v>1.05</v>
      </c>
      <c r="N707" s="33">
        <v>1.02</v>
      </c>
      <c r="O707" s="33">
        <v>1.01</v>
      </c>
      <c r="P707" s="34">
        <f t="shared" si="25"/>
        <v>1.0825</v>
      </c>
    </row>
    <row r="708" spans="1:16" x14ac:dyDescent="0.25">
      <c r="A708" s="169">
        <f t="shared" si="26"/>
        <v>37.15</v>
      </c>
      <c r="B708" s="166">
        <v>37</v>
      </c>
      <c r="C708" s="32">
        <v>15</v>
      </c>
      <c r="D708" s="33">
        <v>1.02</v>
      </c>
      <c r="E708" s="33">
        <v>1.06</v>
      </c>
      <c r="F708" s="33">
        <v>1.1200000000000001</v>
      </c>
      <c r="G708" s="33">
        <v>1.19</v>
      </c>
      <c r="H708" s="33">
        <v>1.23</v>
      </c>
      <c r="I708" s="33">
        <v>1.22</v>
      </c>
      <c r="J708" s="33">
        <v>1.18</v>
      </c>
      <c r="K708" s="33">
        <v>1.1499999999999999</v>
      </c>
      <c r="L708" s="33">
        <v>1.1000000000000001</v>
      </c>
      <c r="M708" s="33">
        <v>1.06</v>
      </c>
      <c r="N708" s="33">
        <v>1.02</v>
      </c>
      <c r="O708" s="33">
        <v>1.01</v>
      </c>
      <c r="P708" s="34">
        <f t="shared" si="25"/>
        <v>1.1133333333333335</v>
      </c>
    </row>
    <row r="709" spans="1:16" x14ac:dyDescent="0.25">
      <c r="A709" s="169">
        <f t="shared" si="26"/>
        <v>37.200000000000003</v>
      </c>
      <c r="B709" s="166">
        <v>37</v>
      </c>
      <c r="C709" s="32">
        <v>20</v>
      </c>
      <c r="D709" s="33">
        <v>1.02</v>
      </c>
      <c r="E709" s="33">
        <v>1.07</v>
      </c>
      <c r="F709" s="33">
        <v>1.1499999999999999</v>
      </c>
      <c r="G709" s="33">
        <v>1.23</v>
      </c>
      <c r="H709" s="33">
        <v>1.29</v>
      </c>
      <c r="I709" s="33">
        <v>1.28</v>
      </c>
      <c r="J709" s="33">
        <v>1.23</v>
      </c>
      <c r="K709" s="33">
        <v>1.18</v>
      </c>
      <c r="L709" s="33">
        <v>1.1200000000000001</v>
      </c>
      <c r="M709" s="33">
        <v>1.06</v>
      </c>
      <c r="N709" s="33">
        <v>1.02</v>
      </c>
      <c r="O709" s="33">
        <v>1</v>
      </c>
      <c r="P709" s="34">
        <f t="shared" si="25"/>
        <v>1.1375</v>
      </c>
    </row>
    <row r="710" spans="1:16" x14ac:dyDescent="0.25">
      <c r="A710" s="169">
        <f t="shared" si="26"/>
        <v>37.25</v>
      </c>
      <c r="B710" s="166">
        <v>37</v>
      </c>
      <c r="C710" s="32">
        <v>25</v>
      </c>
      <c r="D710" s="33">
        <v>1</v>
      </c>
      <c r="E710" s="33">
        <v>1.07</v>
      </c>
      <c r="F710" s="33">
        <v>1.1599999999999999</v>
      </c>
      <c r="G710" s="33">
        <v>1.27</v>
      </c>
      <c r="H710" s="33">
        <v>1.34</v>
      </c>
      <c r="I710" s="33">
        <v>1.33</v>
      </c>
      <c r="J710" s="33">
        <v>1.27</v>
      </c>
      <c r="K710" s="33">
        <v>1.21</v>
      </c>
      <c r="L710" s="33">
        <v>1.1399999999999999</v>
      </c>
      <c r="M710" s="33">
        <v>1.06</v>
      </c>
      <c r="N710" s="33">
        <v>1</v>
      </c>
      <c r="O710" s="33">
        <v>0.98</v>
      </c>
      <c r="P710" s="34">
        <f t="shared" si="25"/>
        <v>1.1525000000000001</v>
      </c>
    </row>
    <row r="711" spans="1:16" x14ac:dyDescent="0.25">
      <c r="A711" s="169">
        <f t="shared" si="26"/>
        <v>37.299999999999997</v>
      </c>
      <c r="B711" s="166">
        <v>37</v>
      </c>
      <c r="C711" s="32">
        <v>30</v>
      </c>
      <c r="D711" s="33">
        <v>0.98</v>
      </c>
      <c r="E711" s="33">
        <v>1.06</v>
      </c>
      <c r="F711" s="33">
        <v>1.17</v>
      </c>
      <c r="G711" s="33">
        <v>1.3</v>
      </c>
      <c r="H711" s="33">
        <v>1.38</v>
      </c>
      <c r="I711" s="33">
        <v>1.37</v>
      </c>
      <c r="J711" s="33">
        <v>1.3</v>
      </c>
      <c r="K711" s="33">
        <v>1.23</v>
      </c>
      <c r="L711" s="33">
        <v>1.1399999999999999</v>
      </c>
      <c r="M711" s="33">
        <v>1.05</v>
      </c>
      <c r="N711" s="33">
        <v>0.98</v>
      </c>
      <c r="O711" s="33">
        <v>0.96</v>
      </c>
      <c r="P711" s="34">
        <f t="shared" si="25"/>
        <v>1.1600000000000001</v>
      </c>
    </row>
    <row r="712" spans="1:16" x14ac:dyDescent="0.25">
      <c r="A712" s="169">
        <f t="shared" si="26"/>
        <v>37.35</v>
      </c>
      <c r="B712" s="166">
        <v>37</v>
      </c>
      <c r="C712" s="32">
        <v>35</v>
      </c>
      <c r="D712" s="33">
        <v>0.96</v>
      </c>
      <c r="E712" s="33">
        <v>1.04</v>
      </c>
      <c r="F712" s="33">
        <v>1.17</v>
      </c>
      <c r="G712" s="33">
        <v>1.32</v>
      </c>
      <c r="H712" s="33">
        <v>1.42</v>
      </c>
      <c r="I712" s="33">
        <v>1.41</v>
      </c>
      <c r="J712" s="33">
        <v>1.33</v>
      </c>
      <c r="K712" s="33">
        <v>1.24</v>
      </c>
      <c r="L712" s="33">
        <v>1.1399999999999999</v>
      </c>
      <c r="M712" s="33">
        <v>1.03</v>
      </c>
      <c r="N712" s="33">
        <v>0.96</v>
      </c>
      <c r="O712" s="33">
        <v>0.93</v>
      </c>
      <c r="P712" s="34">
        <f t="shared" si="25"/>
        <v>1.1624999999999999</v>
      </c>
    </row>
    <row r="713" spans="1:16" x14ac:dyDescent="0.25">
      <c r="A713" s="169">
        <f t="shared" si="26"/>
        <v>37.4</v>
      </c>
      <c r="B713" s="166">
        <v>37</v>
      </c>
      <c r="C713" s="32">
        <v>40</v>
      </c>
      <c r="D713" s="33">
        <v>0.92</v>
      </c>
      <c r="E713" s="33">
        <v>1.02</v>
      </c>
      <c r="F713" s="33">
        <v>1.17</v>
      </c>
      <c r="G713" s="33">
        <v>1.34</v>
      </c>
      <c r="H713" s="33">
        <v>1.44</v>
      </c>
      <c r="I713" s="33">
        <v>1.43</v>
      </c>
      <c r="J713" s="33">
        <v>1.35</v>
      </c>
      <c r="K713" s="33">
        <v>1.25</v>
      </c>
      <c r="L713" s="33">
        <v>1.1299999999999999</v>
      </c>
      <c r="M713" s="33">
        <v>1.01</v>
      </c>
      <c r="N713" s="33">
        <v>0.92</v>
      </c>
      <c r="O713" s="33">
        <v>0.89</v>
      </c>
      <c r="P713" s="34">
        <f t="shared" si="25"/>
        <v>1.1558333333333335</v>
      </c>
    </row>
    <row r="714" spans="1:16" x14ac:dyDescent="0.25">
      <c r="A714" s="169">
        <f t="shared" si="26"/>
        <v>37.450000000000003</v>
      </c>
      <c r="B714" s="166">
        <v>37</v>
      </c>
      <c r="C714" s="32">
        <v>45</v>
      </c>
      <c r="D714" s="33">
        <v>0.88</v>
      </c>
      <c r="E714" s="33">
        <v>0.99</v>
      </c>
      <c r="F714" s="33">
        <v>1.1499999999999999</v>
      </c>
      <c r="G714" s="33">
        <v>1.34</v>
      </c>
      <c r="H714" s="33">
        <v>1.46</v>
      </c>
      <c r="I714" s="33">
        <v>1.45</v>
      </c>
      <c r="J714" s="33">
        <v>1.35</v>
      </c>
      <c r="K714" s="33">
        <v>1.25</v>
      </c>
      <c r="L714" s="33">
        <v>1.1100000000000001</v>
      </c>
      <c r="M714" s="33">
        <v>0.98</v>
      </c>
      <c r="N714" s="33">
        <v>0.88</v>
      </c>
      <c r="O714" s="33">
        <v>0.85</v>
      </c>
      <c r="P714" s="34">
        <f t="shared" si="25"/>
        <v>1.1408333333333334</v>
      </c>
    </row>
    <row r="715" spans="1:16" x14ac:dyDescent="0.25">
      <c r="A715" s="169">
        <f t="shared" si="26"/>
        <v>37.5</v>
      </c>
      <c r="B715" s="166">
        <v>37</v>
      </c>
      <c r="C715" s="32">
        <v>50</v>
      </c>
      <c r="D715" s="33">
        <v>0.84</v>
      </c>
      <c r="E715" s="33">
        <v>0.95</v>
      </c>
      <c r="F715" s="33">
        <v>1.1299999999999999</v>
      </c>
      <c r="G715" s="33">
        <v>1.33</v>
      </c>
      <c r="H715" s="33">
        <v>1.47</v>
      </c>
      <c r="I715" s="33">
        <v>1.46</v>
      </c>
      <c r="J715" s="33">
        <v>1.35</v>
      </c>
      <c r="K715" s="33">
        <v>1.24</v>
      </c>
      <c r="L715" s="33">
        <v>1.0900000000000001</v>
      </c>
      <c r="M715" s="33">
        <v>0.94</v>
      </c>
      <c r="N715" s="33">
        <v>0.84</v>
      </c>
      <c r="O715" s="33">
        <v>0.8</v>
      </c>
      <c r="P715" s="34">
        <f t="shared" si="25"/>
        <v>1.1199999999999999</v>
      </c>
    </row>
    <row r="716" spans="1:16" x14ac:dyDescent="0.25">
      <c r="A716" s="169">
        <f t="shared" si="26"/>
        <v>37.549999999999997</v>
      </c>
      <c r="B716" s="166">
        <v>37</v>
      </c>
      <c r="C716" s="32">
        <v>55</v>
      </c>
      <c r="D716" s="33">
        <v>0.78</v>
      </c>
      <c r="E716" s="33">
        <v>0.91</v>
      </c>
      <c r="F716" s="33">
        <v>1.1000000000000001</v>
      </c>
      <c r="G716" s="33">
        <v>1.32</v>
      </c>
      <c r="H716" s="33">
        <v>1.47</v>
      </c>
      <c r="I716" s="33">
        <v>1.45</v>
      </c>
      <c r="J716" s="33">
        <v>1.35</v>
      </c>
      <c r="K716" s="33">
        <v>1.22</v>
      </c>
      <c r="L716" s="33">
        <v>1.06</v>
      </c>
      <c r="M716" s="33">
        <v>0.9</v>
      </c>
      <c r="N716" s="33">
        <v>0.78</v>
      </c>
      <c r="O716" s="33">
        <v>0.74</v>
      </c>
      <c r="P716" s="34">
        <f t="shared" si="25"/>
        <v>1.0900000000000001</v>
      </c>
    </row>
    <row r="717" spans="1:16" x14ac:dyDescent="0.25">
      <c r="A717" s="169">
        <f t="shared" si="26"/>
        <v>37.6</v>
      </c>
      <c r="B717" s="166">
        <v>37</v>
      </c>
      <c r="C717" s="32">
        <v>60</v>
      </c>
      <c r="D717" s="33">
        <v>0.73</v>
      </c>
      <c r="E717" s="33">
        <v>0.86</v>
      </c>
      <c r="F717" s="33">
        <v>1.06</v>
      </c>
      <c r="G717" s="33">
        <v>1.3</v>
      </c>
      <c r="H717" s="33">
        <v>1.45</v>
      </c>
      <c r="I717" s="33">
        <v>1.44</v>
      </c>
      <c r="J717" s="33">
        <v>1.33</v>
      </c>
      <c r="K717" s="33">
        <v>1.19</v>
      </c>
      <c r="L717" s="33">
        <v>1.02</v>
      </c>
      <c r="M717" s="33">
        <v>0.85</v>
      </c>
      <c r="N717" s="33">
        <v>0.73</v>
      </c>
      <c r="O717" s="33">
        <v>0.68</v>
      </c>
      <c r="P717" s="34">
        <f t="shared" si="25"/>
        <v>1.0533333333333332</v>
      </c>
    </row>
    <row r="718" spans="1:16" x14ac:dyDescent="0.25">
      <c r="A718" s="169">
        <f t="shared" si="26"/>
        <v>37.65</v>
      </c>
      <c r="B718" s="166">
        <v>37</v>
      </c>
      <c r="C718" s="32">
        <v>65</v>
      </c>
      <c r="D718" s="33">
        <v>0.66</v>
      </c>
      <c r="E718" s="33">
        <v>0.8</v>
      </c>
      <c r="F718" s="33">
        <v>1.02</v>
      </c>
      <c r="G718" s="33">
        <v>1.26</v>
      </c>
      <c r="H718" s="33">
        <v>1.43</v>
      </c>
      <c r="I718" s="33">
        <v>1.42</v>
      </c>
      <c r="J718" s="33">
        <v>1.31</v>
      </c>
      <c r="K718" s="33">
        <v>1.1599999999999999</v>
      </c>
      <c r="L718" s="33">
        <v>0.98</v>
      </c>
      <c r="M718" s="33">
        <v>0.8</v>
      </c>
      <c r="N718" s="33">
        <v>0.67</v>
      </c>
      <c r="O718" s="33">
        <v>0.62</v>
      </c>
      <c r="P718" s="34">
        <f t="shared" si="25"/>
        <v>1.0108333333333335</v>
      </c>
    </row>
    <row r="719" spans="1:16" x14ac:dyDescent="0.25">
      <c r="A719" s="169">
        <f t="shared" si="26"/>
        <v>37.700000000000003</v>
      </c>
      <c r="B719" s="166">
        <v>37</v>
      </c>
      <c r="C719" s="32">
        <v>70</v>
      </c>
      <c r="D719" s="33">
        <v>0.6</v>
      </c>
      <c r="E719" s="33">
        <v>0.74</v>
      </c>
      <c r="F719" s="33">
        <v>0.9</v>
      </c>
      <c r="G719" s="33">
        <v>1.22</v>
      </c>
      <c r="H719" s="33">
        <v>1.4</v>
      </c>
      <c r="I719" s="33">
        <v>1.4</v>
      </c>
      <c r="J719" s="33">
        <v>1.27</v>
      </c>
      <c r="K719" s="33">
        <v>1.1200000000000001</v>
      </c>
      <c r="L719" s="33">
        <v>0.93</v>
      </c>
      <c r="M719" s="33">
        <v>0.74</v>
      </c>
      <c r="N719" s="33">
        <v>0.6</v>
      </c>
      <c r="O719" s="33">
        <v>0.55000000000000004</v>
      </c>
      <c r="P719" s="34">
        <f t="shared" si="25"/>
        <v>0.9558333333333332</v>
      </c>
    </row>
    <row r="720" spans="1:16" x14ac:dyDescent="0.25">
      <c r="A720" s="169">
        <f t="shared" si="26"/>
        <v>37.75</v>
      </c>
      <c r="B720" s="166">
        <v>37</v>
      </c>
      <c r="C720" s="32">
        <v>75</v>
      </c>
      <c r="D720" s="33">
        <v>0.53</v>
      </c>
      <c r="E720" s="33">
        <v>0.68</v>
      </c>
      <c r="F720" s="33">
        <v>0.91</v>
      </c>
      <c r="G720" s="33">
        <v>1.17</v>
      </c>
      <c r="H720" s="33">
        <v>1.36</v>
      </c>
      <c r="I720" s="33">
        <v>1.36</v>
      </c>
      <c r="J720" s="33">
        <v>1.23</v>
      </c>
      <c r="K720" s="33">
        <v>1.07</v>
      </c>
      <c r="L720" s="33">
        <v>0.87</v>
      </c>
      <c r="M720" s="33">
        <v>0.67</v>
      </c>
      <c r="N720" s="33">
        <v>0.53</v>
      </c>
      <c r="O720" s="33">
        <v>0.48</v>
      </c>
      <c r="P720" s="34">
        <f t="shared" si="25"/>
        <v>0.90499999999999992</v>
      </c>
    </row>
    <row r="721" spans="1:16" x14ac:dyDescent="0.25">
      <c r="A721" s="169">
        <f t="shared" si="26"/>
        <v>37.799999999999997</v>
      </c>
      <c r="B721" s="166">
        <v>37</v>
      </c>
      <c r="C721" s="32">
        <v>80</v>
      </c>
      <c r="D721" s="33">
        <v>0.45</v>
      </c>
      <c r="E721" s="33">
        <v>0.6</v>
      </c>
      <c r="F721" s="33">
        <v>0.84</v>
      </c>
      <c r="G721" s="33">
        <v>1.1200000000000001</v>
      </c>
      <c r="H721" s="33">
        <v>1.31</v>
      </c>
      <c r="I721" s="33">
        <v>1.31</v>
      </c>
      <c r="J721" s="33">
        <v>1.19</v>
      </c>
      <c r="K721" s="33">
        <v>1.02</v>
      </c>
      <c r="L721" s="33">
        <v>0.81</v>
      </c>
      <c r="M721" s="33">
        <v>0.6</v>
      </c>
      <c r="N721" s="33">
        <v>0.46</v>
      </c>
      <c r="O721" s="33">
        <v>0.4</v>
      </c>
      <c r="P721" s="34">
        <f t="shared" si="25"/>
        <v>0.84250000000000014</v>
      </c>
    </row>
    <row r="722" spans="1:16" x14ac:dyDescent="0.25">
      <c r="A722" s="169">
        <f t="shared" si="26"/>
        <v>37.85</v>
      </c>
      <c r="B722" s="166">
        <v>37</v>
      </c>
      <c r="C722" s="32">
        <v>85</v>
      </c>
      <c r="D722" s="33">
        <v>0.38</v>
      </c>
      <c r="E722" s="33">
        <v>0.53</v>
      </c>
      <c r="F722" s="33">
        <v>0.77</v>
      </c>
      <c r="G722" s="33">
        <v>1.05</v>
      </c>
      <c r="H722" s="33">
        <v>1.26</v>
      </c>
      <c r="I722" s="33">
        <v>1.26</v>
      </c>
      <c r="J722" s="33">
        <v>1.1299999999999999</v>
      </c>
      <c r="K722" s="33">
        <v>0.96</v>
      </c>
      <c r="L722" s="33">
        <v>0.74</v>
      </c>
      <c r="M722" s="33">
        <v>0.53</v>
      </c>
      <c r="N722" s="33">
        <v>0.38</v>
      </c>
      <c r="O722" s="33">
        <v>0.32</v>
      </c>
      <c r="P722" s="34">
        <f t="shared" si="25"/>
        <v>0.77583333333333337</v>
      </c>
    </row>
    <row r="723" spans="1:16" x14ac:dyDescent="0.25">
      <c r="A723" s="169">
        <f t="shared" si="26"/>
        <v>37.9</v>
      </c>
      <c r="B723" s="166">
        <v>37</v>
      </c>
      <c r="C723" s="32">
        <v>90</v>
      </c>
      <c r="D723" s="33">
        <v>0.3</v>
      </c>
      <c r="E723" s="33">
        <v>0.45</v>
      </c>
      <c r="F723" s="33">
        <v>0.7</v>
      </c>
      <c r="G723" s="33">
        <v>0.98</v>
      </c>
      <c r="H723" s="33">
        <v>1.19</v>
      </c>
      <c r="I723" s="33">
        <v>1.2</v>
      </c>
      <c r="J723" s="33">
        <v>1.07</v>
      </c>
      <c r="K723" s="33">
        <v>0.89</v>
      </c>
      <c r="L723" s="33">
        <v>0.67</v>
      </c>
      <c r="M723" s="33">
        <v>0.46</v>
      </c>
      <c r="N723" s="33">
        <v>0.3</v>
      </c>
      <c r="O723" s="33">
        <v>0.25</v>
      </c>
      <c r="P723" s="34">
        <f t="shared" si="25"/>
        <v>0.70499999999999996</v>
      </c>
    </row>
    <row r="724" spans="1:16" x14ac:dyDescent="0.25">
      <c r="A724" s="169">
        <f t="shared" si="26"/>
        <v>38</v>
      </c>
      <c r="B724" s="166">
        <v>38</v>
      </c>
      <c r="C724" s="32">
        <v>0</v>
      </c>
      <c r="D724" s="33">
        <v>1</v>
      </c>
      <c r="E724" s="33">
        <v>1</v>
      </c>
      <c r="F724" s="33">
        <v>1</v>
      </c>
      <c r="G724" s="33">
        <v>1</v>
      </c>
      <c r="H724" s="33">
        <v>1</v>
      </c>
      <c r="I724" s="33">
        <v>1</v>
      </c>
      <c r="J724" s="33">
        <v>1</v>
      </c>
      <c r="K724" s="33">
        <v>1</v>
      </c>
      <c r="L724" s="33">
        <v>1</v>
      </c>
      <c r="M724" s="33">
        <v>1</v>
      </c>
      <c r="N724" s="33">
        <v>1</v>
      </c>
      <c r="O724" s="33">
        <v>1</v>
      </c>
      <c r="P724" s="34">
        <f t="shared" si="25"/>
        <v>1</v>
      </c>
    </row>
    <row r="725" spans="1:16" x14ac:dyDescent="0.25">
      <c r="A725" s="169">
        <f t="shared" si="26"/>
        <v>38.049999999999997</v>
      </c>
      <c r="B725" s="166">
        <v>38</v>
      </c>
      <c r="C725" s="32">
        <v>5</v>
      </c>
      <c r="D725" s="33">
        <v>1.02</v>
      </c>
      <c r="E725" s="33">
        <v>1.03</v>
      </c>
      <c r="F725" s="33">
        <v>1.05</v>
      </c>
      <c r="G725" s="33">
        <v>1.07</v>
      </c>
      <c r="H725" s="33">
        <v>1.08</v>
      </c>
      <c r="I725" s="33">
        <v>1.08</v>
      </c>
      <c r="J725" s="33">
        <v>1.07</v>
      </c>
      <c r="K725" s="33">
        <v>1.06</v>
      </c>
      <c r="L725" s="33">
        <v>1.04</v>
      </c>
      <c r="M725" s="33">
        <v>1.03</v>
      </c>
      <c r="N725" s="33">
        <v>1.02</v>
      </c>
      <c r="O725" s="33">
        <v>1.01</v>
      </c>
      <c r="P725" s="34">
        <f t="shared" si="25"/>
        <v>1.0466666666666666</v>
      </c>
    </row>
    <row r="726" spans="1:16" x14ac:dyDescent="0.25">
      <c r="A726" s="169">
        <f t="shared" si="26"/>
        <v>38.1</v>
      </c>
      <c r="B726" s="166">
        <v>38</v>
      </c>
      <c r="C726" s="32">
        <v>10</v>
      </c>
      <c r="D726" s="33">
        <v>1.03</v>
      </c>
      <c r="E726" s="33">
        <v>1.05</v>
      </c>
      <c r="F726" s="33">
        <v>1.0900000000000001</v>
      </c>
      <c r="G726" s="33">
        <v>1.1399999999999999</v>
      </c>
      <c r="H726" s="33">
        <v>1.1599999999999999</v>
      </c>
      <c r="I726" s="33">
        <v>1.1599999999999999</v>
      </c>
      <c r="J726" s="33">
        <v>1.1299999999999999</v>
      </c>
      <c r="K726" s="33">
        <v>1.1100000000000001</v>
      </c>
      <c r="L726" s="33">
        <v>1.08</v>
      </c>
      <c r="M726" s="33">
        <v>1.05</v>
      </c>
      <c r="N726" s="33">
        <v>1.02</v>
      </c>
      <c r="O726" s="33">
        <v>1.02</v>
      </c>
      <c r="P726" s="34">
        <f t="shared" si="25"/>
        <v>1.0866666666666667</v>
      </c>
    </row>
    <row r="727" spans="1:16" x14ac:dyDescent="0.25">
      <c r="A727" s="169">
        <f t="shared" si="26"/>
        <v>38.15</v>
      </c>
      <c r="B727" s="166">
        <v>38</v>
      </c>
      <c r="C727" s="32">
        <v>15</v>
      </c>
      <c r="D727" s="33">
        <v>1.03</v>
      </c>
      <c r="E727" s="33">
        <v>1.07</v>
      </c>
      <c r="F727" s="33">
        <v>1.1299999999999999</v>
      </c>
      <c r="G727" s="33">
        <v>1.19</v>
      </c>
      <c r="H727" s="33">
        <v>1.23</v>
      </c>
      <c r="I727" s="33">
        <v>1.22</v>
      </c>
      <c r="J727" s="33">
        <v>1.19</v>
      </c>
      <c r="K727" s="33">
        <v>1.1499999999999999</v>
      </c>
      <c r="L727" s="33">
        <v>1.1100000000000001</v>
      </c>
      <c r="M727" s="33">
        <v>1.06</v>
      </c>
      <c r="N727" s="33">
        <v>1.03</v>
      </c>
      <c r="O727" s="33">
        <v>1.01</v>
      </c>
      <c r="P727" s="34">
        <f t="shared" si="25"/>
        <v>1.1183333333333334</v>
      </c>
    </row>
    <row r="728" spans="1:16" x14ac:dyDescent="0.25">
      <c r="A728" s="169">
        <f t="shared" si="26"/>
        <v>38.200000000000003</v>
      </c>
      <c r="B728" s="166">
        <v>38</v>
      </c>
      <c r="C728" s="32">
        <v>20</v>
      </c>
      <c r="D728" s="33">
        <v>1.02</v>
      </c>
      <c r="E728" s="33">
        <v>1.07</v>
      </c>
      <c r="F728" s="33">
        <v>1.1499999999999999</v>
      </c>
      <c r="G728" s="33">
        <v>1.24</v>
      </c>
      <c r="H728" s="33">
        <v>1.3</v>
      </c>
      <c r="I728" s="33">
        <v>1.29</v>
      </c>
      <c r="J728" s="33">
        <v>1.24</v>
      </c>
      <c r="K728" s="33">
        <v>1.19</v>
      </c>
      <c r="L728" s="33">
        <v>1.1299999999999999</v>
      </c>
      <c r="M728" s="33">
        <v>1.07</v>
      </c>
      <c r="N728" s="33">
        <v>1.02</v>
      </c>
      <c r="O728" s="33">
        <v>1.01</v>
      </c>
      <c r="P728" s="34">
        <f t="shared" si="25"/>
        <v>1.1441666666666666</v>
      </c>
    </row>
    <row r="729" spans="1:16" x14ac:dyDescent="0.25">
      <c r="A729" s="169">
        <f t="shared" si="26"/>
        <v>38.25</v>
      </c>
      <c r="B729" s="166">
        <v>38</v>
      </c>
      <c r="C729" s="32">
        <v>25</v>
      </c>
      <c r="D729" s="33">
        <v>1.01</v>
      </c>
      <c r="E729" s="33">
        <v>1.08</v>
      </c>
      <c r="F729" s="33">
        <v>1.17</v>
      </c>
      <c r="G729" s="33">
        <v>1.28</v>
      </c>
      <c r="H729" s="33">
        <v>1.35</v>
      </c>
      <c r="I729" s="33">
        <v>1.34</v>
      </c>
      <c r="J729" s="33">
        <v>1.28</v>
      </c>
      <c r="K729" s="33">
        <v>1.22</v>
      </c>
      <c r="L729" s="33">
        <v>1.1399999999999999</v>
      </c>
      <c r="M729" s="33">
        <v>1.07</v>
      </c>
      <c r="N729" s="33">
        <v>1.01</v>
      </c>
      <c r="O729" s="33">
        <v>0.99</v>
      </c>
      <c r="P729" s="34">
        <f t="shared" si="25"/>
        <v>1.1616666666666668</v>
      </c>
    </row>
    <row r="730" spans="1:16" x14ac:dyDescent="0.25">
      <c r="A730" s="169">
        <f t="shared" si="26"/>
        <v>38.299999999999997</v>
      </c>
      <c r="B730" s="166">
        <v>38</v>
      </c>
      <c r="C730" s="32">
        <v>30</v>
      </c>
      <c r="D730" s="33">
        <v>0.99</v>
      </c>
      <c r="E730" s="33">
        <v>1.07</v>
      </c>
      <c r="F730" s="33">
        <v>1.18</v>
      </c>
      <c r="G730" s="33">
        <v>1.31</v>
      </c>
      <c r="H730" s="33">
        <v>1.4</v>
      </c>
      <c r="I730" s="33">
        <v>1.38</v>
      </c>
      <c r="J730" s="33">
        <v>1.31</v>
      </c>
      <c r="K730" s="33">
        <v>1.24</v>
      </c>
      <c r="L730" s="33">
        <v>1.1499999999999999</v>
      </c>
      <c r="M730" s="33">
        <v>1.06</v>
      </c>
      <c r="N730" s="33">
        <v>0.99</v>
      </c>
      <c r="O730" s="33">
        <v>0.97</v>
      </c>
      <c r="P730" s="34">
        <f t="shared" si="25"/>
        <v>1.1708333333333336</v>
      </c>
    </row>
    <row r="731" spans="1:16" x14ac:dyDescent="0.25">
      <c r="A731" s="169">
        <f t="shared" si="26"/>
        <v>38.35</v>
      </c>
      <c r="B731" s="166">
        <v>38</v>
      </c>
      <c r="C731" s="32">
        <v>35</v>
      </c>
      <c r="D731" s="33">
        <v>0.97</v>
      </c>
      <c r="E731" s="33">
        <v>1.05</v>
      </c>
      <c r="F731" s="33">
        <v>1.19</v>
      </c>
      <c r="G731" s="33">
        <v>1.34</v>
      </c>
      <c r="H731" s="33">
        <v>1.43</v>
      </c>
      <c r="I731" s="33">
        <v>1.42</v>
      </c>
      <c r="J731" s="33">
        <v>1.34</v>
      </c>
      <c r="K731" s="33">
        <v>1.25</v>
      </c>
      <c r="L731" s="33">
        <v>1.1499999999999999</v>
      </c>
      <c r="M731" s="33">
        <v>1.04</v>
      </c>
      <c r="N731" s="33">
        <v>0.96</v>
      </c>
      <c r="O731" s="33">
        <v>0.94</v>
      </c>
      <c r="P731" s="34">
        <f t="shared" si="25"/>
        <v>1.1733333333333333</v>
      </c>
    </row>
    <row r="732" spans="1:16" x14ac:dyDescent="0.25">
      <c r="A732" s="169">
        <f t="shared" si="26"/>
        <v>38.4</v>
      </c>
      <c r="B732" s="166">
        <v>38</v>
      </c>
      <c r="C732" s="32">
        <v>40</v>
      </c>
      <c r="D732" s="33">
        <v>0.93</v>
      </c>
      <c r="E732" s="33">
        <v>1.03</v>
      </c>
      <c r="F732" s="33">
        <v>1.18</v>
      </c>
      <c r="G732" s="33">
        <v>1.35</v>
      </c>
      <c r="H732" s="33">
        <v>1.46</v>
      </c>
      <c r="I732" s="33">
        <v>1.45</v>
      </c>
      <c r="J732" s="33">
        <v>1.36</v>
      </c>
      <c r="K732" s="33">
        <v>1.26</v>
      </c>
      <c r="L732" s="33">
        <v>1.1399999999999999</v>
      </c>
      <c r="M732" s="33">
        <v>1.02</v>
      </c>
      <c r="N732" s="33">
        <v>0.93</v>
      </c>
      <c r="O732" s="33">
        <v>0.9</v>
      </c>
      <c r="P732" s="34">
        <f t="shared" si="25"/>
        <v>1.1675</v>
      </c>
    </row>
    <row r="733" spans="1:16" x14ac:dyDescent="0.25">
      <c r="A733" s="169">
        <f t="shared" si="26"/>
        <v>38.450000000000003</v>
      </c>
      <c r="B733" s="166">
        <v>38</v>
      </c>
      <c r="C733" s="32">
        <v>45</v>
      </c>
      <c r="D733" s="33">
        <v>0.89</v>
      </c>
      <c r="E733" s="33">
        <v>1</v>
      </c>
      <c r="F733" s="33">
        <v>1.17</v>
      </c>
      <c r="G733" s="33">
        <v>1.36</v>
      </c>
      <c r="H733" s="33">
        <v>1.48</v>
      </c>
      <c r="I733" s="33">
        <v>1.47</v>
      </c>
      <c r="J733" s="33">
        <v>1.37</v>
      </c>
      <c r="K733" s="33">
        <v>1.26</v>
      </c>
      <c r="L733" s="33">
        <v>1.1299999999999999</v>
      </c>
      <c r="M733" s="33">
        <v>0.99</v>
      </c>
      <c r="N733" s="33">
        <v>0.89</v>
      </c>
      <c r="O733" s="33">
        <v>0.86</v>
      </c>
      <c r="P733" s="34">
        <f t="shared" si="25"/>
        <v>1.1558333333333333</v>
      </c>
    </row>
    <row r="734" spans="1:16" x14ac:dyDescent="0.25">
      <c r="A734" s="169">
        <f t="shared" si="26"/>
        <v>38.5</v>
      </c>
      <c r="B734" s="166">
        <v>38</v>
      </c>
      <c r="C734" s="32">
        <v>50</v>
      </c>
      <c r="D734" s="33">
        <v>0.85</v>
      </c>
      <c r="E734" s="33">
        <v>0.97</v>
      </c>
      <c r="F734" s="33">
        <v>1.1499999999999999</v>
      </c>
      <c r="G734" s="33">
        <v>1.35</v>
      </c>
      <c r="H734" s="33">
        <v>1.49</v>
      </c>
      <c r="I734" s="33">
        <v>1.48</v>
      </c>
      <c r="J734" s="33">
        <v>1.37</v>
      </c>
      <c r="K734" s="33">
        <v>1.25</v>
      </c>
      <c r="L734" s="33">
        <v>1.1000000000000001</v>
      </c>
      <c r="M734" s="33">
        <v>0.96</v>
      </c>
      <c r="N734" s="33">
        <v>0.85</v>
      </c>
      <c r="O734" s="33">
        <v>0.81</v>
      </c>
      <c r="P734" s="34">
        <f t="shared" si="25"/>
        <v>1.1358333333333333</v>
      </c>
    </row>
    <row r="735" spans="1:16" x14ac:dyDescent="0.25">
      <c r="A735" s="169">
        <f t="shared" si="26"/>
        <v>38.549999999999997</v>
      </c>
      <c r="B735" s="166">
        <v>38</v>
      </c>
      <c r="C735" s="32">
        <v>55</v>
      </c>
      <c r="D735" s="33">
        <v>0.8</v>
      </c>
      <c r="E735" s="33">
        <v>0.92</v>
      </c>
      <c r="F735" s="33">
        <v>1.1200000000000001</v>
      </c>
      <c r="G735" s="33">
        <v>1.34</v>
      </c>
      <c r="H735" s="33">
        <v>1.49</v>
      </c>
      <c r="I735" s="33">
        <v>1.48</v>
      </c>
      <c r="J735" s="33">
        <v>1.36</v>
      </c>
      <c r="K735" s="33">
        <v>1.23</v>
      </c>
      <c r="L735" s="33">
        <v>1.07</v>
      </c>
      <c r="M735" s="33">
        <v>0.91</v>
      </c>
      <c r="N735" s="33">
        <v>0.8</v>
      </c>
      <c r="O735" s="33">
        <v>0.75</v>
      </c>
      <c r="P735" s="34">
        <f t="shared" si="25"/>
        <v>1.1058333333333334</v>
      </c>
    </row>
    <row r="736" spans="1:16" x14ac:dyDescent="0.25">
      <c r="A736" s="169">
        <f t="shared" si="26"/>
        <v>38.6</v>
      </c>
      <c r="B736" s="166">
        <v>38</v>
      </c>
      <c r="C736" s="32">
        <v>60</v>
      </c>
      <c r="D736" s="33">
        <v>0.74</v>
      </c>
      <c r="E736" s="33">
        <v>0.87</v>
      </c>
      <c r="F736" s="33">
        <v>1.08</v>
      </c>
      <c r="G736" s="33">
        <v>1.32</v>
      </c>
      <c r="H736" s="33">
        <v>1.48</v>
      </c>
      <c r="I736" s="33">
        <v>1.47</v>
      </c>
      <c r="J736" s="33">
        <v>1.35</v>
      </c>
      <c r="K736" s="33">
        <v>1.21</v>
      </c>
      <c r="L736" s="33">
        <v>1.04</v>
      </c>
      <c r="M736" s="33">
        <v>0.86</v>
      </c>
      <c r="N736" s="33">
        <v>0.74</v>
      </c>
      <c r="O736" s="33">
        <v>0.69</v>
      </c>
      <c r="P736" s="34">
        <f t="shared" si="25"/>
        <v>1.0708333333333331</v>
      </c>
    </row>
    <row r="737" spans="1:16" x14ac:dyDescent="0.25">
      <c r="A737" s="169">
        <f t="shared" si="26"/>
        <v>38.65</v>
      </c>
      <c r="B737" s="166">
        <v>38</v>
      </c>
      <c r="C737" s="32">
        <v>65</v>
      </c>
      <c r="D737" s="33">
        <v>0.68</v>
      </c>
      <c r="E737" s="33">
        <v>0.82</v>
      </c>
      <c r="F737" s="33">
        <v>1.04</v>
      </c>
      <c r="G737" s="33">
        <v>1.29</v>
      </c>
      <c r="H737" s="33">
        <v>1.46</v>
      </c>
      <c r="I737" s="33">
        <v>1.45</v>
      </c>
      <c r="J737" s="33">
        <v>1.33</v>
      </c>
      <c r="K737" s="33">
        <v>1.18</v>
      </c>
      <c r="L737" s="33">
        <v>0.99</v>
      </c>
      <c r="M737" s="33">
        <v>0.81</v>
      </c>
      <c r="N737" s="33">
        <v>0.68</v>
      </c>
      <c r="O737" s="33">
        <v>0.63</v>
      </c>
      <c r="P737" s="34">
        <f t="shared" si="25"/>
        <v>1.03</v>
      </c>
    </row>
    <row r="738" spans="1:16" x14ac:dyDescent="0.25">
      <c r="A738" s="169">
        <f t="shared" si="26"/>
        <v>38.700000000000003</v>
      </c>
      <c r="B738" s="166">
        <v>38</v>
      </c>
      <c r="C738" s="32">
        <v>70</v>
      </c>
      <c r="D738" s="33">
        <v>0.61</v>
      </c>
      <c r="E738" s="33">
        <v>0.76</v>
      </c>
      <c r="F738" s="33">
        <v>0.98</v>
      </c>
      <c r="G738" s="33">
        <v>1.25</v>
      </c>
      <c r="H738" s="33">
        <v>1.43</v>
      </c>
      <c r="I738" s="33">
        <v>1.42</v>
      </c>
      <c r="J738" s="33">
        <v>1.29</v>
      </c>
      <c r="K738" s="33">
        <v>1.1399999999999999</v>
      </c>
      <c r="L738" s="33">
        <v>0.94</v>
      </c>
      <c r="M738" s="33">
        <v>0.75</v>
      </c>
      <c r="N738" s="33">
        <v>0.61</v>
      </c>
      <c r="O738" s="33">
        <v>0.56000000000000005</v>
      </c>
      <c r="P738" s="34">
        <f t="shared" si="25"/>
        <v>0.97833333333333339</v>
      </c>
    </row>
    <row r="739" spans="1:16" x14ac:dyDescent="0.25">
      <c r="A739" s="169">
        <f t="shared" si="26"/>
        <v>38.75</v>
      </c>
      <c r="B739" s="166">
        <v>38</v>
      </c>
      <c r="C739" s="32">
        <v>75</v>
      </c>
      <c r="D739" s="33">
        <v>0.54</v>
      </c>
      <c r="E739" s="33">
        <v>0.69</v>
      </c>
      <c r="F739" s="33">
        <v>0.93</v>
      </c>
      <c r="G739" s="33">
        <v>1.2</v>
      </c>
      <c r="H739" s="33">
        <v>1.39</v>
      </c>
      <c r="I739" s="33">
        <v>1.39</v>
      </c>
      <c r="J739" s="33">
        <v>1.25</v>
      </c>
      <c r="K739" s="33">
        <v>1.0900000000000001</v>
      </c>
      <c r="L739" s="33">
        <v>0.89</v>
      </c>
      <c r="M739" s="33">
        <v>0.69</v>
      </c>
      <c r="N739" s="33">
        <v>0.54</v>
      </c>
      <c r="O739" s="33">
        <v>0.49</v>
      </c>
      <c r="P739" s="34">
        <f t="shared" si="25"/>
        <v>0.9241666666666668</v>
      </c>
    </row>
    <row r="740" spans="1:16" x14ac:dyDescent="0.25">
      <c r="A740" s="169">
        <f t="shared" si="26"/>
        <v>38.799999999999997</v>
      </c>
      <c r="B740" s="166">
        <v>38</v>
      </c>
      <c r="C740" s="32">
        <v>80</v>
      </c>
      <c r="D740" s="33">
        <v>0.47</v>
      </c>
      <c r="E740" s="33">
        <v>0.62</v>
      </c>
      <c r="F740" s="33">
        <v>0.86</v>
      </c>
      <c r="G740" s="33">
        <v>1.1399999999999999</v>
      </c>
      <c r="H740" s="33">
        <v>1.34</v>
      </c>
      <c r="I740" s="33">
        <v>1.34</v>
      </c>
      <c r="J740" s="33">
        <v>1.21</v>
      </c>
      <c r="K740" s="33">
        <v>1.04</v>
      </c>
      <c r="L740" s="33">
        <v>0.83</v>
      </c>
      <c r="M740" s="33">
        <v>0.62</v>
      </c>
      <c r="N740" s="33">
        <v>0.47</v>
      </c>
      <c r="O740" s="33">
        <v>0.42</v>
      </c>
      <c r="P740" s="34">
        <f t="shared" si="25"/>
        <v>0.86333333333333329</v>
      </c>
    </row>
    <row r="741" spans="1:16" x14ac:dyDescent="0.25">
      <c r="A741" s="169">
        <f t="shared" si="26"/>
        <v>38.85</v>
      </c>
      <c r="B741" s="166">
        <v>38</v>
      </c>
      <c r="C741" s="32">
        <v>85</v>
      </c>
      <c r="D741" s="33">
        <v>0.39</v>
      </c>
      <c r="E741" s="33">
        <v>0.55000000000000004</v>
      </c>
      <c r="F741" s="33">
        <v>0.79</v>
      </c>
      <c r="G741" s="33">
        <v>1.08</v>
      </c>
      <c r="H741" s="33">
        <v>1.29</v>
      </c>
      <c r="I741" s="33">
        <v>1.29</v>
      </c>
      <c r="J741" s="33">
        <v>1.1499999999999999</v>
      </c>
      <c r="K741" s="33">
        <v>0.98</v>
      </c>
      <c r="L741" s="33">
        <v>0.76</v>
      </c>
      <c r="M741" s="33">
        <v>0.55000000000000004</v>
      </c>
      <c r="N741" s="33">
        <v>0.4</v>
      </c>
      <c r="O741" s="33">
        <v>0.34</v>
      </c>
      <c r="P741" s="34">
        <f t="shared" si="25"/>
        <v>0.79749999999999999</v>
      </c>
    </row>
    <row r="742" spans="1:16" x14ac:dyDescent="0.25">
      <c r="A742" s="169">
        <f t="shared" si="26"/>
        <v>38.9</v>
      </c>
      <c r="B742" s="166">
        <v>38</v>
      </c>
      <c r="C742" s="32">
        <v>90</v>
      </c>
      <c r="D742" s="33">
        <v>0.31</v>
      </c>
      <c r="E742" s="33">
        <v>0.47</v>
      </c>
      <c r="F742" s="33">
        <v>0.72</v>
      </c>
      <c r="G742" s="33">
        <v>1.01</v>
      </c>
      <c r="H742" s="33">
        <v>1.22</v>
      </c>
      <c r="I742" s="33">
        <v>1.23</v>
      </c>
      <c r="J742" s="33">
        <v>1.0900000000000001</v>
      </c>
      <c r="K742" s="33">
        <v>0.91</v>
      </c>
      <c r="L742" s="33">
        <v>0.69</v>
      </c>
      <c r="M742" s="33">
        <v>0.47</v>
      </c>
      <c r="N742" s="33">
        <v>0.32</v>
      </c>
      <c r="O742" s="33">
        <v>0.26</v>
      </c>
      <c r="P742" s="34">
        <f t="shared" si="25"/>
        <v>0.72499999999999998</v>
      </c>
    </row>
    <row r="743" spans="1:16" x14ac:dyDescent="0.25">
      <c r="A743" s="169">
        <f t="shared" si="26"/>
        <v>39</v>
      </c>
      <c r="B743" s="166">
        <v>39</v>
      </c>
      <c r="C743" s="32">
        <v>0</v>
      </c>
      <c r="D743" s="33">
        <v>1</v>
      </c>
      <c r="E743" s="33">
        <v>1</v>
      </c>
      <c r="F743" s="33">
        <v>1</v>
      </c>
      <c r="G743" s="33">
        <v>1</v>
      </c>
      <c r="H743" s="33">
        <v>1</v>
      </c>
      <c r="I743" s="33">
        <v>1</v>
      </c>
      <c r="J743" s="33">
        <v>1</v>
      </c>
      <c r="K743" s="33">
        <v>1</v>
      </c>
      <c r="L743" s="33">
        <v>1</v>
      </c>
      <c r="M743" s="33">
        <v>1</v>
      </c>
      <c r="N743" s="33">
        <v>1</v>
      </c>
      <c r="O743" s="33">
        <v>1</v>
      </c>
      <c r="P743" s="34">
        <f t="shared" si="25"/>
        <v>1</v>
      </c>
    </row>
    <row r="744" spans="1:16" x14ac:dyDescent="0.25">
      <c r="A744" s="169">
        <f t="shared" si="26"/>
        <v>39.049999999999997</v>
      </c>
      <c r="B744" s="166">
        <v>39</v>
      </c>
      <c r="C744" s="32">
        <v>5</v>
      </c>
      <c r="D744" s="33">
        <v>1.02</v>
      </c>
      <c r="E744" s="33">
        <v>1.03</v>
      </c>
      <c r="F744" s="33">
        <v>1.05</v>
      </c>
      <c r="G744" s="33">
        <v>1.07</v>
      </c>
      <c r="H744" s="33">
        <v>1.0900000000000001</v>
      </c>
      <c r="I744" s="33">
        <v>1.08</v>
      </c>
      <c r="J744" s="33">
        <v>1.07</v>
      </c>
      <c r="K744" s="33">
        <v>1.06</v>
      </c>
      <c r="L744" s="33">
        <v>1.04</v>
      </c>
      <c r="M744" s="33">
        <v>1.03</v>
      </c>
      <c r="N744" s="33">
        <v>1.02</v>
      </c>
      <c r="O744" s="33">
        <v>1.01</v>
      </c>
      <c r="P744" s="34">
        <f t="shared" si="25"/>
        <v>1.0475000000000001</v>
      </c>
    </row>
    <row r="745" spans="1:16" x14ac:dyDescent="0.25">
      <c r="A745" s="169">
        <f t="shared" si="26"/>
        <v>39.1</v>
      </c>
      <c r="B745" s="166">
        <v>39</v>
      </c>
      <c r="C745" s="32">
        <v>10</v>
      </c>
      <c r="D745" s="33">
        <v>1.03</v>
      </c>
      <c r="E745" s="33">
        <v>1.06</v>
      </c>
      <c r="F745" s="33">
        <v>1.1000000000000001</v>
      </c>
      <c r="G745" s="33">
        <v>1.1399999999999999</v>
      </c>
      <c r="H745" s="33">
        <v>1.17</v>
      </c>
      <c r="I745" s="33">
        <v>1.1599999999999999</v>
      </c>
      <c r="J745" s="33">
        <v>1.1399999999999999</v>
      </c>
      <c r="K745" s="33">
        <v>1.1100000000000001</v>
      </c>
      <c r="L745" s="33">
        <v>1.08</v>
      </c>
      <c r="M745" s="33">
        <v>1.05</v>
      </c>
      <c r="N745" s="33">
        <v>1.03</v>
      </c>
      <c r="O745" s="33">
        <v>1.02</v>
      </c>
      <c r="P745" s="34">
        <f t="shared" si="25"/>
        <v>1.0908333333333333</v>
      </c>
    </row>
    <row r="746" spans="1:16" x14ac:dyDescent="0.25">
      <c r="A746" s="169">
        <f t="shared" si="26"/>
        <v>39.15</v>
      </c>
      <c r="B746" s="166">
        <v>39</v>
      </c>
      <c r="C746" s="32">
        <v>15</v>
      </c>
      <c r="D746" s="33">
        <v>1.03</v>
      </c>
      <c r="E746" s="33">
        <v>1.07</v>
      </c>
      <c r="F746" s="33">
        <v>1.1299999999999999</v>
      </c>
      <c r="G746" s="33">
        <v>1.2</v>
      </c>
      <c r="H746" s="33">
        <v>1.24</v>
      </c>
      <c r="I746" s="33">
        <v>1.23</v>
      </c>
      <c r="J746" s="33">
        <v>1.19</v>
      </c>
      <c r="K746" s="33">
        <v>1.1599999999999999</v>
      </c>
      <c r="L746" s="33">
        <v>1.1100000000000001</v>
      </c>
      <c r="M746" s="33">
        <v>1.07</v>
      </c>
      <c r="N746" s="33">
        <v>1.03</v>
      </c>
      <c r="O746" s="33">
        <v>1.02</v>
      </c>
      <c r="P746" s="34">
        <f t="shared" si="25"/>
        <v>1.1233333333333333</v>
      </c>
    </row>
    <row r="747" spans="1:16" x14ac:dyDescent="0.25">
      <c r="A747" s="169">
        <f t="shared" si="26"/>
        <v>39.200000000000003</v>
      </c>
      <c r="B747" s="166">
        <v>39</v>
      </c>
      <c r="C747" s="32">
        <v>20</v>
      </c>
      <c r="D747" s="33">
        <v>1.03</v>
      </c>
      <c r="E747" s="33">
        <v>1.08</v>
      </c>
      <c r="F747" s="33">
        <v>1.1599999999999999</v>
      </c>
      <c r="G747" s="33">
        <v>1.25</v>
      </c>
      <c r="H747" s="33">
        <v>1.31</v>
      </c>
      <c r="I747" s="33">
        <v>1.29</v>
      </c>
      <c r="J747" s="33">
        <v>1.25</v>
      </c>
      <c r="K747" s="33">
        <v>1.2</v>
      </c>
      <c r="L747" s="33">
        <v>1.1399999999999999</v>
      </c>
      <c r="M747" s="33">
        <v>1.07</v>
      </c>
      <c r="N747" s="33">
        <v>1.03</v>
      </c>
      <c r="O747" s="33">
        <v>1.01</v>
      </c>
      <c r="P747" s="34">
        <f t="shared" si="25"/>
        <v>1.1516666666666666</v>
      </c>
    </row>
    <row r="748" spans="1:16" x14ac:dyDescent="0.25">
      <c r="A748" s="169">
        <f t="shared" si="26"/>
        <v>39.25</v>
      </c>
      <c r="B748" s="166">
        <v>39</v>
      </c>
      <c r="C748" s="32">
        <v>25</v>
      </c>
      <c r="D748" s="33">
        <v>1.02</v>
      </c>
      <c r="E748" s="33">
        <v>1.08</v>
      </c>
      <c r="F748" s="33">
        <v>1.18</v>
      </c>
      <c r="G748" s="33">
        <v>1.29</v>
      </c>
      <c r="H748" s="33">
        <v>1.36</v>
      </c>
      <c r="I748" s="33">
        <v>1.35</v>
      </c>
      <c r="J748" s="33">
        <v>1.29</v>
      </c>
      <c r="K748" s="33">
        <v>1.23</v>
      </c>
      <c r="L748" s="33">
        <v>1.1499999999999999</v>
      </c>
      <c r="M748" s="33">
        <v>1.07</v>
      </c>
      <c r="N748" s="33">
        <v>1.02</v>
      </c>
      <c r="O748" s="33">
        <v>1</v>
      </c>
      <c r="P748" s="34">
        <f t="shared" si="25"/>
        <v>1.1700000000000002</v>
      </c>
    </row>
    <row r="749" spans="1:16" x14ac:dyDescent="0.25">
      <c r="A749" s="169">
        <f t="shared" si="26"/>
        <v>39.299999999999997</v>
      </c>
      <c r="B749" s="166">
        <v>39</v>
      </c>
      <c r="C749" s="32">
        <v>30</v>
      </c>
      <c r="D749" s="33">
        <v>1</v>
      </c>
      <c r="E749" s="33">
        <v>1.08</v>
      </c>
      <c r="F749" s="33">
        <v>1.19</v>
      </c>
      <c r="G749" s="33">
        <v>1.33</v>
      </c>
      <c r="H749" s="33">
        <v>1.41</v>
      </c>
      <c r="I749" s="33">
        <v>1.4</v>
      </c>
      <c r="J749" s="33">
        <v>1.33</v>
      </c>
      <c r="K749" s="33">
        <v>1.25</v>
      </c>
      <c r="L749" s="33">
        <v>1.1599999999999999</v>
      </c>
      <c r="M749" s="33">
        <v>1.07</v>
      </c>
      <c r="N749" s="33">
        <v>1</v>
      </c>
      <c r="O749" s="33">
        <v>0.97</v>
      </c>
      <c r="P749" s="34">
        <f t="shared" si="25"/>
        <v>1.1825000000000001</v>
      </c>
    </row>
    <row r="750" spans="1:16" x14ac:dyDescent="0.25">
      <c r="A750" s="169">
        <f t="shared" si="26"/>
        <v>39.35</v>
      </c>
      <c r="B750" s="166">
        <v>39</v>
      </c>
      <c r="C750" s="32">
        <v>35</v>
      </c>
      <c r="D750" s="33">
        <v>0.98</v>
      </c>
      <c r="E750" s="33">
        <v>1.06</v>
      </c>
      <c r="F750" s="33">
        <v>1.2</v>
      </c>
      <c r="G750" s="33">
        <v>1.35</v>
      </c>
      <c r="H750" s="33">
        <v>1.45</v>
      </c>
      <c r="I750" s="33">
        <v>1.43</v>
      </c>
      <c r="J750" s="33">
        <v>1.35</v>
      </c>
      <c r="K750" s="33">
        <v>1.27</v>
      </c>
      <c r="L750" s="33">
        <v>1.1599999999999999</v>
      </c>
      <c r="M750" s="33">
        <v>1.05</v>
      </c>
      <c r="N750" s="33">
        <v>0.97</v>
      </c>
      <c r="O750" s="33">
        <v>0.94</v>
      </c>
      <c r="P750" s="34">
        <f t="shared" si="25"/>
        <v>1.1841666666666668</v>
      </c>
    </row>
    <row r="751" spans="1:16" x14ac:dyDescent="0.25">
      <c r="A751" s="169">
        <f t="shared" si="26"/>
        <v>39.4</v>
      </c>
      <c r="B751" s="166">
        <v>39</v>
      </c>
      <c r="C751" s="32">
        <v>40</v>
      </c>
      <c r="D751" s="33">
        <v>0.94</v>
      </c>
      <c r="E751" s="33">
        <v>1.04</v>
      </c>
      <c r="F751" s="33">
        <v>1.19</v>
      </c>
      <c r="G751" s="33">
        <v>1.37</v>
      </c>
      <c r="H751" s="33">
        <v>1.48</v>
      </c>
      <c r="I751" s="33">
        <v>1.46</v>
      </c>
      <c r="J751" s="33">
        <v>1.37</v>
      </c>
      <c r="K751" s="33">
        <v>1.27</v>
      </c>
      <c r="L751" s="33">
        <v>1.1499999999999999</v>
      </c>
      <c r="M751" s="33">
        <v>1.03</v>
      </c>
      <c r="N751" s="33">
        <v>0.94</v>
      </c>
      <c r="O751" s="33">
        <v>0.91</v>
      </c>
      <c r="P751" s="34">
        <f t="shared" si="25"/>
        <v>1.1791666666666665</v>
      </c>
    </row>
    <row r="752" spans="1:16" x14ac:dyDescent="0.25">
      <c r="A752" s="169">
        <f t="shared" si="26"/>
        <v>39.450000000000003</v>
      </c>
      <c r="B752" s="166">
        <v>39</v>
      </c>
      <c r="C752" s="32">
        <v>45</v>
      </c>
      <c r="D752" s="33">
        <v>0.9</v>
      </c>
      <c r="E752" s="33">
        <v>1.01</v>
      </c>
      <c r="F752" s="33">
        <v>1.18</v>
      </c>
      <c r="G752" s="33">
        <v>1.37</v>
      </c>
      <c r="H752" s="33">
        <v>1.5</v>
      </c>
      <c r="I752" s="33">
        <v>1.48</v>
      </c>
      <c r="J752" s="33">
        <v>1.38</v>
      </c>
      <c r="K752" s="33">
        <v>1.27</v>
      </c>
      <c r="L752" s="33">
        <v>1.1399999999999999</v>
      </c>
      <c r="M752" s="33">
        <v>1</v>
      </c>
      <c r="N752" s="33">
        <v>0.9</v>
      </c>
      <c r="O752" s="33">
        <v>0.87</v>
      </c>
      <c r="P752" s="34">
        <f t="shared" si="25"/>
        <v>1.1666666666666667</v>
      </c>
    </row>
    <row r="753" spans="1:16" x14ac:dyDescent="0.25">
      <c r="A753" s="169">
        <f t="shared" si="26"/>
        <v>39.5</v>
      </c>
      <c r="B753" s="166">
        <v>39</v>
      </c>
      <c r="C753" s="32">
        <v>50</v>
      </c>
      <c r="D753" s="33">
        <v>0.86</v>
      </c>
      <c r="E753" s="33">
        <v>0.98</v>
      </c>
      <c r="F753" s="33">
        <v>1.1599999999999999</v>
      </c>
      <c r="G753" s="33">
        <v>1.37</v>
      </c>
      <c r="H753" s="33">
        <v>1.51</v>
      </c>
      <c r="I753" s="33">
        <v>1.5</v>
      </c>
      <c r="J753" s="33">
        <v>1.39</v>
      </c>
      <c r="K753" s="33">
        <v>1.26</v>
      </c>
      <c r="L753" s="33">
        <v>1.1200000000000001</v>
      </c>
      <c r="M753" s="33">
        <v>0.97</v>
      </c>
      <c r="N753" s="33">
        <v>0.86</v>
      </c>
      <c r="O753" s="33">
        <v>0.82</v>
      </c>
      <c r="P753" s="34">
        <f t="shared" si="25"/>
        <v>1.1499999999999999</v>
      </c>
    </row>
    <row r="754" spans="1:16" x14ac:dyDescent="0.25">
      <c r="A754" s="169">
        <f t="shared" si="26"/>
        <v>39.549999999999997</v>
      </c>
      <c r="B754" s="166">
        <v>39</v>
      </c>
      <c r="C754" s="32">
        <v>55</v>
      </c>
      <c r="D754" s="33">
        <v>0.81</v>
      </c>
      <c r="E754" s="33">
        <v>0.94</v>
      </c>
      <c r="F754" s="33">
        <v>1.1299999999999999</v>
      </c>
      <c r="G754" s="33">
        <v>1.36</v>
      </c>
      <c r="H754" s="33">
        <v>1.51</v>
      </c>
      <c r="I754" s="33">
        <v>1.5</v>
      </c>
      <c r="J754" s="33">
        <v>1.38</v>
      </c>
      <c r="K754" s="33">
        <v>1.25</v>
      </c>
      <c r="L754" s="33">
        <v>1.0900000000000001</v>
      </c>
      <c r="M754" s="33">
        <v>0.93</v>
      </c>
      <c r="N754" s="33">
        <v>0.81</v>
      </c>
      <c r="O754" s="33">
        <v>0.77</v>
      </c>
      <c r="P754" s="34">
        <f t="shared" si="25"/>
        <v>1.1233333333333333</v>
      </c>
    </row>
    <row r="755" spans="1:16" x14ac:dyDescent="0.25">
      <c r="A755" s="169">
        <f t="shared" si="26"/>
        <v>39.6</v>
      </c>
      <c r="B755" s="166">
        <v>39</v>
      </c>
      <c r="C755" s="32">
        <v>60</v>
      </c>
      <c r="D755" s="33">
        <v>0.75</v>
      </c>
      <c r="E755" s="33">
        <v>0.89</v>
      </c>
      <c r="F755" s="33">
        <v>1.1000000000000001</v>
      </c>
      <c r="G755" s="33">
        <v>1.34</v>
      </c>
      <c r="H755" s="33">
        <v>1.51</v>
      </c>
      <c r="I755" s="33">
        <v>1.49</v>
      </c>
      <c r="J755" s="33">
        <v>1.37</v>
      </c>
      <c r="K755" s="33">
        <v>1.22</v>
      </c>
      <c r="L755" s="33">
        <v>1.05</v>
      </c>
      <c r="M755" s="33">
        <v>0.88</v>
      </c>
      <c r="N755" s="33">
        <v>0.75</v>
      </c>
      <c r="O755" s="33">
        <v>0.71</v>
      </c>
      <c r="P755" s="34">
        <f t="shared" si="25"/>
        <v>1.0883333333333336</v>
      </c>
    </row>
    <row r="756" spans="1:16" x14ac:dyDescent="0.25">
      <c r="A756" s="169">
        <f t="shared" si="26"/>
        <v>39.65</v>
      </c>
      <c r="B756" s="166">
        <v>39</v>
      </c>
      <c r="C756" s="32">
        <v>65</v>
      </c>
      <c r="D756" s="33">
        <v>0.69</v>
      </c>
      <c r="E756" s="33">
        <v>0.83</v>
      </c>
      <c r="F756" s="33">
        <v>1.05</v>
      </c>
      <c r="G756" s="33">
        <v>1.31</v>
      </c>
      <c r="H756" s="33">
        <v>1.49</v>
      </c>
      <c r="I756" s="33">
        <v>1.47</v>
      </c>
      <c r="J756" s="33">
        <v>1.35</v>
      </c>
      <c r="K756" s="33">
        <v>1.19</v>
      </c>
      <c r="L756" s="33">
        <v>1.01</v>
      </c>
      <c r="M756" s="33">
        <v>0.83</v>
      </c>
      <c r="N756" s="33">
        <v>0.69</v>
      </c>
      <c r="O756" s="33">
        <v>0.65</v>
      </c>
      <c r="P756" s="34">
        <f t="shared" ref="P756:P819" si="27">AVERAGE(D756:O756)</f>
        <v>1.0466666666666666</v>
      </c>
    </row>
    <row r="757" spans="1:16" x14ac:dyDescent="0.25">
      <c r="A757" s="169">
        <f t="shared" si="26"/>
        <v>39.700000000000003</v>
      </c>
      <c r="B757" s="166">
        <v>39</v>
      </c>
      <c r="C757" s="32">
        <v>70</v>
      </c>
      <c r="D757" s="33">
        <v>0.63</v>
      </c>
      <c r="E757" s="33">
        <v>0.77</v>
      </c>
      <c r="F757" s="33">
        <v>1</v>
      </c>
      <c r="G757" s="33">
        <v>1.27</v>
      </c>
      <c r="H757" s="33">
        <v>1.46</v>
      </c>
      <c r="I757" s="33">
        <v>1.45</v>
      </c>
      <c r="J757" s="33">
        <v>1.32</v>
      </c>
      <c r="K757" s="33">
        <v>1.1499999999999999</v>
      </c>
      <c r="L757" s="33">
        <v>0.96</v>
      </c>
      <c r="M757" s="33">
        <v>0.77</v>
      </c>
      <c r="N757" s="33">
        <v>0.63</v>
      </c>
      <c r="O757" s="33">
        <v>0.57999999999999996</v>
      </c>
      <c r="P757" s="34">
        <f t="shared" si="27"/>
        <v>0.99916666666666687</v>
      </c>
    </row>
    <row r="758" spans="1:16" x14ac:dyDescent="0.25">
      <c r="A758" s="169">
        <f t="shared" si="26"/>
        <v>39.75</v>
      </c>
      <c r="B758" s="166">
        <v>39</v>
      </c>
      <c r="C758" s="32">
        <v>75</v>
      </c>
      <c r="D758" s="33">
        <v>0.56000000000000005</v>
      </c>
      <c r="E758" s="33">
        <v>0.71</v>
      </c>
      <c r="F758" s="33">
        <v>0.95</v>
      </c>
      <c r="G758" s="33">
        <v>1.23</v>
      </c>
      <c r="H758" s="33">
        <v>1.42</v>
      </c>
      <c r="I758" s="33">
        <v>1.41</v>
      </c>
      <c r="J758" s="33">
        <v>1.28</v>
      </c>
      <c r="K758" s="33">
        <v>1.1100000000000001</v>
      </c>
      <c r="L758" s="33">
        <v>0.91</v>
      </c>
      <c r="M758" s="33">
        <v>0.7</v>
      </c>
      <c r="N758" s="33">
        <v>0.56000000000000005</v>
      </c>
      <c r="O758" s="33">
        <v>0.51</v>
      </c>
      <c r="P758" s="34">
        <f t="shared" si="27"/>
        <v>0.9458333333333333</v>
      </c>
    </row>
    <row r="759" spans="1:16" x14ac:dyDescent="0.25">
      <c r="A759" s="169">
        <f t="shared" si="26"/>
        <v>39.799999999999997</v>
      </c>
      <c r="B759" s="166">
        <v>39</v>
      </c>
      <c r="C759" s="32">
        <v>80</v>
      </c>
      <c r="D759" s="33">
        <v>0.48</v>
      </c>
      <c r="E759" s="33">
        <v>0.64</v>
      </c>
      <c r="F759" s="33">
        <v>0.88</v>
      </c>
      <c r="G759" s="33">
        <v>1.17</v>
      </c>
      <c r="H759" s="33">
        <v>1.37</v>
      </c>
      <c r="I759" s="33">
        <v>1.37</v>
      </c>
      <c r="J759" s="33">
        <v>1.23</v>
      </c>
      <c r="K759" s="33">
        <v>1.06</v>
      </c>
      <c r="L759" s="33">
        <v>0.84</v>
      </c>
      <c r="M759" s="33">
        <v>0.64</v>
      </c>
      <c r="N759" s="33">
        <v>0.49</v>
      </c>
      <c r="O759" s="33">
        <v>0.43</v>
      </c>
      <c r="P759" s="34">
        <f t="shared" si="27"/>
        <v>0.88333333333333341</v>
      </c>
    </row>
    <row r="760" spans="1:16" x14ac:dyDescent="0.25">
      <c r="A760" s="169">
        <f t="shared" si="26"/>
        <v>39.85</v>
      </c>
      <c r="B760" s="166">
        <v>39</v>
      </c>
      <c r="C760" s="32">
        <v>85</v>
      </c>
      <c r="D760" s="33">
        <v>0.41</v>
      </c>
      <c r="E760" s="33">
        <v>0.56000000000000005</v>
      </c>
      <c r="F760" s="33">
        <v>0.81</v>
      </c>
      <c r="G760" s="33">
        <v>1.1100000000000001</v>
      </c>
      <c r="H760" s="33">
        <v>1.32</v>
      </c>
      <c r="I760" s="33">
        <v>1.32</v>
      </c>
      <c r="J760" s="33">
        <v>1.18</v>
      </c>
      <c r="K760" s="33">
        <v>1</v>
      </c>
      <c r="L760" s="33">
        <v>0.78</v>
      </c>
      <c r="M760" s="33">
        <v>0.56000000000000005</v>
      </c>
      <c r="N760" s="33">
        <v>0.41</v>
      </c>
      <c r="O760" s="33">
        <v>0.35</v>
      </c>
      <c r="P760" s="34">
        <f t="shared" si="27"/>
        <v>0.8175</v>
      </c>
    </row>
    <row r="761" spans="1:16" x14ac:dyDescent="0.25">
      <c r="A761" s="169">
        <f t="shared" si="26"/>
        <v>39.9</v>
      </c>
      <c r="B761" s="166">
        <v>39</v>
      </c>
      <c r="C761" s="32">
        <v>90</v>
      </c>
      <c r="D761" s="33">
        <v>0.33</v>
      </c>
      <c r="E761" s="33">
        <v>0.49</v>
      </c>
      <c r="F761" s="33">
        <v>0.74</v>
      </c>
      <c r="G761" s="33">
        <v>1.04</v>
      </c>
      <c r="H761" s="33">
        <v>1.25</v>
      </c>
      <c r="I761" s="33">
        <v>1.26</v>
      </c>
      <c r="J761" s="33">
        <v>1.1200000000000001</v>
      </c>
      <c r="K761" s="33">
        <v>0.93</v>
      </c>
      <c r="L761" s="33">
        <v>0.71</v>
      </c>
      <c r="M761" s="33">
        <v>0.49</v>
      </c>
      <c r="N761" s="33">
        <v>0.33</v>
      </c>
      <c r="O761" s="33">
        <v>0.28000000000000003</v>
      </c>
      <c r="P761" s="34">
        <f t="shared" si="27"/>
        <v>0.74749999999999994</v>
      </c>
    </row>
    <row r="762" spans="1:16" x14ac:dyDescent="0.25">
      <c r="A762" s="169">
        <f t="shared" si="26"/>
        <v>40</v>
      </c>
      <c r="B762" s="166">
        <v>40</v>
      </c>
      <c r="C762" s="32">
        <v>0</v>
      </c>
      <c r="D762" s="33">
        <v>1</v>
      </c>
      <c r="E762" s="33">
        <v>1</v>
      </c>
      <c r="F762" s="33">
        <v>1</v>
      </c>
      <c r="G762" s="33">
        <v>1</v>
      </c>
      <c r="H762" s="33">
        <v>1</v>
      </c>
      <c r="I762" s="33">
        <v>1</v>
      </c>
      <c r="J762" s="33">
        <v>1</v>
      </c>
      <c r="K762" s="33">
        <v>1</v>
      </c>
      <c r="L762" s="33">
        <v>1</v>
      </c>
      <c r="M762" s="33">
        <v>1</v>
      </c>
      <c r="N762" s="33">
        <v>1</v>
      </c>
      <c r="O762" s="33">
        <v>1</v>
      </c>
      <c r="P762" s="34">
        <f t="shared" si="27"/>
        <v>1</v>
      </c>
    </row>
    <row r="763" spans="1:16" x14ac:dyDescent="0.25">
      <c r="A763" s="169">
        <f t="shared" si="26"/>
        <v>40.049999999999997</v>
      </c>
      <c r="B763" s="166">
        <v>40</v>
      </c>
      <c r="C763" s="32">
        <v>5</v>
      </c>
      <c r="D763" s="33">
        <v>1.02</v>
      </c>
      <c r="E763" s="33">
        <v>1.03</v>
      </c>
      <c r="F763" s="33">
        <v>1.05</v>
      </c>
      <c r="G763" s="33">
        <v>1.08</v>
      </c>
      <c r="H763" s="33">
        <v>1.0900000000000001</v>
      </c>
      <c r="I763" s="33">
        <v>1.0900000000000001</v>
      </c>
      <c r="J763" s="33">
        <v>1.07</v>
      </c>
      <c r="K763" s="33">
        <v>1.06</v>
      </c>
      <c r="L763" s="33">
        <v>1.05</v>
      </c>
      <c r="M763" s="33">
        <v>1.03</v>
      </c>
      <c r="N763" s="33">
        <v>1.02</v>
      </c>
      <c r="O763" s="33">
        <v>1.01</v>
      </c>
      <c r="P763" s="34">
        <f t="shared" si="27"/>
        <v>1.05</v>
      </c>
    </row>
    <row r="764" spans="1:16" x14ac:dyDescent="0.25">
      <c r="A764" s="169">
        <f t="shared" si="26"/>
        <v>40.1</v>
      </c>
      <c r="B764" s="166">
        <v>40</v>
      </c>
      <c r="C764" s="32">
        <v>10</v>
      </c>
      <c r="D764" s="33">
        <v>1.03</v>
      </c>
      <c r="E764" s="33">
        <v>1.06</v>
      </c>
      <c r="F764" s="33">
        <v>1.1000000000000001</v>
      </c>
      <c r="G764" s="33">
        <v>1.1399999999999999</v>
      </c>
      <c r="H764" s="33">
        <v>1.17</v>
      </c>
      <c r="I764" s="33">
        <v>1.1599999999999999</v>
      </c>
      <c r="J764" s="33">
        <v>1.1399999999999999</v>
      </c>
      <c r="K764" s="33">
        <v>1.1100000000000001</v>
      </c>
      <c r="L764" s="33">
        <v>1.08</v>
      </c>
      <c r="M764" s="33">
        <v>1.05</v>
      </c>
      <c r="N764" s="33">
        <v>1.03</v>
      </c>
      <c r="O764" s="33">
        <v>1.02</v>
      </c>
      <c r="P764" s="34">
        <f t="shared" si="27"/>
        <v>1.0908333333333333</v>
      </c>
    </row>
    <row r="765" spans="1:16" x14ac:dyDescent="0.25">
      <c r="A765" s="169">
        <f t="shared" si="26"/>
        <v>40.15</v>
      </c>
      <c r="B765" s="166">
        <v>40</v>
      </c>
      <c r="C765" s="32">
        <v>15</v>
      </c>
      <c r="D765" s="33">
        <v>1.04</v>
      </c>
      <c r="E765" s="33">
        <v>1.08</v>
      </c>
      <c r="F765" s="33">
        <v>1.1399999999999999</v>
      </c>
      <c r="G765" s="33">
        <v>1.21</v>
      </c>
      <c r="H765" s="33">
        <v>1.25</v>
      </c>
      <c r="I765" s="33">
        <v>1.24</v>
      </c>
      <c r="J765" s="33">
        <v>1.2</v>
      </c>
      <c r="K765" s="33">
        <v>1.1599999999999999</v>
      </c>
      <c r="L765" s="33">
        <v>1.1200000000000001</v>
      </c>
      <c r="M765" s="33">
        <v>1.07</v>
      </c>
      <c r="N765" s="33">
        <v>1.03</v>
      </c>
      <c r="O765" s="33">
        <v>1.02</v>
      </c>
      <c r="P765" s="34">
        <f t="shared" si="27"/>
        <v>1.1300000000000001</v>
      </c>
    </row>
    <row r="766" spans="1:16" x14ac:dyDescent="0.25">
      <c r="A766" s="169">
        <f t="shared" ref="A766:A829" si="28">B766+(C766/100)</f>
        <v>40.200000000000003</v>
      </c>
      <c r="B766" s="166">
        <v>40</v>
      </c>
      <c r="C766" s="32">
        <v>20</v>
      </c>
      <c r="D766" s="33">
        <v>1.03</v>
      </c>
      <c r="E766" s="33">
        <v>1.0900000000000001</v>
      </c>
      <c r="F766" s="33">
        <v>1.17</v>
      </c>
      <c r="G766" s="33">
        <v>1.26</v>
      </c>
      <c r="H766" s="33">
        <v>1.32</v>
      </c>
      <c r="I766" s="33">
        <v>1.3</v>
      </c>
      <c r="J766" s="33">
        <v>1.25</v>
      </c>
      <c r="K766" s="33">
        <v>1.2</v>
      </c>
      <c r="L766" s="33">
        <v>1.1399999999999999</v>
      </c>
      <c r="M766" s="33">
        <v>1.08</v>
      </c>
      <c r="N766" s="33">
        <v>1.03</v>
      </c>
      <c r="O766" s="33">
        <v>1.02</v>
      </c>
      <c r="P766" s="34">
        <f t="shared" si="27"/>
        <v>1.1575</v>
      </c>
    </row>
    <row r="767" spans="1:16" x14ac:dyDescent="0.25">
      <c r="A767" s="169">
        <f t="shared" si="28"/>
        <v>40.25</v>
      </c>
      <c r="B767" s="166">
        <v>40</v>
      </c>
      <c r="C767" s="32">
        <v>25</v>
      </c>
      <c r="D767" s="33">
        <v>1.02</v>
      </c>
      <c r="E767" s="33">
        <v>1.0900000000000001</v>
      </c>
      <c r="F767" s="33">
        <v>1.19</v>
      </c>
      <c r="G767" s="33">
        <v>1.3</v>
      </c>
      <c r="H767" s="33">
        <v>1.38</v>
      </c>
      <c r="I767" s="33">
        <v>1.36</v>
      </c>
      <c r="J767" s="33">
        <v>1.3</v>
      </c>
      <c r="K767" s="33">
        <v>1.23</v>
      </c>
      <c r="L767" s="33">
        <v>1.1599999999999999</v>
      </c>
      <c r="M767" s="33">
        <v>1.08</v>
      </c>
      <c r="N767" s="33">
        <v>1.02</v>
      </c>
      <c r="O767" s="33">
        <v>1</v>
      </c>
      <c r="P767" s="34">
        <f t="shared" si="27"/>
        <v>1.1775</v>
      </c>
    </row>
    <row r="768" spans="1:16" x14ac:dyDescent="0.25">
      <c r="A768" s="169">
        <f t="shared" si="28"/>
        <v>40.299999999999997</v>
      </c>
      <c r="B768" s="166">
        <v>40</v>
      </c>
      <c r="C768" s="32">
        <v>30</v>
      </c>
      <c r="D768" s="33">
        <v>1.01</v>
      </c>
      <c r="E768" s="33">
        <v>1.0900000000000001</v>
      </c>
      <c r="F768" s="33">
        <v>1.2</v>
      </c>
      <c r="G768" s="33">
        <v>1.34</v>
      </c>
      <c r="H768" s="33">
        <v>1.43</v>
      </c>
      <c r="I768" s="33">
        <v>1.41</v>
      </c>
      <c r="J768" s="33">
        <v>1.34</v>
      </c>
      <c r="K768" s="33">
        <v>1.26</v>
      </c>
      <c r="L768" s="33">
        <v>1.17</v>
      </c>
      <c r="M768" s="33">
        <v>1.07</v>
      </c>
      <c r="N768" s="33">
        <v>1.01</v>
      </c>
      <c r="O768" s="33">
        <v>0.98</v>
      </c>
      <c r="P768" s="34">
        <f t="shared" si="27"/>
        <v>1.1925000000000001</v>
      </c>
    </row>
    <row r="769" spans="1:16" x14ac:dyDescent="0.25">
      <c r="A769" s="169">
        <f t="shared" si="28"/>
        <v>40.35</v>
      </c>
      <c r="B769" s="166">
        <v>40</v>
      </c>
      <c r="C769" s="32">
        <v>35</v>
      </c>
      <c r="D769" s="33">
        <v>0.98</v>
      </c>
      <c r="E769" s="33">
        <v>1.07</v>
      </c>
      <c r="F769" s="33">
        <v>1.21</v>
      </c>
      <c r="G769" s="33">
        <v>1.37</v>
      </c>
      <c r="H769" s="33">
        <v>1.47</v>
      </c>
      <c r="I769" s="33">
        <v>1.45</v>
      </c>
      <c r="J769" s="33">
        <v>1.37</v>
      </c>
      <c r="K769" s="33">
        <v>1.28</v>
      </c>
      <c r="L769" s="33">
        <v>1.17</v>
      </c>
      <c r="M769" s="33">
        <v>1.06</v>
      </c>
      <c r="N769" s="33">
        <v>0.98</v>
      </c>
      <c r="O769" s="33">
        <v>0.95</v>
      </c>
      <c r="P769" s="34">
        <f t="shared" si="27"/>
        <v>1.1966666666666665</v>
      </c>
    </row>
    <row r="770" spans="1:16" x14ac:dyDescent="0.25">
      <c r="A770" s="169">
        <f t="shared" si="28"/>
        <v>40.4</v>
      </c>
      <c r="B770" s="166">
        <v>40</v>
      </c>
      <c r="C770" s="32">
        <v>40</v>
      </c>
      <c r="D770" s="33">
        <v>0.95</v>
      </c>
      <c r="E770" s="33">
        <v>1.05</v>
      </c>
      <c r="F770" s="33">
        <v>1.21</v>
      </c>
      <c r="G770" s="33">
        <v>1.39</v>
      </c>
      <c r="H770" s="33">
        <v>1.5</v>
      </c>
      <c r="I770" s="33">
        <v>1.48</v>
      </c>
      <c r="J770" s="33">
        <v>1.39</v>
      </c>
      <c r="K770" s="33">
        <v>1.29</v>
      </c>
      <c r="L770" s="33">
        <v>1.1599999999999999</v>
      </c>
      <c r="M770" s="33">
        <v>1.04</v>
      </c>
      <c r="N770" s="33">
        <v>0.95</v>
      </c>
      <c r="O770" s="33">
        <v>0.92</v>
      </c>
      <c r="P770" s="34">
        <f t="shared" si="27"/>
        <v>1.1941666666666666</v>
      </c>
    </row>
    <row r="771" spans="1:16" x14ac:dyDescent="0.25">
      <c r="A771" s="169">
        <f t="shared" si="28"/>
        <v>40.450000000000003</v>
      </c>
      <c r="B771" s="166">
        <v>40</v>
      </c>
      <c r="C771" s="32">
        <v>45</v>
      </c>
      <c r="D771" s="33">
        <v>0.92</v>
      </c>
      <c r="E771" s="33">
        <v>1.03</v>
      </c>
      <c r="F771" s="33">
        <v>1.2</v>
      </c>
      <c r="G771" s="33">
        <v>1.39</v>
      </c>
      <c r="H771" s="33">
        <v>1.52</v>
      </c>
      <c r="I771" s="33">
        <v>1.5</v>
      </c>
      <c r="J771" s="33">
        <v>1.4</v>
      </c>
      <c r="K771" s="33">
        <v>1.29</v>
      </c>
      <c r="L771" s="33">
        <v>1.1499999999999999</v>
      </c>
      <c r="M771" s="33">
        <v>1.01</v>
      </c>
      <c r="N771" s="33">
        <v>0.91</v>
      </c>
      <c r="O771" s="33">
        <v>0.88</v>
      </c>
      <c r="P771" s="34">
        <f t="shared" si="27"/>
        <v>1.1833333333333333</v>
      </c>
    </row>
    <row r="772" spans="1:16" x14ac:dyDescent="0.25">
      <c r="A772" s="169">
        <f t="shared" si="28"/>
        <v>40.5</v>
      </c>
      <c r="B772" s="166">
        <v>40</v>
      </c>
      <c r="C772" s="32">
        <v>50</v>
      </c>
      <c r="D772" s="33">
        <v>0.87</v>
      </c>
      <c r="E772" s="33">
        <v>0.99</v>
      </c>
      <c r="F772" s="33">
        <v>1.18</v>
      </c>
      <c r="G772" s="33">
        <v>1.39</v>
      </c>
      <c r="H772" s="33">
        <v>1.54</v>
      </c>
      <c r="I772" s="33">
        <v>1.52</v>
      </c>
      <c r="J772" s="33">
        <v>1.41</v>
      </c>
      <c r="K772" s="33">
        <v>1.28</v>
      </c>
      <c r="L772" s="33">
        <v>1.1299999999999999</v>
      </c>
      <c r="M772" s="33">
        <v>0.98</v>
      </c>
      <c r="N772" s="33">
        <v>0.87</v>
      </c>
      <c r="O772" s="33">
        <v>0.83</v>
      </c>
      <c r="P772" s="34">
        <f t="shared" si="27"/>
        <v>1.1658333333333333</v>
      </c>
    </row>
    <row r="773" spans="1:16" x14ac:dyDescent="0.25">
      <c r="A773" s="169">
        <f t="shared" si="28"/>
        <v>40.549999999999997</v>
      </c>
      <c r="B773" s="166">
        <v>40</v>
      </c>
      <c r="C773" s="32">
        <v>55</v>
      </c>
      <c r="D773" s="33">
        <v>0.82</v>
      </c>
      <c r="E773" s="33">
        <v>0.95</v>
      </c>
      <c r="F773" s="33">
        <v>1.1499999999999999</v>
      </c>
      <c r="G773" s="33">
        <v>1.38</v>
      </c>
      <c r="H773" s="33">
        <v>1.54</v>
      </c>
      <c r="I773" s="33">
        <v>1.52</v>
      </c>
      <c r="J773" s="33">
        <v>1.4</v>
      </c>
      <c r="K773" s="33">
        <v>1.27</v>
      </c>
      <c r="L773" s="33">
        <v>1.1000000000000001</v>
      </c>
      <c r="M773" s="33">
        <v>0.94</v>
      </c>
      <c r="N773" s="33">
        <v>0.82</v>
      </c>
      <c r="O773" s="33">
        <v>0.78</v>
      </c>
      <c r="P773" s="34">
        <f t="shared" si="27"/>
        <v>1.1391666666666664</v>
      </c>
    </row>
    <row r="774" spans="1:16" x14ac:dyDescent="0.25">
      <c r="A774" s="169">
        <f t="shared" si="28"/>
        <v>40.6</v>
      </c>
      <c r="B774" s="166">
        <v>40</v>
      </c>
      <c r="C774" s="32">
        <v>60</v>
      </c>
      <c r="D774" s="33">
        <v>0.77</v>
      </c>
      <c r="E774" s="33">
        <v>0.9</v>
      </c>
      <c r="F774" s="33">
        <v>1.1200000000000001</v>
      </c>
      <c r="G774" s="33">
        <v>1.36</v>
      </c>
      <c r="H774" s="33">
        <v>1.53</v>
      </c>
      <c r="I774" s="33">
        <v>1.51</v>
      </c>
      <c r="J774" s="33">
        <v>1.39</v>
      </c>
      <c r="K774" s="33">
        <v>1.24</v>
      </c>
      <c r="L774" s="33">
        <v>1.07</v>
      </c>
      <c r="M774" s="33">
        <v>0.89</v>
      </c>
      <c r="N774" s="33">
        <v>0.77</v>
      </c>
      <c r="O774" s="33">
        <v>0.72</v>
      </c>
      <c r="P774" s="34">
        <f t="shared" si="27"/>
        <v>1.1058333333333334</v>
      </c>
    </row>
    <row r="775" spans="1:16" x14ac:dyDescent="0.25">
      <c r="A775" s="169">
        <f t="shared" si="28"/>
        <v>40.65</v>
      </c>
      <c r="B775" s="166">
        <v>40</v>
      </c>
      <c r="C775" s="32">
        <v>65</v>
      </c>
      <c r="D775" s="33">
        <v>0.71</v>
      </c>
      <c r="E775" s="33">
        <v>0.85</v>
      </c>
      <c r="F775" s="33">
        <v>1.07</v>
      </c>
      <c r="G775" s="33">
        <v>1.34</v>
      </c>
      <c r="H775" s="33">
        <v>1.51</v>
      </c>
      <c r="I775" s="33">
        <v>1.5</v>
      </c>
      <c r="J775" s="33">
        <v>1.37</v>
      </c>
      <c r="K775" s="33">
        <v>1.21</v>
      </c>
      <c r="L775" s="33">
        <v>1.03</v>
      </c>
      <c r="M775" s="33">
        <v>0.84</v>
      </c>
      <c r="N775" s="33">
        <v>0.71</v>
      </c>
      <c r="O775" s="33">
        <v>0.66</v>
      </c>
      <c r="P775" s="34">
        <f t="shared" si="27"/>
        <v>1.0666666666666664</v>
      </c>
    </row>
    <row r="776" spans="1:16" x14ac:dyDescent="0.25">
      <c r="A776" s="169">
        <f t="shared" si="28"/>
        <v>40.700000000000003</v>
      </c>
      <c r="B776" s="166">
        <v>40</v>
      </c>
      <c r="C776" s="32">
        <v>70</v>
      </c>
      <c r="D776" s="33">
        <v>0.64</v>
      </c>
      <c r="E776" s="33">
        <v>0.79</v>
      </c>
      <c r="F776" s="33">
        <v>1.02</v>
      </c>
      <c r="G776" s="33">
        <v>1.3</v>
      </c>
      <c r="H776" s="33">
        <v>1.49</v>
      </c>
      <c r="I776" s="33">
        <v>1.47</v>
      </c>
      <c r="J776" s="33">
        <v>1.34</v>
      </c>
      <c r="K776" s="33">
        <v>1.17</v>
      </c>
      <c r="L776" s="33">
        <v>0.98</v>
      </c>
      <c r="M776" s="33">
        <v>0.78</v>
      </c>
      <c r="N776" s="33">
        <v>0.64</v>
      </c>
      <c r="O776" s="33">
        <v>0.59</v>
      </c>
      <c r="P776" s="34">
        <f t="shared" si="27"/>
        <v>1.0175000000000001</v>
      </c>
    </row>
    <row r="777" spans="1:16" x14ac:dyDescent="0.25">
      <c r="A777" s="169">
        <f t="shared" si="28"/>
        <v>40.75</v>
      </c>
      <c r="B777" s="166">
        <v>40</v>
      </c>
      <c r="C777" s="32">
        <v>75</v>
      </c>
      <c r="D777" s="33">
        <v>0.56999999999999995</v>
      </c>
      <c r="E777" s="33">
        <v>0.73</v>
      </c>
      <c r="F777" s="33">
        <v>0.97</v>
      </c>
      <c r="G777" s="33">
        <v>1.25</v>
      </c>
      <c r="H777" s="33">
        <v>1.45</v>
      </c>
      <c r="I777" s="33">
        <v>1.44</v>
      </c>
      <c r="J777" s="33">
        <v>1.3</v>
      </c>
      <c r="K777" s="33">
        <v>1.1299999999999999</v>
      </c>
      <c r="L777" s="33">
        <v>0.92</v>
      </c>
      <c r="M777" s="33">
        <v>0.72</v>
      </c>
      <c r="N777" s="33">
        <v>0.56999999999999995</v>
      </c>
      <c r="O777" s="33">
        <v>0.52</v>
      </c>
      <c r="P777" s="34">
        <f t="shared" si="27"/>
        <v>0.96416666666666673</v>
      </c>
    </row>
    <row r="778" spans="1:16" x14ac:dyDescent="0.25">
      <c r="A778" s="169">
        <f t="shared" si="28"/>
        <v>40.799999999999997</v>
      </c>
      <c r="B778" s="166">
        <v>40</v>
      </c>
      <c r="C778" s="32">
        <v>80</v>
      </c>
      <c r="D778" s="33">
        <v>0.5</v>
      </c>
      <c r="E778" s="33">
        <v>0.66</v>
      </c>
      <c r="F778" s="33">
        <v>0.9</v>
      </c>
      <c r="G778" s="33">
        <v>1.2</v>
      </c>
      <c r="H778" s="33">
        <v>1.41</v>
      </c>
      <c r="I778" s="33">
        <v>1.4</v>
      </c>
      <c r="J778" s="33">
        <v>1.25</v>
      </c>
      <c r="K778" s="33">
        <v>1.08</v>
      </c>
      <c r="L778" s="33">
        <v>0.86</v>
      </c>
      <c r="M778" s="33">
        <v>0.65</v>
      </c>
      <c r="N778" s="33">
        <v>0.5</v>
      </c>
      <c r="O778" s="33">
        <v>0.45</v>
      </c>
      <c r="P778" s="34">
        <f t="shared" si="27"/>
        <v>0.90499999999999992</v>
      </c>
    </row>
    <row r="779" spans="1:16" x14ac:dyDescent="0.25">
      <c r="A779" s="169">
        <f t="shared" si="28"/>
        <v>40.85</v>
      </c>
      <c r="B779" s="166">
        <v>40</v>
      </c>
      <c r="C779" s="32">
        <v>85</v>
      </c>
      <c r="D779" s="33">
        <v>0.42</v>
      </c>
      <c r="E779" s="33">
        <v>0.57999999999999996</v>
      </c>
      <c r="F779" s="33">
        <v>0.84</v>
      </c>
      <c r="G779" s="33">
        <v>1.1399999999999999</v>
      </c>
      <c r="H779" s="33">
        <v>1.35</v>
      </c>
      <c r="I779" s="33">
        <v>1.35</v>
      </c>
      <c r="J779" s="33">
        <v>1.2</v>
      </c>
      <c r="K779" s="33">
        <v>1.02</v>
      </c>
      <c r="L779" s="33">
        <v>0.8</v>
      </c>
      <c r="M779" s="33">
        <v>0.57999999999999996</v>
      </c>
      <c r="N779" s="33">
        <v>0.43</v>
      </c>
      <c r="O779" s="33">
        <v>0.37</v>
      </c>
      <c r="P779" s="34">
        <f t="shared" si="27"/>
        <v>0.84</v>
      </c>
    </row>
    <row r="780" spans="1:16" x14ac:dyDescent="0.25">
      <c r="A780" s="169">
        <f t="shared" si="28"/>
        <v>40.9</v>
      </c>
      <c r="B780" s="166">
        <v>40</v>
      </c>
      <c r="C780" s="32">
        <v>90</v>
      </c>
      <c r="D780" s="33">
        <v>0.34</v>
      </c>
      <c r="E780" s="33">
        <v>0.5</v>
      </c>
      <c r="F780" s="33">
        <v>0.76</v>
      </c>
      <c r="G780" s="33">
        <v>1.07</v>
      </c>
      <c r="H780" s="33">
        <v>1.29</v>
      </c>
      <c r="I780" s="33">
        <v>1.29</v>
      </c>
      <c r="J780" s="33">
        <v>1.1399999999999999</v>
      </c>
      <c r="K780" s="33">
        <v>0.95</v>
      </c>
      <c r="L780" s="33">
        <v>0.73</v>
      </c>
      <c r="M780" s="33">
        <v>0.5</v>
      </c>
      <c r="N780" s="33">
        <v>0.35</v>
      </c>
      <c r="O780" s="33">
        <v>0.28999999999999998</v>
      </c>
      <c r="P780" s="34">
        <f t="shared" si="27"/>
        <v>0.76749999999999996</v>
      </c>
    </row>
    <row r="781" spans="1:16" x14ac:dyDescent="0.25">
      <c r="A781" s="169">
        <f t="shared" si="28"/>
        <v>41</v>
      </c>
      <c r="B781" s="166">
        <v>41</v>
      </c>
      <c r="C781" s="32">
        <v>0</v>
      </c>
      <c r="D781" s="33">
        <v>1</v>
      </c>
      <c r="E781" s="33">
        <v>1</v>
      </c>
      <c r="F781" s="33">
        <v>1</v>
      </c>
      <c r="G781" s="33">
        <v>1</v>
      </c>
      <c r="H781" s="33">
        <v>1</v>
      </c>
      <c r="I781" s="33">
        <v>1</v>
      </c>
      <c r="J781" s="33">
        <v>1</v>
      </c>
      <c r="K781" s="33">
        <v>1</v>
      </c>
      <c r="L781" s="33">
        <v>1</v>
      </c>
      <c r="M781" s="33">
        <v>1</v>
      </c>
      <c r="N781" s="33">
        <v>1</v>
      </c>
      <c r="O781" s="33">
        <v>1</v>
      </c>
      <c r="P781" s="34">
        <f t="shared" si="27"/>
        <v>1</v>
      </c>
    </row>
    <row r="782" spans="1:16" x14ac:dyDescent="0.25">
      <c r="A782" s="169">
        <f t="shared" si="28"/>
        <v>41.05</v>
      </c>
      <c r="B782" s="166">
        <v>41</v>
      </c>
      <c r="C782" s="32">
        <v>5</v>
      </c>
      <c r="D782" s="33">
        <v>1.02</v>
      </c>
      <c r="E782" s="33">
        <v>1.03</v>
      </c>
      <c r="F782" s="33">
        <v>1.05</v>
      </c>
      <c r="G782" s="33">
        <v>1.08</v>
      </c>
      <c r="H782" s="33" t="s">
        <v>421</v>
      </c>
      <c r="I782" s="33">
        <v>1.0900000000000001</v>
      </c>
      <c r="J782" s="33">
        <v>1.07</v>
      </c>
      <c r="K782" s="33">
        <v>1.06</v>
      </c>
      <c r="L782" s="33">
        <v>1.05</v>
      </c>
      <c r="M782" s="33">
        <v>1.03</v>
      </c>
      <c r="N782" s="33">
        <v>1.02</v>
      </c>
      <c r="O782" s="33">
        <v>1.02</v>
      </c>
      <c r="P782" s="34">
        <f t="shared" si="27"/>
        <v>1.0472727272727271</v>
      </c>
    </row>
    <row r="783" spans="1:16" x14ac:dyDescent="0.25">
      <c r="A783" s="169">
        <f t="shared" si="28"/>
        <v>41.1</v>
      </c>
      <c r="B783" s="166">
        <v>41</v>
      </c>
      <c r="C783" s="32">
        <v>10</v>
      </c>
      <c r="D783" s="33">
        <v>1.03</v>
      </c>
      <c r="E783" s="33">
        <v>1.06</v>
      </c>
      <c r="F783" s="33">
        <v>1.1000000000000001</v>
      </c>
      <c r="G783" s="33">
        <v>1.1499999999999999</v>
      </c>
      <c r="H783" s="33">
        <v>1.18</v>
      </c>
      <c r="I783" s="33">
        <v>1.17</v>
      </c>
      <c r="J783" s="33">
        <v>1.1399999999999999</v>
      </c>
      <c r="K783" s="33">
        <v>1.1200000000000001</v>
      </c>
      <c r="L783" s="33">
        <v>1.0900000000000001</v>
      </c>
      <c r="M783" s="33">
        <v>1.06</v>
      </c>
      <c r="N783" s="33">
        <v>1.03</v>
      </c>
      <c r="O783" s="33">
        <v>1.02</v>
      </c>
      <c r="P783" s="34">
        <f t="shared" si="27"/>
        <v>1.0958333333333332</v>
      </c>
    </row>
    <row r="784" spans="1:16" x14ac:dyDescent="0.25">
      <c r="A784" s="169">
        <f t="shared" si="28"/>
        <v>41.15</v>
      </c>
      <c r="B784" s="166">
        <v>41</v>
      </c>
      <c r="C784" s="32">
        <v>15</v>
      </c>
      <c r="D784" s="33">
        <v>1.04</v>
      </c>
      <c r="E784" s="33">
        <v>1.08</v>
      </c>
      <c r="F784" s="33">
        <v>1.1399999999999999</v>
      </c>
      <c r="G784" s="33">
        <v>1.21</v>
      </c>
      <c r="H784" s="33">
        <v>1.26</v>
      </c>
      <c r="I784" s="33">
        <v>1.24</v>
      </c>
      <c r="J784" s="33">
        <v>1.21</v>
      </c>
      <c r="K784" s="33">
        <v>1.17</v>
      </c>
      <c r="L784" s="33">
        <v>1.1200000000000001</v>
      </c>
      <c r="M784" s="33">
        <v>1.07</v>
      </c>
      <c r="N784" s="33">
        <v>1.04</v>
      </c>
      <c r="O784" s="33">
        <v>1.03</v>
      </c>
      <c r="P784" s="34">
        <f t="shared" si="27"/>
        <v>1.1341666666666665</v>
      </c>
    </row>
    <row r="785" spans="1:16" x14ac:dyDescent="0.25">
      <c r="A785" s="169">
        <f t="shared" si="28"/>
        <v>41.2</v>
      </c>
      <c r="B785" s="166">
        <v>41</v>
      </c>
      <c r="C785" s="32">
        <v>20</v>
      </c>
      <c r="D785" s="33">
        <v>1.04</v>
      </c>
      <c r="E785" s="33">
        <v>1.0900000000000001</v>
      </c>
      <c r="F785" s="33">
        <v>1.17</v>
      </c>
      <c r="G785" s="33">
        <v>1.27</v>
      </c>
      <c r="H785" s="33">
        <v>1.33</v>
      </c>
      <c r="I785" s="33">
        <v>1.31</v>
      </c>
      <c r="J785" s="33">
        <v>1.26</v>
      </c>
      <c r="K785" s="33">
        <v>1.21</v>
      </c>
      <c r="L785" s="33">
        <v>1.1499999999999999</v>
      </c>
      <c r="M785" s="33">
        <v>1.08</v>
      </c>
      <c r="N785" s="33">
        <v>1.04</v>
      </c>
      <c r="O785" s="33">
        <v>1.02</v>
      </c>
      <c r="P785" s="34">
        <f t="shared" si="27"/>
        <v>1.1641666666666666</v>
      </c>
    </row>
    <row r="786" spans="1:16" x14ac:dyDescent="0.25">
      <c r="A786" s="169">
        <f t="shared" si="28"/>
        <v>41.25</v>
      </c>
      <c r="B786" s="166">
        <v>41</v>
      </c>
      <c r="C786" s="32">
        <v>25</v>
      </c>
      <c r="D786" s="33">
        <v>1.03</v>
      </c>
      <c r="E786" s="33">
        <v>1.1000000000000001</v>
      </c>
      <c r="F786" s="33">
        <v>1.2</v>
      </c>
      <c r="G786" s="33">
        <v>1.32</v>
      </c>
      <c r="H786" s="33">
        <v>1.39</v>
      </c>
      <c r="I786" s="33">
        <v>1.37</v>
      </c>
      <c r="J786" s="33">
        <v>1.31</v>
      </c>
      <c r="K786" s="33">
        <v>1.24</v>
      </c>
      <c r="L786" s="33">
        <v>1.17</v>
      </c>
      <c r="M786" s="33">
        <v>1.0900000000000001</v>
      </c>
      <c r="N786" s="33">
        <v>1.03</v>
      </c>
      <c r="O786" s="33">
        <v>1.01</v>
      </c>
      <c r="P786" s="34">
        <f t="shared" si="27"/>
        <v>1.1883333333333332</v>
      </c>
    </row>
    <row r="787" spans="1:16" x14ac:dyDescent="0.25">
      <c r="A787" s="169">
        <f t="shared" si="28"/>
        <v>41.3</v>
      </c>
      <c r="B787" s="166">
        <v>41</v>
      </c>
      <c r="C787" s="32">
        <v>30</v>
      </c>
      <c r="D787" s="33">
        <v>1.02</v>
      </c>
      <c r="E787" s="33">
        <v>1.0900000000000001</v>
      </c>
      <c r="F787" s="33">
        <v>1.21</v>
      </c>
      <c r="G787" s="33">
        <v>1.35</v>
      </c>
      <c r="H787" s="33">
        <v>1.44</v>
      </c>
      <c r="I787" s="33">
        <v>1.42</v>
      </c>
      <c r="J787" s="33">
        <v>1.35</v>
      </c>
      <c r="K787" s="33">
        <v>1.27</v>
      </c>
      <c r="L787" s="33">
        <v>1.18</v>
      </c>
      <c r="M787" s="33">
        <v>1.08</v>
      </c>
      <c r="N787" s="33">
        <v>1.01</v>
      </c>
      <c r="O787" s="33">
        <v>0.99</v>
      </c>
      <c r="P787" s="34">
        <f t="shared" si="27"/>
        <v>1.2008333333333332</v>
      </c>
    </row>
    <row r="788" spans="1:16" x14ac:dyDescent="0.25">
      <c r="A788" s="169">
        <f t="shared" si="28"/>
        <v>41.35</v>
      </c>
      <c r="B788" s="166">
        <v>41</v>
      </c>
      <c r="C788" s="32">
        <v>35</v>
      </c>
      <c r="D788" s="33">
        <v>0.99</v>
      </c>
      <c r="E788" s="33">
        <v>1.08</v>
      </c>
      <c r="F788" s="33">
        <v>1.22</v>
      </c>
      <c r="G788" s="33">
        <v>1.38</v>
      </c>
      <c r="H788" s="33">
        <v>1.49</v>
      </c>
      <c r="I788" s="33">
        <v>1.47</v>
      </c>
      <c r="J788" s="33">
        <v>1.38</v>
      </c>
      <c r="K788" s="33">
        <v>1.29</v>
      </c>
      <c r="L788" s="33">
        <v>1.18</v>
      </c>
      <c r="M788" s="33">
        <v>1.07</v>
      </c>
      <c r="N788" s="33">
        <v>0.99</v>
      </c>
      <c r="O788" s="33">
        <v>0.96</v>
      </c>
      <c r="P788" s="34">
        <f t="shared" si="27"/>
        <v>1.2083333333333333</v>
      </c>
    </row>
    <row r="789" spans="1:16" x14ac:dyDescent="0.25">
      <c r="A789" s="169">
        <f t="shared" si="28"/>
        <v>41.4</v>
      </c>
      <c r="B789" s="166">
        <v>41</v>
      </c>
      <c r="C789" s="32">
        <v>40</v>
      </c>
      <c r="D789" s="33">
        <v>0.96</v>
      </c>
      <c r="E789" s="33">
        <v>1.06</v>
      </c>
      <c r="F789" s="33">
        <v>1.22</v>
      </c>
      <c r="G789" s="33">
        <v>1.4</v>
      </c>
      <c r="H789" s="33">
        <v>1.52</v>
      </c>
      <c r="I789" s="33">
        <v>1.5</v>
      </c>
      <c r="J789" s="33">
        <v>1.4</v>
      </c>
      <c r="K789" s="33">
        <v>1.3</v>
      </c>
      <c r="L789" s="33">
        <v>1.18</v>
      </c>
      <c r="M789" s="33">
        <v>1.05</v>
      </c>
      <c r="N789" s="33">
        <v>0.96</v>
      </c>
      <c r="O789" s="33">
        <v>0.93</v>
      </c>
      <c r="P789" s="34">
        <f t="shared" si="27"/>
        <v>1.2066666666666668</v>
      </c>
    </row>
    <row r="790" spans="1:16" x14ac:dyDescent="0.25">
      <c r="A790" s="169">
        <f t="shared" si="28"/>
        <v>41.45</v>
      </c>
      <c r="B790" s="166">
        <v>41</v>
      </c>
      <c r="C790" s="32">
        <v>45</v>
      </c>
      <c r="D790" s="33">
        <v>0.93</v>
      </c>
      <c r="E790" s="33">
        <v>1.04</v>
      </c>
      <c r="F790" s="33">
        <v>1.21</v>
      </c>
      <c r="G790" s="33">
        <v>1.41</v>
      </c>
      <c r="H790" s="33">
        <v>1.55</v>
      </c>
      <c r="I790" s="33">
        <v>1.52</v>
      </c>
      <c r="J790" s="33">
        <v>1.42</v>
      </c>
      <c r="K790" s="33">
        <v>1.3</v>
      </c>
      <c r="L790" s="33">
        <v>1.1599999999999999</v>
      </c>
      <c r="M790" s="33">
        <v>1.03</v>
      </c>
      <c r="N790" s="33">
        <v>0.93</v>
      </c>
      <c r="O790" s="33">
        <v>0.89</v>
      </c>
      <c r="P790" s="34">
        <f t="shared" si="27"/>
        <v>1.1991666666666667</v>
      </c>
    </row>
    <row r="791" spans="1:16" x14ac:dyDescent="0.25">
      <c r="A791" s="169">
        <f t="shared" si="28"/>
        <v>41.5</v>
      </c>
      <c r="B791" s="166">
        <v>41</v>
      </c>
      <c r="C791" s="32">
        <v>50</v>
      </c>
      <c r="D791" s="33">
        <v>0.88</v>
      </c>
      <c r="E791" s="33">
        <v>1.01</v>
      </c>
      <c r="F791" s="33">
        <v>1.19</v>
      </c>
      <c r="G791" s="33">
        <v>1.41</v>
      </c>
      <c r="H791" s="33">
        <v>1.56</v>
      </c>
      <c r="I791" s="33">
        <v>1.54</v>
      </c>
      <c r="J791" s="33">
        <v>1.42</v>
      </c>
      <c r="K791" s="33">
        <v>1.3</v>
      </c>
      <c r="L791" s="33">
        <v>1.1399999999999999</v>
      </c>
      <c r="M791" s="33">
        <v>0.99</v>
      </c>
      <c r="N791" s="33">
        <v>0.88</v>
      </c>
      <c r="O791" s="33">
        <v>0.84</v>
      </c>
      <c r="P791" s="34">
        <f t="shared" si="27"/>
        <v>1.1800000000000004</v>
      </c>
    </row>
    <row r="792" spans="1:16" x14ac:dyDescent="0.25">
      <c r="A792" s="169">
        <f t="shared" si="28"/>
        <v>41.55</v>
      </c>
      <c r="B792" s="166">
        <v>41</v>
      </c>
      <c r="C792" s="32">
        <v>55</v>
      </c>
      <c r="D792" s="33">
        <v>0.84</v>
      </c>
      <c r="E792" s="33">
        <v>0.97</v>
      </c>
      <c r="F792" s="33">
        <v>1.17</v>
      </c>
      <c r="G792" s="33">
        <v>1.41</v>
      </c>
      <c r="H792" s="33">
        <v>1.57</v>
      </c>
      <c r="I792" s="33">
        <v>1.54</v>
      </c>
      <c r="J792" s="33">
        <v>1.42</v>
      </c>
      <c r="K792" s="33">
        <v>1.28</v>
      </c>
      <c r="L792" s="33">
        <v>1.1200000000000001</v>
      </c>
      <c r="M792" s="33">
        <v>0.95</v>
      </c>
      <c r="N792" s="33">
        <v>0.83</v>
      </c>
      <c r="O792" s="33">
        <v>0.79</v>
      </c>
      <c r="P792" s="34">
        <f t="shared" si="27"/>
        <v>1.1575</v>
      </c>
    </row>
    <row r="793" spans="1:16" x14ac:dyDescent="0.25">
      <c r="A793" s="169">
        <f t="shared" si="28"/>
        <v>41.6</v>
      </c>
      <c r="B793" s="166">
        <v>41</v>
      </c>
      <c r="C793" s="32">
        <v>60</v>
      </c>
      <c r="D793" s="33">
        <v>0.78</v>
      </c>
      <c r="E793" s="33">
        <v>0.92</v>
      </c>
      <c r="F793" s="33">
        <v>1.1399999999999999</v>
      </c>
      <c r="G793" s="33">
        <v>1.39</v>
      </c>
      <c r="H793" s="33">
        <v>1.56</v>
      </c>
      <c r="I793" s="33">
        <v>1.54</v>
      </c>
      <c r="J793" s="33">
        <v>1.41</v>
      </c>
      <c r="K793" s="33">
        <v>1.26</v>
      </c>
      <c r="L793" s="33">
        <v>1.08</v>
      </c>
      <c r="M793" s="33">
        <v>0.91</v>
      </c>
      <c r="N793" s="33">
        <v>0.78</v>
      </c>
      <c r="O793" s="33">
        <v>0.73</v>
      </c>
      <c r="P793" s="34">
        <f t="shared" si="27"/>
        <v>1.1249999999999998</v>
      </c>
    </row>
    <row r="794" spans="1:16" x14ac:dyDescent="0.25">
      <c r="A794" s="169">
        <f t="shared" si="28"/>
        <v>41.65</v>
      </c>
      <c r="B794" s="166">
        <v>41</v>
      </c>
      <c r="C794" s="32">
        <v>65</v>
      </c>
      <c r="D794" s="33">
        <v>0.72</v>
      </c>
      <c r="E794" s="33">
        <v>0.87</v>
      </c>
      <c r="F794" s="33">
        <v>1.0900000000000001</v>
      </c>
      <c r="G794" s="33">
        <v>1.36</v>
      </c>
      <c r="H794" s="33">
        <v>1.54</v>
      </c>
      <c r="I794" s="33">
        <v>1.53</v>
      </c>
      <c r="J794" s="33">
        <v>1.39</v>
      </c>
      <c r="K794" s="33">
        <v>1.23</v>
      </c>
      <c r="L794" s="33">
        <v>1.04</v>
      </c>
      <c r="M794" s="33">
        <v>0.85</v>
      </c>
      <c r="N794" s="33">
        <v>0.72</v>
      </c>
      <c r="O794" s="33">
        <v>0.67</v>
      </c>
      <c r="P794" s="34">
        <f t="shared" si="27"/>
        <v>1.0841666666666667</v>
      </c>
    </row>
    <row r="795" spans="1:16" x14ac:dyDescent="0.25">
      <c r="A795" s="169">
        <f t="shared" si="28"/>
        <v>41.7</v>
      </c>
      <c r="B795" s="166">
        <v>41</v>
      </c>
      <c r="C795" s="32">
        <v>70</v>
      </c>
      <c r="D795" s="33">
        <v>0.66</v>
      </c>
      <c r="E795" s="33">
        <v>0.81</v>
      </c>
      <c r="F795" s="33">
        <v>1.04</v>
      </c>
      <c r="G795" s="33">
        <v>1.32</v>
      </c>
      <c r="H795" s="33">
        <v>1.52</v>
      </c>
      <c r="I795" s="33">
        <v>1.5</v>
      </c>
      <c r="J795" s="33">
        <v>1.36</v>
      </c>
      <c r="K795" s="33">
        <v>1.19</v>
      </c>
      <c r="L795" s="33">
        <v>0.99</v>
      </c>
      <c r="M795" s="33">
        <v>0.8</v>
      </c>
      <c r="N795" s="33">
        <v>0.66</v>
      </c>
      <c r="O795" s="33">
        <v>0.61</v>
      </c>
      <c r="P795" s="34">
        <f t="shared" si="27"/>
        <v>1.0383333333333333</v>
      </c>
    </row>
    <row r="796" spans="1:16" x14ac:dyDescent="0.25">
      <c r="A796" s="169">
        <f t="shared" si="28"/>
        <v>41.75</v>
      </c>
      <c r="B796" s="166">
        <v>41</v>
      </c>
      <c r="C796" s="32">
        <v>75</v>
      </c>
      <c r="D796" s="33">
        <v>0.59</v>
      </c>
      <c r="E796" s="33">
        <v>0.74</v>
      </c>
      <c r="F796" s="33">
        <v>0.99</v>
      </c>
      <c r="G796" s="33">
        <v>1.28</v>
      </c>
      <c r="H796" s="33">
        <v>1.48</v>
      </c>
      <c r="I796" s="33">
        <v>1.47</v>
      </c>
      <c r="J796" s="33">
        <v>1.32</v>
      </c>
      <c r="K796" s="33">
        <v>1.1499999999999999</v>
      </c>
      <c r="L796" s="33">
        <v>0.94</v>
      </c>
      <c r="M796" s="33">
        <v>0.73</v>
      </c>
      <c r="N796" s="33">
        <v>0.59</v>
      </c>
      <c r="O796" s="33">
        <v>0.54</v>
      </c>
      <c r="P796" s="34">
        <f t="shared" si="27"/>
        <v>0.98499999999999999</v>
      </c>
    </row>
    <row r="797" spans="1:16" x14ac:dyDescent="0.25">
      <c r="A797" s="169">
        <f t="shared" si="28"/>
        <v>41.8</v>
      </c>
      <c r="B797" s="166">
        <v>41</v>
      </c>
      <c r="C797" s="32">
        <v>80</v>
      </c>
      <c r="D797" s="33">
        <v>0.52</v>
      </c>
      <c r="E797" s="33">
        <v>0.67</v>
      </c>
      <c r="F797" s="33">
        <v>0.93</v>
      </c>
      <c r="G797" s="33">
        <v>1.23</v>
      </c>
      <c r="H797" s="33">
        <v>1.44</v>
      </c>
      <c r="I797" s="33">
        <v>1.43</v>
      </c>
      <c r="J797" s="33">
        <v>1.28</v>
      </c>
      <c r="K797" s="33">
        <v>1.1000000000000001</v>
      </c>
      <c r="L797" s="33">
        <v>0.88</v>
      </c>
      <c r="M797" s="33">
        <v>0.67</v>
      </c>
      <c r="N797" s="33">
        <v>0.52</v>
      </c>
      <c r="O797" s="33">
        <v>0.46</v>
      </c>
      <c r="P797" s="34">
        <f t="shared" si="27"/>
        <v>0.9275000000000001</v>
      </c>
    </row>
    <row r="798" spans="1:16" x14ac:dyDescent="0.25">
      <c r="A798" s="169">
        <f t="shared" si="28"/>
        <v>41.85</v>
      </c>
      <c r="B798" s="166">
        <v>41</v>
      </c>
      <c r="C798" s="32">
        <v>85</v>
      </c>
      <c r="D798" s="33">
        <v>0.44</v>
      </c>
      <c r="E798" s="33">
        <v>0.6</v>
      </c>
      <c r="F798" s="33">
        <v>0.86</v>
      </c>
      <c r="G798" s="33">
        <v>1.1599999999999999</v>
      </c>
      <c r="H798" s="33">
        <v>1.38</v>
      </c>
      <c r="I798" s="33">
        <v>1.38</v>
      </c>
      <c r="J798" s="33">
        <v>1.23</v>
      </c>
      <c r="K798" s="33">
        <v>1.04</v>
      </c>
      <c r="L798" s="33">
        <v>0.82</v>
      </c>
      <c r="M798" s="33">
        <v>0.6</v>
      </c>
      <c r="N798" s="33">
        <v>0.44</v>
      </c>
      <c r="O798" s="33">
        <v>0.39</v>
      </c>
      <c r="P798" s="34">
        <f t="shared" si="27"/>
        <v>0.86166666666666669</v>
      </c>
    </row>
    <row r="799" spans="1:16" x14ac:dyDescent="0.25">
      <c r="A799" s="169">
        <f t="shared" si="28"/>
        <v>41.9</v>
      </c>
      <c r="B799" s="166">
        <v>41</v>
      </c>
      <c r="C799" s="32">
        <v>90</v>
      </c>
      <c r="D799" s="33">
        <v>0.36</v>
      </c>
      <c r="E799" s="33">
        <v>0.52</v>
      </c>
      <c r="F799" s="33">
        <v>0.78</v>
      </c>
      <c r="G799" s="33">
        <v>1.0900000000000001</v>
      </c>
      <c r="H799" s="33">
        <v>1.32</v>
      </c>
      <c r="I799" s="33">
        <v>1.32</v>
      </c>
      <c r="J799" s="33">
        <v>1.17</v>
      </c>
      <c r="K799" s="33">
        <v>0.98</v>
      </c>
      <c r="L799" s="33">
        <v>0.74</v>
      </c>
      <c r="M799" s="33">
        <v>0.52</v>
      </c>
      <c r="N799" s="33">
        <v>0.36</v>
      </c>
      <c r="O799" s="33">
        <v>0.31</v>
      </c>
      <c r="P799" s="34">
        <f t="shared" si="27"/>
        <v>0.78916666666666668</v>
      </c>
    </row>
    <row r="800" spans="1:16" x14ac:dyDescent="0.25">
      <c r="A800" s="169">
        <f t="shared" si="28"/>
        <v>42</v>
      </c>
      <c r="B800" s="166">
        <v>42</v>
      </c>
      <c r="C800" s="32">
        <v>0</v>
      </c>
      <c r="D800" s="33">
        <v>1</v>
      </c>
      <c r="E800" s="33">
        <v>1</v>
      </c>
      <c r="F800" s="33">
        <v>1</v>
      </c>
      <c r="G800" s="33">
        <v>1</v>
      </c>
      <c r="H800" s="33">
        <v>1</v>
      </c>
      <c r="I800" s="33">
        <v>1</v>
      </c>
      <c r="J800" s="33">
        <v>1</v>
      </c>
      <c r="K800" s="33">
        <v>1</v>
      </c>
      <c r="L800" s="33">
        <v>1</v>
      </c>
      <c r="M800" s="33">
        <v>1</v>
      </c>
      <c r="N800" s="33">
        <v>1</v>
      </c>
      <c r="O800" s="33">
        <v>1</v>
      </c>
      <c r="P800" s="34">
        <f t="shared" si="27"/>
        <v>1</v>
      </c>
    </row>
    <row r="801" spans="1:16" x14ac:dyDescent="0.25">
      <c r="A801" s="169">
        <f t="shared" si="28"/>
        <v>42.05</v>
      </c>
      <c r="B801" s="166">
        <v>42</v>
      </c>
      <c r="C801" s="32">
        <v>5</v>
      </c>
      <c r="D801" s="33">
        <v>1.02</v>
      </c>
      <c r="E801" s="33">
        <v>1.04</v>
      </c>
      <c r="F801" s="33">
        <v>1.06</v>
      </c>
      <c r="G801" s="33">
        <v>1.08</v>
      </c>
      <c r="H801" s="33">
        <v>1.0900000000000001</v>
      </c>
      <c r="I801" s="33">
        <v>1.0900000000000001</v>
      </c>
      <c r="J801" s="33">
        <v>1.08</v>
      </c>
      <c r="K801" s="33">
        <v>1.06</v>
      </c>
      <c r="L801" s="33">
        <v>1.05</v>
      </c>
      <c r="M801" s="33">
        <v>1.03</v>
      </c>
      <c r="N801" s="33">
        <v>1.02</v>
      </c>
      <c r="O801" s="33">
        <v>1.02</v>
      </c>
      <c r="P801" s="34">
        <f t="shared" si="27"/>
        <v>1.0533333333333332</v>
      </c>
    </row>
    <row r="802" spans="1:16" x14ac:dyDescent="0.25">
      <c r="A802" s="169">
        <f t="shared" si="28"/>
        <v>42.1</v>
      </c>
      <c r="B802" s="166">
        <v>42</v>
      </c>
      <c r="C802" s="32">
        <v>10</v>
      </c>
      <c r="D802" s="33">
        <v>1.04</v>
      </c>
      <c r="E802" s="33">
        <v>1.06</v>
      </c>
      <c r="F802" s="33">
        <v>1.1100000000000001</v>
      </c>
      <c r="G802" s="33">
        <v>1.1499999999999999</v>
      </c>
      <c r="H802" s="33">
        <v>1.18</v>
      </c>
      <c r="I802" s="33">
        <v>1.17</v>
      </c>
      <c r="J802" s="33">
        <v>1.1499999999999999</v>
      </c>
      <c r="K802" s="33">
        <v>1.1200000000000001</v>
      </c>
      <c r="L802" s="33">
        <v>1.0900000000000001</v>
      </c>
      <c r="M802" s="33">
        <v>1.06</v>
      </c>
      <c r="N802" s="33">
        <v>1.04</v>
      </c>
      <c r="O802" s="33">
        <v>1.03</v>
      </c>
      <c r="P802" s="34">
        <f t="shared" si="27"/>
        <v>1.1000000000000001</v>
      </c>
    </row>
    <row r="803" spans="1:16" x14ac:dyDescent="0.25">
      <c r="A803" s="169">
        <f t="shared" si="28"/>
        <v>42.15</v>
      </c>
      <c r="B803" s="166">
        <v>42</v>
      </c>
      <c r="C803" s="32">
        <v>15</v>
      </c>
      <c r="D803" s="33">
        <v>1.04</v>
      </c>
      <c r="E803" s="33">
        <v>1.0900000000000001</v>
      </c>
      <c r="F803" s="33">
        <v>1.1499999999999999</v>
      </c>
      <c r="G803" s="33">
        <v>1.22</v>
      </c>
      <c r="H803" s="33">
        <v>1.26</v>
      </c>
      <c r="I803" s="33">
        <v>1.25</v>
      </c>
      <c r="J803" s="33">
        <v>1.21</v>
      </c>
      <c r="K803" s="33">
        <v>1.17</v>
      </c>
      <c r="L803" s="33">
        <v>1.1299999999999999</v>
      </c>
      <c r="M803" s="33">
        <v>1.08</v>
      </c>
      <c r="N803" s="33">
        <v>1.04</v>
      </c>
      <c r="O803" s="33">
        <v>1.03</v>
      </c>
      <c r="P803" s="34">
        <f t="shared" si="27"/>
        <v>1.1391666666666667</v>
      </c>
    </row>
    <row r="804" spans="1:16" x14ac:dyDescent="0.25">
      <c r="A804" s="169">
        <f t="shared" si="28"/>
        <v>42.2</v>
      </c>
      <c r="B804" s="166">
        <v>42</v>
      </c>
      <c r="C804" s="32">
        <v>20</v>
      </c>
      <c r="D804" s="33">
        <v>1.05</v>
      </c>
      <c r="E804" s="33">
        <v>1.1000000000000001</v>
      </c>
      <c r="F804" s="33">
        <v>1.18</v>
      </c>
      <c r="G804" s="33">
        <v>1.28</v>
      </c>
      <c r="H804" s="33">
        <v>1.34</v>
      </c>
      <c r="I804" s="33">
        <v>1.32</v>
      </c>
      <c r="J804" s="33">
        <v>1.27</v>
      </c>
      <c r="K804" s="33">
        <v>1.21</v>
      </c>
      <c r="L804" s="33">
        <v>1.1499999999999999</v>
      </c>
      <c r="M804" s="33">
        <v>1.0900000000000001</v>
      </c>
      <c r="N804" s="33">
        <v>1.04</v>
      </c>
      <c r="O804" s="33">
        <v>1.03</v>
      </c>
      <c r="P804" s="34">
        <f t="shared" si="27"/>
        <v>1.1716666666666666</v>
      </c>
    </row>
    <row r="805" spans="1:16" x14ac:dyDescent="0.25">
      <c r="A805" s="169">
        <f t="shared" si="28"/>
        <v>42.25</v>
      </c>
      <c r="B805" s="166">
        <v>42</v>
      </c>
      <c r="C805" s="32">
        <v>25</v>
      </c>
      <c r="D805" s="33">
        <v>1.04</v>
      </c>
      <c r="E805" s="33">
        <v>1.1000000000000001</v>
      </c>
      <c r="F805" s="33">
        <v>1.21</v>
      </c>
      <c r="G805" s="33">
        <v>1.33</v>
      </c>
      <c r="H805" s="33">
        <v>1.4</v>
      </c>
      <c r="I805" s="33">
        <v>1.38</v>
      </c>
      <c r="J805" s="33">
        <v>1.32</v>
      </c>
      <c r="K805" s="33">
        <v>1.25</v>
      </c>
      <c r="L805" s="33">
        <v>1.17</v>
      </c>
      <c r="M805" s="33">
        <v>1.0900000000000001</v>
      </c>
      <c r="N805" s="33">
        <v>1.04</v>
      </c>
      <c r="O805" s="33">
        <v>1.01</v>
      </c>
      <c r="P805" s="34">
        <f t="shared" si="27"/>
        <v>1.1949999999999998</v>
      </c>
    </row>
    <row r="806" spans="1:16" x14ac:dyDescent="0.25">
      <c r="A806" s="169">
        <f t="shared" si="28"/>
        <v>42.3</v>
      </c>
      <c r="B806" s="166">
        <v>42</v>
      </c>
      <c r="C806" s="32">
        <v>30</v>
      </c>
      <c r="D806" s="33">
        <v>1.02</v>
      </c>
      <c r="E806" s="33">
        <v>1.1000000000000001</v>
      </c>
      <c r="F806" s="33">
        <v>1.23</v>
      </c>
      <c r="G806" s="33">
        <v>1.37</v>
      </c>
      <c r="H806" s="33">
        <v>1.46</v>
      </c>
      <c r="I806" s="33">
        <v>1.44</v>
      </c>
      <c r="J806" s="33">
        <v>1.36</v>
      </c>
      <c r="K806" s="33">
        <v>1.28</v>
      </c>
      <c r="L806" s="33">
        <v>1.19</v>
      </c>
      <c r="M806" s="33">
        <v>1.0900000000000001</v>
      </c>
      <c r="N806" s="33">
        <v>1.02</v>
      </c>
      <c r="O806" s="33">
        <v>1</v>
      </c>
      <c r="P806" s="34">
        <f t="shared" si="27"/>
        <v>1.2133333333333332</v>
      </c>
    </row>
    <row r="807" spans="1:16" x14ac:dyDescent="0.25">
      <c r="A807" s="169">
        <f t="shared" si="28"/>
        <v>42.35</v>
      </c>
      <c r="B807" s="166">
        <v>42</v>
      </c>
      <c r="C807" s="32">
        <v>35</v>
      </c>
      <c r="D807" s="33">
        <v>1</v>
      </c>
      <c r="E807" s="33">
        <v>1.0900000000000001</v>
      </c>
      <c r="F807" s="33">
        <v>1.23</v>
      </c>
      <c r="G807" s="33">
        <v>1.4</v>
      </c>
      <c r="H807" s="33">
        <v>1.51</v>
      </c>
      <c r="I807" s="33">
        <v>1.48</v>
      </c>
      <c r="J807" s="33">
        <v>1.39</v>
      </c>
      <c r="K807" s="33">
        <v>1.3</v>
      </c>
      <c r="L807" s="33">
        <v>1.19</v>
      </c>
      <c r="M807" s="33">
        <v>1.08</v>
      </c>
      <c r="N807" s="33">
        <v>1</v>
      </c>
      <c r="O807" s="33">
        <v>0.97</v>
      </c>
      <c r="P807" s="34">
        <f t="shared" si="27"/>
        <v>1.22</v>
      </c>
    </row>
    <row r="808" spans="1:16" x14ac:dyDescent="0.25">
      <c r="A808" s="169">
        <f t="shared" si="28"/>
        <v>42.4</v>
      </c>
      <c r="B808" s="166">
        <v>42</v>
      </c>
      <c r="C808" s="32">
        <v>40</v>
      </c>
      <c r="D808" s="33">
        <v>0.97</v>
      </c>
      <c r="E808" s="33">
        <v>1.08</v>
      </c>
      <c r="F808" s="33">
        <v>1.24</v>
      </c>
      <c r="G808" s="33">
        <v>1.42</v>
      </c>
      <c r="H808" s="33">
        <v>1.54</v>
      </c>
      <c r="I808" s="33">
        <v>1.52</v>
      </c>
      <c r="J808" s="33">
        <v>1.42</v>
      </c>
      <c r="K808" s="33">
        <v>1.31</v>
      </c>
      <c r="L808" s="33">
        <v>1.19</v>
      </c>
      <c r="M808" s="33">
        <v>1.06</v>
      </c>
      <c r="N808" s="33">
        <v>0.97</v>
      </c>
      <c r="O808" s="33">
        <v>0.94</v>
      </c>
      <c r="P808" s="34">
        <f t="shared" si="27"/>
        <v>1.2216666666666667</v>
      </c>
    </row>
    <row r="809" spans="1:16" x14ac:dyDescent="0.25">
      <c r="A809" s="169">
        <f t="shared" si="28"/>
        <v>42.45</v>
      </c>
      <c r="B809" s="166">
        <v>42</v>
      </c>
      <c r="C809" s="32">
        <v>45</v>
      </c>
      <c r="D809" s="33">
        <v>0.94</v>
      </c>
      <c r="E809" s="33">
        <v>1.05</v>
      </c>
      <c r="F809" s="33">
        <v>1.23</v>
      </c>
      <c r="G809" s="33">
        <v>1.43</v>
      </c>
      <c r="H809" s="33">
        <v>1.57</v>
      </c>
      <c r="I809" s="33">
        <v>1.54</v>
      </c>
      <c r="J809" s="33">
        <v>1.43</v>
      </c>
      <c r="K809" s="33">
        <v>1.32</v>
      </c>
      <c r="L809" s="33">
        <v>1.18</v>
      </c>
      <c r="M809" s="33">
        <v>1.04</v>
      </c>
      <c r="N809" s="33">
        <v>0.94</v>
      </c>
      <c r="O809" s="33">
        <v>0.9</v>
      </c>
      <c r="P809" s="34">
        <f t="shared" si="27"/>
        <v>1.2141666666666666</v>
      </c>
    </row>
    <row r="810" spans="1:16" x14ac:dyDescent="0.25">
      <c r="A810" s="169">
        <f t="shared" si="28"/>
        <v>42.5</v>
      </c>
      <c r="B810" s="166">
        <v>42</v>
      </c>
      <c r="C810" s="32">
        <v>50</v>
      </c>
      <c r="D810" s="33">
        <v>0.9</v>
      </c>
      <c r="E810" s="33">
        <v>1.02</v>
      </c>
      <c r="F810" s="33">
        <v>1.21</v>
      </c>
      <c r="G810" s="33">
        <v>1.44</v>
      </c>
      <c r="H810" s="33">
        <v>1.59</v>
      </c>
      <c r="I810" s="33">
        <v>1.56</v>
      </c>
      <c r="J810" s="33">
        <v>1.44</v>
      </c>
      <c r="K810" s="33">
        <v>1.31</v>
      </c>
      <c r="L810" s="33">
        <v>1.1599999999999999</v>
      </c>
      <c r="M810" s="33">
        <v>1</v>
      </c>
      <c r="N810" s="33">
        <v>0.89</v>
      </c>
      <c r="O810" s="33">
        <v>0.86</v>
      </c>
      <c r="P810" s="34">
        <f t="shared" si="27"/>
        <v>1.1983333333333335</v>
      </c>
    </row>
    <row r="811" spans="1:16" x14ac:dyDescent="0.25">
      <c r="A811" s="169">
        <f t="shared" si="28"/>
        <v>42.55</v>
      </c>
      <c r="B811" s="166">
        <v>42</v>
      </c>
      <c r="C811" s="32">
        <v>55</v>
      </c>
      <c r="D811" s="33">
        <v>0.85</v>
      </c>
      <c r="E811" s="33">
        <v>0.98</v>
      </c>
      <c r="F811" s="33">
        <v>1.19</v>
      </c>
      <c r="G811" s="33">
        <v>1.43</v>
      </c>
      <c r="H811" s="33">
        <v>1.59</v>
      </c>
      <c r="I811" s="33">
        <v>1.57</v>
      </c>
      <c r="J811" s="33">
        <v>1.44</v>
      </c>
      <c r="K811" s="33">
        <v>1.3</v>
      </c>
      <c r="L811" s="33">
        <v>1.1299999999999999</v>
      </c>
      <c r="M811" s="33">
        <v>0.97</v>
      </c>
      <c r="N811" s="33">
        <v>0.85</v>
      </c>
      <c r="O811" s="33">
        <v>0.8</v>
      </c>
      <c r="P811" s="34">
        <f t="shared" si="27"/>
        <v>1.175</v>
      </c>
    </row>
    <row r="812" spans="1:16" x14ac:dyDescent="0.25">
      <c r="A812" s="169">
        <f t="shared" si="28"/>
        <v>42.6</v>
      </c>
      <c r="B812" s="166">
        <v>42</v>
      </c>
      <c r="C812" s="32">
        <v>60</v>
      </c>
      <c r="D812" s="33">
        <v>0.8</v>
      </c>
      <c r="E812" s="33">
        <v>0.93</v>
      </c>
      <c r="F812" s="33">
        <v>1.1499999999999999</v>
      </c>
      <c r="G812" s="33">
        <v>1.41</v>
      </c>
      <c r="H812" s="33">
        <v>1.59</v>
      </c>
      <c r="I812" s="33">
        <v>1.57</v>
      </c>
      <c r="J812" s="33">
        <v>1.43</v>
      </c>
      <c r="K812" s="33">
        <v>1.28</v>
      </c>
      <c r="L812" s="33">
        <v>1.1000000000000001</v>
      </c>
      <c r="M812" s="33">
        <v>0.92</v>
      </c>
      <c r="N812" s="33">
        <v>0.79</v>
      </c>
      <c r="O812" s="33">
        <v>0.75</v>
      </c>
      <c r="P812" s="34">
        <f t="shared" si="27"/>
        <v>1.1433333333333333</v>
      </c>
    </row>
    <row r="813" spans="1:16" x14ac:dyDescent="0.25">
      <c r="A813" s="169">
        <f t="shared" si="28"/>
        <v>42.65</v>
      </c>
      <c r="B813" s="166">
        <v>42</v>
      </c>
      <c r="C813" s="32">
        <v>65</v>
      </c>
      <c r="D813" s="33">
        <v>0.74</v>
      </c>
      <c r="E813" s="33">
        <v>0.88</v>
      </c>
      <c r="F813" s="33">
        <v>1.1100000000000001</v>
      </c>
      <c r="G813" s="33">
        <v>1.39</v>
      </c>
      <c r="H813" s="33">
        <v>1.57</v>
      </c>
      <c r="I813" s="33">
        <v>1.55</v>
      </c>
      <c r="J813" s="33">
        <v>1.41</v>
      </c>
      <c r="K813" s="33">
        <v>1.25</v>
      </c>
      <c r="L813" s="33">
        <v>1.06</v>
      </c>
      <c r="M813" s="33">
        <v>0.87</v>
      </c>
      <c r="N813" s="33">
        <v>0.74</v>
      </c>
      <c r="O813" s="33">
        <v>0.69</v>
      </c>
      <c r="P813" s="34">
        <f t="shared" si="27"/>
        <v>1.105</v>
      </c>
    </row>
    <row r="814" spans="1:16" x14ac:dyDescent="0.25">
      <c r="A814" s="169">
        <f t="shared" si="28"/>
        <v>42.7</v>
      </c>
      <c r="B814" s="166">
        <v>42</v>
      </c>
      <c r="C814" s="32">
        <v>70</v>
      </c>
      <c r="D814" s="33">
        <v>0.67</v>
      </c>
      <c r="E814" s="33">
        <v>0.82</v>
      </c>
      <c r="F814" s="33">
        <v>1.07</v>
      </c>
      <c r="G814" s="33">
        <v>1.35</v>
      </c>
      <c r="H814" s="33">
        <v>1.55</v>
      </c>
      <c r="I814" s="33">
        <v>1.53</v>
      </c>
      <c r="J814" s="33">
        <v>1.38</v>
      </c>
      <c r="K814" s="33">
        <v>1.21</v>
      </c>
      <c r="L814" s="33">
        <v>1.01</v>
      </c>
      <c r="M814" s="33">
        <v>0.81</v>
      </c>
      <c r="N814" s="33">
        <v>0.67</v>
      </c>
      <c r="O814" s="33">
        <v>0.62</v>
      </c>
      <c r="P814" s="34">
        <f t="shared" si="27"/>
        <v>1.0575000000000001</v>
      </c>
    </row>
    <row r="815" spans="1:16" x14ac:dyDescent="0.25">
      <c r="A815" s="169">
        <f t="shared" si="28"/>
        <v>42.75</v>
      </c>
      <c r="B815" s="166">
        <v>42</v>
      </c>
      <c r="C815" s="32">
        <v>75</v>
      </c>
      <c r="D815" s="33">
        <v>0.6</v>
      </c>
      <c r="E815" s="33">
        <v>0.76</v>
      </c>
      <c r="F815" s="33">
        <v>1.01</v>
      </c>
      <c r="G815" s="33">
        <v>1.31</v>
      </c>
      <c r="H815" s="33">
        <v>1.52</v>
      </c>
      <c r="I815" s="33">
        <v>1.5</v>
      </c>
      <c r="J815" s="33">
        <v>1.35</v>
      </c>
      <c r="K815" s="33">
        <v>1.17</v>
      </c>
      <c r="L815" s="33">
        <v>0.96</v>
      </c>
      <c r="M815" s="33">
        <v>0.75</v>
      </c>
      <c r="N815" s="33">
        <v>0.6</v>
      </c>
      <c r="O815" s="33">
        <v>0.55000000000000004</v>
      </c>
      <c r="P815" s="34">
        <f t="shared" si="27"/>
        <v>1.0066666666666666</v>
      </c>
    </row>
    <row r="816" spans="1:16" x14ac:dyDescent="0.25">
      <c r="A816" s="169">
        <f t="shared" si="28"/>
        <v>42.8</v>
      </c>
      <c r="B816" s="166">
        <v>42</v>
      </c>
      <c r="C816" s="32">
        <v>80</v>
      </c>
      <c r="D816" s="33">
        <v>0.53</v>
      </c>
      <c r="E816" s="33">
        <v>0.69</v>
      </c>
      <c r="F816" s="33">
        <v>0.95</v>
      </c>
      <c r="G816" s="33">
        <v>1.25</v>
      </c>
      <c r="H816" s="33">
        <v>1.47</v>
      </c>
      <c r="I816" s="33">
        <v>1.46</v>
      </c>
      <c r="J816" s="33">
        <v>1.3</v>
      </c>
      <c r="K816" s="33">
        <v>1.1200000000000001</v>
      </c>
      <c r="L816" s="33">
        <v>0.9</v>
      </c>
      <c r="M816" s="33">
        <v>0.68</v>
      </c>
      <c r="N816" s="33">
        <v>0.53</v>
      </c>
      <c r="O816" s="33">
        <v>0.48</v>
      </c>
      <c r="P816" s="34">
        <f t="shared" si="27"/>
        <v>0.94666666666666666</v>
      </c>
    </row>
    <row r="817" spans="1:16" x14ac:dyDescent="0.25">
      <c r="A817" s="169">
        <f t="shared" si="28"/>
        <v>42.85</v>
      </c>
      <c r="B817" s="166">
        <v>42</v>
      </c>
      <c r="C817" s="32">
        <v>85</v>
      </c>
      <c r="D817" s="33">
        <v>0.46</v>
      </c>
      <c r="E817" s="33">
        <v>0.62</v>
      </c>
      <c r="F817" s="33">
        <v>0.88</v>
      </c>
      <c r="G817" s="33">
        <v>1.19</v>
      </c>
      <c r="H817" s="33">
        <v>1.42</v>
      </c>
      <c r="I817" s="33">
        <v>1.41</v>
      </c>
      <c r="J817" s="33">
        <v>1.25</v>
      </c>
      <c r="K817" s="33">
        <v>1.06</v>
      </c>
      <c r="L817" s="33">
        <v>0.83</v>
      </c>
      <c r="M817" s="33">
        <v>0.61</v>
      </c>
      <c r="N817" s="33">
        <v>0.46</v>
      </c>
      <c r="O817" s="33">
        <v>0.4</v>
      </c>
      <c r="P817" s="34">
        <f t="shared" si="27"/>
        <v>0.88250000000000017</v>
      </c>
    </row>
    <row r="818" spans="1:16" x14ac:dyDescent="0.25">
      <c r="A818" s="169">
        <f t="shared" si="28"/>
        <v>42.9</v>
      </c>
      <c r="B818" s="166">
        <v>42</v>
      </c>
      <c r="C818" s="32">
        <v>90</v>
      </c>
      <c r="D818" s="33">
        <v>0.38</v>
      </c>
      <c r="E818" s="33">
        <v>0.54</v>
      </c>
      <c r="F818" s="33">
        <v>0.81</v>
      </c>
      <c r="G818" s="33">
        <v>1.1200000000000001</v>
      </c>
      <c r="H818" s="33">
        <v>1.36</v>
      </c>
      <c r="I818" s="33">
        <v>1.35</v>
      </c>
      <c r="J818" s="33">
        <v>1.19</v>
      </c>
      <c r="K818" s="33">
        <v>1</v>
      </c>
      <c r="L818" s="33">
        <v>0.76</v>
      </c>
      <c r="M818" s="33">
        <v>0.54</v>
      </c>
      <c r="N818" s="33">
        <v>0.38</v>
      </c>
      <c r="O818" s="33">
        <v>0.32</v>
      </c>
      <c r="P818" s="34">
        <f t="shared" si="27"/>
        <v>0.81250000000000011</v>
      </c>
    </row>
    <row r="819" spans="1:16" x14ac:dyDescent="0.25">
      <c r="A819" s="169">
        <f t="shared" si="28"/>
        <v>43</v>
      </c>
      <c r="B819" s="166">
        <v>43</v>
      </c>
      <c r="C819" s="32">
        <v>0</v>
      </c>
      <c r="D819" s="33">
        <v>1</v>
      </c>
      <c r="E819" s="33">
        <v>1</v>
      </c>
      <c r="F819" s="33">
        <v>1</v>
      </c>
      <c r="G819" s="33">
        <v>1</v>
      </c>
      <c r="H819" s="33">
        <v>1</v>
      </c>
      <c r="I819" s="33">
        <v>1</v>
      </c>
      <c r="J819" s="33">
        <v>1</v>
      </c>
      <c r="K819" s="33">
        <v>1</v>
      </c>
      <c r="L819" s="33">
        <v>1</v>
      </c>
      <c r="M819" s="33">
        <v>1</v>
      </c>
      <c r="N819" s="33">
        <v>1</v>
      </c>
      <c r="O819" s="33">
        <v>1</v>
      </c>
      <c r="P819" s="34">
        <f t="shared" si="27"/>
        <v>1</v>
      </c>
    </row>
    <row r="820" spans="1:16" x14ac:dyDescent="0.25">
      <c r="A820" s="169">
        <f t="shared" si="28"/>
        <v>43.05</v>
      </c>
      <c r="B820" s="166">
        <v>43</v>
      </c>
      <c r="C820" s="32">
        <v>5</v>
      </c>
      <c r="D820" s="33">
        <v>1.02</v>
      </c>
      <c r="E820" s="33">
        <v>1.04</v>
      </c>
      <c r="F820" s="33">
        <v>1.06</v>
      </c>
      <c r="G820" s="33">
        <v>1.08</v>
      </c>
      <c r="H820" s="33">
        <v>1.1000000000000001</v>
      </c>
      <c r="I820" s="33">
        <v>1.0900000000000001</v>
      </c>
      <c r="J820" s="33">
        <v>1.08</v>
      </c>
      <c r="K820" s="33">
        <v>1.07</v>
      </c>
      <c r="L820" s="33">
        <v>1.05</v>
      </c>
      <c r="M820" s="33">
        <v>1.03</v>
      </c>
      <c r="N820" s="33">
        <v>1.02</v>
      </c>
      <c r="O820" s="33">
        <v>1.02</v>
      </c>
      <c r="P820" s="34">
        <f t="shared" ref="P820:P856" si="29">AVERAGE(D820:O820)</f>
        <v>1.0549999999999999</v>
      </c>
    </row>
    <row r="821" spans="1:16" x14ac:dyDescent="0.25">
      <c r="A821" s="169">
        <f t="shared" si="28"/>
        <v>43.1</v>
      </c>
      <c r="B821" s="166">
        <v>43</v>
      </c>
      <c r="C821" s="32">
        <v>10</v>
      </c>
      <c r="D821" s="33">
        <v>1.04</v>
      </c>
      <c r="E821" s="33">
        <v>1.07</v>
      </c>
      <c r="F821" s="33">
        <v>1.1100000000000001</v>
      </c>
      <c r="G821" s="33">
        <v>1.1599999999999999</v>
      </c>
      <c r="H821" s="33">
        <v>1.19</v>
      </c>
      <c r="I821" s="33">
        <v>1.18</v>
      </c>
      <c r="J821" s="33">
        <v>1.1499999999999999</v>
      </c>
      <c r="K821" s="33">
        <v>1.1200000000000001</v>
      </c>
      <c r="L821" s="33">
        <v>1.0900000000000001</v>
      </c>
      <c r="M821" s="33">
        <v>1.06</v>
      </c>
      <c r="N821" s="33">
        <v>1.04</v>
      </c>
      <c r="O821" s="33">
        <v>1.03</v>
      </c>
      <c r="P821" s="34">
        <f t="shared" si="29"/>
        <v>1.1033333333333333</v>
      </c>
    </row>
    <row r="822" spans="1:16" x14ac:dyDescent="0.25">
      <c r="A822" s="169">
        <f t="shared" si="28"/>
        <v>43.15</v>
      </c>
      <c r="B822" s="166">
        <v>43</v>
      </c>
      <c r="C822" s="32">
        <v>15</v>
      </c>
      <c r="D822" s="33">
        <v>1.05</v>
      </c>
      <c r="E822" s="33">
        <v>1.0900000000000001</v>
      </c>
      <c r="F822" s="33">
        <v>1.1499999999999999</v>
      </c>
      <c r="G822" s="33">
        <v>1.23</v>
      </c>
      <c r="H822" s="33">
        <v>1.27</v>
      </c>
      <c r="I822" s="33">
        <v>1.26</v>
      </c>
      <c r="J822" s="33">
        <v>1.22</v>
      </c>
      <c r="K822" s="33">
        <v>1.18</v>
      </c>
      <c r="L822" s="33">
        <v>1.1299999999999999</v>
      </c>
      <c r="M822" s="33">
        <v>1.08</v>
      </c>
      <c r="N822" s="33">
        <v>1.05</v>
      </c>
      <c r="O822" s="33">
        <v>1.03</v>
      </c>
      <c r="P822" s="34">
        <f t="shared" si="29"/>
        <v>1.1449999999999998</v>
      </c>
    </row>
    <row r="823" spans="1:16" x14ac:dyDescent="0.25">
      <c r="A823" s="169">
        <f t="shared" si="28"/>
        <v>43.2</v>
      </c>
      <c r="B823" s="166">
        <v>43</v>
      </c>
      <c r="C823" s="32">
        <v>20</v>
      </c>
      <c r="D823" s="33">
        <v>1.05</v>
      </c>
      <c r="E823" s="33">
        <v>1.1000000000000001</v>
      </c>
      <c r="F823" s="33">
        <v>1.19</v>
      </c>
      <c r="G823" s="33">
        <v>1.29</v>
      </c>
      <c r="H823" s="33">
        <v>1.35</v>
      </c>
      <c r="I823" s="33">
        <v>1.33</v>
      </c>
      <c r="J823" s="33">
        <v>1.28</v>
      </c>
      <c r="K823" s="33">
        <v>1.22</v>
      </c>
      <c r="L823" s="33">
        <v>1.1599999999999999</v>
      </c>
      <c r="M823" s="33">
        <v>1.0900000000000001</v>
      </c>
      <c r="N823" s="33">
        <v>1.05</v>
      </c>
      <c r="O823" s="33">
        <v>1.03</v>
      </c>
      <c r="P823" s="34">
        <f t="shared" si="29"/>
        <v>1.1783333333333335</v>
      </c>
    </row>
    <row r="824" spans="1:16" x14ac:dyDescent="0.25">
      <c r="A824" s="169">
        <f t="shared" si="28"/>
        <v>43.25</v>
      </c>
      <c r="B824" s="166">
        <v>43</v>
      </c>
      <c r="C824" s="32">
        <v>25</v>
      </c>
      <c r="D824" s="33">
        <v>1.04</v>
      </c>
      <c r="E824" s="33">
        <v>1.1100000000000001</v>
      </c>
      <c r="F824" s="33">
        <v>1.22</v>
      </c>
      <c r="G824" s="33">
        <v>1.34</v>
      </c>
      <c r="H824" s="33">
        <v>1.42</v>
      </c>
      <c r="I824" s="33">
        <v>1.4</v>
      </c>
      <c r="J824" s="33">
        <v>1.33</v>
      </c>
      <c r="K824" s="33">
        <v>1.26</v>
      </c>
      <c r="L824" s="33">
        <v>1.18</v>
      </c>
      <c r="M824" s="33">
        <v>1.1000000000000001</v>
      </c>
      <c r="N824" s="33">
        <v>1.04</v>
      </c>
      <c r="O824" s="33">
        <v>1.02</v>
      </c>
      <c r="P824" s="34">
        <f t="shared" si="29"/>
        <v>1.2049999999999998</v>
      </c>
    </row>
    <row r="825" spans="1:16" x14ac:dyDescent="0.25">
      <c r="A825" s="169">
        <f t="shared" si="28"/>
        <v>43.3</v>
      </c>
      <c r="B825" s="166">
        <v>43</v>
      </c>
      <c r="C825" s="32">
        <v>30</v>
      </c>
      <c r="D825" s="33">
        <v>1.03</v>
      </c>
      <c r="E825" s="33">
        <v>1.1100000000000001</v>
      </c>
      <c r="F825" s="33">
        <v>1.24</v>
      </c>
      <c r="G825" s="33">
        <v>1.38</v>
      </c>
      <c r="H825" s="33">
        <v>1.48</v>
      </c>
      <c r="I825" s="33">
        <v>1.45</v>
      </c>
      <c r="J825" s="33">
        <v>1.37</v>
      </c>
      <c r="K825" s="33">
        <v>1.29</v>
      </c>
      <c r="L825" s="33">
        <v>1.2</v>
      </c>
      <c r="M825" s="33">
        <v>1.1000000000000001</v>
      </c>
      <c r="N825" s="33">
        <v>1.03</v>
      </c>
      <c r="O825" s="33">
        <v>1</v>
      </c>
      <c r="P825" s="34">
        <f t="shared" si="29"/>
        <v>1.2233333333333334</v>
      </c>
    </row>
    <row r="826" spans="1:16" x14ac:dyDescent="0.25">
      <c r="A826" s="169">
        <f t="shared" si="28"/>
        <v>43.35</v>
      </c>
      <c r="B826" s="166">
        <v>43</v>
      </c>
      <c r="C826" s="32">
        <v>35</v>
      </c>
      <c r="D826" s="33">
        <v>1.01</v>
      </c>
      <c r="E826" s="33">
        <v>1.1000000000000001</v>
      </c>
      <c r="F826" s="33">
        <v>1.25</v>
      </c>
      <c r="G826" s="33">
        <v>1.42</v>
      </c>
      <c r="H826" s="33">
        <v>1.52</v>
      </c>
      <c r="I826" s="33">
        <v>1.5</v>
      </c>
      <c r="J826" s="33">
        <v>1.41</v>
      </c>
      <c r="K826" s="33">
        <v>1.31</v>
      </c>
      <c r="L826" s="33">
        <v>1.2</v>
      </c>
      <c r="M826" s="33">
        <v>1.0900000000000001</v>
      </c>
      <c r="N826" s="33">
        <v>1.01</v>
      </c>
      <c r="O826" s="33">
        <v>0.98</v>
      </c>
      <c r="P826" s="34">
        <f t="shared" si="29"/>
        <v>1.2333333333333334</v>
      </c>
    </row>
    <row r="827" spans="1:16" x14ac:dyDescent="0.25">
      <c r="A827" s="169">
        <f t="shared" si="28"/>
        <v>43.4</v>
      </c>
      <c r="B827" s="166">
        <v>43</v>
      </c>
      <c r="C827" s="32">
        <v>40</v>
      </c>
      <c r="D827" s="33">
        <v>0.98</v>
      </c>
      <c r="E827" s="33">
        <v>1.0900000000000001</v>
      </c>
      <c r="F827" s="33">
        <v>1.25</v>
      </c>
      <c r="G827" s="33">
        <v>1.44</v>
      </c>
      <c r="H827" s="33">
        <v>1.56</v>
      </c>
      <c r="I827" s="33">
        <v>1.54</v>
      </c>
      <c r="J827" s="33">
        <v>1.43</v>
      </c>
      <c r="K827" s="33">
        <v>1.33</v>
      </c>
      <c r="L827" s="33">
        <v>1.2</v>
      </c>
      <c r="M827" s="33">
        <v>1.07</v>
      </c>
      <c r="N827" s="33">
        <v>0.98</v>
      </c>
      <c r="O827" s="33">
        <v>0.95</v>
      </c>
      <c r="P827" s="34">
        <f t="shared" si="29"/>
        <v>1.2350000000000001</v>
      </c>
    </row>
    <row r="828" spans="1:16" x14ac:dyDescent="0.25">
      <c r="A828" s="169">
        <f t="shared" si="28"/>
        <v>43.45</v>
      </c>
      <c r="B828" s="166">
        <v>43</v>
      </c>
      <c r="C828" s="32">
        <v>45</v>
      </c>
      <c r="D828" s="33">
        <v>0.95</v>
      </c>
      <c r="E828" s="33">
        <v>1.06</v>
      </c>
      <c r="F828" s="33">
        <v>1.24</v>
      </c>
      <c r="G828" s="33">
        <v>1.45</v>
      </c>
      <c r="H828" s="33">
        <v>1.59</v>
      </c>
      <c r="I828" s="33">
        <v>1.57</v>
      </c>
      <c r="J828" s="33">
        <v>1.45</v>
      </c>
      <c r="K828" s="33">
        <v>1.33</v>
      </c>
      <c r="L828" s="33">
        <v>1.19</v>
      </c>
      <c r="M828" s="33">
        <v>1.05</v>
      </c>
      <c r="N828" s="33">
        <v>0.95</v>
      </c>
      <c r="O828" s="33">
        <v>0.91</v>
      </c>
      <c r="P828" s="34">
        <f t="shared" si="29"/>
        <v>1.2283333333333333</v>
      </c>
    </row>
    <row r="829" spans="1:16" x14ac:dyDescent="0.25">
      <c r="A829" s="169">
        <f t="shared" si="28"/>
        <v>43.5</v>
      </c>
      <c r="B829" s="166">
        <v>43</v>
      </c>
      <c r="C829" s="32">
        <v>50</v>
      </c>
      <c r="D829" s="33">
        <v>0.91</v>
      </c>
      <c r="E829" s="33">
        <v>1.03</v>
      </c>
      <c r="F829" s="33">
        <v>1.23</v>
      </c>
      <c r="G829" s="33">
        <v>1.46</v>
      </c>
      <c r="H829" s="33">
        <v>1.61</v>
      </c>
      <c r="I829" s="33">
        <v>1.58</v>
      </c>
      <c r="J829" s="33">
        <v>1.46</v>
      </c>
      <c r="K829" s="33">
        <v>1.33</v>
      </c>
      <c r="L829" s="33">
        <v>1.17</v>
      </c>
      <c r="M829" s="33">
        <v>1.02</v>
      </c>
      <c r="N829" s="33">
        <v>0.91</v>
      </c>
      <c r="O829" s="33">
        <v>0.87</v>
      </c>
      <c r="P829" s="34">
        <f t="shared" si="29"/>
        <v>1.2150000000000001</v>
      </c>
    </row>
    <row r="830" spans="1:16" x14ac:dyDescent="0.25">
      <c r="A830" s="169">
        <f t="shared" ref="A830:A856" si="30">B830+(C830/100)</f>
        <v>43.55</v>
      </c>
      <c r="B830" s="166">
        <v>43</v>
      </c>
      <c r="C830" s="32">
        <v>55</v>
      </c>
      <c r="D830" s="33">
        <v>0.86</v>
      </c>
      <c r="E830" s="33">
        <v>1</v>
      </c>
      <c r="F830" s="33">
        <v>1.21</v>
      </c>
      <c r="G830" s="33">
        <v>1.45</v>
      </c>
      <c r="H830" s="33">
        <v>1.62</v>
      </c>
      <c r="I830" s="33">
        <v>1.59</v>
      </c>
      <c r="J830" s="33">
        <v>1.46</v>
      </c>
      <c r="K830" s="33">
        <v>1.32</v>
      </c>
      <c r="L830" s="33">
        <v>1.1499999999999999</v>
      </c>
      <c r="M830" s="33">
        <v>0.98</v>
      </c>
      <c r="N830" s="33">
        <v>0.86</v>
      </c>
      <c r="O830" s="33">
        <v>0.82</v>
      </c>
      <c r="P830" s="34">
        <f t="shared" si="29"/>
        <v>1.1933333333333334</v>
      </c>
    </row>
    <row r="831" spans="1:16" x14ac:dyDescent="0.25">
      <c r="A831" s="169">
        <f t="shared" si="30"/>
        <v>43.6</v>
      </c>
      <c r="B831" s="166">
        <v>43</v>
      </c>
      <c r="C831" s="32">
        <v>60</v>
      </c>
      <c r="D831" s="33">
        <v>0.81</v>
      </c>
      <c r="E831" s="33">
        <v>0.95</v>
      </c>
      <c r="F831" s="33">
        <v>1.17</v>
      </c>
      <c r="G831" s="33">
        <v>1.44</v>
      </c>
      <c r="H831" s="33">
        <v>1.62</v>
      </c>
      <c r="I831" s="33">
        <v>1.59</v>
      </c>
      <c r="J831" s="33">
        <v>1.45</v>
      </c>
      <c r="K831" s="33">
        <v>1.3</v>
      </c>
      <c r="L831" s="33">
        <v>1.1200000000000001</v>
      </c>
      <c r="M831" s="33">
        <v>0.94</v>
      </c>
      <c r="N831" s="33">
        <v>0.81</v>
      </c>
      <c r="O831" s="33">
        <v>0.76</v>
      </c>
      <c r="P831" s="34">
        <f t="shared" si="29"/>
        <v>1.1633333333333333</v>
      </c>
    </row>
    <row r="832" spans="1:16" x14ac:dyDescent="0.25">
      <c r="A832" s="169">
        <f t="shared" si="30"/>
        <v>43.65</v>
      </c>
      <c r="B832" s="166">
        <v>43</v>
      </c>
      <c r="C832" s="32">
        <v>65</v>
      </c>
      <c r="D832" s="33">
        <v>0.75</v>
      </c>
      <c r="E832" s="33">
        <v>0.9</v>
      </c>
      <c r="F832" s="33">
        <v>1.1299999999999999</v>
      </c>
      <c r="G832" s="33">
        <v>1.41</v>
      </c>
      <c r="H832" s="33">
        <v>1.61</v>
      </c>
      <c r="I832" s="33">
        <v>1.58</v>
      </c>
      <c r="J832" s="33">
        <v>1.43</v>
      </c>
      <c r="K832" s="33">
        <v>1.27</v>
      </c>
      <c r="L832" s="33">
        <v>1.08</v>
      </c>
      <c r="M832" s="33">
        <v>0.89</v>
      </c>
      <c r="N832" s="33">
        <v>0.75</v>
      </c>
      <c r="O832" s="33">
        <v>0.7</v>
      </c>
      <c r="P832" s="34">
        <f t="shared" si="29"/>
        <v>1.125</v>
      </c>
    </row>
    <row r="833" spans="1:16" x14ac:dyDescent="0.25">
      <c r="A833" s="169">
        <f t="shared" si="30"/>
        <v>43.7</v>
      </c>
      <c r="B833" s="166">
        <v>43</v>
      </c>
      <c r="C833" s="32">
        <v>70</v>
      </c>
      <c r="D833" s="33">
        <v>0.69</v>
      </c>
      <c r="E833" s="33">
        <v>0.84</v>
      </c>
      <c r="F833" s="33">
        <v>1.0900000000000001</v>
      </c>
      <c r="G833" s="33">
        <v>1.38</v>
      </c>
      <c r="H833" s="33">
        <v>1.58</v>
      </c>
      <c r="I833" s="33">
        <v>1.56</v>
      </c>
      <c r="J833" s="33">
        <v>1.41</v>
      </c>
      <c r="K833" s="33">
        <v>1.23</v>
      </c>
      <c r="L833" s="33">
        <v>1.03</v>
      </c>
      <c r="M833" s="33">
        <v>0.83</v>
      </c>
      <c r="N833" s="33">
        <v>0.69</v>
      </c>
      <c r="O833" s="33">
        <v>0.64</v>
      </c>
      <c r="P833" s="34">
        <f t="shared" si="29"/>
        <v>1.0808333333333333</v>
      </c>
    </row>
    <row r="834" spans="1:16" x14ac:dyDescent="0.25">
      <c r="A834" s="169">
        <f t="shared" si="30"/>
        <v>43.75</v>
      </c>
      <c r="B834" s="166">
        <v>43</v>
      </c>
      <c r="C834" s="32">
        <v>75</v>
      </c>
      <c r="D834" s="33">
        <v>0.62</v>
      </c>
      <c r="E834" s="33">
        <v>0.78</v>
      </c>
      <c r="F834" s="33">
        <v>1.03</v>
      </c>
      <c r="G834" s="33">
        <v>1.34</v>
      </c>
      <c r="H834" s="33">
        <v>1.55</v>
      </c>
      <c r="I834" s="33">
        <v>1.53</v>
      </c>
      <c r="J834" s="33">
        <v>1.37</v>
      </c>
      <c r="K834" s="33">
        <v>1.19</v>
      </c>
      <c r="L834" s="33">
        <v>0.98</v>
      </c>
      <c r="M834" s="33">
        <v>0.77</v>
      </c>
      <c r="N834" s="33">
        <v>0.62</v>
      </c>
      <c r="O834" s="33">
        <v>0.56999999999999995</v>
      </c>
      <c r="P834" s="34">
        <f t="shared" si="29"/>
        <v>1.0291666666666666</v>
      </c>
    </row>
    <row r="835" spans="1:16" x14ac:dyDescent="0.25">
      <c r="A835" s="169">
        <f t="shared" si="30"/>
        <v>43.8</v>
      </c>
      <c r="B835" s="166">
        <v>43</v>
      </c>
      <c r="C835" s="32">
        <v>80</v>
      </c>
      <c r="D835" s="33">
        <v>0.55000000000000004</v>
      </c>
      <c r="E835" s="33">
        <v>0.71</v>
      </c>
      <c r="F835" s="33">
        <v>0.97</v>
      </c>
      <c r="G835" s="33">
        <v>1.28</v>
      </c>
      <c r="H835" s="33">
        <v>1.51</v>
      </c>
      <c r="I835" s="33">
        <v>1.49</v>
      </c>
      <c r="J835" s="33">
        <v>1.33</v>
      </c>
      <c r="K835" s="33">
        <v>1.1399999999999999</v>
      </c>
      <c r="L835" s="33">
        <v>0.92</v>
      </c>
      <c r="M835" s="33">
        <v>0.7</v>
      </c>
      <c r="N835" s="33">
        <v>0.55000000000000004</v>
      </c>
      <c r="O835" s="33">
        <v>0.49</v>
      </c>
      <c r="P835" s="34">
        <f t="shared" si="29"/>
        <v>0.97000000000000008</v>
      </c>
    </row>
    <row r="836" spans="1:16" x14ac:dyDescent="0.25">
      <c r="A836" s="169">
        <f t="shared" si="30"/>
        <v>43.85</v>
      </c>
      <c r="B836" s="166">
        <v>43</v>
      </c>
      <c r="C836" s="32">
        <v>85</v>
      </c>
      <c r="D836" s="33">
        <v>0.47</v>
      </c>
      <c r="E836" s="33">
        <v>0.64</v>
      </c>
      <c r="F836" s="33">
        <v>0.9</v>
      </c>
      <c r="G836" s="33">
        <v>1.22</v>
      </c>
      <c r="H836" s="33">
        <v>1.45</v>
      </c>
      <c r="I836" s="33">
        <v>1.44</v>
      </c>
      <c r="J836" s="33">
        <v>1.28</v>
      </c>
      <c r="K836" s="33">
        <v>1.08</v>
      </c>
      <c r="L836" s="33">
        <v>0.85</v>
      </c>
      <c r="M836" s="33">
        <v>0.63</v>
      </c>
      <c r="N836" s="33">
        <v>0.47</v>
      </c>
      <c r="O836" s="33">
        <v>0.42</v>
      </c>
      <c r="P836" s="34">
        <f t="shared" si="29"/>
        <v>0.90416666666666679</v>
      </c>
    </row>
    <row r="837" spans="1:16" x14ac:dyDescent="0.25">
      <c r="A837" s="169">
        <f t="shared" si="30"/>
        <v>43.9</v>
      </c>
      <c r="B837" s="166">
        <v>43</v>
      </c>
      <c r="C837" s="32">
        <v>90</v>
      </c>
      <c r="D837" s="33">
        <v>0.39</v>
      </c>
      <c r="E837" s="33">
        <v>0.56000000000000005</v>
      </c>
      <c r="F837" s="33">
        <v>0.83</v>
      </c>
      <c r="G837" s="33">
        <v>1.1599999999999999</v>
      </c>
      <c r="H837" s="33">
        <v>1.39</v>
      </c>
      <c r="I837" s="33">
        <v>1.38</v>
      </c>
      <c r="J837" s="33">
        <v>1.22</v>
      </c>
      <c r="K837" s="33">
        <v>1.02</v>
      </c>
      <c r="L837" s="33">
        <v>0.78</v>
      </c>
      <c r="M837" s="33">
        <v>0.56000000000000005</v>
      </c>
      <c r="N837" s="33">
        <v>0.4</v>
      </c>
      <c r="O837" s="33">
        <v>0.34</v>
      </c>
      <c r="P837" s="34">
        <f t="shared" si="29"/>
        <v>0.83583333333333332</v>
      </c>
    </row>
    <row r="838" spans="1:16" x14ac:dyDescent="0.25">
      <c r="A838" s="169">
        <f t="shared" si="30"/>
        <v>44</v>
      </c>
      <c r="B838" s="166">
        <v>44</v>
      </c>
      <c r="C838" s="32">
        <v>0</v>
      </c>
      <c r="D838" s="33">
        <v>1</v>
      </c>
      <c r="E838" s="33">
        <v>1</v>
      </c>
      <c r="F838" s="33">
        <v>1</v>
      </c>
      <c r="G838" s="33">
        <v>1</v>
      </c>
      <c r="H838" s="33">
        <v>1</v>
      </c>
      <c r="I838" s="33">
        <v>1</v>
      </c>
      <c r="J838" s="33">
        <v>1</v>
      </c>
      <c r="K838" s="33">
        <v>1</v>
      </c>
      <c r="L838" s="33">
        <v>1</v>
      </c>
      <c r="M838" s="33">
        <v>1</v>
      </c>
      <c r="N838" s="33">
        <v>1</v>
      </c>
      <c r="O838" s="33">
        <v>1</v>
      </c>
      <c r="P838" s="34">
        <f t="shared" si="29"/>
        <v>1</v>
      </c>
    </row>
    <row r="839" spans="1:16" x14ac:dyDescent="0.25">
      <c r="A839" s="169">
        <f t="shared" si="30"/>
        <v>44.05</v>
      </c>
      <c r="B839" s="166">
        <v>44</v>
      </c>
      <c r="C839" s="32">
        <v>5</v>
      </c>
      <c r="D839" s="33">
        <v>1.02</v>
      </c>
      <c r="E839" s="33">
        <v>1.04</v>
      </c>
      <c r="F839" s="33">
        <v>1.06</v>
      </c>
      <c r="G839" s="33">
        <v>1.0900000000000001</v>
      </c>
      <c r="H839" s="33">
        <v>1.1000000000000001</v>
      </c>
      <c r="I839" s="33">
        <v>1.1000000000000001</v>
      </c>
      <c r="J839" s="33">
        <v>1.08</v>
      </c>
      <c r="K839" s="33">
        <v>1.07</v>
      </c>
      <c r="L839" s="33">
        <v>1.05</v>
      </c>
      <c r="M839" s="33">
        <v>1.04</v>
      </c>
      <c r="N839" s="33">
        <v>1.02</v>
      </c>
      <c r="O839" s="33">
        <v>1.02</v>
      </c>
      <c r="P839" s="34">
        <f t="shared" si="29"/>
        <v>1.0575000000000001</v>
      </c>
    </row>
    <row r="840" spans="1:16" x14ac:dyDescent="0.25">
      <c r="A840" s="169">
        <f t="shared" si="30"/>
        <v>44.1</v>
      </c>
      <c r="B840" s="166">
        <v>44</v>
      </c>
      <c r="C840" s="32">
        <v>10</v>
      </c>
      <c r="D840" s="33">
        <v>1.04</v>
      </c>
      <c r="E840" s="33">
        <v>1.07</v>
      </c>
      <c r="F840" s="33">
        <v>1.1100000000000001</v>
      </c>
      <c r="G840" s="33">
        <v>1.1599999999999999</v>
      </c>
      <c r="H840" s="33">
        <v>1.19</v>
      </c>
      <c r="I840" s="33">
        <v>1.18</v>
      </c>
      <c r="J840" s="33">
        <v>1.1599999999999999</v>
      </c>
      <c r="K840" s="33">
        <v>1.1299999999999999</v>
      </c>
      <c r="L840" s="33">
        <v>1.1000000000000001</v>
      </c>
      <c r="M840" s="33">
        <v>1.06</v>
      </c>
      <c r="N840" s="33">
        <v>1.04</v>
      </c>
      <c r="O840" s="33">
        <v>1.03</v>
      </c>
      <c r="P840" s="34">
        <f t="shared" si="29"/>
        <v>1.1058333333333332</v>
      </c>
    </row>
    <row r="841" spans="1:16" x14ac:dyDescent="0.25">
      <c r="A841" s="169">
        <f t="shared" si="30"/>
        <v>44.15</v>
      </c>
      <c r="B841" s="166">
        <v>44</v>
      </c>
      <c r="C841" s="32">
        <v>15</v>
      </c>
      <c r="D841" s="33">
        <v>1.05</v>
      </c>
      <c r="E841" s="33">
        <v>1.0900000000000001</v>
      </c>
      <c r="F841" s="33">
        <v>1.1599999999999999</v>
      </c>
      <c r="G841" s="33">
        <v>1.23</v>
      </c>
      <c r="H841" s="33">
        <v>1.28</v>
      </c>
      <c r="I841" s="33">
        <v>1.27</v>
      </c>
      <c r="J841" s="33">
        <v>1.22</v>
      </c>
      <c r="K841" s="33">
        <v>1.18</v>
      </c>
      <c r="L841" s="33">
        <v>1.1299999999999999</v>
      </c>
      <c r="M841" s="33">
        <v>1.0900000000000001</v>
      </c>
      <c r="N841" s="33">
        <v>1.05</v>
      </c>
      <c r="O841" s="33">
        <v>1.04</v>
      </c>
      <c r="P841" s="34">
        <f t="shared" si="29"/>
        <v>1.1491666666666667</v>
      </c>
    </row>
    <row r="842" spans="1:16" x14ac:dyDescent="0.25">
      <c r="A842" s="169">
        <f t="shared" si="30"/>
        <v>44.2</v>
      </c>
      <c r="B842" s="166">
        <v>44</v>
      </c>
      <c r="C842" s="32">
        <v>20</v>
      </c>
      <c r="D842" s="33">
        <v>1.06</v>
      </c>
      <c r="E842" s="33">
        <v>1.1100000000000001</v>
      </c>
      <c r="F842" s="33">
        <v>1.2</v>
      </c>
      <c r="G842" s="33">
        <v>1.3</v>
      </c>
      <c r="H842" s="33">
        <v>1.36</v>
      </c>
      <c r="I842" s="33">
        <v>1.34</v>
      </c>
      <c r="J842" s="33">
        <v>1.28</v>
      </c>
      <c r="K842" s="33">
        <v>1.23</v>
      </c>
      <c r="L842" s="33">
        <v>1.17</v>
      </c>
      <c r="M842" s="33">
        <v>1.1000000000000001</v>
      </c>
      <c r="N842" s="33">
        <v>1.05</v>
      </c>
      <c r="O842" s="33">
        <v>1.04</v>
      </c>
      <c r="P842" s="34">
        <f t="shared" si="29"/>
        <v>1.1866666666666668</v>
      </c>
    </row>
    <row r="843" spans="1:16" x14ac:dyDescent="0.25">
      <c r="A843" s="169">
        <f t="shared" si="30"/>
        <v>44.25</v>
      </c>
      <c r="B843" s="166">
        <v>44</v>
      </c>
      <c r="C843" s="32">
        <v>25</v>
      </c>
      <c r="D843" s="33">
        <v>1.05</v>
      </c>
      <c r="E843" s="33">
        <v>1.1200000000000001</v>
      </c>
      <c r="F843" s="33">
        <v>1.23</v>
      </c>
      <c r="G843" s="33">
        <v>1.35</v>
      </c>
      <c r="H843" s="33">
        <v>1.43</v>
      </c>
      <c r="I843" s="33">
        <v>1.41</v>
      </c>
      <c r="J843" s="33">
        <v>1.34</v>
      </c>
      <c r="K843" s="33">
        <v>1.27</v>
      </c>
      <c r="L843" s="33">
        <v>1.19</v>
      </c>
      <c r="M843" s="33">
        <v>1.1100000000000001</v>
      </c>
      <c r="N843" s="33">
        <v>1.05</v>
      </c>
      <c r="O843" s="33">
        <v>1.03</v>
      </c>
      <c r="P843" s="34">
        <f t="shared" si="29"/>
        <v>1.2149999999999999</v>
      </c>
    </row>
    <row r="844" spans="1:16" x14ac:dyDescent="0.25">
      <c r="A844" s="169">
        <f t="shared" si="30"/>
        <v>44.3</v>
      </c>
      <c r="B844" s="166">
        <v>44</v>
      </c>
      <c r="C844" s="32">
        <v>30</v>
      </c>
      <c r="D844" s="33">
        <v>1.05</v>
      </c>
      <c r="E844" s="33">
        <v>1.1200000000000001</v>
      </c>
      <c r="F844" s="33">
        <v>1.25</v>
      </c>
      <c r="G844" s="33">
        <v>1.4</v>
      </c>
      <c r="H844" s="33">
        <v>1.49</v>
      </c>
      <c r="I844" s="33">
        <v>1.47</v>
      </c>
      <c r="J844" s="33">
        <v>1.38</v>
      </c>
      <c r="K844" s="33">
        <v>1.3</v>
      </c>
      <c r="L844" s="33">
        <v>1.2</v>
      </c>
      <c r="M844" s="33">
        <v>1.1100000000000001</v>
      </c>
      <c r="N844" s="33">
        <v>1.04</v>
      </c>
      <c r="O844" s="33">
        <v>1.01</v>
      </c>
      <c r="P844" s="34">
        <f t="shared" si="29"/>
        <v>1.2349999999999999</v>
      </c>
    </row>
    <row r="845" spans="1:16" x14ac:dyDescent="0.25">
      <c r="A845" s="169">
        <f t="shared" si="30"/>
        <v>44.35</v>
      </c>
      <c r="B845" s="166">
        <v>44</v>
      </c>
      <c r="C845" s="32">
        <v>35</v>
      </c>
      <c r="D845" s="33">
        <v>1.02</v>
      </c>
      <c r="E845" s="33">
        <v>1.1100000000000001</v>
      </c>
      <c r="F845" s="33">
        <v>1.26</v>
      </c>
      <c r="G845" s="33">
        <v>1.43</v>
      </c>
      <c r="H845" s="33">
        <v>1.54</v>
      </c>
      <c r="I845" s="33">
        <v>1.52</v>
      </c>
      <c r="J845" s="33">
        <v>1.42</v>
      </c>
      <c r="K845" s="33">
        <v>1.32</v>
      </c>
      <c r="L845" s="33">
        <v>1.21</v>
      </c>
      <c r="M845" s="33">
        <v>1.1000000000000001</v>
      </c>
      <c r="N845" s="33">
        <v>1.02</v>
      </c>
      <c r="O845" s="33">
        <v>0.99</v>
      </c>
      <c r="P845" s="34">
        <f t="shared" si="29"/>
        <v>1.2449999999999999</v>
      </c>
    </row>
    <row r="846" spans="1:16" x14ac:dyDescent="0.25">
      <c r="A846" s="169">
        <f t="shared" si="30"/>
        <v>44.4</v>
      </c>
      <c r="B846" s="166">
        <v>44</v>
      </c>
      <c r="C846" s="32">
        <v>40</v>
      </c>
      <c r="D846" s="33">
        <v>1</v>
      </c>
      <c r="E846" s="33">
        <v>1.1000000000000001</v>
      </c>
      <c r="F846" s="33">
        <v>1.26</v>
      </c>
      <c r="G846" s="33">
        <v>1.46</v>
      </c>
      <c r="H846" s="33">
        <v>1.59</v>
      </c>
      <c r="I846" s="33">
        <v>1.56</v>
      </c>
      <c r="J846" s="33">
        <v>1.45</v>
      </c>
      <c r="K846" s="33">
        <v>1.34</v>
      </c>
      <c r="L846" s="33">
        <v>1.21</v>
      </c>
      <c r="M846" s="33">
        <v>1.08</v>
      </c>
      <c r="N846" s="33">
        <v>0.99</v>
      </c>
      <c r="O846" s="33">
        <v>0.96</v>
      </c>
      <c r="P846" s="34">
        <f t="shared" si="29"/>
        <v>1.25</v>
      </c>
    </row>
    <row r="847" spans="1:16" x14ac:dyDescent="0.25">
      <c r="A847" s="169">
        <f t="shared" si="30"/>
        <v>44.45</v>
      </c>
      <c r="B847" s="166">
        <v>44</v>
      </c>
      <c r="C847" s="32">
        <v>45</v>
      </c>
      <c r="D847" s="33">
        <v>0.96</v>
      </c>
      <c r="E847" s="33">
        <v>1.08</v>
      </c>
      <c r="F847" s="33">
        <v>1.26</v>
      </c>
      <c r="G847" s="33">
        <v>1.48</v>
      </c>
      <c r="H847" s="33">
        <v>1.62</v>
      </c>
      <c r="I847" s="33">
        <v>1.59</v>
      </c>
      <c r="J847" s="33">
        <v>1.47</v>
      </c>
      <c r="K847" s="33">
        <v>1.35</v>
      </c>
      <c r="L847" s="33">
        <v>1.2</v>
      </c>
      <c r="M847" s="33">
        <v>1.06</v>
      </c>
      <c r="N847" s="33">
        <v>0.96</v>
      </c>
      <c r="O847" s="33">
        <v>0.92</v>
      </c>
      <c r="P847" s="34">
        <f t="shared" si="29"/>
        <v>1.2458333333333331</v>
      </c>
    </row>
    <row r="848" spans="1:16" x14ac:dyDescent="0.25">
      <c r="A848" s="169">
        <f t="shared" si="30"/>
        <v>44.5</v>
      </c>
      <c r="B848" s="166">
        <v>44</v>
      </c>
      <c r="C848" s="32">
        <v>50</v>
      </c>
      <c r="D848" s="33">
        <v>0.92</v>
      </c>
      <c r="E848" s="33">
        <v>1.05</v>
      </c>
      <c r="F848" s="33">
        <v>1.25</v>
      </c>
      <c r="G848" s="33">
        <v>1.48</v>
      </c>
      <c r="H848" s="33">
        <v>1.64</v>
      </c>
      <c r="I848" s="33">
        <v>1.61</v>
      </c>
      <c r="J848" s="33">
        <v>1.48</v>
      </c>
      <c r="K848" s="33">
        <v>1.34</v>
      </c>
      <c r="L848" s="33">
        <v>1.19</v>
      </c>
      <c r="M848" s="33">
        <v>1.03</v>
      </c>
      <c r="N848" s="33">
        <v>0.92</v>
      </c>
      <c r="O848" s="33">
        <v>0.88</v>
      </c>
      <c r="P848" s="34">
        <f t="shared" si="29"/>
        <v>1.2324999999999999</v>
      </c>
    </row>
    <row r="849" spans="1:16" x14ac:dyDescent="0.25">
      <c r="A849" s="169">
        <f t="shared" si="30"/>
        <v>44.55</v>
      </c>
      <c r="B849" s="166">
        <v>44</v>
      </c>
      <c r="C849" s="32">
        <v>55</v>
      </c>
      <c r="D849" s="33">
        <v>0.88</v>
      </c>
      <c r="E849" s="33">
        <v>1.01</v>
      </c>
      <c r="F849" s="33">
        <v>1.22</v>
      </c>
      <c r="G849" s="33">
        <v>1.48</v>
      </c>
      <c r="H849" s="33">
        <v>1.65</v>
      </c>
      <c r="I849" s="33">
        <v>1.62</v>
      </c>
      <c r="J849" s="33">
        <v>1.48</v>
      </c>
      <c r="K849" s="33">
        <v>1.33</v>
      </c>
      <c r="L849" s="33">
        <v>1.1599999999999999</v>
      </c>
      <c r="M849" s="33">
        <v>0.99</v>
      </c>
      <c r="N849" s="33">
        <v>0.87</v>
      </c>
      <c r="O849" s="33">
        <v>0.83</v>
      </c>
      <c r="P849" s="34">
        <f t="shared" si="29"/>
        <v>1.21</v>
      </c>
    </row>
    <row r="850" spans="1:16" x14ac:dyDescent="0.25">
      <c r="A850" s="169">
        <f t="shared" si="30"/>
        <v>44.6</v>
      </c>
      <c r="B850" s="166">
        <v>44</v>
      </c>
      <c r="C850" s="32">
        <v>60</v>
      </c>
      <c r="D850" s="33">
        <v>0.82</v>
      </c>
      <c r="E850" s="33">
        <v>0.97</v>
      </c>
      <c r="F850" s="33">
        <v>1.19</v>
      </c>
      <c r="G850" s="33">
        <v>1.47</v>
      </c>
      <c r="H850" s="33">
        <v>1.65</v>
      </c>
      <c r="I850" s="33">
        <v>1.62</v>
      </c>
      <c r="J850" s="33">
        <v>1.47</v>
      </c>
      <c r="K850" s="33">
        <v>1.32</v>
      </c>
      <c r="L850" s="33">
        <v>1.1299999999999999</v>
      </c>
      <c r="M850" s="33">
        <v>0.95</v>
      </c>
      <c r="N850" s="33">
        <v>0.82</v>
      </c>
      <c r="O850" s="33">
        <v>0.78</v>
      </c>
      <c r="P850" s="34">
        <f t="shared" si="29"/>
        <v>1.1824999999999999</v>
      </c>
    </row>
    <row r="851" spans="1:16" x14ac:dyDescent="0.25">
      <c r="A851" s="169">
        <f t="shared" si="30"/>
        <v>44.65</v>
      </c>
      <c r="B851" s="166">
        <v>44</v>
      </c>
      <c r="C851" s="32">
        <v>65</v>
      </c>
      <c r="D851" s="33">
        <v>0.77</v>
      </c>
      <c r="E851" s="33">
        <v>0.92</v>
      </c>
      <c r="F851" s="33">
        <v>1.1599999999999999</v>
      </c>
      <c r="G851" s="33">
        <v>1.44</v>
      </c>
      <c r="H851" s="33">
        <v>1.64</v>
      </c>
      <c r="I851" s="33">
        <v>1.61</v>
      </c>
      <c r="J851" s="33">
        <v>1.46</v>
      </c>
      <c r="K851" s="33">
        <v>1.29</v>
      </c>
      <c r="L851" s="33">
        <v>1.0900000000000001</v>
      </c>
      <c r="M851" s="33">
        <v>0.9</v>
      </c>
      <c r="N851" s="33">
        <v>0.76</v>
      </c>
      <c r="O851" s="33">
        <v>0.72</v>
      </c>
      <c r="P851" s="34">
        <f t="shared" si="29"/>
        <v>1.1466666666666667</v>
      </c>
    </row>
    <row r="852" spans="1:16" x14ac:dyDescent="0.25">
      <c r="A852" s="169">
        <f t="shared" si="30"/>
        <v>44.7</v>
      </c>
      <c r="B852" s="166">
        <v>44</v>
      </c>
      <c r="C852" s="32">
        <v>70</v>
      </c>
      <c r="D852" s="33">
        <v>0.7</v>
      </c>
      <c r="E852" s="33">
        <v>0.86</v>
      </c>
      <c r="F852" s="33">
        <v>1.1100000000000001</v>
      </c>
      <c r="G852" s="33">
        <v>1.41</v>
      </c>
      <c r="H852" s="33">
        <v>1.62</v>
      </c>
      <c r="I852" s="33">
        <v>1.59</v>
      </c>
      <c r="J852" s="33">
        <v>1.43</v>
      </c>
      <c r="K852" s="33">
        <v>1.26</v>
      </c>
      <c r="L852" s="33">
        <v>1.05</v>
      </c>
      <c r="M852" s="33">
        <v>0.85</v>
      </c>
      <c r="N852" s="33">
        <v>0.7</v>
      </c>
      <c r="O852" s="33">
        <v>0.65</v>
      </c>
      <c r="P852" s="34">
        <f t="shared" si="29"/>
        <v>1.1025</v>
      </c>
    </row>
    <row r="853" spans="1:16" x14ac:dyDescent="0.25">
      <c r="A853" s="169">
        <f t="shared" si="30"/>
        <v>44.75</v>
      </c>
      <c r="B853" s="166">
        <v>44</v>
      </c>
      <c r="C853" s="32">
        <v>75</v>
      </c>
      <c r="D853" s="33">
        <v>0.64</v>
      </c>
      <c r="E853" s="33">
        <v>0.8</v>
      </c>
      <c r="F853" s="33">
        <v>1.06</v>
      </c>
      <c r="G853" s="33">
        <v>1.37</v>
      </c>
      <c r="H853" s="33">
        <v>1.59</v>
      </c>
      <c r="I853" s="33">
        <v>1.56</v>
      </c>
      <c r="J853" s="33">
        <v>1.4</v>
      </c>
      <c r="K853" s="33">
        <v>1.21</v>
      </c>
      <c r="L853" s="33">
        <v>1</v>
      </c>
      <c r="M853" s="33">
        <v>0.78</v>
      </c>
      <c r="N853" s="33">
        <v>64</v>
      </c>
      <c r="O853" s="33">
        <v>0.57999999999999996</v>
      </c>
      <c r="P853" s="34">
        <f t="shared" si="29"/>
        <v>6.3324999999999996</v>
      </c>
    </row>
    <row r="854" spans="1:16" x14ac:dyDescent="0.25">
      <c r="A854" s="169">
        <f t="shared" si="30"/>
        <v>44.8</v>
      </c>
      <c r="B854" s="166">
        <v>44</v>
      </c>
      <c r="C854" s="32">
        <v>80</v>
      </c>
      <c r="D854" s="33">
        <v>0.56000000000000005</v>
      </c>
      <c r="E854" s="33">
        <v>0.73</v>
      </c>
      <c r="F854" s="33">
        <v>0.99</v>
      </c>
      <c r="G854" s="33">
        <v>1.32</v>
      </c>
      <c r="H854" s="33">
        <v>1.54</v>
      </c>
      <c r="I854" s="33">
        <v>1.52</v>
      </c>
      <c r="J854" s="33">
        <v>1.36</v>
      </c>
      <c r="K854" s="33">
        <v>1.1599999999999999</v>
      </c>
      <c r="L854" s="33">
        <v>0.94</v>
      </c>
      <c r="M854" s="33">
        <v>0.72</v>
      </c>
      <c r="N854" s="33">
        <v>0.56000000000000005</v>
      </c>
      <c r="O854" s="33">
        <v>0.51</v>
      </c>
      <c r="P854" s="34">
        <f t="shared" si="29"/>
        <v>0.99250000000000005</v>
      </c>
    </row>
    <row r="855" spans="1:16" x14ac:dyDescent="0.25">
      <c r="A855" s="169">
        <f t="shared" si="30"/>
        <v>44.85</v>
      </c>
      <c r="B855" s="166">
        <v>44</v>
      </c>
      <c r="C855" s="32">
        <v>85</v>
      </c>
      <c r="D855" s="33">
        <v>0.49</v>
      </c>
      <c r="E855" s="33">
        <v>0.66</v>
      </c>
      <c r="F855" s="33">
        <v>0.93</v>
      </c>
      <c r="G855" s="33">
        <v>1.26</v>
      </c>
      <c r="H855" s="33">
        <v>1.49</v>
      </c>
      <c r="I855" s="33">
        <v>1.48</v>
      </c>
      <c r="J855" s="33">
        <v>1.31</v>
      </c>
      <c r="K855" s="33">
        <v>1.1100000000000001</v>
      </c>
      <c r="L855" s="33">
        <v>0.87</v>
      </c>
      <c r="M855" s="33">
        <v>0.65</v>
      </c>
      <c r="N855" s="33">
        <v>0.49</v>
      </c>
      <c r="O855" s="33">
        <v>0.43</v>
      </c>
      <c r="P855" s="34">
        <f t="shared" si="29"/>
        <v>0.93083333333333329</v>
      </c>
    </row>
    <row r="856" spans="1:16" x14ac:dyDescent="0.25">
      <c r="A856" s="169">
        <f t="shared" si="30"/>
        <v>44.9</v>
      </c>
      <c r="B856" s="166">
        <v>44</v>
      </c>
      <c r="C856" s="32">
        <v>90</v>
      </c>
      <c r="D856" s="33">
        <v>0.41</v>
      </c>
      <c r="E856" s="33">
        <v>0.57999999999999996</v>
      </c>
      <c r="F856" s="33">
        <v>0.85</v>
      </c>
      <c r="G856" s="33">
        <v>1.19</v>
      </c>
      <c r="H856" s="33">
        <v>1.43</v>
      </c>
      <c r="I856" s="33">
        <v>1.42</v>
      </c>
      <c r="J856" s="33">
        <v>1.25</v>
      </c>
      <c r="K856" s="33">
        <v>1.04</v>
      </c>
      <c r="L856" s="33">
        <v>0.8</v>
      </c>
      <c r="M856" s="33">
        <v>0.56999999999999995</v>
      </c>
      <c r="N856" s="33">
        <v>0.41</v>
      </c>
      <c r="O856" s="33">
        <v>0.35</v>
      </c>
      <c r="P856" s="34">
        <f t="shared" si="29"/>
        <v>0.85833333333333339</v>
      </c>
    </row>
  </sheetData>
  <autoFilter ref="B1:P856" xr:uid="{00000000-0009-0000-0000-000004000000}"/>
  <mergeCells count="2">
    <mergeCell ref="T2:AF2"/>
    <mergeCell ref="T6:AF6"/>
  </mergeCells>
  <pageMargins left="0.511811024" right="0.511811024" top="0.78740157499999996" bottom="0.78740157499999996" header="0.31496062000000002" footer="0.31496062000000002"/>
  <pageSetup paperSize="9" orientation="portrait" horizontalDpi="4294967293" r:id="rId1"/>
  <ignoredErrors>
    <ignoredError sqref="P2 P20 P17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7"/>
  <dimension ref="A1:O330"/>
  <sheetViews>
    <sheetView topLeftCell="A16" workbookViewId="0">
      <selection activeCell="A235" sqref="A235:O235"/>
    </sheetView>
  </sheetViews>
  <sheetFormatPr defaultRowHeight="15" x14ac:dyDescent="0.25"/>
  <cols>
    <col min="1" max="1" width="29.28515625" bestFit="1" customWidth="1"/>
    <col min="4" max="4" width="9.42578125" customWidth="1"/>
    <col min="11" max="11" width="9.7109375" bestFit="1" customWidth="1"/>
    <col min="12" max="12" width="8.42578125" bestFit="1" customWidth="1"/>
    <col min="13" max="13" width="10.42578125" bestFit="1" customWidth="1"/>
    <col min="14" max="14" width="10.140625" bestFit="1" customWidth="1"/>
    <col min="257" max="257" width="29.28515625" bestFit="1" customWidth="1"/>
    <col min="513" max="513" width="29.28515625" bestFit="1" customWidth="1"/>
    <col min="769" max="769" width="29.28515625" bestFit="1" customWidth="1"/>
    <col min="1025" max="1025" width="29.28515625" bestFit="1" customWidth="1"/>
    <col min="1281" max="1281" width="29.28515625" bestFit="1" customWidth="1"/>
    <col min="1537" max="1537" width="29.28515625" bestFit="1" customWidth="1"/>
    <col min="1793" max="1793" width="29.28515625" bestFit="1" customWidth="1"/>
    <col min="2049" max="2049" width="29.28515625" bestFit="1" customWidth="1"/>
    <col min="2305" max="2305" width="29.28515625" bestFit="1" customWidth="1"/>
    <col min="2561" max="2561" width="29.28515625" bestFit="1" customWidth="1"/>
    <col min="2817" max="2817" width="29.28515625" bestFit="1" customWidth="1"/>
    <col min="3073" max="3073" width="29.28515625" bestFit="1" customWidth="1"/>
    <col min="3329" max="3329" width="29.28515625" bestFit="1" customWidth="1"/>
    <col min="3585" max="3585" width="29.28515625" bestFit="1" customWidth="1"/>
    <col min="3841" max="3841" width="29.28515625" bestFit="1" customWidth="1"/>
    <col min="4097" max="4097" width="29.28515625" bestFit="1" customWidth="1"/>
    <col min="4353" max="4353" width="29.28515625" bestFit="1" customWidth="1"/>
    <col min="4609" max="4609" width="29.28515625" bestFit="1" customWidth="1"/>
    <col min="4865" max="4865" width="29.28515625" bestFit="1" customWidth="1"/>
    <col min="5121" max="5121" width="29.28515625" bestFit="1" customWidth="1"/>
    <col min="5377" max="5377" width="29.28515625" bestFit="1" customWidth="1"/>
    <col min="5633" max="5633" width="29.28515625" bestFit="1" customWidth="1"/>
    <col min="5889" max="5889" width="29.28515625" bestFit="1" customWidth="1"/>
    <col min="6145" max="6145" width="29.28515625" bestFit="1" customWidth="1"/>
    <col min="6401" max="6401" width="29.28515625" bestFit="1" customWidth="1"/>
    <col min="6657" max="6657" width="29.28515625" bestFit="1" customWidth="1"/>
    <col min="6913" max="6913" width="29.28515625" bestFit="1" customWidth="1"/>
    <col min="7169" max="7169" width="29.28515625" bestFit="1" customWidth="1"/>
    <col min="7425" max="7425" width="29.28515625" bestFit="1" customWidth="1"/>
    <col min="7681" max="7681" width="29.28515625" bestFit="1" customWidth="1"/>
    <col min="7937" max="7937" width="29.28515625" bestFit="1" customWidth="1"/>
    <col min="8193" max="8193" width="29.28515625" bestFit="1" customWidth="1"/>
    <col min="8449" max="8449" width="29.28515625" bestFit="1" customWidth="1"/>
    <col min="8705" max="8705" width="29.28515625" bestFit="1" customWidth="1"/>
    <col min="8961" max="8961" width="29.28515625" bestFit="1" customWidth="1"/>
    <col min="9217" max="9217" width="29.28515625" bestFit="1" customWidth="1"/>
    <col min="9473" max="9473" width="29.28515625" bestFit="1" customWidth="1"/>
    <col min="9729" max="9729" width="29.28515625" bestFit="1" customWidth="1"/>
    <col min="9985" max="9985" width="29.28515625" bestFit="1" customWidth="1"/>
    <col min="10241" max="10241" width="29.28515625" bestFit="1" customWidth="1"/>
    <col min="10497" max="10497" width="29.28515625" bestFit="1" customWidth="1"/>
    <col min="10753" max="10753" width="29.28515625" bestFit="1" customWidth="1"/>
    <col min="11009" max="11009" width="29.28515625" bestFit="1" customWidth="1"/>
    <col min="11265" max="11265" width="29.28515625" bestFit="1" customWidth="1"/>
    <col min="11521" max="11521" width="29.28515625" bestFit="1" customWidth="1"/>
    <col min="11777" max="11777" width="29.28515625" bestFit="1" customWidth="1"/>
    <col min="12033" max="12033" width="29.28515625" bestFit="1" customWidth="1"/>
    <col min="12289" max="12289" width="29.28515625" bestFit="1" customWidth="1"/>
    <col min="12545" max="12545" width="29.28515625" bestFit="1" customWidth="1"/>
    <col min="12801" max="12801" width="29.28515625" bestFit="1" customWidth="1"/>
    <col min="13057" max="13057" width="29.28515625" bestFit="1" customWidth="1"/>
    <col min="13313" max="13313" width="29.28515625" bestFit="1" customWidth="1"/>
    <col min="13569" max="13569" width="29.28515625" bestFit="1" customWidth="1"/>
    <col min="13825" max="13825" width="29.28515625" bestFit="1" customWidth="1"/>
    <col min="14081" max="14081" width="29.28515625" bestFit="1" customWidth="1"/>
    <col min="14337" max="14337" width="29.28515625" bestFit="1" customWidth="1"/>
    <col min="14593" max="14593" width="29.28515625" bestFit="1" customWidth="1"/>
    <col min="14849" max="14849" width="29.28515625" bestFit="1" customWidth="1"/>
    <col min="15105" max="15105" width="29.28515625" bestFit="1" customWidth="1"/>
    <col min="15361" max="15361" width="29.28515625" bestFit="1" customWidth="1"/>
    <col min="15617" max="15617" width="29.28515625" bestFit="1" customWidth="1"/>
    <col min="15873" max="15873" width="29.28515625" bestFit="1" customWidth="1"/>
    <col min="16129" max="16129" width="29.28515625" bestFit="1" customWidth="1"/>
  </cols>
  <sheetData>
    <row r="1" spans="1:15" x14ac:dyDescent="0.25">
      <c r="A1" s="247" t="s">
        <v>47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13"/>
    </row>
    <row r="2" spans="1:15" ht="17.25" x14ac:dyDescent="0.3">
      <c r="A2" s="247"/>
      <c r="B2" s="247"/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18"/>
    </row>
    <row r="3" spans="1:15" ht="18.75" x14ac:dyDescent="0.25">
      <c r="A3" s="248" t="s">
        <v>509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19"/>
    </row>
    <row r="4" spans="1:15" x14ac:dyDescent="0.25">
      <c r="A4" s="14" t="s">
        <v>48</v>
      </c>
      <c r="B4" s="14" t="s">
        <v>49</v>
      </c>
      <c r="C4" s="14" t="s">
        <v>50</v>
      </c>
      <c r="D4" s="14" t="s">
        <v>51</v>
      </c>
      <c r="E4" s="14" t="s">
        <v>52</v>
      </c>
      <c r="F4" s="14" t="s">
        <v>53</v>
      </c>
      <c r="G4" s="14" t="s">
        <v>54</v>
      </c>
      <c r="H4" s="14" t="s">
        <v>55</v>
      </c>
      <c r="I4" s="14" t="s">
        <v>56</v>
      </c>
      <c r="J4" s="14" t="s">
        <v>57</v>
      </c>
      <c r="K4" s="14" t="s">
        <v>58</v>
      </c>
      <c r="L4" s="14" t="s">
        <v>59</v>
      </c>
      <c r="M4" s="14" t="s">
        <v>60</v>
      </c>
      <c r="N4" s="14" t="s">
        <v>61</v>
      </c>
      <c r="O4" s="15" t="s">
        <v>62</v>
      </c>
    </row>
    <row r="5" spans="1:15" x14ac:dyDescent="0.25">
      <c r="A5" s="152" t="s">
        <v>337</v>
      </c>
      <c r="B5" s="152" t="s">
        <v>338</v>
      </c>
      <c r="C5" s="153">
        <v>24</v>
      </c>
      <c r="D5" s="153">
        <v>24.1</v>
      </c>
      <c r="E5" s="153">
        <v>22.8</v>
      </c>
      <c r="F5" s="153">
        <v>20.2</v>
      </c>
      <c r="G5" s="153">
        <v>17.8</v>
      </c>
      <c r="H5" s="153">
        <v>15.6</v>
      </c>
      <c r="I5" s="153">
        <v>15.2</v>
      </c>
      <c r="J5" s="153">
        <v>16</v>
      </c>
      <c r="K5" s="153">
        <v>17.399999999999999</v>
      </c>
      <c r="L5" s="153">
        <v>19.100000000000001</v>
      </c>
      <c r="M5" s="153">
        <v>21.1</v>
      </c>
      <c r="N5" s="153">
        <v>22.9</v>
      </c>
      <c r="O5" s="153">
        <v>19.7</v>
      </c>
    </row>
    <row r="6" spans="1:15" x14ac:dyDescent="0.25">
      <c r="A6" s="152" t="s">
        <v>93</v>
      </c>
      <c r="B6" s="152" t="s">
        <v>94</v>
      </c>
      <c r="C6" s="153">
        <v>25.9</v>
      </c>
      <c r="D6" s="153">
        <v>25.7</v>
      </c>
      <c r="E6" s="153">
        <v>25.5</v>
      </c>
      <c r="F6" s="153">
        <v>25</v>
      </c>
      <c r="G6" s="153">
        <v>23.6</v>
      </c>
      <c r="H6" s="153">
        <v>22.5</v>
      </c>
      <c r="I6" s="153">
        <v>21.5</v>
      </c>
      <c r="J6" s="153">
        <v>21.5</v>
      </c>
      <c r="K6" s="153">
        <v>22.6</v>
      </c>
      <c r="L6" s="153">
        <v>24.3</v>
      </c>
      <c r="M6" s="153">
        <v>25.1</v>
      </c>
      <c r="N6" s="153">
        <v>25.5</v>
      </c>
      <c r="O6" s="153">
        <v>24.1</v>
      </c>
    </row>
    <row r="7" spans="1:15" x14ac:dyDescent="0.25">
      <c r="A7" s="152" t="s">
        <v>307</v>
      </c>
      <c r="B7" s="152" t="s">
        <v>308</v>
      </c>
      <c r="C7" s="153">
        <v>24.7</v>
      </c>
      <c r="D7" s="153">
        <v>24.4</v>
      </c>
      <c r="E7" s="153">
        <v>22.3</v>
      </c>
      <c r="F7" s="153">
        <v>18.7</v>
      </c>
      <c r="G7" s="153">
        <v>15.8</v>
      </c>
      <c r="H7" s="153">
        <v>13.7</v>
      </c>
      <c r="I7" s="153">
        <v>13.7</v>
      </c>
      <c r="J7" s="153">
        <v>14.6</v>
      </c>
      <c r="K7" s="153">
        <v>16.5</v>
      </c>
      <c r="L7" s="153">
        <v>18.899999999999999</v>
      </c>
      <c r="M7" s="153">
        <v>21.5</v>
      </c>
      <c r="N7" s="153">
        <v>24</v>
      </c>
      <c r="O7" s="153">
        <v>19.100000000000001</v>
      </c>
    </row>
    <row r="8" spans="1:15" x14ac:dyDescent="0.25">
      <c r="A8" s="152" t="s">
        <v>210</v>
      </c>
      <c r="B8" s="152" t="s">
        <v>211</v>
      </c>
      <c r="C8" s="153">
        <v>25.7</v>
      </c>
      <c r="D8" s="153">
        <v>25.4</v>
      </c>
      <c r="E8" s="153">
        <v>25.4</v>
      </c>
      <c r="F8" s="153">
        <v>25.7</v>
      </c>
      <c r="G8" s="153">
        <v>25.9</v>
      </c>
      <c r="H8" s="153">
        <v>25.7</v>
      </c>
      <c r="I8" s="153">
        <v>25.6</v>
      </c>
      <c r="J8" s="153">
        <v>26.2</v>
      </c>
      <c r="K8" s="153">
        <v>26.8</v>
      </c>
      <c r="L8" s="153">
        <v>27</v>
      </c>
      <c r="M8" s="153">
        <v>26.8</v>
      </c>
      <c r="N8" s="153">
        <v>26.4</v>
      </c>
      <c r="O8" s="153">
        <v>26.1</v>
      </c>
    </row>
    <row r="9" spans="1:15" x14ac:dyDescent="0.25">
      <c r="A9" s="152" t="s">
        <v>268</v>
      </c>
      <c r="B9" s="152" t="s">
        <v>269</v>
      </c>
      <c r="C9" s="153">
        <v>24.5</v>
      </c>
      <c r="D9" s="153">
        <v>24.6</v>
      </c>
      <c r="E9" s="153" t="s">
        <v>90</v>
      </c>
      <c r="F9" s="153">
        <v>21.2</v>
      </c>
      <c r="G9" s="153">
        <v>19.5</v>
      </c>
      <c r="H9" s="153">
        <v>19</v>
      </c>
      <c r="I9" s="153">
        <v>18.5</v>
      </c>
      <c r="J9" s="153">
        <v>19</v>
      </c>
      <c r="K9" s="153">
        <v>19.3</v>
      </c>
      <c r="L9" s="153">
        <v>20.2</v>
      </c>
      <c r="M9" s="153">
        <v>21.3</v>
      </c>
      <c r="N9" s="153">
        <v>22.8</v>
      </c>
      <c r="O9" s="153" t="s">
        <v>90</v>
      </c>
    </row>
    <row r="10" spans="1:15" x14ac:dyDescent="0.25">
      <c r="A10" s="152" t="s">
        <v>212</v>
      </c>
      <c r="B10" s="152" t="s">
        <v>211</v>
      </c>
      <c r="C10" s="153">
        <v>25.3</v>
      </c>
      <c r="D10" s="153">
        <v>25.2</v>
      </c>
      <c r="E10" s="153">
        <v>25.4</v>
      </c>
      <c r="F10" s="153">
        <v>25.5</v>
      </c>
      <c r="G10" s="153">
        <v>25.5</v>
      </c>
      <c r="H10" s="153">
        <v>25</v>
      </c>
      <c r="I10" s="153">
        <v>24.4</v>
      </c>
      <c r="J10" s="153">
        <v>25.5</v>
      </c>
      <c r="K10" s="153">
        <v>25.7</v>
      </c>
      <c r="L10" s="153">
        <v>25.8</v>
      </c>
      <c r="M10" s="153">
        <v>25.6</v>
      </c>
      <c r="N10" s="153">
        <v>25.5</v>
      </c>
      <c r="O10" s="153">
        <v>25.4</v>
      </c>
    </row>
    <row r="11" spans="1:15" x14ac:dyDescent="0.25">
      <c r="A11" s="152" t="s">
        <v>270</v>
      </c>
      <c r="B11" s="152" t="s">
        <v>269</v>
      </c>
      <c r="C11" s="153">
        <v>25.9</v>
      </c>
      <c r="D11" s="153">
        <v>26.4</v>
      </c>
      <c r="E11" s="153">
        <v>25.7</v>
      </c>
      <c r="F11" s="153">
        <v>23.8</v>
      </c>
      <c r="G11" s="153">
        <v>22.1</v>
      </c>
      <c r="H11" s="153">
        <v>20.7</v>
      </c>
      <c r="I11" s="153">
        <v>20.2</v>
      </c>
      <c r="J11" s="153">
        <v>20.8</v>
      </c>
      <c r="K11" s="153">
        <v>21.4</v>
      </c>
      <c r="L11" s="153">
        <v>22.3</v>
      </c>
      <c r="M11" s="153">
        <v>23.5</v>
      </c>
      <c r="N11" s="153">
        <v>24.9</v>
      </c>
      <c r="O11" s="153">
        <v>23.1</v>
      </c>
    </row>
    <row r="12" spans="1:15" x14ac:dyDescent="0.25">
      <c r="A12" s="152" t="s">
        <v>296</v>
      </c>
      <c r="B12" s="152" t="s">
        <v>297</v>
      </c>
      <c r="C12" s="153">
        <v>28.1</v>
      </c>
      <c r="D12" s="153">
        <v>27.3</v>
      </c>
      <c r="E12" s="153">
        <v>26.4</v>
      </c>
      <c r="F12" s="153">
        <v>26.8</v>
      </c>
      <c r="G12" s="153">
        <v>26.3</v>
      </c>
      <c r="H12" s="153">
        <v>26.2</v>
      </c>
      <c r="I12" s="153">
        <v>26</v>
      </c>
      <c r="J12" s="153">
        <v>26.7</v>
      </c>
      <c r="K12" s="153">
        <v>27.3</v>
      </c>
      <c r="L12" s="153">
        <v>27.9</v>
      </c>
      <c r="M12" s="153">
        <v>28</v>
      </c>
      <c r="N12" s="153">
        <v>27.9</v>
      </c>
      <c r="O12" s="153">
        <v>27.1</v>
      </c>
    </row>
    <row r="13" spans="1:15" x14ac:dyDescent="0.25">
      <c r="A13" s="152" t="s">
        <v>352</v>
      </c>
      <c r="B13" s="152" t="s">
        <v>353</v>
      </c>
      <c r="C13" s="153">
        <v>27</v>
      </c>
      <c r="D13" s="153">
        <v>27.1</v>
      </c>
      <c r="E13" s="153">
        <v>27.1</v>
      </c>
      <c r="F13" s="153">
        <v>26.7</v>
      </c>
      <c r="G13" s="153">
        <v>26</v>
      </c>
      <c r="H13" s="153">
        <v>25.1</v>
      </c>
      <c r="I13" s="153">
        <v>24.4</v>
      </c>
      <c r="J13" s="153">
        <v>24.4</v>
      </c>
      <c r="K13" s="153">
        <v>25</v>
      </c>
      <c r="L13" s="153">
        <v>25.9</v>
      </c>
      <c r="M13" s="153">
        <v>26.3</v>
      </c>
      <c r="N13" s="153">
        <v>26.6</v>
      </c>
      <c r="O13" s="153">
        <v>26</v>
      </c>
    </row>
    <row r="14" spans="1:15" x14ac:dyDescent="0.25">
      <c r="A14" s="152" t="s">
        <v>356</v>
      </c>
      <c r="B14" s="152" t="s">
        <v>357</v>
      </c>
      <c r="C14" s="153">
        <v>25.2</v>
      </c>
      <c r="D14" s="153">
        <v>25.3</v>
      </c>
      <c r="E14" s="153">
        <v>24.9</v>
      </c>
      <c r="F14" s="153">
        <v>22.9</v>
      </c>
      <c r="G14" s="153">
        <v>20.2</v>
      </c>
      <c r="H14" s="153">
        <v>19.2</v>
      </c>
      <c r="I14" s="153">
        <v>18.8</v>
      </c>
      <c r="J14" s="153">
        <v>21.1</v>
      </c>
      <c r="K14" s="153">
        <v>23.2</v>
      </c>
      <c r="L14" s="153">
        <v>23.8</v>
      </c>
      <c r="M14" s="153">
        <v>24.5</v>
      </c>
      <c r="N14" s="153">
        <v>24.8</v>
      </c>
      <c r="O14" s="153">
        <v>22.8</v>
      </c>
    </row>
    <row r="15" spans="1:15" x14ac:dyDescent="0.25">
      <c r="A15" s="152" t="s">
        <v>149</v>
      </c>
      <c r="B15" s="152" t="s">
        <v>148</v>
      </c>
      <c r="C15" s="153">
        <v>25.6</v>
      </c>
      <c r="D15" s="153">
        <v>26</v>
      </c>
      <c r="E15" s="153">
        <v>25.9</v>
      </c>
      <c r="F15" s="153">
        <v>24.6</v>
      </c>
      <c r="G15" s="153">
        <v>22.8</v>
      </c>
      <c r="H15" s="153">
        <v>21.5</v>
      </c>
      <c r="I15" s="153">
        <v>21.3</v>
      </c>
      <c r="J15" s="153">
        <v>22.5</v>
      </c>
      <c r="K15" s="153">
        <v>24.5</v>
      </c>
      <c r="L15" s="153">
        <v>25.3</v>
      </c>
      <c r="M15" s="153">
        <v>25</v>
      </c>
      <c r="N15" s="153">
        <v>24.9</v>
      </c>
      <c r="O15" s="153">
        <v>24.2</v>
      </c>
    </row>
    <row r="16" spans="1:15" x14ac:dyDescent="0.25">
      <c r="A16" s="152" t="s">
        <v>130</v>
      </c>
      <c r="B16" s="152" t="s">
        <v>131</v>
      </c>
      <c r="C16" s="153">
        <v>25.3</v>
      </c>
      <c r="D16" s="153">
        <v>25.4</v>
      </c>
      <c r="E16" s="153">
        <v>25.5</v>
      </c>
      <c r="F16" s="153">
        <v>25.3</v>
      </c>
      <c r="G16" s="153">
        <v>23.8</v>
      </c>
      <c r="H16" s="153">
        <v>22.5</v>
      </c>
      <c r="I16" s="153">
        <v>22.2</v>
      </c>
      <c r="J16" s="153">
        <v>24.3</v>
      </c>
      <c r="K16" s="153">
        <v>26.1</v>
      </c>
      <c r="L16" s="153">
        <v>26.7</v>
      </c>
      <c r="M16" s="153">
        <v>25.9</v>
      </c>
      <c r="N16" s="153">
        <v>25.4</v>
      </c>
      <c r="O16" s="153">
        <v>24.9</v>
      </c>
    </row>
    <row r="17" spans="1:15" x14ac:dyDescent="0.25">
      <c r="A17" s="152" t="s">
        <v>271</v>
      </c>
      <c r="B17" s="152" t="s">
        <v>269</v>
      </c>
      <c r="C17" s="153">
        <v>21.7</v>
      </c>
      <c r="D17" s="153">
        <v>21.9</v>
      </c>
      <c r="E17" s="153">
        <v>21.1</v>
      </c>
      <c r="F17" s="153">
        <v>18.899999999999999</v>
      </c>
      <c r="G17" s="153">
        <v>15.9</v>
      </c>
      <c r="H17" s="153">
        <v>14.8</v>
      </c>
      <c r="I17" s="153">
        <v>14</v>
      </c>
      <c r="J17" s="153">
        <v>15.5</v>
      </c>
      <c r="K17" s="153">
        <v>17.7</v>
      </c>
      <c r="L17" s="153">
        <v>19</v>
      </c>
      <c r="M17" s="153">
        <v>19.8</v>
      </c>
      <c r="N17" s="153">
        <v>21</v>
      </c>
      <c r="O17" s="153">
        <v>18.399999999999999</v>
      </c>
    </row>
    <row r="18" spans="1:15" x14ac:dyDescent="0.25">
      <c r="A18" s="152" t="s">
        <v>150</v>
      </c>
      <c r="B18" s="152" t="s">
        <v>148</v>
      </c>
      <c r="C18" s="153">
        <v>21.5</v>
      </c>
      <c r="D18" s="153">
        <v>22</v>
      </c>
      <c r="E18" s="153">
        <v>22</v>
      </c>
      <c r="F18" s="153">
        <v>20.3</v>
      </c>
      <c r="G18" s="153">
        <v>18.7</v>
      </c>
      <c r="H18" s="153">
        <v>17.899999999999999</v>
      </c>
      <c r="I18" s="153">
        <v>17.5</v>
      </c>
      <c r="J18" s="153">
        <v>19.399999999999999</v>
      </c>
      <c r="K18" s="153">
        <v>20</v>
      </c>
      <c r="L18" s="153">
        <v>21.1</v>
      </c>
      <c r="M18" s="153">
        <v>21</v>
      </c>
      <c r="N18" s="153">
        <v>21</v>
      </c>
      <c r="O18" s="153">
        <v>20.2</v>
      </c>
    </row>
    <row r="19" spans="1:15" x14ac:dyDescent="0.25">
      <c r="A19" s="152" t="s">
        <v>234</v>
      </c>
      <c r="B19" s="152" t="s">
        <v>235</v>
      </c>
      <c r="C19" s="153">
        <v>24.5</v>
      </c>
      <c r="D19" s="153">
        <v>24.2</v>
      </c>
      <c r="E19" s="153">
        <v>24.2</v>
      </c>
      <c r="F19" s="153">
        <v>23.3</v>
      </c>
      <c r="G19" s="153">
        <v>21.9</v>
      </c>
      <c r="H19" s="153">
        <v>20.8</v>
      </c>
      <c r="I19" s="153">
        <v>20.2</v>
      </c>
      <c r="J19" s="153">
        <v>20.7</v>
      </c>
      <c r="K19" s="153">
        <v>22.1</v>
      </c>
      <c r="L19" s="153">
        <v>23.8</v>
      </c>
      <c r="M19" s="153">
        <v>24.5</v>
      </c>
      <c r="N19" s="153">
        <v>24.7</v>
      </c>
      <c r="O19" s="153">
        <v>22.9</v>
      </c>
    </row>
    <row r="20" spans="1:15" x14ac:dyDescent="0.25">
      <c r="A20" s="152" t="s">
        <v>358</v>
      </c>
      <c r="B20" s="152" t="s">
        <v>357</v>
      </c>
      <c r="C20" s="153">
        <v>22.5</v>
      </c>
      <c r="D20" s="153">
        <v>22.8</v>
      </c>
      <c r="E20" s="153">
        <v>22.1</v>
      </c>
      <c r="F20" s="153">
        <v>19.600000000000001</v>
      </c>
      <c r="G20" s="153">
        <v>17.8</v>
      </c>
      <c r="H20" s="153">
        <v>16.899999999999999</v>
      </c>
      <c r="I20" s="153">
        <v>16.8</v>
      </c>
      <c r="J20" s="153">
        <v>17.5</v>
      </c>
      <c r="K20" s="153">
        <v>18.3</v>
      </c>
      <c r="L20" s="153">
        <v>20.100000000000001</v>
      </c>
      <c r="M20" s="153">
        <v>20.9</v>
      </c>
      <c r="N20" s="153">
        <v>21.7</v>
      </c>
      <c r="O20" s="153">
        <v>19.8</v>
      </c>
    </row>
    <row r="21" spans="1:15" x14ac:dyDescent="0.25">
      <c r="A21" s="152" t="s">
        <v>309</v>
      </c>
      <c r="B21" s="152" t="s">
        <v>308</v>
      </c>
      <c r="C21" s="153">
        <v>23.9</v>
      </c>
      <c r="D21" s="153">
        <v>23.3</v>
      </c>
      <c r="E21" s="153">
        <v>21.4</v>
      </c>
      <c r="F21" s="153">
        <v>17.8</v>
      </c>
      <c r="G21" s="153">
        <v>15</v>
      </c>
      <c r="H21" s="153">
        <v>12.4</v>
      </c>
      <c r="I21" s="153">
        <v>12.5</v>
      </c>
      <c r="J21" s="153">
        <v>13.1</v>
      </c>
      <c r="K21" s="153">
        <v>15.1</v>
      </c>
      <c r="L21" s="153">
        <v>17.5</v>
      </c>
      <c r="M21" s="153">
        <v>20</v>
      </c>
      <c r="N21" s="153">
        <v>22.8</v>
      </c>
      <c r="O21" s="153">
        <v>17.899999999999999</v>
      </c>
    </row>
    <row r="22" spans="1:15" x14ac:dyDescent="0.25">
      <c r="A22" s="152" t="s">
        <v>151</v>
      </c>
      <c r="B22" s="152" t="s">
        <v>148</v>
      </c>
      <c r="C22" s="153">
        <v>23.2</v>
      </c>
      <c r="D22" s="153">
        <v>23.4</v>
      </c>
      <c r="E22" s="153">
        <v>23.1</v>
      </c>
      <c r="F22" s="153">
        <v>20.9</v>
      </c>
      <c r="G22" s="153">
        <v>18.2</v>
      </c>
      <c r="H22" s="153">
        <v>16.600000000000001</v>
      </c>
      <c r="I22" s="153">
        <v>16.100000000000001</v>
      </c>
      <c r="J22" s="153">
        <v>18.399999999999999</v>
      </c>
      <c r="K22" s="153">
        <v>20.2</v>
      </c>
      <c r="L22" s="153">
        <v>22.2</v>
      </c>
      <c r="M22" s="153">
        <v>22.4</v>
      </c>
      <c r="N22" s="153">
        <v>22.6</v>
      </c>
      <c r="O22" s="153">
        <v>20.6</v>
      </c>
    </row>
    <row r="23" spans="1:15" x14ac:dyDescent="0.25">
      <c r="A23" s="152" t="s">
        <v>359</v>
      </c>
      <c r="B23" s="152" t="s">
        <v>357</v>
      </c>
      <c r="C23" s="153">
        <v>24.3</v>
      </c>
      <c r="D23" s="153">
        <v>24.2</v>
      </c>
      <c r="E23" s="153">
        <v>23.7</v>
      </c>
      <c r="F23" s="153">
        <v>22.2</v>
      </c>
      <c r="G23" s="153">
        <v>19.399999999999999</v>
      </c>
      <c r="H23" s="153">
        <v>17.7</v>
      </c>
      <c r="I23" s="153">
        <v>17.2</v>
      </c>
      <c r="J23" s="153">
        <v>18.100000000000001</v>
      </c>
      <c r="K23" s="153" t="s">
        <v>90</v>
      </c>
      <c r="L23" s="153">
        <v>20.7</v>
      </c>
      <c r="M23" s="153">
        <v>22.1</v>
      </c>
      <c r="N23" s="153">
        <v>23.2</v>
      </c>
      <c r="O23" s="153" t="s">
        <v>90</v>
      </c>
    </row>
    <row r="24" spans="1:15" x14ac:dyDescent="0.25">
      <c r="A24" s="152" t="s">
        <v>272</v>
      </c>
      <c r="B24" s="152" t="s">
        <v>269</v>
      </c>
      <c r="C24" s="153">
        <v>27</v>
      </c>
      <c r="D24" s="153">
        <v>27.1</v>
      </c>
      <c r="E24" s="153">
        <v>26.4</v>
      </c>
      <c r="F24" s="153">
        <v>24.2</v>
      </c>
      <c r="G24" s="153">
        <v>22</v>
      </c>
      <c r="H24" s="153">
        <v>21.1</v>
      </c>
      <c r="I24" s="153">
        <v>20.5</v>
      </c>
      <c r="J24" s="153">
        <v>21.8</v>
      </c>
      <c r="K24" s="153">
        <v>22.5</v>
      </c>
      <c r="L24" s="153">
        <v>23.4</v>
      </c>
      <c r="M24" s="153">
        <v>24.3</v>
      </c>
      <c r="N24" s="153">
        <v>25.9</v>
      </c>
      <c r="O24" s="153">
        <v>23.9</v>
      </c>
    </row>
    <row r="25" spans="1:15" x14ac:dyDescent="0.25">
      <c r="A25" s="152" t="s">
        <v>152</v>
      </c>
      <c r="B25" s="152" t="s">
        <v>148</v>
      </c>
      <c r="C25" s="153">
        <v>20.2</v>
      </c>
      <c r="D25" s="153">
        <v>20.5</v>
      </c>
      <c r="E25" s="153">
        <v>20</v>
      </c>
      <c r="F25" s="153">
        <v>18.100000000000001</v>
      </c>
      <c r="G25" s="153">
        <v>16.3</v>
      </c>
      <c r="H25" s="153">
        <v>15.2</v>
      </c>
      <c r="I25" s="153">
        <v>14.7</v>
      </c>
      <c r="J25" s="153">
        <v>16.100000000000001</v>
      </c>
      <c r="K25" s="153">
        <v>17</v>
      </c>
      <c r="L25" s="153">
        <v>18.100000000000001</v>
      </c>
      <c r="M25" s="153">
        <v>18.899999999999999</v>
      </c>
      <c r="N25" s="153">
        <v>19.5</v>
      </c>
      <c r="O25" s="153">
        <v>17.899999999999999</v>
      </c>
    </row>
    <row r="26" spans="1:15" x14ac:dyDescent="0.25">
      <c r="A26" s="152" t="s">
        <v>114</v>
      </c>
      <c r="B26" s="152" t="s">
        <v>113</v>
      </c>
      <c r="C26" s="153">
        <v>25.3</v>
      </c>
      <c r="D26" s="153">
        <v>24.6</v>
      </c>
      <c r="E26" s="153">
        <v>24.2</v>
      </c>
      <c r="F26" s="153">
        <v>24</v>
      </c>
      <c r="G26" s="153">
        <v>23.9</v>
      </c>
      <c r="H26" s="153">
        <v>23.7</v>
      </c>
      <c r="I26" s="153">
        <v>23.7</v>
      </c>
      <c r="J26" s="153">
        <v>24.6</v>
      </c>
      <c r="K26" s="153">
        <v>26</v>
      </c>
      <c r="L26" s="153">
        <v>26.4</v>
      </c>
      <c r="M26" s="153">
        <v>26.5</v>
      </c>
      <c r="N26" s="153">
        <v>26.2</v>
      </c>
      <c r="O26" s="153">
        <v>24.9</v>
      </c>
    </row>
    <row r="27" spans="1:15" x14ac:dyDescent="0.25">
      <c r="A27" s="152" t="s">
        <v>70</v>
      </c>
      <c r="B27" s="152" t="s">
        <v>71</v>
      </c>
      <c r="C27" s="153">
        <v>25.9</v>
      </c>
      <c r="D27" s="153">
        <v>26.3</v>
      </c>
      <c r="E27" s="153">
        <v>26.3</v>
      </c>
      <c r="F27" s="153">
        <v>26</v>
      </c>
      <c r="G27" s="153">
        <v>25.6</v>
      </c>
      <c r="H27" s="153">
        <v>25.4</v>
      </c>
      <c r="I27" s="153">
        <v>25.4</v>
      </c>
      <c r="J27" s="153">
        <v>25.7</v>
      </c>
      <c r="K27" s="153">
        <v>25.9</v>
      </c>
      <c r="L27" s="153">
        <v>26.2</v>
      </c>
      <c r="M27" s="153">
        <v>26.3</v>
      </c>
      <c r="N27" s="153">
        <v>26.3</v>
      </c>
      <c r="O27" s="153">
        <v>25.9</v>
      </c>
    </row>
    <row r="28" spans="1:15" x14ac:dyDescent="0.25">
      <c r="A28" s="152" t="s">
        <v>141</v>
      </c>
      <c r="B28" s="152" t="s">
        <v>140</v>
      </c>
      <c r="C28" s="153">
        <v>25.1</v>
      </c>
      <c r="D28" s="153">
        <v>25</v>
      </c>
      <c r="E28" s="153">
        <v>25</v>
      </c>
      <c r="F28" s="153">
        <v>25.2</v>
      </c>
      <c r="G28" s="153">
        <v>24.9</v>
      </c>
      <c r="H28" s="153">
        <v>24.6</v>
      </c>
      <c r="I28" s="153">
        <v>24.4</v>
      </c>
      <c r="J28" s="153">
        <v>25.5</v>
      </c>
      <c r="K28" s="153">
        <v>27</v>
      </c>
      <c r="L28" s="153">
        <v>27.4</v>
      </c>
      <c r="M28" s="153">
        <v>26.5</v>
      </c>
      <c r="N28" s="153">
        <v>25.8</v>
      </c>
      <c r="O28" s="153">
        <v>25.5</v>
      </c>
    </row>
    <row r="29" spans="1:15" x14ac:dyDescent="0.25">
      <c r="A29" s="152" t="s">
        <v>95</v>
      </c>
      <c r="B29" s="152" t="s">
        <v>94</v>
      </c>
      <c r="C29" s="153">
        <v>24.7</v>
      </c>
      <c r="D29" s="153">
        <v>24.7</v>
      </c>
      <c r="E29" s="153">
        <v>24.5</v>
      </c>
      <c r="F29" s="153">
        <v>24.4</v>
      </c>
      <c r="G29" s="153">
        <v>23.4</v>
      </c>
      <c r="H29" s="153">
        <v>22</v>
      </c>
      <c r="I29" s="153">
        <v>21.9</v>
      </c>
      <c r="J29" s="153">
        <v>23.6</v>
      </c>
      <c r="K29" s="153">
        <v>25.9</v>
      </c>
      <c r="L29" s="153">
        <v>26.4</v>
      </c>
      <c r="M29" s="153">
        <v>25.3</v>
      </c>
      <c r="N29" s="153">
        <v>24.6</v>
      </c>
      <c r="O29" s="153">
        <v>24.3</v>
      </c>
    </row>
    <row r="30" spans="1:15" x14ac:dyDescent="0.25">
      <c r="A30" s="152" t="s">
        <v>273</v>
      </c>
      <c r="B30" s="152" t="s">
        <v>269</v>
      </c>
      <c r="C30" s="153">
        <v>21.8</v>
      </c>
      <c r="D30" s="153">
        <v>22</v>
      </c>
      <c r="E30" s="153">
        <v>21.3</v>
      </c>
      <c r="F30" s="153">
        <v>19.2</v>
      </c>
      <c r="G30" s="153">
        <v>17</v>
      </c>
      <c r="H30" s="153">
        <v>16.2</v>
      </c>
      <c r="I30" s="153">
        <v>15.5</v>
      </c>
      <c r="J30" s="153">
        <v>17.100000000000001</v>
      </c>
      <c r="K30" s="153">
        <v>18.3</v>
      </c>
      <c r="L30" s="153">
        <v>19</v>
      </c>
      <c r="M30" s="153">
        <v>20</v>
      </c>
      <c r="N30" s="153">
        <v>21</v>
      </c>
      <c r="O30" s="153">
        <v>19</v>
      </c>
    </row>
    <row r="31" spans="1:15" x14ac:dyDescent="0.25">
      <c r="A31" s="152" t="s">
        <v>213</v>
      </c>
      <c r="B31" s="152" t="s">
        <v>211</v>
      </c>
      <c r="C31" s="153">
        <v>25.6</v>
      </c>
      <c r="D31" s="153">
        <v>25.4</v>
      </c>
      <c r="E31" s="153">
        <v>25.5</v>
      </c>
      <c r="F31" s="153">
        <v>25.6</v>
      </c>
      <c r="G31" s="153">
        <v>25.8</v>
      </c>
      <c r="H31" s="153">
        <v>26</v>
      </c>
      <c r="I31" s="153">
        <v>25.7</v>
      </c>
      <c r="J31" s="153">
        <v>26</v>
      </c>
      <c r="K31" s="153">
        <v>26</v>
      </c>
      <c r="L31" s="153">
        <v>26.4</v>
      </c>
      <c r="M31" s="153">
        <v>26.5</v>
      </c>
      <c r="N31" s="153">
        <v>26.2</v>
      </c>
      <c r="O31" s="153">
        <v>25.9</v>
      </c>
    </row>
    <row r="32" spans="1:15" x14ac:dyDescent="0.25">
      <c r="A32" s="152" t="s">
        <v>153</v>
      </c>
      <c r="B32" s="152" t="s">
        <v>148</v>
      </c>
      <c r="C32" s="153">
        <v>22.8</v>
      </c>
      <c r="D32" s="153">
        <v>23</v>
      </c>
      <c r="E32" s="153">
        <v>22.9</v>
      </c>
      <c r="F32" s="153">
        <v>21.7</v>
      </c>
      <c r="G32" s="153">
        <v>19.600000000000001</v>
      </c>
      <c r="H32" s="153">
        <v>18.5</v>
      </c>
      <c r="I32" s="153">
        <v>18</v>
      </c>
      <c r="J32" s="153">
        <v>19.7</v>
      </c>
      <c r="K32" s="153">
        <v>21.1</v>
      </c>
      <c r="L32" s="153">
        <v>21.7</v>
      </c>
      <c r="M32" s="153">
        <v>22.2</v>
      </c>
      <c r="N32" s="153">
        <v>22.2</v>
      </c>
      <c r="O32" s="153">
        <v>21.1</v>
      </c>
    </row>
    <row r="33" spans="1:15" x14ac:dyDescent="0.25">
      <c r="A33" s="152" t="s">
        <v>214</v>
      </c>
      <c r="B33" s="152" t="s">
        <v>211</v>
      </c>
      <c r="C33" s="153">
        <v>24.8</v>
      </c>
      <c r="D33" s="153">
        <v>24.5</v>
      </c>
      <c r="E33" s="153">
        <v>24.6</v>
      </c>
      <c r="F33" s="153">
        <v>24.7</v>
      </c>
      <c r="G33" s="153">
        <v>24.6</v>
      </c>
      <c r="H33" s="153">
        <v>24.4</v>
      </c>
      <c r="I33" s="153">
        <v>24.3</v>
      </c>
      <c r="J33" s="153">
        <v>24.8</v>
      </c>
      <c r="K33" s="153">
        <v>25.4</v>
      </c>
      <c r="L33" s="153">
        <v>25.8</v>
      </c>
      <c r="M33" s="153">
        <v>25.8</v>
      </c>
      <c r="N33" s="153">
        <v>25.3</v>
      </c>
      <c r="O33" s="153">
        <v>24.9</v>
      </c>
    </row>
    <row r="34" spans="1:15" x14ac:dyDescent="0.25">
      <c r="A34" s="152" t="s">
        <v>72</v>
      </c>
      <c r="B34" s="152" t="s">
        <v>71</v>
      </c>
      <c r="C34" s="153">
        <v>25.5</v>
      </c>
      <c r="D34" s="153">
        <v>25.5</v>
      </c>
      <c r="E34" s="153">
        <v>25.7</v>
      </c>
      <c r="F34" s="153">
        <v>25.7</v>
      </c>
      <c r="G34" s="153">
        <v>25.5</v>
      </c>
      <c r="H34" s="153">
        <v>25.2</v>
      </c>
      <c r="I34" s="153">
        <v>25.1</v>
      </c>
      <c r="J34" s="153">
        <v>25.4</v>
      </c>
      <c r="K34" s="153">
        <v>25.7</v>
      </c>
      <c r="L34" s="153">
        <v>25.9</v>
      </c>
      <c r="M34" s="153">
        <v>25.7</v>
      </c>
      <c r="N34" s="153">
        <v>25.5</v>
      </c>
      <c r="O34" s="153">
        <v>25.5</v>
      </c>
    </row>
    <row r="35" spans="1:15" x14ac:dyDescent="0.25">
      <c r="A35" s="152" t="s">
        <v>310</v>
      </c>
      <c r="B35" s="152" t="s">
        <v>308</v>
      </c>
      <c r="C35" s="153">
        <v>21.7</v>
      </c>
      <c r="D35" s="153">
        <v>21.8</v>
      </c>
      <c r="E35" s="153">
        <v>20.2</v>
      </c>
      <c r="F35" s="153">
        <v>17.3</v>
      </c>
      <c r="G35" s="153">
        <v>14.9</v>
      </c>
      <c r="H35" s="153">
        <v>13</v>
      </c>
      <c r="I35" s="153">
        <v>13.1</v>
      </c>
      <c r="J35" s="153">
        <v>13.5</v>
      </c>
      <c r="K35" s="153">
        <v>15.3</v>
      </c>
      <c r="L35" s="153">
        <v>17</v>
      </c>
      <c r="M35" s="153">
        <v>18.8</v>
      </c>
      <c r="N35" s="153">
        <v>20.8</v>
      </c>
      <c r="O35" s="153">
        <v>17.3</v>
      </c>
    </row>
    <row r="36" spans="1:15" x14ac:dyDescent="0.25">
      <c r="A36" s="152" t="s">
        <v>305</v>
      </c>
      <c r="B36" s="152" t="s">
        <v>306</v>
      </c>
      <c r="C36" s="153">
        <v>27.5</v>
      </c>
      <c r="D36" s="153">
        <v>28</v>
      </c>
      <c r="E36" s="153">
        <v>28.4</v>
      </c>
      <c r="F36" s="153">
        <v>28</v>
      </c>
      <c r="G36" s="153">
        <v>26.9</v>
      </c>
      <c r="H36" s="153">
        <v>25.9</v>
      </c>
      <c r="I36" s="153">
        <v>25.8</v>
      </c>
      <c r="J36" s="153">
        <v>26.6</v>
      </c>
      <c r="K36" s="153">
        <v>27.7</v>
      </c>
      <c r="L36" s="153">
        <v>28.2</v>
      </c>
      <c r="M36" s="153">
        <v>28</v>
      </c>
      <c r="N36" s="153">
        <v>27.6</v>
      </c>
      <c r="O36" s="153">
        <v>27.4</v>
      </c>
    </row>
    <row r="37" spans="1:15" x14ac:dyDescent="0.25">
      <c r="A37" s="152" t="s">
        <v>311</v>
      </c>
      <c r="B37" s="152" t="s">
        <v>308</v>
      </c>
      <c r="C37" s="153">
        <v>18.600000000000001</v>
      </c>
      <c r="D37" s="153">
        <v>19</v>
      </c>
      <c r="E37" s="153">
        <v>17.7</v>
      </c>
      <c r="F37" s="153">
        <v>14.8</v>
      </c>
      <c r="G37" s="153">
        <v>12.6</v>
      </c>
      <c r="H37" s="153">
        <v>11</v>
      </c>
      <c r="I37" s="153">
        <v>11.3</v>
      </c>
      <c r="J37" s="153">
        <v>11.6</v>
      </c>
      <c r="K37" s="153">
        <v>13.2</v>
      </c>
      <c r="L37" s="153">
        <v>14.2</v>
      </c>
      <c r="M37" s="153">
        <v>15.6</v>
      </c>
      <c r="N37" s="153">
        <v>17.8</v>
      </c>
      <c r="O37" s="153">
        <v>14.8</v>
      </c>
    </row>
    <row r="38" spans="1:15" x14ac:dyDescent="0.25">
      <c r="A38" s="152" t="s">
        <v>96</v>
      </c>
      <c r="B38" s="152" t="s">
        <v>94</v>
      </c>
      <c r="C38" s="153">
        <v>25.3</v>
      </c>
      <c r="D38" s="153">
        <v>25.4</v>
      </c>
      <c r="E38" s="153">
        <v>25.3</v>
      </c>
      <c r="F38" s="153">
        <v>25.1</v>
      </c>
      <c r="G38" s="153">
        <v>24.5</v>
      </c>
      <c r="H38" s="153">
        <v>23.1</v>
      </c>
      <c r="I38" s="153">
        <v>23</v>
      </c>
      <c r="J38" s="153">
        <v>24.4</v>
      </c>
      <c r="K38" s="153">
        <v>26.2</v>
      </c>
      <c r="L38" s="153">
        <v>26.4</v>
      </c>
      <c r="M38" s="153">
        <v>25.4</v>
      </c>
      <c r="N38" s="153">
        <v>25</v>
      </c>
      <c r="O38" s="153">
        <v>24.9</v>
      </c>
    </row>
    <row r="39" spans="1:15" x14ac:dyDescent="0.25">
      <c r="A39" s="152" t="s">
        <v>245</v>
      </c>
      <c r="B39" s="152" t="s">
        <v>246</v>
      </c>
      <c r="C39" s="153">
        <v>25.4</v>
      </c>
      <c r="D39" s="153">
        <v>25.3</v>
      </c>
      <c r="E39" s="153">
        <v>25.5</v>
      </c>
      <c r="F39" s="153">
        <v>25.6</v>
      </c>
      <c r="G39" s="153">
        <v>25.8</v>
      </c>
      <c r="H39" s="153">
        <v>25.5</v>
      </c>
      <c r="I39" s="153">
        <v>25.6</v>
      </c>
      <c r="J39" s="153">
        <v>27</v>
      </c>
      <c r="K39" s="153">
        <v>28.5</v>
      </c>
      <c r="L39" s="153">
        <v>27.7</v>
      </c>
      <c r="M39" s="153">
        <v>26.2</v>
      </c>
      <c r="N39" s="153">
        <v>26</v>
      </c>
      <c r="O39" s="153">
        <v>26.2</v>
      </c>
    </row>
    <row r="40" spans="1:15" x14ac:dyDescent="0.25">
      <c r="A40" s="152" t="s">
        <v>124</v>
      </c>
      <c r="B40" s="152" t="s">
        <v>125</v>
      </c>
      <c r="C40" s="153">
        <v>21.2</v>
      </c>
      <c r="D40" s="153">
        <v>21.3</v>
      </c>
      <c r="E40" s="153">
        <v>21.5</v>
      </c>
      <c r="F40" s="153">
        <v>20.9</v>
      </c>
      <c r="G40" s="153">
        <v>19.600000000000001</v>
      </c>
      <c r="H40" s="153">
        <v>18.5</v>
      </c>
      <c r="I40" s="153">
        <v>18.3</v>
      </c>
      <c r="J40" s="153">
        <v>20.3</v>
      </c>
      <c r="K40" s="153">
        <v>21.7</v>
      </c>
      <c r="L40" s="153">
        <v>21.6</v>
      </c>
      <c r="M40" s="153">
        <v>21.1</v>
      </c>
      <c r="N40" s="153">
        <v>21</v>
      </c>
      <c r="O40" s="153">
        <v>20.6</v>
      </c>
    </row>
    <row r="41" spans="1:15" x14ac:dyDescent="0.25">
      <c r="A41" s="152" t="s">
        <v>215</v>
      </c>
      <c r="B41" s="152" t="s">
        <v>211</v>
      </c>
      <c r="C41" s="153">
        <v>25.5</v>
      </c>
      <c r="D41" s="153">
        <v>25.4</v>
      </c>
      <c r="E41" s="153">
        <v>25.5</v>
      </c>
      <c r="F41" s="153">
        <v>25.8</v>
      </c>
      <c r="G41" s="153">
        <v>26.1</v>
      </c>
      <c r="H41" s="153">
        <v>26</v>
      </c>
      <c r="I41" s="153">
        <v>26</v>
      </c>
      <c r="J41" s="153">
        <v>26.2</v>
      </c>
      <c r="K41" s="153">
        <v>26.3</v>
      </c>
      <c r="L41" s="153">
        <v>26.5</v>
      </c>
      <c r="M41" s="153">
        <v>26.5</v>
      </c>
      <c r="N41" s="153">
        <v>26.1</v>
      </c>
      <c r="O41" s="153">
        <v>26</v>
      </c>
    </row>
    <row r="42" spans="1:15" x14ac:dyDescent="0.25">
      <c r="A42" s="152" t="s">
        <v>274</v>
      </c>
      <c r="B42" s="152" t="s">
        <v>269</v>
      </c>
      <c r="C42" s="153">
        <v>25</v>
      </c>
      <c r="D42" s="153">
        <v>25.2</v>
      </c>
      <c r="E42" s="153">
        <v>25.3</v>
      </c>
      <c r="F42" s="153">
        <v>24.1</v>
      </c>
      <c r="G42" s="153">
        <v>22.6</v>
      </c>
      <c r="H42" s="153">
        <v>21.6</v>
      </c>
      <c r="I42" s="153">
        <v>21.1</v>
      </c>
      <c r="J42" s="153">
        <v>21</v>
      </c>
      <c r="K42" s="153">
        <v>21.2</v>
      </c>
      <c r="L42" s="153">
        <v>22</v>
      </c>
      <c r="M42" s="153">
        <v>23.3</v>
      </c>
      <c r="N42" s="153">
        <v>24.4</v>
      </c>
      <c r="O42" s="153">
        <v>23.1</v>
      </c>
    </row>
    <row r="43" spans="1:15" x14ac:dyDescent="0.25">
      <c r="A43" s="152" t="s">
        <v>236</v>
      </c>
      <c r="B43" s="152" t="s">
        <v>235</v>
      </c>
      <c r="C43" s="153">
        <v>27</v>
      </c>
      <c r="D43" s="153">
        <v>26.5</v>
      </c>
      <c r="E43" s="153">
        <v>26.4</v>
      </c>
      <c r="F43" s="153">
        <v>25.6</v>
      </c>
      <c r="G43" s="153">
        <v>24.8</v>
      </c>
      <c r="H43" s="153">
        <v>24</v>
      </c>
      <c r="I43" s="153">
        <v>23.7</v>
      </c>
      <c r="J43" s="153">
        <v>24.5</v>
      </c>
      <c r="K43" s="153">
        <v>26</v>
      </c>
      <c r="L43" s="153">
        <v>27.9</v>
      </c>
      <c r="M43" s="153">
        <v>28.4</v>
      </c>
      <c r="N43" s="153">
        <v>27.7</v>
      </c>
      <c r="O43" s="153">
        <v>26</v>
      </c>
    </row>
    <row r="44" spans="1:15" x14ac:dyDescent="0.25">
      <c r="A44" s="152" t="s">
        <v>312</v>
      </c>
      <c r="B44" s="152" t="s">
        <v>308</v>
      </c>
      <c r="C44" s="153">
        <v>22.1</v>
      </c>
      <c r="D44" s="153">
        <v>22</v>
      </c>
      <c r="E44" s="153">
        <v>20.100000000000001</v>
      </c>
      <c r="F44" s="153">
        <v>17.100000000000001</v>
      </c>
      <c r="G44" s="153">
        <v>14.7</v>
      </c>
      <c r="H44" s="153">
        <v>12.2</v>
      </c>
      <c r="I44" s="153">
        <v>12.1</v>
      </c>
      <c r="J44" s="153">
        <v>12.5</v>
      </c>
      <c r="K44" s="153">
        <v>14.6</v>
      </c>
      <c r="L44" s="153">
        <v>16.2</v>
      </c>
      <c r="M44" s="153">
        <v>18.600000000000001</v>
      </c>
      <c r="N44" s="153">
        <v>21.2</v>
      </c>
      <c r="O44" s="153">
        <v>16.899999999999999</v>
      </c>
    </row>
    <row r="45" spans="1:15" x14ac:dyDescent="0.25">
      <c r="A45" s="152" t="s">
        <v>204</v>
      </c>
      <c r="B45" s="152" t="s">
        <v>205</v>
      </c>
      <c r="C45" s="153">
        <v>26.5</v>
      </c>
      <c r="D45" s="153">
        <v>26.4</v>
      </c>
      <c r="E45" s="153">
        <v>26.3</v>
      </c>
      <c r="F45" s="153">
        <v>25.6</v>
      </c>
      <c r="G45" s="153">
        <v>23.9</v>
      </c>
      <c r="H45" s="153">
        <v>22</v>
      </c>
      <c r="I45" s="153">
        <v>21.7</v>
      </c>
      <c r="J45" s="153">
        <v>23.8</v>
      </c>
      <c r="K45" s="153">
        <v>25.5</v>
      </c>
      <c r="L45" s="153">
        <v>26.9</v>
      </c>
      <c r="M45" s="153">
        <v>26.9</v>
      </c>
      <c r="N45" s="153">
        <v>26.6</v>
      </c>
      <c r="O45" s="153">
        <v>25.2</v>
      </c>
    </row>
    <row r="46" spans="1:15" x14ac:dyDescent="0.25">
      <c r="A46" s="152" t="s">
        <v>313</v>
      </c>
      <c r="B46" s="152" t="s">
        <v>308</v>
      </c>
      <c r="C46" s="153">
        <v>24.5</v>
      </c>
      <c r="D46" s="153">
        <v>24.3</v>
      </c>
      <c r="E46" s="153">
        <v>22.3</v>
      </c>
      <c r="F46" s="153">
        <v>19</v>
      </c>
      <c r="G46" s="153">
        <v>16.100000000000001</v>
      </c>
      <c r="H46" s="153">
        <v>13.5</v>
      </c>
      <c r="I46" s="153">
        <v>13.7</v>
      </c>
      <c r="J46" s="153">
        <v>14.4</v>
      </c>
      <c r="K46" s="153">
        <v>16.8</v>
      </c>
      <c r="L46" s="153">
        <v>19</v>
      </c>
      <c r="M46" s="153">
        <v>21.4</v>
      </c>
      <c r="N46" s="153">
        <v>23.7</v>
      </c>
      <c r="O46" s="153">
        <v>19.100000000000001</v>
      </c>
    </row>
    <row r="47" spans="1:15" x14ac:dyDescent="0.25">
      <c r="A47" s="152" t="s">
        <v>127</v>
      </c>
      <c r="B47" s="152" t="s">
        <v>126</v>
      </c>
      <c r="C47" s="153">
        <v>26.4</v>
      </c>
      <c r="D47" s="153">
        <v>26.6</v>
      </c>
      <c r="E47" s="153">
        <v>26.2</v>
      </c>
      <c r="F47" s="153">
        <v>24.3</v>
      </c>
      <c r="G47" s="153">
        <v>22.2</v>
      </c>
      <c r="H47" s="153">
        <v>21</v>
      </c>
      <c r="I47" s="153">
        <v>20.399999999999999</v>
      </c>
      <c r="J47" s="153">
        <v>21.3</v>
      </c>
      <c r="K47" s="153">
        <v>22.3</v>
      </c>
      <c r="L47" s="153">
        <v>23.4</v>
      </c>
      <c r="M47" s="153">
        <v>24.4</v>
      </c>
      <c r="N47" s="153">
        <v>25.1</v>
      </c>
      <c r="O47" s="153">
        <v>23.6</v>
      </c>
    </row>
    <row r="48" spans="1:15" x14ac:dyDescent="0.25">
      <c r="A48" s="152" t="s">
        <v>97</v>
      </c>
      <c r="B48" s="152" t="s">
        <v>94</v>
      </c>
      <c r="C48" s="153">
        <v>22.1</v>
      </c>
      <c r="D48" s="153">
        <v>22.4</v>
      </c>
      <c r="E48" s="153">
        <v>22.3</v>
      </c>
      <c r="F48" s="153">
        <v>21.7</v>
      </c>
      <c r="G48" s="153">
        <v>20.6</v>
      </c>
      <c r="H48" s="153">
        <v>19.5</v>
      </c>
      <c r="I48" s="153">
        <v>18.899999999999999</v>
      </c>
      <c r="J48" s="153">
        <v>20</v>
      </c>
      <c r="K48" s="153">
        <v>21.5</v>
      </c>
      <c r="L48" s="153">
        <v>22.5</v>
      </c>
      <c r="M48" s="153">
        <v>22.1</v>
      </c>
      <c r="N48" s="153">
        <v>21.9</v>
      </c>
      <c r="O48" s="153">
        <v>21.3</v>
      </c>
    </row>
    <row r="49" spans="1:15" x14ac:dyDescent="0.25">
      <c r="A49" s="152" t="s">
        <v>154</v>
      </c>
      <c r="B49" s="152" t="s">
        <v>148</v>
      </c>
      <c r="C49" s="153">
        <v>20.7</v>
      </c>
      <c r="D49" s="153">
        <v>20.9</v>
      </c>
      <c r="E49" s="153">
        <v>20.399999999999999</v>
      </c>
      <c r="F49" s="153">
        <v>18.600000000000001</v>
      </c>
      <c r="G49" s="153">
        <v>15.9</v>
      </c>
      <c r="H49" s="153">
        <v>14.3</v>
      </c>
      <c r="I49" s="153">
        <v>14.2</v>
      </c>
      <c r="J49" s="153">
        <v>16</v>
      </c>
      <c r="K49" s="153">
        <v>18.399999999999999</v>
      </c>
      <c r="L49" s="153">
        <v>19.3</v>
      </c>
      <c r="M49" s="153">
        <v>20.2</v>
      </c>
      <c r="N49" s="153">
        <v>20.2</v>
      </c>
      <c r="O49" s="153">
        <v>18.3</v>
      </c>
    </row>
    <row r="50" spans="1:15" x14ac:dyDescent="0.25">
      <c r="A50" s="152" t="s">
        <v>339</v>
      </c>
      <c r="B50" s="152" t="s">
        <v>338</v>
      </c>
      <c r="C50" s="153">
        <v>23.9</v>
      </c>
      <c r="D50" s="153">
        <v>24</v>
      </c>
      <c r="E50" s="153">
        <v>23.1</v>
      </c>
      <c r="F50" s="153">
        <v>20.100000000000001</v>
      </c>
      <c r="G50" s="153">
        <v>17.5</v>
      </c>
      <c r="H50" s="153">
        <v>15.6</v>
      </c>
      <c r="I50" s="153">
        <v>15</v>
      </c>
      <c r="J50" s="153">
        <v>16</v>
      </c>
      <c r="K50" s="153">
        <v>17.5</v>
      </c>
      <c r="L50" s="153">
        <v>19.3</v>
      </c>
      <c r="M50" s="153">
        <v>21</v>
      </c>
      <c r="N50" s="153">
        <v>22.7</v>
      </c>
      <c r="O50" s="153">
        <v>19.600000000000001</v>
      </c>
    </row>
    <row r="51" spans="1:15" x14ac:dyDescent="0.25">
      <c r="A51" s="152" t="s">
        <v>155</v>
      </c>
      <c r="B51" s="152" t="s">
        <v>148</v>
      </c>
      <c r="C51" s="153">
        <v>21.7</v>
      </c>
      <c r="D51" s="153">
        <v>21.9</v>
      </c>
      <c r="E51" s="153">
        <v>21.6</v>
      </c>
      <c r="F51" s="153">
        <v>19.600000000000001</v>
      </c>
      <c r="G51" s="153">
        <v>17.3</v>
      </c>
      <c r="H51" s="153">
        <v>16.399999999999999</v>
      </c>
      <c r="I51" s="153">
        <v>16.2</v>
      </c>
      <c r="J51" s="153">
        <v>18.100000000000001</v>
      </c>
      <c r="K51" s="153">
        <v>19.600000000000001</v>
      </c>
      <c r="L51" s="153">
        <v>20.399999999999999</v>
      </c>
      <c r="M51" s="153">
        <v>20.8</v>
      </c>
      <c r="N51" s="153">
        <v>21.2</v>
      </c>
      <c r="O51" s="153">
        <v>19.600000000000001</v>
      </c>
    </row>
    <row r="52" spans="1:15" x14ac:dyDescent="0.25">
      <c r="A52" s="152" t="s">
        <v>216</v>
      </c>
      <c r="B52" s="152" t="s">
        <v>211</v>
      </c>
      <c r="C52" s="153">
        <v>26.2</v>
      </c>
      <c r="D52" s="153">
        <v>25.9</v>
      </c>
      <c r="E52" s="153">
        <v>26.1</v>
      </c>
      <c r="F52" s="153">
        <v>26.3</v>
      </c>
      <c r="G52" s="153">
        <v>26.5</v>
      </c>
      <c r="H52" s="153">
        <v>26.6</v>
      </c>
      <c r="I52" s="153">
        <v>26.4</v>
      </c>
      <c r="J52" s="153">
        <v>26.7</v>
      </c>
      <c r="K52" s="153">
        <v>26.9</v>
      </c>
      <c r="L52" s="153">
        <v>27.2</v>
      </c>
      <c r="M52" s="153">
        <v>27.3</v>
      </c>
      <c r="N52" s="153">
        <v>26.9</v>
      </c>
      <c r="O52" s="153">
        <v>26.6</v>
      </c>
    </row>
    <row r="53" spans="1:15" x14ac:dyDescent="0.25">
      <c r="A53" s="152" t="s">
        <v>229</v>
      </c>
      <c r="B53" s="152" t="s">
        <v>230</v>
      </c>
      <c r="C53" s="153">
        <v>23.5</v>
      </c>
      <c r="D53" s="153">
        <v>23.7</v>
      </c>
      <c r="E53" s="153">
        <v>23.5</v>
      </c>
      <c r="F53" s="153">
        <v>23.2</v>
      </c>
      <c r="G53" s="153">
        <v>22.3</v>
      </c>
      <c r="H53" s="153">
        <v>21.3</v>
      </c>
      <c r="I53" s="153">
        <v>20.5</v>
      </c>
      <c r="J53" s="153">
        <v>20.6</v>
      </c>
      <c r="K53" s="153">
        <v>21.3</v>
      </c>
      <c r="L53" s="153">
        <v>22.4</v>
      </c>
      <c r="M53" s="153">
        <v>23.1</v>
      </c>
      <c r="N53" s="153">
        <v>23.4</v>
      </c>
      <c r="O53" s="153">
        <v>22.4</v>
      </c>
    </row>
    <row r="54" spans="1:15" x14ac:dyDescent="0.25">
      <c r="A54" s="152" t="s">
        <v>360</v>
      </c>
      <c r="B54" s="152" t="s">
        <v>357</v>
      </c>
      <c r="C54" s="153">
        <v>23</v>
      </c>
      <c r="D54" s="153">
        <v>23.4</v>
      </c>
      <c r="E54" s="153">
        <v>22.8</v>
      </c>
      <c r="F54" s="153">
        <v>21</v>
      </c>
      <c r="G54" s="153">
        <v>18.5</v>
      </c>
      <c r="H54" s="153">
        <v>17.3</v>
      </c>
      <c r="I54" s="153">
        <v>17.2</v>
      </c>
      <c r="J54" s="153">
        <v>19</v>
      </c>
      <c r="K54" s="153">
        <v>20.399999999999999</v>
      </c>
      <c r="L54" s="153">
        <v>21.1</v>
      </c>
      <c r="M54" s="153">
        <v>21.8</v>
      </c>
      <c r="N54" s="153">
        <v>22.4</v>
      </c>
      <c r="O54" s="153">
        <v>20.7</v>
      </c>
    </row>
    <row r="55" spans="1:15" x14ac:dyDescent="0.25">
      <c r="A55" s="152" t="s">
        <v>197</v>
      </c>
      <c r="B55" s="152" t="s">
        <v>198</v>
      </c>
      <c r="C55" s="153">
        <v>24.6</v>
      </c>
      <c r="D55" s="153">
        <v>24.5</v>
      </c>
      <c r="E55" s="153">
        <v>24.2</v>
      </c>
      <c r="F55" s="153">
        <v>22.6</v>
      </c>
      <c r="G55" s="153">
        <v>20.8</v>
      </c>
      <c r="H55" s="153">
        <v>19.399999999999999</v>
      </c>
      <c r="I55" s="153">
        <v>20.3</v>
      </c>
      <c r="J55" s="153">
        <v>21.4</v>
      </c>
      <c r="K55" s="153">
        <v>22.5</v>
      </c>
      <c r="L55" s="153">
        <v>24.2</v>
      </c>
      <c r="M55" s="153">
        <v>24.2</v>
      </c>
      <c r="N55" s="153">
        <v>24.3</v>
      </c>
      <c r="O55" s="153">
        <v>22.8</v>
      </c>
    </row>
    <row r="56" spans="1:15" x14ac:dyDescent="0.25">
      <c r="A56" s="152" t="s">
        <v>250</v>
      </c>
      <c r="B56" s="152" t="s">
        <v>251</v>
      </c>
      <c r="C56" s="153">
        <v>23.7</v>
      </c>
      <c r="D56" s="153">
        <v>23.7</v>
      </c>
      <c r="E56" s="153">
        <v>23</v>
      </c>
      <c r="F56" s="153">
        <v>20.7</v>
      </c>
      <c r="G56" s="153">
        <v>17.7</v>
      </c>
      <c r="H56" s="153">
        <v>16</v>
      </c>
      <c r="I56" s="153">
        <v>16.100000000000001</v>
      </c>
      <c r="J56" s="153">
        <v>17.5</v>
      </c>
      <c r="K56" s="153">
        <v>19</v>
      </c>
      <c r="L56" s="153">
        <v>21.4</v>
      </c>
      <c r="M56" s="153">
        <v>22.7</v>
      </c>
      <c r="N56" s="153">
        <v>23.3</v>
      </c>
      <c r="O56" s="153">
        <v>20.399999999999999</v>
      </c>
    </row>
    <row r="57" spans="1:15" x14ac:dyDescent="0.25">
      <c r="A57" s="152" t="s">
        <v>275</v>
      </c>
      <c r="B57" s="152" t="s">
        <v>269</v>
      </c>
      <c r="C57" s="153">
        <v>26.2</v>
      </c>
      <c r="D57" s="153">
        <v>26.6</v>
      </c>
      <c r="E57" s="153">
        <v>26.3</v>
      </c>
      <c r="F57" s="153">
        <v>24.3</v>
      </c>
      <c r="G57" s="153">
        <v>22.6</v>
      </c>
      <c r="H57" s="153">
        <v>21.4</v>
      </c>
      <c r="I57" s="153">
        <v>20.7</v>
      </c>
      <c r="J57" s="153">
        <v>21.6</v>
      </c>
      <c r="K57" s="153">
        <v>22.2</v>
      </c>
      <c r="L57" s="153">
        <v>23.2</v>
      </c>
      <c r="M57" s="153">
        <v>24.4</v>
      </c>
      <c r="N57" s="153">
        <v>25.3</v>
      </c>
      <c r="O57" s="153">
        <v>23.7</v>
      </c>
    </row>
    <row r="58" spans="1:15" x14ac:dyDescent="0.25">
      <c r="A58" s="152" t="s">
        <v>361</v>
      </c>
      <c r="B58" s="152" t="s">
        <v>357</v>
      </c>
      <c r="C58" s="153">
        <v>17.3</v>
      </c>
      <c r="D58" s="153">
        <v>17.5</v>
      </c>
      <c r="E58" s="153">
        <v>16.7</v>
      </c>
      <c r="F58" s="153">
        <v>14.7</v>
      </c>
      <c r="G58" s="153">
        <v>11.9</v>
      </c>
      <c r="H58" s="153">
        <v>10.1</v>
      </c>
      <c r="I58" s="153">
        <v>9.5</v>
      </c>
      <c r="J58" s="153">
        <v>11.3</v>
      </c>
      <c r="K58" s="153">
        <v>13.4</v>
      </c>
      <c r="L58" s="153">
        <v>14.9</v>
      </c>
      <c r="M58" s="153">
        <v>15.9</v>
      </c>
      <c r="N58" s="153">
        <v>16.600000000000001</v>
      </c>
      <c r="O58" s="153">
        <v>14.2</v>
      </c>
    </row>
    <row r="59" spans="1:15" x14ac:dyDescent="0.25">
      <c r="A59" s="152" t="s">
        <v>340</v>
      </c>
      <c r="B59" s="152" t="s">
        <v>338</v>
      </c>
      <c r="C59" s="153">
        <v>20.7</v>
      </c>
      <c r="D59" s="153">
        <v>20.7</v>
      </c>
      <c r="E59" s="153">
        <v>19.5</v>
      </c>
      <c r="F59" s="153">
        <v>16.5</v>
      </c>
      <c r="G59" s="153">
        <v>14.2</v>
      </c>
      <c r="H59" s="153">
        <v>12.5</v>
      </c>
      <c r="I59" s="153">
        <v>12.9</v>
      </c>
      <c r="J59" s="153">
        <v>13.3</v>
      </c>
      <c r="K59" s="153">
        <v>14.7</v>
      </c>
      <c r="L59" s="153">
        <v>16.399999999999999</v>
      </c>
      <c r="M59" s="153">
        <v>18.2</v>
      </c>
      <c r="N59" s="153">
        <v>19.899999999999999</v>
      </c>
      <c r="O59" s="153">
        <v>16.600000000000001</v>
      </c>
    </row>
    <row r="60" spans="1:15" x14ac:dyDescent="0.25">
      <c r="A60" s="152" t="s">
        <v>115</v>
      </c>
      <c r="B60" s="152" t="s">
        <v>113</v>
      </c>
      <c r="C60" s="153">
        <v>24.9</v>
      </c>
      <c r="D60" s="153">
        <v>24</v>
      </c>
      <c r="E60" s="153">
        <v>23.5</v>
      </c>
      <c r="F60" s="153">
        <v>23.5</v>
      </c>
      <c r="G60" s="153">
        <v>23.1</v>
      </c>
      <c r="H60" s="153">
        <v>22.8</v>
      </c>
      <c r="I60" s="153">
        <v>22.7</v>
      </c>
      <c r="J60" s="153">
        <v>23.8</v>
      </c>
      <c r="K60" s="153">
        <v>25.3</v>
      </c>
      <c r="L60" s="153">
        <v>26.3</v>
      </c>
      <c r="M60" s="153">
        <v>26.3</v>
      </c>
      <c r="N60" s="153">
        <v>25.8</v>
      </c>
      <c r="O60" s="153">
        <v>24.3</v>
      </c>
    </row>
    <row r="61" spans="1:15" x14ac:dyDescent="0.25">
      <c r="A61" s="152" t="s">
        <v>156</v>
      </c>
      <c r="B61" s="152" t="s">
        <v>148</v>
      </c>
      <c r="C61" s="153">
        <v>23.8</v>
      </c>
      <c r="D61" s="153">
        <v>24.1</v>
      </c>
      <c r="E61" s="153">
        <v>24</v>
      </c>
      <c r="F61" s="153">
        <v>23.3</v>
      </c>
      <c r="G61" s="153">
        <v>21.5</v>
      </c>
      <c r="H61" s="153">
        <v>20.3</v>
      </c>
      <c r="I61" s="153">
        <v>20.2</v>
      </c>
      <c r="J61" s="153">
        <v>22.5</v>
      </c>
      <c r="K61" s="153">
        <v>23.9</v>
      </c>
      <c r="L61" s="153">
        <v>24.7</v>
      </c>
      <c r="M61" s="153">
        <v>24.3</v>
      </c>
      <c r="N61" s="153">
        <v>23.7</v>
      </c>
      <c r="O61" s="153">
        <v>23</v>
      </c>
    </row>
    <row r="62" spans="1:15" x14ac:dyDescent="0.25">
      <c r="A62" s="152" t="s">
        <v>157</v>
      </c>
      <c r="B62" s="152" t="s">
        <v>148</v>
      </c>
      <c r="C62" s="153">
        <v>23.2</v>
      </c>
      <c r="D62" s="153">
        <v>23.6</v>
      </c>
      <c r="E62" s="153">
        <v>23.1</v>
      </c>
      <c r="F62" s="153">
        <v>21.4</v>
      </c>
      <c r="G62" s="153">
        <v>19.399999999999999</v>
      </c>
      <c r="H62" s="153">
        <v>18.100000000000001</v>
      </c>
      <c r="I62" s="153">
        <v>17.8</v>
      </c>
      <c r="J62" s="153">
        <v>19.100000000000001</v>
      </c>
      <c r="K62" s="153">
        <v>20.5</v>
      </c>
      <c r="L62" s="153">
        <v>22.1</v>
      </c>
      <c r="M62" s="153">
        <v>22.8</v>
      </c>
      <c r="N62" s="153">
        <v>22.9</v>
      </c>
      <c r="O62" s="153">
        <v>21.2</v>
      </c>
    </row>
    <row r="63" spans="1:15" x14ac:dyDescent="0.25">
      <c r="A63" s="152" t="s">
        <v>73</v>
      </c>
      <c r="B63" s="152" t="s">
        <v>71</v>
      </c>
      <c r="C63" s="153">
        <v>25.5</v>
      </c>
      <c r="D63" s="153">
        <v>25.5</v>
      </c>
      <c r="E63" s="153">
        <v>25.4</v>
      </c>
      <c r="F63" s="153">
        <v>25.4</v>
      </c>
      <c r="G63" s="153">
        <v>25.2</v>
      </c>
      <c r="H63" s="153">
        <v>24.8</v>
      </c>
      <c r="I63" s="153">
        <v>24.6</v>
      </c>
      <c r="J63" s="153">
        <v>25.2</v>
      </c>
      <c r="K63" s="153">
        <v>25.5</v>
      </c>
      <c r="L63" s="153">
        <v>25.8</v>
      </c>
      <c r="M63" s="153">
        <v>25.7</v>
      </c>
      <c r="N63" s="153">
        <v>25.5</v>
      </c>
      <c r="O63" s="153">
        <v>25.3</v>
      </c>
    </row>
    <row r="64" spans="1:15" x14ac:dyDescent="0.25">
      <c r="A64" s="152" t="s">
        <v>98</v>
      </c>
      <c r="B64" s="152" t="s">
        <v>94</v>
      </c>
      <c r="C64" s="153">
        <v>26</v>
      </c>
      <c r="D64" s="153">
        <v>26.3</v>
      </c>
      <c r="E64" s="153">
        <v>26.1</v>
      </c>
      <c r="F64" s="153">
        <v>25.3</v>
      </c>
      <c r="G64" s="153">
        <v>23.8</v>
      </c>
      <c r="H64" s="153">
        <v>22.5</v>
      </c>
      <c r="I64" s="153">
        <v>21.8</v>
      </c>
      <c r="J64" s="153">
        <v>22.1</v>
      </c>
      <c r="K64" s="153">
        <v>23</v>
      </c>
      <c r="L64" s="153">
        <v>24.2</v>
      </c>
      <c r="M64" s="153">
        <v>24.8</v>
      </c>
      <c r="N64" s="153">
        <v>25.5</v>
      </c>
      <c r="O64" s="153">
        <v>24.3</v>
      </c>
    </row>
    <row r="65" spans="1:15" x14ac:dyDescent="0.25">
      <c r="A65" s="152" t="s">
        <v>276</v>
      </c>
      <c r="B65" s="152" t="s">
        <v>269</v>
      </c>
      <c r="C65" s="153">
        <v>25.2</v>
      </c>
      <c r="D65" s="153">
        <v>25.5</v>
      </c>
      <c r="E65" s="153">
        <v>24.9</v>
      </c>
      <c r="F65" s="153">
        <v>22.6</v>
      </c>
      <c r="G65" s="153">
        <v>20.3</v>
      </c>
      <c r="H65" s="153">
        <v>19</v>
      </c>
      <c r="I65" s="153">
        <v>18.399999999999999</v>
      </c>
      <c r="J65" s="153">
        <v>19.8</v>
      </c>
      <c r="K65" s="153">
        <v>21.3</v>
      </c>
      <c r="L65" s="153">
        <v>22.1</v>
      </c>
      <c r="M65" s="153">
        <v>23.2</v>
      </c>
      <c r="N65" s="153">
        <v>24.2</v>
      </c>
      <c r="O65" s="153">
        <v>22.2</v>
      </c>
    </row>
    <row r="66" spans="1:15" x14ac:dyDescent="0.25">
      <c r="A66" s="152" t="s">
        <v>142</v>
      </c>
      <c r="B66" s="152" t="s">
        <v>140</v>
      </c>
      <c r="C66" s="153">
        <v>25</v>
      </c>
      <c r="D66" s="153">
        <v>25.1</v>
      </c>
      <c r="E66" s="153">
        <v>25.3</v>
      </c>
      <c r="F66" s="153">
        <v>25.8</v>
      </c>
      <c r="G66" s="153">
        <v>26.1</v>
      </c>
      <c r="H66" s="153">
        <v>26</v>
      </c>
      <c r="I66" s="153">
        <v>26.2</v>
      </c>
      <c r="J66" s="153">
        <v>27.1</v>
      </c>
      <c r="K66" s="153">
        <v>28</v>
      </c>
      <c r="L66" s="153">
        <v>26.7</v>
      </c>
      <c r="M66" s="153">
        <v>26</v>
      </c>
      <c r="N66" s="153">
        <v>25.5</v>
      </c>
      <c r="O66" s="153">
        <v>26.1</v>
      </c>
    </row>
    <row r="67" spans="1:15" x14ac:dyDescent="0.25">
      <c r="A67" s="152" t="s">
        <v>237</v>
      </c>
      <c r="B67" s="152" t="s">
        <v>235</v>
      </c>
      <c r="C67" s="153">
        <v>23.9</v>
      </c>
      <c r="D67" s="153">
        <v>24.1</v>
      </c>
      <c r="E67" s="153">
        <v>24.1</v>
      </c>
      <c r="F67" s="153">
        <v>23.6</v>
      </c>
      <c r="G67" s="153">
        <v>22.7</v>
      </c>
      <c r="H67" s="153">
        <v>21.6</v>
      </c>
      <c r="I67" s="153">
        <v>20.6</v>
      </c>
      <c r="J67" s="153">
        <v>20.9</v>
      </c>
      <c r="K67" s="153">
        <v>21.7</v>
      </c>
      <c r="L67" s="153">
        <v>23.1</v>
      </c>
      <c r="M67" s="153" t="s">
        <v>90</v>
      </c>
      <c r="N67" s="153">
        <v>24.2</v>
      </c>
      <c r="O67" s="153" t="s">
        <v>90</v>
      </c>
    </row>
    <row r="68" spans="1:15" x14ac:dyDescent="0.25">
      <c r="A68" s="152" t="s">
        <v>252</v>
      </c>
      <c r="B68" s="152" t="s">
        <v>251</v>
      </c>
      <c r="C68" s="153">
        <v>20.5</v>
      </c>
      <c r="D68" s="153">
        <v>20.6</v>
      </c>
      <c r="E68" s="153">
        <v>19.600000000000001</v>
      </c>
      <c r="F68" s="153">
        <v>17.100000000000001</v>
      </c>
      <c r="G68" s="153">
        <v>14.1</v>
      </c>
      <c r="H68" s="153">
        <v>12.6</v>
      </c>
      <c r="I68" s="153">
        <v>12.5</v>
      </c>
      <c r="J68" s="153">
        <v>13.7</v>
      </c>
      <c r="K68" s="153">
        <v>15.3</v>
      </c>
      <c r="L68" s="153">
        <v>17</v>
      </c>
      <c r="M68" s="153">
        <v>18.600000000000001</v>
      </c>
      <c r="N68" s="153">
        <v>19.600000000000001</v>
      </c>
      <c r="O68" s="153">
        <v>16.8</v>
      </c>
    </row>
    <row r="69" spans="1:15" x14ac:dyDescent="0.25">
      <c r="A69" s="152" t="s">
        <v>158</v>
      </c>
      <c r="B69" s="152" t="s">
        <v>148</v>
      </c>
      <c r="C69" s="153">
        <v>26</v>
      </c>
      <c r="D69" s="153">
        <v>26.1</v>
      </c>
      <c r="E69" s="153">
        <v>25.6</v>
      </c>
      <c r="F69" s="153">
        <v>23.5</v>
      </c>
      <c r="G69" s="153">
        <v>21.1</v>
      </c>
      <c r="H69" s="153">
        <v>19.7</v>
      </c>
      <c r="I69" s="153">
        <v>19.399999999999999</v>
      </c>
      <c r="J69" s="153">
        <v>20.6</v>
      </c>
      <c r="K69" s="153">
        <v>22.2</v>
      </c>
      <c r="L69" s="153">
        <v>23.6</v>
      </c>
      <c r="M69" s="153">
        <v>24.5</v>
      </c>
      <c r="N69" s="153">
        <v>25.3</v>
      </c>
      <c r="O69" s="153">
        <v>23.1</v>
      </c>
    </row>
    <row r="70" spans="1:15" x14ac:dyDescent="0.25">
      <c r="A70" s="152" t="s">
        <v>132</v>
      </c>
      <c r="B70" s="152" t="s">
        <v>131</v>
      </c>
      <c r="C70" s="153">
        <v>23</v>
      </c>
      <c r="D70" s="153">
        <v>23.1</v>
      </c>
      <c r="E70" s="153">
        <v>23.2</v>
      </c>
      <c r="F70" s="153">
        <v>22.4</v>
      </c>
      <c r="G70" s="153">
        <v>20.6</v>
      </c>
      <c r="H70" s="153">
        <v>19.5</v>
      </c>
      <c r="I70" s="153">
        <v>19.2</v>
      </c>
      <c r="J70" s="153">
        <v>21.4</v>
      </c>
      <c r="K70" s="153">
        <v>23</v>
      </c>
      <c r="L70" s="153">
        <v>23.3</v>
      </c>
      <c r="M70" s="153">
        <v>23</v>
      </c>
      <c r="N70" s="153">
        <v>22.6</v>
      </c>
      <c r="O70" s="153">
        <v>22</v>
      </c>
    </row>
    <row r="71" spans="1:15" x14ac:dyDescent="0.25">
      <c r="A71" s="152" t="s">
        <v>362</v>
      </c>
      <c r="B71" s="152" t="s">
        <v>357</v>
      </c>
      <c r="C71" s="153">
        <v>24.9</v>
      </c>
      <c r="D71" s="153">
        <v>25</v>
      </c>
      <c r="E71" s="153">
        <v>24.6</v>
      </c>
      <c r="F71" s="153">
        <v>23.1</v>
      </c>
      <c r="G71" s="153">
        <v>20.5</v>
      </c>
      <c r="H71" s="153">
        <v>19.5</v>
      </c>
      <c r="I71" s="153">
        <v>19.100000000000001</v>
      </c>
      <c r="J71" s="153">
        <v>21.1</v>
      </c>
      <c r="K71" s="153">
        <v>22.9</v>
      </c>
      <c r="L71" s="153">
        <v>23.9</v>
      </c>
      <c r="M71" s="153">
        <v>24.6</v>
      </c>
      <c r="N71" s="153">
        <v>24.4</v>
      </c>
      <c r="O71" s="153">
        <v>22.8</v>
      </c>
    </row>
    <row r="72" spans="1:15" x14ac:dyDescent="0.25">
      <c r="A72" s="152" t="s">
        <v>159</v>
      </c>
      <c r="B72" s="152" t="s">
        <v>148</v>
      </c>
      <c r="C72" s="153">
        <v>22</v>
      </c>
      <c r="D72" s="153">
        <v>22.2</v>
      </c>
      <c r="E72" s="153">
        <v>21.4</v>
      </c>
      <c r="F72" s="153">
        <v>19.600000000000001</v>
      </c>
      <c r="G72" s="153">
        <v>16.899999999999999</v>
      </c>
      <c r="H72" s="153">
        <v>15.2</v>
      </c>
      <c r="I72" s="153">
        <v>14.8</v>
      </c>
      <c r="J72" s="153">
        <v>16.8</v>
      </c>
      <c r="K72" s="153">
        <v>18.899999999999999</v>
      </c>
      <c r="L72" s="153">
        <v>20.6</v>
      </c>
      <c r="M72" s="153">
        <v>21.1</v>
      </c>
      <c r="N72" s="153">
        <v>21.3</v>
      </c>
      <c r="O72" s="153">
        <v>19.2</v>
      </c>
    </row>
    <row r="73" spans="1:15" x14ac:dyDescent="0.25">
      <c r="A73" s="152" t="s">
        <v>143</v>
      </c>
      <c r="B73" s="152" t="s">
        <v>140</v>
      </c>
      <c r="C73" s="153">
        <v>26.6</v>
      </c>
      <c r="D73" s="153">
        <v>26.2</v>
      </c>
      <c r="E73" s="153">
        <v>25.9</v>
      </c>
      <c r="F73" s="153">
        <v>26.2</v>
      </c>
      <c r="G73" s="153">
        <v>26.1</v>
      </c>
      <c r="H73" s="153">
        <v>25.7</v>
      </c>
      <c r="I73" s="153">
        <v>25.8</v>
      </c>
      <c r="J73" s="153">
        <v>26.7</v>
      </c>
      <c r="K73" s="153">
        <v>28.2</v>
      </c>
      <c r="L73" s="153">
        <v>28.6</v>
      </c>
      <c r="M73" s="153">
        <v>28.3</v>
      </c>
      <c r="N73" s="153">
        <v>27.6</v>
      </c>
      <c r="O73" s="153">
        <v>26.8</v>
      </c>
    </row>
    <row r="74" spans="1:15" x14ac:dyDescent="0.25">
      <c r="A74" s="152" t="s">
        <v>314</v>
      </c>
      <c r="B74" s="152" t="s">
        <v>308</v>
      </c>
      <c r="C74" s="153">
        <v>20.6</v>
      </c>
      <c r="D74" s="153">
        <v>20.6</v>
      </c>
      <c r="E74" s="153">
        <v>19.100000000000001</v>
      </c>
      <c r="F74" s="153">
        <v>16.2</v>
      </c>
      <c r="G74" s="153">
        <v>14.3</v>
      </c>
      <c r="H74" s="153">
        <v>12.1</v>
      </c>
      <c r="I74" s="153">
        <v>12.3</v>
      </c>
      <c r="J74" s="153">
        <v>12.7</v>
      </c>
      <c r="K74" s="153">
        <v>14.4</v>
      </c>
      <c r="L74" s="153">
        <v>15.8</v>
      </c>
      <c r="M74" s="153">
        <v>17.8</v>
      </c>
      <c r="N74" s="153">
        <v>19.600000000000001</v>
      </c>
      <c r="O74" s="153">
        <v>16.3</v>
      </c>
    </row>
    <row r="75" spans="1:15" x14ac:dyDescent="0.25">
      <c r="A75" s="152" t="s">
        <v>298</v>
      </c>
      <c r="B75" s="152" t="s">
        <v>297</v>
      </c>
      <c r="C75" s="153">
        <v>26.4</v>
      </c>
      <c r="D75" s="153">
        <v>26.3</v>
      </c>
      <c r="E75" s="153">
        <v>26.1</v>
      </c>
      <c r="F75" s="153">
        <v>25.9</v>
      </c>
      <c r="G75" s="153">
        <v>25.3</v>
      </c>
      <c r="H75" s="153">
        <v>24.5</v>
      </c>
      <c r="I75" s="153">
        <v>23.8</v>
      </c>
      <c r="J75" s="153">
        <v>23.8</v>
      </c>
      <c r="K75" s="153">
        <v>24.3</v>
      </c>
      <c r="L75" s="153">
        <v>25</v>
      </c>
      <c r="M75" s="153">
        <v>25.6</v>
      </c>
      <c r="N75" s="153">
        <v>25.8</v>
      </c>
      <c r="O75" s="153">
        <v>25.2</v>
      </c>
    </row>
    <row r="76" spans="1:15" x14ac:dyDescent="0.25">
      <c r="A76" s="152" t="s">
        <v>341</v>
      </c>
      <c r="B76" s="152" t="s">
        <v>338</v>
      </c>
      <c r="C76" s="153">
        <v>22.8</v>
      </c>
      <c r="D76" s="153">
        <v>22.9</v>
      </c>
      <c r="E76" s="153">
        <v>21.5</v>
      </c>
      <c r="F76" s="153">
        <v>18.5</v>
      </c>
      <c r="G76" s="153">
        <v>16</v>
      </c>
      <c r="H76" s="153">
        <v>14.1</v>
      </c>
      <c r="I76" s="153">
        <v>15</v>
      </c>
      <c r="J76" s="153">
        <v>15.6</v>
      </c>
      <c r="K76" s="153">
        <v>16.399999999999999</v>
      </c>
      <c r="L76" s="153">
        <v>19.100000000000001</v>
      </c>
      <c r="M76" s="153">
        <v>20.6</v>
      </c>
      <c r="N76" s="153">
        <v>22.2</v>
      </c>
      <c r="O76" s="153">
        <v>18.7</v>
      </c>
    </row>
    <row r="77" spans="1:15" x14ac:dyDescent="0.25">
      <c r="A77" s="152" t="s">
        <v>99</v>
      </c>
      <c r="B77" s="152" t="s">
        <v>94</v>
      </c>
      <c r="C77" s="153">
        <v>26.7</v>
      </c>
      <c r="D77" s="153">
        <v>26.8</v>
      </c>
      <c r="E77" s="153">
        <v>26.4</v>
      </c>
      <c r="F77" s="153">
        <v>25.8</v>
      </c>
      <c r="G77" s="153">
        <v>24.5</v>
      </c>
      <c r="H77" s="153">
        <v>23.1</v>
      </c>
      <c r="I77" s="153">
        <v>22.6</v>
      </c>
      <c r="J77" s="153">
        <v>22.5</v>
      </c>
      <c r="K77" s="153">
        <v>23.8</v>
      </c>
      <c r="L77" s="153">
        <v>25.3</v>
      </c>
      <c r="M77" s="153">
        <v>26.2</v>
      </c>
      <c r="N77" s="153">
        <v>26.5</v>
      </c>
      <c r="O77" s="153">
        <v>25</v>
      </c>
    </row>
    <row r="78" spans="1:15" x14ac:dyDescent="0.25">
      <c r="A78" s="152" t="s">
        <v>74</v>
      </c>
      <c r="B78" s="152" t="s">
        <v>71</v>
      </c>
      <c r="C78" s="153">
        <v>25.8</v>
      </c>
      <c r="D78" s="153">
        <v>25.8</v>
      </c>
      <c r="E78" s="153">
        <v>26</v>
      </c>
      <c r="F78" s="153">
        <v>26</v>
      </c>
      <c r="G78" s="153">
        <v>26.1</v>
      </c>
      <c r="H78" s="153">
        <v>26</v>
      </c>
      <c r="I78" s="153">
        <v>26</v>
      </c>
      <c r="J78" s="153">
        <v>26.6</v>
      </c>
      <c r="K78" s="153">
        <v>26.7</v>
      </c>
      <c r="L78" s="153">
        <v>26.6</v>
      </c>
      <c r="M78" s="153">
        <v>26.5</v>
      </c>
      <c r="N78" s="153">
        <v>26.3</v>
      </c>
      <c r="O78" s="153">
        <v>26.2</v>
      </c>
    </row>
    <row r="79" spans="1:15" x14ac:dyDescent="0.25">
      <c r="A79" s="152" t="s">
        <v>217</v>
      </c>
      <c r="B79" s="152" t="s">
        <v>211</v>
      </c>
      <c r="C79" s="153">
        <v>25.1</v>
      </c>
      <c r="D79" s="153">
        <v>25.1</v>
      </c>
      <c r="E79" s="153">
        <v>25.3</v>
      </c>
      <c r="F79" s="153">
        <v>25.6</v>
      </c>
      <c r="G79" s="153">
        <v>25.9</v>
      </c>
      <c r="H79" s="153">
        <v>25.3</v>
      </c>
      <c r="I79" s="153">
        <v>25.1</v>
      </c>
      <c r="J79" s="153">
        <v>25.9</v>
      </c>
      <c r="K79" s="153">
        <v>26.4</v>
      </c>
      <c r="L79" s="153">
        <v>25.8</v>
      </c>
      <c r="M79" s="153">
        <v>25.6</v>
      </c>
      <c r="N79" s="153">
        <v>25.2</v>
      </c>
      <c r="O79" s="153">
        <v>25.5</v>
      </c>
    </row>
    <row r="80" spans="1:15" x14ac:dyDescent="0.25">
      <c r="A80" s="152" t="s">
        <v>160</v>
      </c>
      <c r="B80" s="152" t="s">
        <v>148</v>
      </c>
      <c r="C80" s="153">
        <v>23</v>
      </c>
      <c r="D80" s="153">
        <v>23.2</v>
      </c>
      <c r="E80" s="153">
        <v>22.8</v>
      </c>
      <c r="F80" s="153">
        <v>21</v>
      </c>
      <c r="G80" s="153">
        <v>18.600000000000001</v>
      </c>
      <c r="H80" s="153">
        <v>17.100000000000001</v>
      </c>
      <c r="I80" s="153">
        <v>16.600000000000001</v>
      </c>
      <c r="J80" s="153">
        <v>18.2</v>
      </c>
      <c r="K80" s="153">
        <v>20</v>
      </c>
      <c r="L80" s="153">
        <v>21.6</v>
      </c>
      <c r="M80" s="153">
        <v>22.4</v>
      </c>
      <c r="N80" s="153">
        <v>22.6</v>
      </c>
      <c r="O80" s="153">
        <v>20.6</v>
      </c>
    </row>
    <row r="81" spans="1:15" x14ac:dyDescent="0.25">
      <c r="A81" s="152" t="s">
        <v>363</v>
      </c>
      <c r="B81" s="152" t="s">
        <v>357</v>
      </c>
      <c r="C81" s="153">
        <v>21</v>
      </c>
      <c r="D81" s="153">
        <v>21.1</v>
      </c>
      <c r="E81" s="153">
        <v>20.5</v>
      </c>
      <c r="F81" s="153">
        <v>18.5</v>
      </c>
      <c r="G81" s="153">
        <v>16.2</v>
      </c>
      <c r="H81" s="153">
        <v>15.2</v>
      </c>
      <c r="I81" s="153">
        <v>14.6</v>
      </c>
      <c r="J81" s="153">
        <v>16.100000000000001</v>
      </c>
      <c r="K81" s="153">
        <v>17.600000000000001</v>
      </c>
      <c r="L81" s="153">
        <v>17.899999999999999</v>
      </c>
      <c r="M81" s="153">
        <v>19.100000000000001</v>
      </c>
      <c r="N81" s="153">
        <v>20.100000000000001</v>
      </c>
      <c r="O81" s="153">
        <v>18.2</v>
      </c>
    </row>
    <row r="82" spans="1:15" x14ac:dyDescent="0.25">
      <c r="A82" s="152" t="s">
        <v>277</v>
      </c>
      <c r="B82" s="152" t="s">
        <v>269</v>
      </c>
      <c r="C82" s="153">
        <v>23.5</v>
      </c>
      <c r="D82" s="153">
        <v>23.9</v>
      </c>
      <c r="E82" s="153">
        <v>23.2</v>
      </c>
      <c r="F82" s="153">
        <v>20.8</v>
      </c>
      <c r="G82" s="153">
        <v>18.7</v>
      </c>
      <c r="H82" s="153">
        <v>17.3</v>
      </c>
      <c r="I82" s="153">
        <v>16.7</v>
      </c>
      <c r="J82" s="153">
        <v>18.100000000000001</v>
      </c>
      <c r="K82" s="153">
        <v>19.100000000000001</v>
      </c>
      <c r="L82" s="153">
        <v>20.7</v>
      </c>
      <c r="M82" s="153">
        <v>22</v>
      </c>
      <c r="N82" s="153">
        <v>22.8</v>
      </c>
      <c r="O82" s="153">
        <v>20.6</v>
      </c>
    </row>
    <row r="83" spans="1:15" x14ac:dyDescent="0.25">
      <c r="A83" s="152" t="s">
        <v>161</v>
      </c>
      <c r="B83" s="152" t="s">
        <v>148</v>
      </c>
      <c r="C83" s="153">
        <v>23.9</v>
      </c>
      <c r="D83" s="153">
        <v>24.2</v>
      </c>
      <c r="E83" s="153">
        <v>23.6</v>
      </c>
      <c r="F83" s="153">
        <v>21.5</v>
      </c>
      <c r="G83" s="153">
        <v>19.3</v>
      </c>
      <c r="H83" s="153">
        <v>17.3</v>
      </c>
      <c r="I83" s="153">
        <v>16.899999999999999</v>
      </c>
      <c r="J83" s="153">
        <v>18.2</v>
      </c>
      <c r="K83" s="153">
        <v>19.5</v>
      </c>
      <c r="L83" s="153">
        <v>21.6</v>
      </c>
      <c r="M83" s="153">
        <v>22.7</v>
      </c>
      <c r="N83" s="153">
        <v>23.2</v>
      </c>
      <c r="O83" s="153">
        <v>21</v>
      </c>
    </row>
    <row r="84" spans="1:15" x14ac:dyDescent="0.25">
      <c r="A84" s="152" t="s">
        <v>67</v>
      </c>
      <c r="B84" s="152" t="s">
        <v>68</v>
      </c>
      <c r="C84" s="153">
        <v>26.7</v>
      </c>
      <c r="D84" s="153">
        <v>26.4</v>
      </c>
      <c r="E84" s="153">
        <v>26.1</v>
      </c>
      <c r="F84" s="153">
        <v>25.8</v>
      </c>
      <c r="G84" s="153">
        <v>24.9</v>
      </c>
      <c r="H84" s="153">
        <v>24.4</v>
      </c>
      <c r="I84" s="153">
        <v>23.6</v>
      </c>
      <c r="J84" s="153">
        <v>23.5</v>
      </c>
      <c r="K84" s="153">
        <v>24</v>
      </c>
      <c r="L84" s="153">
        <v>25.1</v>
      </c>
      <c r="M84" s="153">
        <v>25.6</v>
      </c>
      <c r="N84" s="153">
        <v>26.4</v>
      </c>
      <c r="O84" s="153">
        <v>25.2</v>
      </c>
    </row>
    <row r="85" spans="1:15" x14ac:dyDescent="0.25">
      <c r="A85" s="152" t="s">
        <v>199</v>
      </c>
      <c r="B85" s="152" t="s">
        <v>198</v>
      </c>
      <c r="C85" s="153">
        <v>25.9</v>
      </c>
      <c r="D85" s="153">
        <v>25.8</v>
      </c>
      <c r="E85" s="153">
        <v>25.6</v>
      </c>
      <c r="F85" s="153">
        <v>24.5</v>
      </c>
      <c r="G85" s="153">
        <v>22.5</v>
      </c>
      <c r="H85" s="153">
        <v>20.5</v>
      </c>
      <c r="I85" s="153">
        <v>20.9</v>
      </c>
      <c r="J85" s="153">
        <v>22.4</v>
      </c>
      <c r="K85" s="153">
        <v>24.6</v>
      </c>
      <c r="L85" s="153">
        <v>26.3</v>
      </c>
      <c r="M85" s="153">
        <v>26.2</v>
      </c>
      <c r="N85" s="153">
        <v>25.9</v>
      </c>
      <c r="O85" s="153">
        <v>24.3</v>
      </c>
    </row>
    <row r="86" spans="1:15" x14ac:dyDescent="0.25">
      <c r="A86" s="152" t="s">
        <v>116</v>
      </c>
      <c r="B86" s="152" t="s">
        <v>113</v>
      </c>
      <c r="C86" s="153">
        <v>27.1</v>
      </c>
      <c r="D86" s="153">
        <v>25.9</v>
      </c>
      <c r="E86" s="153">
        <v>25.2</v>
      </c>
      <c r="F86" s="153">
        <v>25</v>
      </c>
      <c r="G86" s="153">
        <v>24.9</v>
      </c>
      <c r="H86" s="153">
        <v>24.8</v>
      </c>
      <c r="I86" s="153">
        <v>25.1</v>
      </c>
      <c r="J86" s="153">
        <v>26.4</v>
      </c>
      <c r="K86" s="153">
        <v>27.7</v>
      </c>
      <c r="L86" s="153">
        <v>28.6</v>
      </c>
      <c r="M86" s="153">
        <v>28.6</v>
      </c>
      <c r="N86" s="153">
        <v>28</v>
      </c>
      <c r="O86" s="153">
        <v>26.5</v>
      </c>
    </row>
    <row r="87" spans="1:15" x14ac:dyDescent="0.25">
      <c r="A87" s="152" t="s">
        <v>315</v>
      </c>
      <c r="B87" s="152" t="s">
        <v>308</v>
      </c>
      <c r="C87" s="153">
        <v>23.3</v>
      </c>
      <c r="D87" s="153">
        <v>23</v>
      </c>
      <c r="E87" s="153">
        <v>21.4</v>
      </c>
      <c r="F87" s="153">
        <v>18.5</v>
      </c>
      <c r="G87" s="153">
        <v>16</v>
      </c>
      <c r="H87" s="153">
        <v>13.5</v>
      </c>
      <c r="I87" s="153">
        <v>13.6</v>
      </c>
      <c r="J87" s="153">
        <v>14.7</v>
      </c>
      <c r="K87" s="153">
        <v>16.3</v>
      </c>
      <c r="L87" s="153">
        <v>18.399999999999999</v>
      </c>
      <c r="M87" s="153">
        <v>20.8</v>
      </c>
      <c r="N87" s="153">
        <v>22.6</v>
      </c>
      <c r="O87" s="153">
        <v>18.5</v>
      </c>
    </row>
    <row r="88" spans="1:15" x14ac:dyDescent="0.25">
      <c r="A88" s="152" t="s">
        <v>63</v>
      </c>
      <c r="B88" s="152" t="s">
        <v>64</v>
      </c>
      <c r="C88" s="153">
        <v>25.3</v>
      </c>
      <c r="D88" s="153">
        <v>25.1</v>
      </c>
      <c r="E88" s="153">
        <v>25.1</v>
      </c>
      <c r="F88" s="153">
        <v>24.9</v>
      </c>
      <c r="G88" s="153">
        <v>24.7</v>
      </c>
      <c r="H88" s="153">
        <v>24</v>
      </c>
      <c r="I88" s="153">
        <v>23.8</v>
      </c>
      <c r="J88" s="153">
        <v>24.7</v>
      </c>
      <c r="K88" s="153">
        <v>25</v>
      </c>
      <c r="L88" s="153">
        <v>25.2</v>
      </c>
      <c r="M88" s="153">
        <v>25.2</v>
      </c>
      <c r="N88" s="153">
        <v>25.2</v>
      </c>
      <c r="O88" s="153">
        <v>24.9</v>
      </c>
    </row>
    <row r="89" spans="1:15" x14ac:dyDescent="0.25">
      <c r="A89" s="152" t="s">
        <v>299</v>
      </c>
      <c r="B89" s="152" t="s">
        <v>297</v>
      </c>
      <c r="C89" s="153">
        <v>28.2</v>
      </c>
      <c r="D89" s="153">
        <v>27.5</v>
      </c>
      <c r="E89" s="153">
        <v>27.1</v>
      </c>
      <c r="F89" s="153">
        <v>26.4</v>
      </c>
      <c r="G89" s="153">
        <v>26</v>
      </c>
      <c r="H89" s="153">
        <v>25.6</v>
      </c>
      <c r="I89" s="153">
        <v>25.4</v>
      </c>
      <c r="J89" s="153">
        <v>25.9</v>
      </c>
      <c r="K89" s="153">
        <v>26.9</v>
      </c>
      <c r="L89" s="153">
        <v>27.7</v>
      </c>
      <c r="M89" s="153">
        <v>27.9</v>
      </c>
      <c r="N89" s="153">
        <v>28.2</v>
      </c>
      <c r="O89" s="153">
        <v>26.9</v>
      </c>
    </row>
    <row r="90" spans="1:15" x14ac:dyDescent="0.25">
      <c r="A90" s="152" t="s">
        <v>206</v>
      </c>
      <c r="B90" s="152" t="s">
        <v>205</v>
      </c>
      <c r="C90" s="153">
        <v>26.7</v>
      </c>
      <c r="D90" s="153">
        <v>26.5</v>
      </c>
      <c r="E90" s="153">
        <v>26.5</v>
      </c>
      <c r="F90" s="153">
        <v>26</v>
      </c>
      <c r="G90" s="153">
        <v>24.4</v>
      </c>
      <c r="H90" s="153">
        <v>23</v>
      </c>
      <c r="I90" s="153">
        <v>22.8</v>
      </c>
      <c r="J90" s="153">
        <v>25</v>
      </c>
      <c r="K90" s="153">
        <v>26.6</v>
      </c>
      <c r="L90" s="153">
        <v>27.4</v>
      </c>
      <c r="M90" s="153">
        <v>27.2</v>
      </c>
      <c r="N90" s="153">
        <v>26.9</v>
      </c>
      <c r="O90" s="153">
        <v>25.8</v>
      </c>
    </row>
    <row r="91" spans="1:15" x14ac:dyDescent="0.25">
      <c r="A91" s="152" t="s">
        <v>88</v>
      </c>
      <c r="B91" s="152" t="s">
        <v>89</v>
      </c>
      <c r="C91" s="153">
        <v>24.8</v>
      </c>
      <c r="D91" s="153">
        <v>24.9</v>
      </c>
      <c r="E91" s="153">
        <v>25</v>
      </c>
      <c r="F91" s="153">
        <v>25.3</v>
      </c>
      <c r="G91" s="153">
        <v>25.3</v>
      </c>
      <c r="H91" s="153">
        <v>25.1</v>
      </c>
      <c r="I91" s="153">
        <v>24.9</v>
      </c>
      <c r="J91" s="153">
        <v>25.4</v>
      </c>
      <c r="K91" s="153">
        <v>25.9</v>
      </c>
      <c r="L91" s="153">
        <v>26.3</v>
      </c>
      <c r="M91" s="153">
        <v>26.2</v>
      </c>
      <c r="N91" s="153">
        <v>25.9</v>
      </c>
      <c r="O91" s="153">
        <v>25.4</v>
      </c>
    </row>
    <row r="92" spans="1:15" x14ac:dyDescent="0.25">
      <c r="A92" s="152" t="s">
        <v>253</v>
      </c>
      <c r="B92" s="152" t="s">
        <v>251</v>
      </c>
      <c r="C92" s="153">
        <v>20.399999999999999</v>
      </c>
      <c r="D92" s="153">
        <v>20.6</v>
      </c>
      <c r="E92" s="153">
        <v>19.600000000000001</v>
      </c>
      <c r="F92" s="153">
        <v>17.2</v>
      </c>
      <c r="G92" s="153">
        <v>14.5</v>
      </c>
      <c r="H92" s="153">
        <v>13.1</v>
      </c>
      <c r="I92" s="153">
        <v>12.9</v>
      </c>
      <c r="J92" s="153">
        <v>14.1</v>
      </c>
      <c r="K92" s="153">
        <v>15</v>
      </c>
      <c r="L92" s="153">
        <v>16.5</v>
      </c>
      <c r="M92" s="153">
        <v>18.2</v>
      </c>
      <c r="N92" s="153">
        <v>19.3</v>
      </c>
      <c r="O92" s="153">
        <v>16.8</v>
      </c>
    </row>
    <row r="93" spans="1:15" x14ac:dyDescent="0.25">
      <c r="A93" s="152" t="s">
        <v>162</v>
      </c>
      <c r="B93" s="152" t="s">
        <v>148</v>
      </c>
      <c r="C93" s="153">
        <v>24.3</v>
      </c>
      <c r="D93" s="153">
        <v>24.7</v>
      </c>
      <c r="E93" s="153">
        <v>24.3</v>
      </c>
      <c r="F93" s="153">
        <v>23.1</v>
      </c>
      <c r="G93" s="153">
        <v>20.9</v>
      </c>
      <c r="H93" s="153">
        <v>19.5</v>
      </c>
      <c r="I93" s="153">
        <v>19.2</v>
      </c>
      <c r="J93" s="153">
        <v>20.9</v>
      </c>
      <c r="K93" s="153">
        <v>22.6</v>
      </c>
      <c r="L93" s="153">
        <v>23.8</v>
      </c>
      <c r="M93" s="153">
        <v>23.9</v>
      </c>
      <c r="N93" s="153">
        <v>24</v>
      </c>
      <c r="O93" s="153">
        <v>22.6</v>
      </c>
    </row>
    <row r="94" spans="1:15" x14ac:dyDescent="0.25">
      <c r="A94" s="152" t="s">
        <v>163</v>
      </c>
      <c r="B94" s="152" t="s">
        <v>148</v>
      </c>
      <c r="C94" s="153">
        <v>19.899999999999999</v>
      </c>
      <c r="D94" s="153">
        <v>20.100000000000001</v>
      </c>
      <c r="E94" s="153">
        <v>20.100000000000001</v>
      </c>
      <c r="F94" s="153">
        <v>18.399999999999999</v>
      </c>
      <c r="G94" s="153">
        <v>16.899999999999999</v>
      </c>
      <c r="H94" s="153">
        <v>16</v>
      </c>
      <c r="I94" s="153">
        <v>15.5</v>
      </c>
      <c r="J94" s="153">
        <v>16.8</v>
      </c>
      <c r="K94" s="153">
        <v>17.600000000000001</v>
      </c>
      <c r="L94" s="153">
        <v>18.7</v>
      </c>
      <c r="M94" s="153">
        <v>19.600000000000001</v>
      </c>
      <c r="N94" s="153">
        <v>19.7</v>
      </c>
      <c r="O94" s="153">
        <v>18.3</v>
      </c>
    </row>
    <row r="95" spans="1:15" x14ac:dyDescent="0.25">
      <c r="A95" s="152" t="s">
        <v>207</v>
      </c>
      <c r="B95" s="152" t="s">
        <v>205</v>
      </c>
      <c r="C95" s="153">
        <v>25.6</v>
      </c>
      <c r="D95" s="153">
        <v>25.5</v>
      </c>
      <c r="E95" s="153">
        <v>25.5</v>
      </c>
      <c r="F95" s="153">
        <v>25.3</v>
      </c>
      <c r="G95" s="153">
        <v>23.9</v>
      </c>
      <c r="H95" s="153">
        <v>22.5</v>
      </c>
      <c r="I95" s="153">
        <v>22.3</v>
      </c>
      <c r="J95" s="153">
        <v>24.5</v>
      </c>
      <c r="K95" s="153">
        <v>25.9</v>
      </c>
      <c r="L95" s="153">
        <v>26.2</v>
      </c>
      <c r="M95" s="153">
        <v>26</v>
      </c>
      <c r="N95" s="153">
        <v>25.6</v>
      </c>
      <c r="O95" s="153">
        <v>24.9</v>
      </c>
    </row>
    <row r="96" spans="1:15" x14ac:dyDescent="0.25">
      <c r="A96" s="152" t="s">
        <v>200</v>
      </c>
      <c r="B96" s="152" t="s">
        <v>198</v>
      </c>
      <c r="C96" s="153">
        <v>25</v>
      </c>
      <c r="D96" s="153">
        <v>24.9</v>
      </c>
      <c r="E96" s="153">
        <v>24.3</v>
      </c>
      <c r="F96" s="153">
        <v>22.1</v>
      </c>
      <c r="G96" s="153">
        <v>19.8</v>
      </c>
      <c r="H96" s="153">
        <v>18</v>
      </c>
      <c r="I96" s="153">
        <v>18.3</v>
      </c>
      <c r="J96" s="153">
        <v>19.600000000000001</v>
      </c>
      <c r="K96" s="153">
        <v>20.9</v>
      </c>
      <c r="L96" s="153">
        <v>23.1</v>
      </c>
      <c r="M96" s="153">
        <v>23.9</v>
      </c>
      <c r="N96" s="153">
        <v>24.5</v>
      </c>
      <c r="O96" s="153">
        <v>22</v>
      </c>
    </row>
    <row r="97" spans="1:15" x14ac:dyDescent="0.25">
      <c r="A97" s="152" t="s">
        <v>278</v>
      </c>
      <c r="B97" s="152" t="s">
        <v>269</v>
      </c>
      <c r="C97" s="153">
        <v>26.1</v>
      </c>
      <c r="D97" s="153">
        <v>26.4</v>
      </c>
      <c r="E97" s="153">
        <v>25.6</v>
      </c>
      <c r="F97" s="153">
        <v>23.4</v>
      </c>
      <c r="G97" s="153">
        <v>21.5</v>
      </c>
      <c r="H97" s="153">
        <v>20.6</v>
      </c>
      <c r="I97" s="153">
        <v>20.2</v>
      </c>
      <c r="J97" s="153">
        <v>21.1</v>
      </c>
      <c r="K97" s="153">
        <v>21.9</v>
      </c>
      <c r="L97" s="153">
        <v>22.6</v>
      </c>
      <c r="M97" s="153">
        <v>23.8</v>
      </c>
      <c r="N97" s="153">
        <v>25</v>
      </c>
      <c r="O97" s="153">
        <v>23.2</v>
      </c>
    </row>
    <row r="98" spans="1:15" x14ac:dyDescent="0.25">
      <c r="A98" s="152" t="s">
        <v>316</v>
      </c>
      <c r="B98" s="152" t="s">
        <v>308</v>
      </c>
      <c r="C98" s="153">
        <v>22</v>
      </c>
      <c r="D98" s="153">
        <v>21.8</v>
      </c>
      <c r="E98" s="153">
        <v>20.2</v>
      </c>
      <c r="F98" s="153">
        <v>17.3</v>
      </c>
      <c r="G98" s="153">
        <v>14.8</v>
      </c>
      <c r="H98" s="153">
        <v>12.3</v>
      </c>
      <c r="I98" s="153">
        <v>12.4</v>
      </c>
      <c r="J98" s="153">
        <v>12.8</v>
      </c>
      <c r="K98" s="153">
        <v>14.5</v>
      </c>
      <c r="L98" s="153">
        <v>16.399999999999999</v>
      </c>
      <c r="M98" s="153">
        <v>18.5</v>
      </c>
      <c r="N98" s="153">
        <v>21</v>
      </c>
      <c r="O98" s="153">
        <v>17</v>
      </c>
    </row>
    <row r="99" spans="1:15" x14ac:dyDescent="0.25">
      <c r="A99" s="152" t="s">
        <v>279</v>
      </c>
      <c r="B99" s="152" t="s">
        <v>269</v>
      </c>
      <c r="C99" s="153">
        <v>27</v>
      </c>
      <c r="D99" s="153">
        <v>27.2</v>
      </c>
      <c r="E99" s="153">
        <v>26.4</v>
      </c>
      <c r="F99" s="153">
        <v>24.3</v>
      </c>
      <c r="G99" s="153">
        <v>22.2</v>
      </c>
      <c r="H99" s="153">
        <v>21.3</v>
      </c>
      <c r="I99" s="153">
        <v>20.8</v>
      </c>
      <c r="J99" s="153">
        <v>22</v>
      </c>
      <c r="K99" s="153">
        <v>22.9</v>
      </c>
      <c r="L99" s="153">
        <v>23.5</v>
      </c>
      <c r="M99" s="153">
        <v>24.1</v>
      </c>
      <c r="N99" s="153">
        <v>25.9</v>
      </c>
      <c r="O99" s="153">
        <v>24</v>
      </c>
    </row>
    <row r="100" spans="1:15" x14ac:dyDescent="0.25">
      <c r="A100" s="152" t="s">
        <v>164</v>
      </c>
      <c r="B100" s="152" t="s">
        <v>148</v>
      </c>
      <c r="C100" s="153">
        <v>24.9</v>
      </c>
      <c r="D100" s="153">
        <v>25.2</v>
      </c>
      <c r="E100" s="153">
        <v>25.1</v>
      </c>
      <c r="F100" s="153">
        <v>24.4</v>
      </c>
      <c r="G100" s="153">
        <v>23.5</v>
      </c>
      <c r="H100" s="153">
        <v>22</v>
      </c>
      <c r="I100" s="153">
        <v>21.8</v>
      </c>
      <c r="J100" s="153">
        <v>23.4</v>
      </c>
      <c r="K100" s="153">
        <v>24.8</v>
      </c>
      <c r="L100" s="153">
        <v>25.6</v>
      </c>
      <c r="M100" s="153">
        <v>25</v>
      </c>
      <c r="N100" s="153">
        <v>24.8</v>
      </c>
      <c r="O100" s="153">
        <v>24.2</v>
      </c>
    </row>
    <row r="101" spans="1:15" x14ac:dyDescent="0.25">
      <c r="A101" s="152" t="s">
        <v>300</v>
      </c>
      <c r="B101" s="152" t="s">
        <v>297</v>
      </c>
      <c r="C101" s="153">
        <v>27.1</v>
      </c>
      <c r="D101" s="153">
        <v>26.4</v>
      </c>
      <c r="E101" s="153">
        <v>25.8</v>
      </c>
      <c r="F101" s="153">
        <v>25.6</v>
      </c>
      <c r="G101" s="153">
        <v>25.2</v>
      </c>
      <c r="H101" s="153">
        <v>24.6</v>
      </c>
      <c r="I101" s="153">
        <v>24.3</v>
      </c>
      <c r="J101" s="153">
        <v>24.9</v>
      </c>
      <c r="K101" s="153">
        <v>25.9</v>
      </c>
      <c r="L101" s="153">
        <v>26.8</v>
      </c>
      <c r="M101" s="153">
        <v>26.8</v>
      </c>
      <c r="N101" s="153">
        <v>27.2</v>
      </c>
      <c r="O101" s="153">
        <v>25.9</v>
      </c>
    </row>
    <row r="102" spans="1:15" x14ac:dyDescent="0.25">
      <c r="A102" s="152" t="s">
        <v>238</v>
      </c>
      <c r="B102" s="152" t="s">
        <v>235</v>
      </c>
      <c r="C102" s="153">
        <v>27.8</v>
      </c>
      <c r="D102" s="153">
        <v>27.1</v>
      </c>
      <c r="E102" s="153">
        <v>26.9</v>
      </c>
      <c r="F102" s="153">
        <v>26.3</v>
      </c>
      <c r="G102" s="153">
        <v>25</v>
      </c>
      <c r="H102" s="153">
        <v>23.9</v>
      </c>
      <c r="I102" s="153">
        <v>23.2</v>
      </c>
      <c r="J102" s="153">
        <v>24.1</v>
      </c>
      <c r="K102" s="153">
        <v>25.8</v>
      </c>
      <c r="L102" s="153">
        <v>27.9</v>
      </c>
      <c r="M102" s="153">
        <v>28.6</v>
      </c>
      <c r="N102" s="153">
        <v>28.2</v>
      </c>
      <c r="O102" s="153">
        <v>26.2</v>
      </c>
    </row>
    <row r="103" spans="1:15" x14ac:dyDescent="0.25">
      <c r="A103" s="152" t="s">
        <v>165</v>
      </c>
      <c r="B103" s="152" t="s">
        <v>148</v>
      </c>
      <c r="C103" s="153">
        <v>22.5</v>
      </c>
      <c r="D103" s="153">
        <v>22.6</v>
      </c>
      <c r="E103" s="153">
        <v>22.3</v>
      </c>
      <c r="F103" s="153">
        <v>20.6</v>
      </c>
      <c r="G103" s="153">
        <v>17.7</v>
      </c>
      <c r="H103" s="153">
        <v>16</v>
      </c>
      <c r="I103" s="153">
        <v>15.5</v>
      </c>
      <c r="J103" s="153">
        <v>17.3</v>
      </c>
      <c r="K103" s="153">
        <v>19.600000000000001</v>
      </c>
      <c r="L103" s="153">
        <v>21.3</v>
      </c>
      <c r="M103" s="153">
        <v>21.9</v>
      </c>
      <c r="N103" s="153">
        <v>22.1</v>
      </c>
      <c r="O103" s="153">
        <v>20</v>
      </c>
    </row>
    <row r="104" spans="1:15" x14ac:dyDescent="0.25">
      <c r="A104" s="152" t="s">
        <v>247</v>
      </c>
      <c r="B104" s="152" t="s">
        <v>246</v>
      </c>
      <c r="C104" s="153">
        <v>25.5</v>
      </c>
      <c r="D104" s="153">
        <v>25.5</v>
      </c>
      <c r="E104" s="153">
        <v>25.6</v>
      </c>
      <c r="F104" s="153">
        <v>25.9</v>
      </c>
      <c r="G104" s="153">
        <v>26</v>
      </c>
      <c r="H104" s="153">
        <v>25.9</v>
      </c>
      <c r="I104" s="153">
        <v>26.5</v>
      </c>
      <c r="J104" s="153">
        <v>27.7</v>
      </c>
      <c r="K104" s="153">
        <v>29.1</v>
      </c>
      <c r="L104" s="153">
        <v>28.5</v>
      </c>
      <c r="M104" s="153">
        <v>27.2</v>
      </c>
      <c r="N104" s="153">
        <v>26.5</v>
      </c>
      <c r="O104" s="153">
        <v>26.7</v>
      </c>
    </row>
    <row r="105" spans="1:15" x14ac:dyDescent="0.25">
      <c r="A105" s="152" t="s">
        <v>342</v>
      </c>
      <c r="B105" s="152" t="s">
        <v>338</v>
      </c>
      <c r="C105" s="153">
        <v>24.2</v>
      </c>
      <c r="D105" s="153">
        <v>24.6</v>
      </c>
      <c r="E105" s="153">
        <v>23.6</v>
      </c>
      <c r="F105" s="153">
        <v>21.1</v>
      </c>
      <c r="G105" s="153">
        <v>18.899999999999999</v>
      </c>
      <c r="H105" s="153">
        <v>16.7</v>
      </c>
      <c r="I105" s="153">
        <v>16.5</v>
      </c>
      <c r="J105" s="153">
        <v>16.899999999999999</v>
      </c>
      <c r="K105" s="153">
        <v>17.899999999999999</v>
      </c>
      <c r="L105" s="153">
        <v>19.600000000000001</v>
      </c>
      <c r="M105" s="153">
        <v>21.3</v>
      </c>
      <c r="N105" s="153">
        <v>23</v>
      </c>
      <c r="O105" s="153">
        <v>20.399999999999999</v>
      </c>
    </row>
    <row r="106" spans="1:15" x14ac:dyDescent="0.25">
      <c r="A106" s="152" t="s">
        <v>75</v>
      </c>
      <c r="B106" s="152" t="s">
        <v>71</v>
      </c>
      <c r="C106" s="153">
        <v>25.7</v>
      </c>
      <c r="D106" s="153">
        <v>25.9</v>
      </c>
      <c r="E106" s="153">
        <v>25.5</v>
      </c>
      <c r="F106" s="153">
        <v>25.5</v>
      </c>
      <c r="G106" s="153">
        <v>25.4</v>
      </c>
      <c r="H106" s="153">
        <v>25</v>
      </c>
      <c r="I106" s="153">
        <v>24.8</v>
      </c>
      <c r="J106" s="153">
        <v>25.4</v>
      </c>
      <c r="K106" s="153">
        <v>25.6</v>
      </c>
      <c r="L106" s="153">
        <v>26.1</v>
      </c>
      <c r="M106" s="153">
        <v>26.1</v>
      </c>
      <c r="N106" s="153">
        <v>25.7</v>
      </c>
      <c r="O106" s="153">
        <v>25.6</v>
      </c>
    </row>
    <row r="107" spans="1:15" x14ac:dyDescent="0.25">
      <c r="A107" s="152" t="s">
        <v>133</v>
      </c>
      <c r="B107" s="152" t="s">
        <v>131</v>
      </c>
      <c r="C107" s="153">
        <v>22.2</v>
      </c>
      <c r="D107" s="153">
        <v>22.4</v>
      </c>
      <c r="E107" s="153">
        <v>22.5</v>
      </c>
      <c r="F107" s="153">
        <v>22</v>
      </c>
      <c r="G107" s="153">
        <v>20.7</v>
      </c>
      <c r="H107" s="153">
        <v>19.5</v>
      </c>
      <c r="I107" s="153">
        <v>19.3</v>
      </c>
      <c r="J107" s="153">
        <v>21.3</v>
      </c>
      <c r="K107" s="153">
        <v>22.8</v>
      </c>
      <c r="L107" s="153">
        <v>22.9</v>
      </c>
      <c r="M107" s="153">
        <v>22.3</v>
      </c>
      <c r="N107" s="153">
        <v>22.1</v>
      </c>
      <c r="O107" s="153">
        <v>21.7</v>
      </c>
    </row>
    <row r="108" spans="1:15" x14ac:dyDescent="0.25">
      <c r="A108" s="154" t="s">
        <v>117</v>
      </c>
      <c r="B108" s="154" t="s">
        <v>113</v>
      </c>
      <c r="C108" s="155">
        <v>27.119488954545499</v>
      </c>
      <c r="D108" s="155">
        <v>26.860266049999996</v>
      </c>
      <c r="E108" s="155">
        <v>26.425648315789466</v>
      </c>
      <c r="F108" s="155">
        <v>26.24321531578947</v>
      </c>
      <c r="G108" s="155">
        <v>26.158298349999995</v>
      </c>
      <c r="H108" s="155">
        <v>25.842840750000001</v>
      </c>
      <c r="I108" s="155">
        <v>25.615073149999994</v>
      </c>
      <c r="J108" s="155">
        <v>26.014538111111115</v>
      </c>
      <c r="K108" s="155">
        <v>26.44878423529412</v>
      </c>
      <c r="L108" s="155">
        <v>26.923437947368416</v>
      </c>
      <c r="M108" s="155">
        <v>27.201699608695652</v>
      </c>
      <c r="N108" s="155">
        <v>27.296667181818183</v>
      </c>
      <c r="O108" s="155">
        <v>26.620438822585978</v>
      </c>
    </row>
    <row r="109" spans="1:15" x14ac:dyDescent="0.25">
      <c r="A109" s="152" t="s">
        <v>254</v>
      </c>
      <c r="B109" s="152" t="s">
        <v>251</v>
      </c>
      <c r="C109" s="153">
        <v>25.5</v>
      </c>
      <c r="D109" s="153">
        <v>25.4</v>
      </c>
      <c r="E109" s="153">
        <v>23.8</v>
      </c>
      <c r="F109" s="153">
        <v>20.8</v>
      </c>
      <c r="G109" s="153">
        <v>17.7</v>
      </c>
      <c r="H109" s="153">
        <v>15.8</v>
      </c>
      <c r="I109" s="153">
        <v>15.7</v>
      </c>
      <c r="J109" s="153">
        <v>17.5</v>
      </c>
      <c r="K109" s="153">
        <v>19</v>
      </c>
      <c r="L109" s="153">
        <v>21.4</v>
      </c>
      <c r="M109" s="153">
        <v>23.1</v>
      </c>
      <c r="N109" s="153">
        <v>25.1</v>
      </c>
      <c r="O109" s="153">
        <v>20.9</v>
      </c>
    </row>
    <row r="110" spans="1:15" x14ac:dyDescent="0.25">
      <c r="A110" s="152" t="s">
        <v>364</v>
      </c>
      <c r="B110" s="152" t="s">
        <v>357</v>
      </c>
      <c r="C110" s="153">
        <v>21.7</v>
      </c>
      <c r="D110" s="153">
        <v>22</v>
      </c>
      <c r="E110" s="153">
        <v>22</v>
      </c>
      <c r="F110" s="153">
        <v>21</v>
      </c>
      <c r="G110" s="153">
        <v>19</v>
      </c>
      <c r="H110" s="153">
        <v>17.8</v>
      </c>
      <c r="I110" s="153">
        <v>17.7</v>
      </c>
      <c r="J110" s="153">
        <v>19.7</v>
      </c>
      <c r="K110" s="153">
        <v>20.7</v>
      </c>
      <c r="L110" s="153">
        <v>21.2</v>
      </c>
      <c r="M110" s="153">
        <v>21.5</v>
      </c>
      <c r="N110" s="153">
        <v>21.3</v>
      </c>
      <c r="O110" s="153">
        <v>20.5</v>
      </c>
    </row>
    <row r="111" spans="1:15" x14ac:dyDescent="0.25">
      <c r="A111" s="152" t="s">
        <v>166</v>
      </c>
      <c r="B111" s="152" t="s">
        <v>148</v>
      </c>
      <c r="C111" s="153">
        <v>25.3</v>
      </c>
      <c r="D111" s="153">
        <v>25.5</v>
      </c>
      <c r="E111" s="153">
        <v>25.5</v>
      </c>
      <c r="F111" s="153">
        <v>24</v>
      </c>
      <c r="G111" s="153">
        <v>22</v>
      </c>
      <c r="H111" s="153">
        <v>20.8</v>
      </c>
      <c r="I111" s="153">
        <v>20.5</v>
      </c>
      <c r="J111" s="153">
        <v>22.6</v>
      </c>
      <c r="K111" s="153">
        <v>24.7</v>
      </c>
      <c r="L111" s="153">
        <v>24.9</v>
      </c>
      <c r="M111" s="153">
        <v>25.2</v>
      </c>
      <c r="N111" s="153">
        <v>25.4</v>
      </c>
      <c r="O111" s="153">
        <v>23.9</v>
      </c>
    </row>
    <row r="112" spans="1:15" x14ac:dyDescent="0.25">
      <c r="A112" s="152" t="s">
        <v>239</v>
      </c>
      <c r="B112" s="152" t="s">
        <v>235</v>
      </c>
      <c r="C112" s="153">
        <v>22</v>
      </c>
      <c r="D112" s="153">
        <v>22</v>
      </c>
      <c r="E112" s="153">
        <v>21.9</v>
      </c>
      <c r="F112" s="153">
        <v>21.4</v>
      </c>
      <c r="G112" s="153">
        <v>20.3</v>
      </c>
      <c r="H112" s="153">
        <v>19.2</v>
      </c>
      <c r="I112" s="153">
        <v>18.399999999999999</v>
      </c>
      <c r="J112" s="153">
        <v>18.399999999999999</v>
      </c>
      <c r="K112" s="153">
        <v>19.3</v>
      </c>
      <c r="L112" s="153">
        <v>20.8</v>
      </c>
      <c r="M112" s="153">
        <v>21.7</v>
      </c>
      <c r="N112" s="153">
        <v>21.9</v>
      </c>
      <c r="O112" s="153">
        <v>20.6</v>
      </c>
    </row>
    <row r="113" spans="1:15" x14ac:dyDescent="0.25">
      <c r="A113" s="152" t="s">
        <v>208</v>
      </c>
      <c r="B113" s="152" t="s">
        <v>205</v>
      </c>
      <c r="C113" s="153">
        <v>24.4</v>
      </c>
      <c r="D113" s="153">
        <v>24.3</v>
      </c>
      <c r="E113" s="153">
        <v>24.6</v>
      </c>
      <c r="F113" s="153">
        <v>24.7</v>
      </c>
      <c r="G113" s="153">
        <v>23.9</v>
      </c>
      <c r="H113" s="153">
        <v>22.5</v>
      </c>
      <c r="I113" s="153">
        <v>22.1</v>
      </c>
      <c r="J113" s="153">
        <v>23.2</v>
      </c>
      <c r="K113" s="153">
        <v>24.6</v>
      </c>
      <c r="L113" s="153">
        <v>25.1</v>
      </c>
      <c r="M113" s="153">
        <v>24.7</v>
      </c>
      <c r="N113" s="153">
        <v>24.4</v>
      </c>
      <c r="O113" s="153">
        <v>24</v>
      </c>
    </row>
    <row r="114" spans="1:15" x14ac:dyDescent="0.25">
      <c r="A114" s="152" t="s">
        <v>134</v>
      </c>
      <c r="B114" s="152" t="s">
        <v>131</v>
      </c>
      <c r="C114" s="153">
        <v>23.8</v>
      </c>
      <c r="D114" s="153">
        <v>23.8</v>
      </c>
      <c r="E114" s="153">
        <v>24</v>
      </c>
      <c r="F114" s="153">
        <v>23.6</v>
      </c>
      <c r="G114" s="153">
        <v>22.2</v>
      </c>
      <c r="H114" s="153">
        <v>20.9</v>
      </c>
      <c r="I114" s="153">
        <v>20.9</v>
      </c>
      <c r="J114" s="153">
        <v>23</v>
      </c>
      <c r="K114" s="153">
        <v>24.5</v>
      </c>
      <c r="L114" s="153">
        <v>24.6</v>
      </c>
      <c r="M114" s="153">
        <v>24.1</v>
      </c>
      <c r="N114" s="153">
        <v>23.5</v>
      </c>
      <c r="O114" s="153">
        <v>23.2</v>
      </c>
    </row>
    <row r="115" spans="1:15" x14ac:dyDescent="0.25">
      <c r="A115" s="152" t="s">
        <v>135</v>
      </c>
      <c r="B115" s="152" t="s">
        <v>131</v>
      </c>
      <c r="C115" s="153">
        <v>24.8</v>
      </c>
      <c r="D115" s="153">
        <v>24.8</v>
      </c>
      <c r="E115" s="153">
        <v>25.1</v>
      </c>
      <c r="F115" s="153">
        <v>25</v>
      </c>
      <c r="G115" s="153">
        <v>24</v>
      </c>
      <c r="H115" s="153">
        <v>22.7</v>
      </c>
      <c r="I115" s="153">
        <v>23</v>
      </c>
      <c r="J115" s="153">
        <v>25</v>
      </c>
      <c r="K115" s="153">
        <v>26.4</v>
      </c>
      <c r="L115" s="153">
        <v>25.8</v>
      </c>
      <c r="M115" s="153">
        <v>25.2</v>
      </c>
      <c r="N115" s="153">
        <v>24.8</v>
      </c>
      <c r="O115" s="153">
        <v>24.7</v>
      </c>
    </row>
    <row r="116" spans="1:15" x14ac:dyDescent="0.25">
      <c r="A116" s="152" t="s">
        <v>167</v>
      </c>
      <c r="B116" s="152" t="s">
        <v>148</v>
      </c>
      <c r="C116" s="153">
        <v>26.1</v>
      </c>
      <c r="D116" s="153">
        <v>26.4</v>
      </c>
      <c r="E116" s="153">
        <v>26.3</v>
      </c>
      <c r="F116" s="153">
        <v>24.4</v>
      </c>
      <c r="G116" s="153">
        <v>22.3</v>
      </c>
      <c r="H116" s="153">
        <v>21.1</v>
      </c>
      <c r="I116" s="153">
        <v>20.7</v>
      </c>
      <c r="J116" s="153">
        <v>22</v>
      </c>
      <c r="K116" s="153">
        <v>23.2</v>
      </c>
      <c r="L116" s="153">
        <v>24.3</v>
      </c>
      <c r="M116" s="153">
        <v>24.9</v>
      </c>
      <c r="N116" s="153">
        <v>25.4</v>
      </c>
      <c r="O116" s="153">
        <v>23.9</v>
      </c>
    </row>
    <row r="117" spans="1:15" x14ac:dyDescent="0.25">
      <c r="A117" s="152" t="s">
        <v>144</v>
      </c>
      <c r="B117" s="152" t="s">
        <v>140</v>
      </c>
      <c r="C117" s="153">
        <v>25.1</v>
      </c>
      <c r="D117" s="153">
        <v>25.1</v>
      </c>
      <c r="E117" s="153">
        <v>25.1</v>
      </c>
      <c r="F117" s="153">
        <v>25.3</v>
      </c>
      <c r="G117" s="153">
        <v>25.1</v>
      </c>
      <c r="H117" s="153">
        <v>24.7</v>
      </c>
      <c r="I117" s="153">
        <v>24.6</v>
      </c>
      <c r="J117" s="153">
        <v>25.3</v>
      </c>
      <c r="K117" s="153">
        <v>26.7</v>
      </c>
      <c r="L117" s="153">
        <v>26.6</v>
      </c>
      <c r="M117" s="153">
        <v>26</v>
      </c>
      <c r="N117" s="153">
        <v>25.5</v>
      </c>
      <c r="O117" s="153">
        <v>25.4</v>
      </c>
    </row>
    <row r="118" spans="1:15" x14ac:dyDescent="0.25">
      <c r="A118" s="152" t="s">
        <v>255</v>
      </c>
      <c r="B118" s="152" t="s">
        <v>251</v>
      </c>
      <c r="C118" s="153">
        <v>25.6</v>
      </c>
      <c r="D118" s="153">
        <v>25.5</v>
      </c>
      <c r="E118" s="153">
        <v>24.7</v>
      </c>
      <c r="F118" s="153">
        <v>21.9</v>
      </c>
      <c r="G118" s="153">
        <v>18.7</v>
      </c>
      <c r="H118" s="153">
        <v>16.8</v>
      </c>
      <c r="I118" s="153">
        <v>17</v>
      </c>
      <c r="J118" s="153">
        <v>18.3</v>
      </c>
      <c r="K118" s="153">
        <v>19.899999999999999</v>
      </c>
      <c r="L118" s="153">
        <v>22.4</v>
      </c>
      <c r="M118" s="153">
        <v>23.9</v>
      </c>
      <c r="N118" s="153">
        <v>25.1</v>
      </c>
      <c r="O118" s="153">
        <v>21.7</v>
      </c>
    </row>
    <row r="119" spans="1:15" x14ac:dyDescent="0.25">
      <c r="A119" s="152" t="s">
        <v>317</v>
      </c>
      <c r="B119" s="152" t="s">
        <v>308</v>
      </c>
      <c r="C119" s="153">
        <v>22.7</v>
      </c>
      <c r="D119" s="153">
        <v>22.7</v>
      </c>
      <c r="E119" s="153">
        <v>21</v>
      </c>
      <c r="F119" s="153">
        <v>17.600000000000001</v>
      </c>
      <c r="G119" s="153">
        <v>14.9</v>
      </c>
      <c r="H119" s="153">
        <v>13.1</v>
      </c>
      <c r="I119" s="153">
        <v>13.1</v>
      </c>
      <c r="J119" s="153">
        <v>13.8</v>
      </c>
      <c r="K119" s="153">
        <v>15.9</v>
      </c>
      <c r="L119" s="153">
        <v>17.899999999999999</v>
      </c>
      <c r="M119" s="153">
        <v>20.100000000000001</v>
      </c>
      <c r="N119" s="153">
        <v>21.9</v>
      </c>
      <c r="O119" s="153">
        <v>17.899999999999999</v>
      </c>
    </row>
    <row r="120" spans="1:15" x14ac:dyDescent="0.25">
      <c r="A120" s="152" t="s">
        <v>118</v>
      </c>
      <c r="B120" s="152" t="s">
        <v>113</v>
      </c>
      <c r="C120" s="153">
        <v>21.1</v>
      </c>
      <c r="D120" s="153">
        <v>20.9</v>
      </c>
      <c r="E120" s="153">
        <v>20.8</v>
      </c>
      <c r="F120" s="153">
        <v>20.8</v>
      </c>
      <c r="G120" s="153">
        <v>20.5</v>
      </c>
      <c r="H120" s="153">
        <v>19.8</v>
      </c>
      <c r="I120" s="153">
        <v>19.5</v>
      </c>
      <c r="J120" s="153">
        <v>19.899999999999999</v>
      </c>
      <c r="K120" s="153">
        <v>20.399999999999999</v>
      </c>
      <c r="L120" s="153">
        <v>20.8</v>
      </c>
      <c r="M120" s="153">
        <v>21</v>
      </c>
      <c r="N120" s="153">
        <v>20.9</v>
      </c>
      <c r="O120" s="153">
        <v>20.5</v>
      </c>
    </row>
    <row r="121" spans="1:15" x14ac:dyDescent="0.25">
      <c r="A121" s="152" t="s">
        <v>256</v>
      </c>
      <c r="B121" s="152" t="s">
        <v>251</v>
      </c>
      <c r="C121" s="153">
        <v>20.2</v>
      </c>
      <c r="D121" s="153">
        <v>20.2</v>
      </c>
      <c r="E121" s="153">
        <v>19.3</v>
      </c>
      <c r="F121" s="153">
        <v>16.7</v>
      </c>
      <c r="G121" s="153">
        <v>14.4</v>
      </c>
      <c r="H121" s="153">
        <v>12.6</v>
      </c>
      <c r="I121" s="153">
        <v>12.3</v>
      </c>
      <c r="J121" s="153">
        <v>14.5</v>
      </c>
      <c r="K121" s="153">
        <v>15.8</v>
      </c>
      <c r="L121" s="153">
        <v>17.100000000000001</v>
      </c>
      <c r="M121" s="153">
        <v>18.5</v>
      </c>
      <c r="N121" s="153">
        <v>19.5</v>
      </c>
      <c r="O121" s="153">
        <v>16.8</v>
      </c>
    </row>
    <row r="122" spans="1:15" x14ac:dyDescent="0.25">
      <c r="A122" s="152" t="s">
        <v>76</v>
      </c>
      <c r="B122" s="152" t="s">
        <v>71</v>
      </c>
      <c r="C122" s="153">
        <v>25.7</v>
      </c>
      <c r="D122" s="153">
        <v>25.7</v>
      </c>
      <c r="E122" s="153">
        <v>25.7</v>
      </c>
      <c r="F122" s="153">
        <v>25.7</v>
      </c>
      <c r="G122" s="153">
        <v>25.5</v>
      </c>
      <c r="H122" s="153">
        <v>25.1</v>
      </c>
      <c r="I122" s="153">
        <v>24.8</v>
      </c>
      <c r="J122" s="153">
        <v>25.3</v>
      </c>
      <c r="K122" s="153">
        <v>25.6</v>
      </c>
      <c r="L122" s="153">
        <v>25.7</v>
      </c>
      <c r="M122" s="153">
        <v>25.7</v>
      </c>
      <c r="N122" s="153">
        <v>25.8</v>
      </c>
      <c r="O122" s="153">
        <v>25.5</v>
      </c>
    </row>
    <row r="123" spans="1:15" x14ac:dyDescent="0.25">
      <c r="A123" s="152" t="s">
        <v>168</v>
      </c>
      <c r="B123" s="152" t="s">
        <v>148</v>
      </c>
      <c r="C123" s="153">
        <v>22.5</v>
      </c>
      <c r="D123" s="153">
        <v>22.8</v>
      </c>
      <c r="E123" s="153">
        <v>22.4</v>
      </c>
      <c r="F123" s="153">
        <v>20.6</v>
      </c>
      <c r="G123" s="153">
        <v>18.2</v>
      </c>
      <c r="H123" s="153">
        <v>16.8</v>
      </c>
      <c r="I123" s="153">
        <v>16.399999999999999</v>
      </c>
      <c r="J123" s="153">
        <v>18.600000000000001</v>
      </c>
      <c r="K123" s="153">
        <v>20.399999999999999</v>
      </c>
      <c r="L123" s="153">
        <v>21.7</v>
      </c>
      <c r="M123" s="153">
        <v>22</v>
      </c>
      <c r="N123" s="153">
        <v>22.1</v>
      </c>
      <c r="O123" s="153">
        <v>20.399999999999999</v>
      </c>
    </row>
    <row r="124" spans="1:15" x14ac:dyDescent="0.25">
      <c r="A124" s="152" t="s">
        <v>365</v>
      </c>
      <c r="B124" s="152" t="s">
        <v>357</v>
      </c>
      <c r="C124" s="153">
        <v>25.1</v>
      </c>
      <c r="D124" s="153">
        <v>25.5</v>
      </c>
      <c r="E124" s="153">
        <v>24.6</v>
      </c>
      <c r="F124" s="153">
        <v>22.5</v>
      </c>
      <c r="G124" s="153">
        <v>20.100000000000001</v>
      </c>
      <c r="H124" s="153">
        <v>18.399999999999999</v>
      </c>
      <c r="I124" s="153">
        <v>17.899999999999999</v>
      </c>
      <c r="J124" s="153">
        <v>18.600000000000001</v>
      </c>
      <c r="K124" s="153">
        <v>19.3</v>
      </c>
      <c r="L124" s="153">
        <v>20.9</v>
      </c>
      <c r="M124" s="153">
        <v>22.6</v>
      </c>
      <c r="N124" s="153">
        <v>24.1</v>
      </c>
      <c r="O124" s="153">
        <v>21.6</v>
      </c>
    </row>
    <row r="125" spans="1:15" x14ac:dyDescent="0.25">
      <c r="A125" s="152" t="s">
        <v>119</v>
      </c>
      <c r="B125" s="152" t="s">
        <v>113</v>
      </c>
      <c r="C125" s="153">
        <v>27.5</v>
      </c>
      <c r="D125" s="153">
        <v>26.5</v>
      </c>
      <c r="E125" s="153">
        <v>26</v>
      </c>
      <c r="F125" s="153">
        <v>25.8</v>
      </c>
      <c r="G125" s="153">
        <v>25.4</v>
      </c>
      <c r="H125" s="153">
        <v>25</v>
      </c>
      <c r="I125" s="153">
        <v>25.3</v>
      </c>
      <c r="J125" s="153">
        <v>26.2</v>
      </c>
      <c r="K125" s="153">
        <v>27.6</v>
      </c>
      <c r="L125" s="153">
        <v>28.4</v>
      </c>
      <c r="M125" s="153">
        <v>28.7</v>
      </c>
      <c r="N125" s="153">
        <v>28.6</v>
      </c>
      <c r="O125" s="153">
        <v>26.8</v>
      </c>
    </row>
    <row r="126" spans="1:15" x14ac:dyDescent="0.25">
      <c r="A126" s="152" t="s">
        <v>280</v>
      </c>
      <c r="B126" s="152" t="s">
        <v>269</v>
      </c>
      <c r="C126" s="153">
        <v>25.8</v>
      </c>
      <c r="D126" s="153">
        <v>26.2</v>
      </c>
      <c r="E126" s="153">
        <v>25.7</v>
      </c>
      <c r="F126" s="153">
        <v>23.9</v>
      </c>
      <c r="G126" s="153">
        <v>22.5</v>
      </c>
      <c r="H126" s="153">
        <v>21.5</v>
      </c>
      <c r="I126" s="153">
        <v>21.2</v>
      </c>
      <c r="J126" s="153">
        <v>21.5</v>
      </c>
      <c r="K126" s="153">
        <v>21.5</v>
      </c>
      <c r="L126" s="153">
        <v>22.2</v>
      </c>
      <c r="M126" s="153">
        <v>23.8</v>
      </c>
      <c r="N126" s="153">
        <v>24.9</v>
      </c>
      <c r="O126" s="153">
        <v>23.4</v>
      </c>
    </row>
    <row r="127" spans="1:15" x14ac:dyDescent="0.25">
      <c r="A127" s="152" t="s">
        <v>100</v>
      </c>
      <c r="B127" s="152" t="s">
        <v>94</v>
      </c>
      <c r="C127" s="153">
        <v>25.9</v>
      </c>
      <c r="D127" s="153">
        <v>26</v>
      </c>
      <c r="E127" s="153">
        <v>25.9</v>
      </c>
      <c r="F127" s="153">
        <v>25.3</v>
      </c>
      <c r="G127" s="153">
        <v>24.1</v>
      </c>
      <c r="H127" s="153">
        <v>22.7</v>
      </c>
      <c r="I127" s="153">
        <v>22</v>
      </c>
      <c r="J127" s="153">
        <v>22.2</v>
      </c>
      <c r="K127" s="153">
        <v>23.2</v>
      </c>
      <c r="L127" s="153">
        <v>24.4</v>
      </c>
      <c r="M127" s="153">
        <v>24.9</v>
      </c>
      <c r="N127" s="153">
        <v>25.4</v>
      </c>
      <c r="O127" s="153">
        <v>24.3</v>
      </c>
    </row>
    <row r="128" spans="1:15" x14ac:dyDescent="0.25">
      <c r="A128" s="152" t="s">
        <v>145</v>
      </c>
      <c r="B128" s="152" t="s">
        <v>140</v>
      </c>
      <c r="C128" s="153">
        <v>25.9</v>
      </c>
      <c r="D128" s="153">
        <v>25.9</v>
      </c>
      <c r="E128" s="153">
        <v>25.5</v>
      </c>
      <c r="F128" s="153">
        <v>26.1</v>
      </c>
      <c r="G128" s="153">
        <v>26.4</v>
      </c>
      <c r="H128" s="153">
        <v>25.9</v>
      </c>
      <c r="I128" s="153">
        <v>25.8</v>
      </c>
      <c r="J128" s="153">
        <v>26.6</v>
      </c>
      <c r="K128" s="153">
        <v>27.3</v>
      </c>
      <c r="L128" s="153">
        <v>27.2</v>
      </c>
      <c r="M128" s="153">
        <v>26.8</v>
      </c>
      <c r="N128" s="153">
        <v>26.2</v>
      </c>
      <c r="O128" s="153">
        <v>26.3</v>
      </c>
    </row>
    <row r="129" spans="1:15" x14ac:dyDescent="0.25">
      <c r="A129" s="152" t="s">
        <v>318</v>
      </c>
      <c r="B129" s="152" t="s">
        <v>308</v>
      </c>
      <c r="C129" s="153">
        <v>24.6</v>
      </c>
      <c r="D129" s="153">
        <v>24.5</v>
      </c>
      <c r="E129" s="153">
        <v>22.9</v>
      </c>
      <c r="F129" s="153">
        <v>19</v>
      </c>
      <c r="G129" s="153">
        <v>16.100000000000001</v>
      </c>
      <c r="H129" s="153">
        <v>14</v>
      </c>
      <c r="I129" s="153">
        <v>14.2</v>
      </c>
      <c r="J129" s="153">
        <v>15.5</v>
      </c>
      <c r="K129" s="153">
        <v>17.600000000000001</v>
      </c>
      <c r="L129" s="153">
        <v>19.8</v>
      </c>
      <c r="M129" s="153">
        <v>22</v>
      </c>
      <c r="N129" s="153">
        <v>23.7</v>
      </c>
      <c r="O129" s="153">
        <v>19.5</v>
      </c>
    </row>
    <row r="130" spans="1:15" x14ac:dyDescent="0.25">
      <c r="A130" s="152" t="s">
        <v>257</v>
      </c>
      <c r="B130" s="152" t="s">
        <v>251</v>
      </c>
      <c r="C130" s="153">
        <v>20.399999999999999</v>
      </c>
      <c r="D130" s="153">
        <v>20.7</v>
      </c>
      <c r="E130" s="153">
        <v>19.7</v>
      </c>
      <c r="F130" s="153">
        <v>16.5</v>
      </c>
      <c r="G130" s="153">
        <v>14.5</v>
      </c>
      <c r="H130" s="153">
        <v>13.1</v>
      </c>
      <c r="I130" s="153">
        <v>13.3</v>
      </c>
      <c r="J130" s="153">
        <v>14</v>
      </c>
      <c r="K130" s="153">
        <v>15.5</v>
      </c>
      <c r="L130" s="153">
        <v>17.100000000000001</v>
      </c>
      <c r="M130" s="153">
        <v>18.600000000000001</v>
      </c>
      <c r="N130" s="153">
        <v>19.8</v>
      </c>
      <c r="O130" s="153">
        <v>16.899999999999999</v>
      </c>
    </row>
    <row r="131" spans="1:15" x14ac:dyDescent="0.25">
      <c r="A131" s="152" t="s">
        <v>343</v>
      </c>
      <c r="B131" s="152" t="s">
        <v>338</v>
      </c>
      <c r="C131" s="153">
        <v>20.7</v>
      </c>
      <c r="D131" s="153">
        <v>20.8</v>
      </c>
      <c r="E131" s="153">
        <v>19.5</v>
      </c>
      <c r="F131" s="153">
        <v>16.100000000000001</v>
      </c>
      <c r="G131" s="153">
        <v>12.9</v>
      </c>
      <c r="H131" s="153">
        <v>11.4</v>
      </c>
      <c r="I131" s="153">
        <v>11.4</v>
      </c>
      <c r="J131" s="153">
        <v>12.6</v>
      </c>
      <c r="K131" s="153">
        <v>14.8</v>
      </c>
      <c r="L131" s="153">
        <v>16.899999999999999</v>
      </c>
      <c r="M131" s="153">
        <v>18.5</v>
      </c>
      <c r="N131" s="153">
        <v>19.899999999999999</v>
      </c>
      <c r="O131" s="153">
        <v>16.3</v>
      </c>
    </row>
    <row r="132" spans="1:15" x14ac:dyDescent="0.25">
      <c r="A132" s="152" t="s">
        <v>354</v>
      </c>
      <c r="B132" s="152" t="s">
        <v>353</v>
      </c>
      <c r="C132" s="153">
        <v>25.3</v>
      </c>
      <c r="D132" s="153">
        <v>25.4</v>
      </c>
      <c r="E132" s="153">
        <v>25.3</v>
      </c>
      <c r="F132" s="153">
        <v>24.7</v>
      </c>
      <c r="G132" s="153">
        <v>23.8</v>
      </c>
      <c r="H132" s="153">
        <v>22.5</v>
      </c>
      <c r="I132" s="153">
        <v>21.8</v>
      </c>
      <c r="J132" s="153">
        <v>21.7</v>
      </c>
      <c r="K132" s="153">
        <v>22.5</v>
      </c>
      <c r="L132" s="153">
        <v>23.8</v>
      </c>
      <c r="M132" s="153">
        <v>24.7</v>
      </c>
      <c r="N132" s="153">
        <v>25</v>
      </c>
      <c r="O132" s="153">
        <v>23.9</v>
      </c>
    </row>
    <row r="133" spans="1:15" x14ac:dyDescent="0.25">
      <c r="A133" s="152" t="s">
        <v>101</v>
      </c>
      <c r="B133" s="152" t="s">
        <v>94</v>
      </c>
      <c r="C133" s="153">
        <v>25.8</v>
      </c>
      <c r="D133" s="153">
        <v>25.8</v>
      </c>
      <c r="E133" s="153">
        <v>25.6</v>
      </c>
      <c r="F133" s="153">
        <v>25.1</v>
      </c>
      <c r="G133" s="153">
        <v>23.7</v>
      </c>
      <c r="H133" s="153">
        <v>22.2</v>
      </c>
      <c r="I133" s="153">
        <v>21.5</v>
      </c>
      <c r="J133" s="153">
        <v>22.1</v>
      </c>
      <c r="K133" s="153">
        <v>23.4</v>
      </c>
      <c r="L133" s="153">
        <v>25</v>
      </c>
      <c r="M133" s="153">
        <v>25.4</v>
      </c>
      <c r="N133" s="153">
        <v>25.5</v>
      </c>
      <c r="O133" s="153">
        <v>24.3</v>
      </c>
    </row>
    <row r="134" spans="1:15" x14ac:dyDescent="0.25">
      <c r="A134" s="152" t="s">
        <v>77</v>
      </c>
      <c r="B134" s="152" t="s">
        <v>71</v>
      </c>
      <c r="C134" s="153">
        <v>25.8</v>
      </c>
      <c r="D134" s="153">
        <v>25.8</v>
      </c>
      <c r="E134" s="153">
        <v>25.9</v>
      </c>
      <c r="F134" s="153">
        <v>26</v>
      </c>
      <c r="G134" s="153">
        <v>26.3</v>
      </c>
      <c r="H134" s="153">
        <v>26.3</v>
      </c>
      <c r="I134" s="153">
        <v>26.2</v>
      </c>
      <c r="J134" s="153">
        <v>26.7</v>
      </c>
      <c r="K134" s="153">
        <v>27.1</v>
      </c>
      <c r="L134" s="153">
        <v>27.2</v>
      </c>
      <c r="M134" s="153">
        <v>27.1</v>
      </c>
      <c r="N134" s="153">
        <v>26.4</v>
      </c>
      <c r="O134" s="153">
        <v>26.4</v>
      </c>
    </row>
    <row r="135" spans="1:15" x14ac:dyDescent="0.25">
      <c r="A135" s="152" t="s">
        <v>218</v>
      </c>
      <c r="B135" s="152" t="s">
        <v>211</v>
      </c>
      <c r="C135" s="153">
        <v>26.2</v>
      </c>
      <c r="D135" s="153">
        <v>25.7</v>
      </c>
      <c r="E135" s="153">
        <v>25.9</v>
      </c>
      <c r="F135" s="153">
        <v>26.3</v>
      </c>
      <c r="G135" s="153">
        <v>26.4</v>
      </c>
      <c r="H135" s="153">
        <v>26.3</v>
      </c>
      <c r="I135" s="153">
        <v>26.4</v>
      </c>
      <c r="J135" s="153">
        <v>27.1</v>
      </c>
      <c r="K135" s="153">
        <v>27.5</v>
      </c>
      <c r="L135" s="153">
        <v>27.7</v>
      </c>
      <c r="M135" s="153">
        <v>27.6</v>
      </c>
      <c r="N135" s="153">
        <v>26.7</v>
      </c>
      <c r="O135" s="153">
        <v>26.7</v>
      </c>
    </row>
    <row r="136" spans="1:15" x14ac:dyDescent="0.25">
      <c r="A136" s="152" t="s">
        <v>169</v>
      </c>
      <c r="B136" s="152" t="s">
        <v>148</v>
      </c>
      <c r="C136" s="153">
        <v>21.6</v>
      </c>
      <c r="D136" s="153">
        <v>21.8</v>
      </c>
      <c r="E136" s="153">
        <v>21.7</v>
      </c>
      <c r="F136" s="153">
        <v>20.100000000000001</v>
      </c>
      <c r="G136" s="153">
        <v>18.399999999999999</v>
      </c>
      <c r="H136" s="153">
        <v>17</v>
      </c>
      <c r="I136" s="153">
        <v>16.3</v>
      </c>
      <c r="J136" s="153">
        <v>17.5</v>
      </c>
      <c r="K136" s="153">
        <v>18.899999999999999</v>
      </c>
      <c r="L136" s="153">
        <v>20.399999999999999</v>
      </c>
      <c r="M136" s="153">
        <v>20.8</v>
      </c>
      <c r="N136" s="153">
        <v>21.2</v>
      </c>
      <c r="O136" s="153">
        <v>19.7</v>
      </c>
    </row>
    <row r="137" spans="1:15" x14ac:dyDescent="0.25">
      <c r="A137" s="152" t="s">
        <v>170</v>
      </c>
      <c r="B137" s="152" t="s">
        <v>148</v>
      </c>
      <c r="C137" s="153">
        <v>25.2</v>
      </c>
      <c r="D137" s="153">
        <v>25.2</v>
      </c>
      <c r="E137" s="153">
        <v>24.6</v>
      </c>
      <c r="F137" s="153">
        <v>23.3</v>
      </c>
      <c r="G137" s="153">
        <v>21.2</v>
      </c>
      <c r="H137" s="153">
        <v>20</v>
      </c>
      <c r="I137" s="153">
        <v>19.399999999999999</v>
      </c>
      <c r="J137" s="153">
        <v>20.5</v>
      </c>
      <c r="K137" s="153">
        <v>22.3</v>
      </c>
      <c r="L137" s="153">
        <v>23.7</v>
      </c>
      <c r="M137" s="153">
        <v>24.4</v>
      </c>
      <c r="N137" s="153">
        <v>24.5</v>
      </c>
      <c r="O137" s="153">
        <v>22.9</v>
      </c>
    </row>
    <row r="138" spans="1:15" x14ac:dyDescent="0.25">
      <c r="A138" s="152" t="s">
        <v>281</v>
      </c>
      <c r="B138" s="152" t="s">
        <v>269</v>
      </c>
      <c r="C138" s="153">
        <v>26</v>
      </c>
      <c r="D138" s="153">
        <v>26.4</v>
      </c>
      <c r="E138" s="153">
        <v>25.8</v>
      </c>
      <c r="F138" s="153">
        <v>23.9</v>
      </c>
      <c r="G138" s="153">
        <v>21.8</v>
      </c>
      <c r="H138" s="153">
        <v>20.6</v>
      </c>
      <c r="I138" s="153">
        <v>20</v>
      </c>
      <c r="J138" s="153">
        <v>21.3</v>
      </c>
      <c r="K138" s="153">
        <v>22.2</v>
      </c>
      <c r="L138" s="153">
        <v>23.2</v>
      </c>
      <c r="M138" s="153">
        <v>24.1</v>
      </c>
      <c r="N138" s="153">
        <v>24.9</v>
      </c>
      <c r="O138" s="153">
        <v>23.3</v>
      </c>
    </row>
    <row r="139" spans="1:15" x14ac:dyDescent="0.25">
      <c r="A139" s="152" t="s">
        <v>366</v>
      </c>
      <c r="B139" s="152" t="s">
        <v>357</v>
      </c>
      <c r="C139" s="153">
        <v>22.6</v>
      </c>
      <c r="D139" s="153">
        <v>23</v>
      </c>
      <c r="E139" s="153">
        <v>22</v>
      </c>
      <c r="F139" s="153">
        <v>19.7</v>
      </c>
      <c r="G139" s="153">
        <v>17.100000000000001</v>
      </c>
      <c r="H139" s="153">
        <v>15.2</v>
      </c>
      <c r="I139" s="153">
        <v>15.1</v>
      </c>
      <c r="J139" s="153">
        <v>16.3</v>
      </c>
      <c r="K139" s="153">
        <v>17.399999999999999</v>
      </c>
      <c r="L139" s="153">
        <v>19.2</v>
      </c>
      <c r="M139" s="153">
        <v>20.7</v>
      </c>
      <c r="N139" s="153">
        <v>21.7</v>
      </c>
      <c r="O139" s="153">
        <v>19.2</v>
      </c>
    </row>
    <row r="140" spans="1:15" x14ac:dyDescent="0.25">
      <c r="A140" s="152" t="s">
        <v>319</v>
      </c>
      <c r="B140" s="152" t="s">
        <v>308</v>
      </c>
      <c r="C140" s="153">
        <v>26.1</v>
      </c>
      <c r="D140" s="153">
        <v>25.6</v>
      </c>
      <c r="E140" s="153">
        <v>23.8</v>
      </c>
      <c r="F140" s="153">
        <v>20.3</v>
      </c>
      <c r="G140" s="153">
        <v>17.399999999999999</v>
      </c>
      <c r="H140" s="153">
        <v>14.6</v>
      </c>
      <c r="I140" s="153">
        <v>14.8</v>
      </c>
      <c r="J140" s="153">
        <v>15.6</v>
      </c>
      <c r="K140" s="153">
        <v>17.899999999999999</v>
      </c>
      <c r="L140" s="153">
        <v>20.7</v>
      </c>
      <c r="M140" s="153">
        <v>22.8</v>
      </c>
      <c r="N140" s="153">
        <v>25.6</v>
      </c>
      <c r="O140" s="153">
        <v>20.399999999999999</v>
      </c>
    </row>
    <row r="141" spans="1:15" x14ac:dyDescent="0.25">
      <c r="A141" s="152" t="s">
        <v>102</v>
      </c>
      <c r="B141" s="152" t="s">
        <v>94</v>
      </c>
      <c r="C141" s="153">
        <v>22.3</v>
      </c>
      <c r="D141" s="153">
        <v>22.3</v>
      </c>
      <c r="E141" s="153">
        <v>22</v>
      </c>
      <c r="F141" s="153">
        <v>21.4</v>
      </c>
      <c r="G141" s="153">
        <v>20.100000000000001</v>
      </c>
      <c r="H141" s="153">
        <v>18.8</v>
      </c>
      <c r="I141" s="153">
        <v>17.899999999999999</v>
      </c>
      <c r="J141" s="153">
        <v>18.3</v>
      </c>
      <c r="K141" s="153">
        <v>19.399999999999999</v>
      </c>
      <c r="L141" s="153">
        <v>20.9</v>
      </c>
      <c r="M141" s="153">
        <v>21.5</v>
      </c>
      <c r="N141" s="153">
        <v>21.8</v>
      </c>
      <c r="O141" s="153">
        <v>20.5</v>
      </c>
    </row>
    <row r="142" spans="1:15" x14ac:dyDescent="0.25">
      <c r="A142" s="152" t="s">
        <v>258</v>
      </c>
      <c r="B142" s="152" t="s">
        <v>251</v>
      </c>
      <c r="C142" s="153">
        <v>21.6</v>
      </c>
      <c r="D142" s="153">
        <v>21.3</v>
      </c>
      <c r="E142" s="153">
        <v>20.399999999999999</v>
      </c>
      <c r="F142" s="153">
        <v>18.3</v>
      </c>
      <c r="G142" s="153">
        <v>15.1</v>
      </c>
      <c r="H142" s="153">
        <v>13.2</v>
      </c>
      <c r="I142" s="153">
        <v>13.7</v>
      </c>
      <c r="J142" s="153">
        <v>15</v>
      </c>
      <c r="K142" s="153">
        <v>16.5</v>
      </c>
      <c r="L142" s="153">
        <v>18.600000000000001</v>
      </c>
      <c r="M142" s="153">
        <v>19.899999999999999</v>
      </c>
      <c r="N142" s="153">
        <v>20.7</v>
      </c>
      <c r="O142" s="153">
        <v>17.8</v>
      </c>
    </row>
    <row r="143" spans="1:15" x14ac:dyDescent="0.25">
      <c r="A143" s="152" t="s">
        <v>201</v>
      </c>
      <c r="B143" s="152" t="s">
        <v>198</v>
      </c>
      <c r="C143" s="153">
        <v>25.1</v>
      </c>
      <c r="D143" s="153">
        <v>25.2</v>
      </c>
      <c r="E143" s="153">
        <v>24.7</v>
      </c>
      <c r="F143" s="153">
        <v>22.1</v>
      </c>
      <c r="G143" s="153">
        <v>19.8</v>
      </c>
      <c r="H143" s="153">
        <v>18.399999999999999</v>
      </c>
      <c r="I143" s="153">
        <v>18.899999999999999</v>
      </c>
      <c r="J143" s="153">
        <v>19.5</v>
      </c>
      <c r="K143" s="153">
        <v>21</v>
      </c>
      <c r="L143" s="153">
        <v>23.1</v>
      </c>
      <c r="M143" s="153">
        <v>24.1</v>
      </c>
      <c r="N143" s="153">
        <v>24.6</v>
      </c>
      <c r="O143" s="153">
        <v>22.2</v>
      </c>
    </row>
    <row r="144" spans="1:15" x14ac:dyDescent="0.25">
      <c r="A144" s="152" t="s">
        <v>367</v>
      </c>
      <c r="B144" s="152" t="s">
        <v>357</v>
      </c>
      <c r="C144" s="153">
        <v>24.3</v>
      </c>
      <c r="D144" s="153">
        <v>24.4</v>
      </c>
      <c r="E144" s="153">
        <v>24</v>
      </c>
      <c r="F144" s="153">
        <v>22.6</v>
      </c>
      <c r="G144" s="153">
        <v>20.5</v>
      </c>
      <c r="H144" s="153">
        <v>18.5</v>
      </c>
      <c r="I144" s="153">
        <v>18.7</v>
      </c>
      <c r="J144" s="153">
        <v>20.5</v>
      </c>
      <c r="K144" s="153">
        <v>22</v>
      </c>
      <c r="L144" s="153">
        <v>23.7</v>
      </c>
      <c r="M144" s="153">
        <v>24.3</v>
      </c>
      <c r="N144" s="153">
        <v>23.9</v>
      </c>
      <c r="O144" s="153">
        <v>22.3</v>
      </c>
    </row>
    <row r="145" spans="1:15" x14ac:dyDescent="0.25">
      <c r="A145" s="152" t="s">
        <v>282</v>
      </c>
      <c r="B145" s="152" t="s">
        <v>269</v>
      </c>
      <c r="C145" s="153">
        <v>26.6</v>
      </c>
      <c r="D145" s="153">
        <v>26.7</v>
      </c>
      <c r="E145" s="153">
        <v>26.2</v>
      </c>
      <c r="F145" s="153">
        <v>24</v>
      </c>
      <c r="G145" s="153">
        <v>21.8</v>
      </c>
      <c r="H145" s="153">
        <v>21</v>
      </c>
      <c r="I145" s="153">
        <v>20.3</v>
      </c>
      <c r="J145" s="153">
        <v>21.5</v>
      </c>
      <c r="K145" s="153">
        <v>22.3</v>
      </c>
      <c r="L145" s="153">
        <v>23.1</v>
      </c>
      <c r="M145" s="153">
        <v>24.1</v>
      </c>
      <c r="N145" s="153">
        <v>25.6</v>
      </c>
      <c r="O145" s="153">
        <v>23.6</v>
      </c>
    </row>
    <row r="146" spans="1:15" x14ac:dyDescent="0.25">
      <c r="A146" s="152" t="s">
        <v>259</v>
      </c>
      <c r="B146" s="152" t="s">
        <v>251</v>
      </c>
      <c r="C146" s="153">
        <v>24.6</v>
      </c>
      <c r="D146" s="153">
        <v>24.8</v>
      </c>
      <c r="E146" s="153">
        <v>24</v>
      </c>
      <c r="F146" s="153">
        <v>21.7</v>
      </c>
      <c r="G146" s="153">
        <v>18.7</v>
      </c>
      <c r="H146" s="153">
        <v>17</v>
      </c>
      <c r="I146" s="153">
        <v>17.100000000000001</v>
      </c>
      <c r="J146" s="153">
        <v>18.7</v>
      </c>
      <c r="K146" s="153">
        <v>20.5</v>
      </c>
      <c r="L146" s="153">
        <v>22</v>
      </c>
      <c r="M146" s="153">
        <v>23.3</v>
      </c>
      <c r="N146" s="153">
        <v>23.9</v>
      </c>
      <c r="O146" s="153">
        <v>21.4</v>
      </c>
    </row>
    <row r="147" spans="1:15" x14ac:dyDescent="0.25">
      <c r="A147" s="152" t="s">
        <v>103</v>
      </c>
      <c r="B147" s="152" t="s">
        <v>94</v>
      </c>
      <c r="C147" s="153">
        <v>25</v>
      </c>
      <c r="D147" s="153">
        <v>25.1</v>
      </c>
      <c r="E147" s="153">
        <v>25</v>
      </c>
      <c r="F147" s="153">
        <v>24.3</v>
      </c>
      <c r="G147" s="153">
        <v>22.9</v>
      </c>
      <c r="H147" s="153">
        <v>21.5</v>
      </c>
      <c r="I147" s="153">
        <v>21</v>
      </c>
      <c r="J147" s="153">
        <v>21.6</v>
      </c>
      <c r="K147" s="153">
        <v>23.1</v>
      </c>
      <c r="L147" s="153">
        <v>24.5</v>
      </c>
      <c r="M147" s="153">
        <v>25.1</v>
      </c>
      <c r="N147" s="153">
        <v>24.8</v>
      </c>
      <c r="O147" s="153">
        <v>23.7</v>
      </c>
    </row>
    <row r="148" spans="1:15" x14ac:dyDescent="0.25">
      <c r="A148" s="152" t="s">
        <v>171</v>
      </c>
      <c r="B148" s="152" t="s">
        <v>148</v>
      </c>
      <c r="C148" s="153">
        <v>24.9</v>
      </c>
      <c r="D148" s="153">
        <v>25.4</v>
      </c>
      <c r="E148" s="153">
        <v>25.3</v>
      </c>
      <c r="F148" s="153">
        <v>24.6</v>
      </c>
      <c r="G148" s="153">
        <v>23</v>
      </c>
      <c r="H148" s="153">
        <v>21.6</v>
      </c>
      <c r="I148" s="153">
        <v>21.2</v>
      </c>
      <c r="J148" s="153">
        <v>23</v>
      </c>
      <c r="K148" s="153">
        <v>25</v>
      </c>
      <c r="L148" s="153">
        <v>26.1</v>
      </c>
      <c r="M148" s="153">
        <v>25.4</v>
      </c>
      <c r="N148" s="153">
        <v>24.7</v>
      </c>
      <c r="O148" s="153">
        <v>24.2</v>
      </c>
    </row>
    <row r="149" spans="1:15" x14ac:dyDescent="0.25">
      <c r="A149" s="152" t="s">
        <v>136</v>
      </c>
      <c r="B149" s="152" t="s">
        <v>131</v>
      </c>
      <c r="C149" s="153">
        <v>23.9</v>
      </c>
      <c r="D149" s="153">
        <v>23.7</v>
      </c>
      <c r="E149" s="153">
        <v>23.6</v>
      </c>
      <c r="F149" s="153">
        <v>22.7</v>
      </c>
      <c r="G149" s="153">
        <v>20.5</v>
      </c>
      <c r="H149" s="153">
        <v>18.2</v>
      </c>
      <c r="I149" s="153">
        <v>18.2</v>
      </c>
      <c r="J149" s="153">
        <v>20.399999999999999</v>
      </c>
      <c r="K149" s="153">
        <v>22.5</v>
      </c>
      <c r="L149" s="153">
        <v>24.1</v>
      </c>
      <c r="M149" s="153">
        <v>24.1</v>
      </c>
      <c r="N149" s="153">
        <v>23.9</v>
      </c>
      <c r="O149" s="153">
        <v>22.2</v>
      </c>
    </row>
    <row r="150" spans="1:15" x14ac:dyDescent="0.25">
      <c r="A150" s="152" t="s">
        <v>172</v>
      </c>
      <c r="B150" s="152" t="s">
        <v>148</v>
      </c>
      <c r="C150" s="153">
        <v>22.1</v>
      </c>
      <c r="D150" s="153">
        <v>22.3</v>
      </c>
      <c r="E150" s="153">
        <v>22.1</v>
      </c>
      <c r="F150" s="153">
        <v>20.7</v>
      </c>
      <c r="G150" s="153">
        <v>19</v>
      </c>
      <c r="H150" s="153">
        <v>17.7</v>
      </c>
      <c r="I150" s="153">
        <v>17</v>
      </c>
      <c r="J150" s="153">
        <v>18.3</v>
      </c>
      <c r="K150" s="153">
        <v>19.2</v>
      </c>
      <c r="L150" s="153">
        <v>20.5</v>
      </c>
      <c r="M150" s="153">
        <v>21.1</v>
      </c>
      <c r="N150" s="153">
        <v>21.4</v>
      </c>
      <c r="O150" s="153">
        <v>20.100000000000001</v>
      </c>
    </row>
    <row r="151" spans="1:15" x14ac:dyDescent="0.25">
      <c r="A151" s="152" t="s">
        <v>231</v>
      </c>
      <c r="B151" s="152" t="s">
        <v>230</v>
      </c>
      <c r="C151" s="153">
        <v>27.1</v>
      </c>
      <c r="D151" s="153">
        <v>27.2</v>
      </c>
      <c r="E151" s="153">
        <v>27</v>
      </c>
      <c r="F151" s="153">
        <v>26.7</v>
      </c>
      <c r="G151" s="153">
        <v>26</v>
      </c>
      <c r="H151" s="153">
        <v>25.2</v>
      </c>
      <c r="I151" s="153">
        <v>24.2</v>
      </c>
      <c r="J151" s="153">
        <v>24.3</v>
      </c>
      <c r="K151" s="153">
        <v>25.1</v>
      </c>
      <c r="L151" s="153">
        <v>26.3</v>
      </c>
      <c r="M151" s="153">
        <v>26.7</v>
      </c>
      <c r="N151" s="153">
        <v>26.9</v>
      </c>
      <c r="O151" s="153">
        <v>26.1</v>
      </c>
    </row>
    <row r="152" spans="1:15" x14ac:dyDescent="0.25">
      <c r="A152" s="152" t="s">
        <v>173</v>
      </c>
      <c r="B152" s="152" t="s">
        <v>148</v>
      </c>
      <c r="C152" s="153">
        <v>23.2</v>
      </c>
      <c r="D152" s="153">
        <v>23.7</v>
      </c>
      <c r="E152" s="153">
        <v>23.6</v>
      </c>
      <c r="F152" s="153">
        <v>23</v>
      </c>
      <c r="G152" s="153">
        <v>21.7</v>
      </c>
      <c r="H152" s="153">
        <v>20.3</v>
      </c>
      <c r="I152" s="153">
        <v>19.899999999999999</v>
      </c>
      <c r="J152" s="153">
        <v>21.8</v>
      </c>
      <c r="K152" s="153">
        <v>23.1</v>
      </c>
      <c r="L152" s="153">
        <v>23.7</v>
      </c>
      <c r="M152" s="153">
        <v>23.5</v>
      </c>
      <c r="N152" s="153">
        <v>22.9</v>
      </c>
      <c r="O152" s="153">
        <v>22.5</v>
      </c>
    </row>
    <row r="153" spans="1:15" x14ac:dyDescent="0.25">
      <c r="A153" s="152" t="s">
        <v>174</v>
      </c>
      <c r="B153" s="152" t="s">
        <v>148</v>
      </c>
      <c r="C153" s="153">
        <v>21.9</v>
      </c>
      <c r="D153" s="153">
        <v>22.4</v>
      </c>
      <c r="E153" s="153">
        <v>21.4</v>
      </c>
      <c r="F153" s="153">
        <v>19.5</v>
      </c>
      <c r="G153" s="153">
        <v>17.600000000000001</v>
      </c>
      <c r="H153" s="153">
        <v>16.5</v>
      </c>
      <c r="I153" s="153">
        <v>16.100000000000001</v>
      </c>
      <c r="J153" s="153">
        <v>17.2</v>
      </c>
      <c r="K153" s="153">
        <v>18</v>
      </c>
      <c r="L153" s="153">
        <v>19.399999999999999</v>
      </c>
      <c r="M153" s="153">
        <v>20.3</v>
      </c>
      <c r="N153" s="153">
        <v>21.1</v>
      </c>
      <c r="O153" s="153">
        <v>19.3</v>
      </c>
    </row>
    <row r="154" spans="1:15" x14ac:dyDescent="0.25">
      <c r="A154" s="152" t="s">
        <v>78</v>
      </c>
      <c r="B154" s="152" t="s">
        <v>71</v>
      </c>
      <c r="C154" s="153">
        <v>25.6</v>
      </c>
      <c r="D154" s="153">
        <v>25.5</v>
      </c>
      <c r="E154" s="153">
        <v>26</v>
      </c>
      <c r="F154" s="153">
        <v>25.7</v>
      </c>
      <c r="G154" s="153">
        <v>25.4</v>
      </c>
      <c r="H154" s="153">
        <v>24.9</v>
      </c>
      <c r="I154" s="153">
        <v>25</v>
      </c>
      <c r="J154" s="153">
        <v>25.5</v>
      </c>
      <c r="K154" s="153">
        <v>25.8</v>
      </c>
      <c r="L154" s="153">
        <v>26.1</v>
      </c>
      <c r="M154" s="153">
        <v>25.8</v>
      </c>
      <c r="N154" s="153">
        <v>25.5</v>
      </c>
      <c r="O154" s="153">
        <v>25.6</v>
      </c>
    </row>
    <row r="155" spans="1:15" x14ac:dyDescent="0.25">
      <c r="A155" s="152" t="s">
        <v>344</v>
      </c>
      <c r="B155" s="152" t="s">
        <v>338</v>
      </c>
      <c r="C155" s="153">
        <v>20.2</v>
      </c>
      <c r="D155" s="153">
        <v>20.3</v>
      </c>
      <c r="E155" s="153">
        <v>18.8</v>
      </c>
      <c r="F155" s="153">
        <v>15.6</v>
      </c>
      <c r="G155" s="153">
        <v>12.9</v>
      </c>
      <c r="H155" s="153">
        <v>11.1</v>
      </c>
      <c r="I155" s="153">
        <v>11.1</v>
      </c>
      <c r="J155" s="153">
        <v>11.9</v>
      </c>
      <c r="K155" s="153">
        <v>14</v>
      </c>
      <c r="L155" s="153">
        <v>15.4</v>
      </c>
      <c r="M155" s="153">
        <v>17.3</v>
      </c>
      <c r="N155" s="153">
        <v>19</v>
      </c>
      <c r="O155" s="153">
        <v>15.6</v>
      </c>
    </row>
    <row r="156" spans="1:15" x14ac:dyDescent="0.25">
      <c r="A156" s="152" t="s">
        <v>320</v>
      </c>
      <c r="B156" s="152" t="s">
        <v>308</v>
      </c>
      <c r="C156" s="153">
        <v>21.2</v>
      </c>
      <c r="D156" s="153">
        <v>21.3</v>
      </c>
      <c r="E156" s="153">
        <v>19.8</v>
      </c>
      <c r="F156" s="153">
        <v>16.899999999999999</v>
      </c>
      <c r="G156" s="153">
        <v>14.4</v>
      </c>
      <c r="H156" s="153">
        <v>12.4</v>
      </c>
      <c r="I156" s="153">
        <v>12.5</v>
      </c>
      <c r="J156" s="153">
        <v>13.2</v>
      </c>
      <c r="K156" s="153">
        <v>14.9</v>
      </c>
      <c r="L156" s="153">
        <v>16.7</v>
      </c>
      <c r="M156" s="153">
        <v>18.600000000000001</v>
      </c>
      <c r="N156" s="153">
        <v>20.2</v>
      </c>
      <c r="O156" s="153">
        <v>16.8</v>
      </c>
    </row>
    <row r="157" spans="1:15" x14ac:dyDescent="0.25">
      <c r="A157" s="152" t="s">
        <v>345</v>
      </c>
      <c r="B157" s="152" t="s">
        <v>338</v>
      </c>
      <c r="C157" s="153">
        <v>23.8</v>
      </c>
      <c r="D157" s="153">
        <v>24</v>
      </c>
      <c r="E157" s="153">
        <v>23.1</v>
      </c>
      <c r="F157" s="153">
        <v>20.9</v>
      </c>
      <c r="G157" s="153">
        <v>18.7</v>
      </c>
      <c r="H157" s="153">
        <v>16.399999999999999</v>
      </c>
      <c r="I157" s="153">
        <v>16.100000000000001</v>
      </c>
      <c r="J157" s="153">
        <v>16.399999999999999</v>
      </c>
      <c r="K157" s="153">
        <v>17.3</v>
      </c>
      <c r="L157" s="153">
        <v>18.899999999999999</v>
      </c>
      <c r="M157" s="153">
        <v>20.7</v>
      </c>
      <c r="N157" s="153">
        <v>22.4</v>
      </c>
      <c r="O157" s="153">
        <v>19.899999999999999</v>
      </c>
    </row>
    <row r="158" spans="1:15" x14ac:dyDescent="0.25">
      <c r="A158" s="152" t="s">
        <v>175</v>
      </c>
      <c r="B158" s="152" t="s">
        <v>148</v>
      </c>
      <c r="C158" s="153">
        <v>21.8</v>
      </c>
      <c r="D158" s="153">
        <v>22.1</v>
      </c>
      <c r="E158" s="153">
        <v>21.6</v>
      </c>
      <c r="F158" s="153">
        <v>19.8</v>
      </c>
      <c r="G158" s="153">
        <v>17.399999999999999</v>
      </c>
      <c r="H158" s="153">
        <v>16.3</v>
      </c>
      <c r="I158" s="153">
        <v>15.9</v>
      </c>
      <c r="J158" s="153">
        <v>17.7</v>
      </c>
      <c r="K158" s="153">
        <v>19.399999999999999</v>
      </c>
      <c r="L158" s="153">
        <v>20.399999999999999</v>
      </c>
      <c r="M158" s="153">
        <v>20.9</v>
      </c>
      <c r="N158" s="153">
        <v>21.2</v>
      </c>
      <c r="O158" s="153">
        <v>19.600000000000001</v>
      </c>
    </row>
    <row r="159" spans="1:15" x14ac:dyDescent="0.25">
      <c r="A159" s="152" t="s">
        <v>176</v>
      </c>
      <c r="B159" s="152" t="s">
        <v>148</v>
      </c>
      <c r="C159" s="153">
        <v>21.5</v>
      </c>
      <c r="D159" s="153">
        <v>21.9</v>
      </c>
      <c r="E159" s="153">
        <v>21.4</v>
      </c>
      <c r="F159" s="153">
        <v>19.600000000000001</v>
      </c>
      <c r="G159" s="153">
        <v>17.3</v>
      </c>
      <c r="H159" s="153">
        <v>16.2</v>
      </c>
      <c r="I159" s="153">
        <v>16</v>
      </c>
      <c r="J159" s="153">
        <v>17.8</v>
      </c>
      <c r="K159" s="153">
        <v>19.399999999999999</v>
      </c>
      <c r="L159" s="153">
        <v>20.2</v>
      </c>
      <c r="M159" s="153">
        <v>20.9</v>
      </c>
      <c r="N159" s="153">
        <v>21</v>
      </c>
      <c r="O159" s="153">
        <v>19.5</v>
      </c>
    </row>
    <row r="160" spans="1:15" x14ac:dyDescent="0.25">
      <c r="A160" s="152" t="s">
        <v>104</v>
      </c>
      <c r="B160" s="152" t="s">
        <v>94</v>
      </c>
      <c r="C160" s="153">
        <v>24.5</v>
      </c>
      <c r="D160" s="153">
        <v>24.7</v>
      </c>
      <c r="E160" s="153">
        <v>24.4</v>
      </c>
      <c r="F160" s="153">
        <v>23.8</v>
      </c>
      <c r="G160" s="153">
        <v>22.5</v>
      </c>
      <c r="H160" s="153">
        <v>21.2</v>
      </c>
      <c r="I160" s="153">
        <v>20.7</v>
      </c>
      <c r="J160" s="153">
        <v>21.4</v>
      </c>
      <c r="K160" s="153">
        <v>22.7</v>
      </c>
      <c r="L160" s="153">
        <v>23.7</v>
      </c>
      <c r="M160" s="153">
        <v>24</v>
      </c>
      <c r="N160" s="153">
        <v>23.9</v>
      </c>
      <c r="O160" s="153">
        <v>23.1</v>
      </c>
    </row>
    <row r="161" spans="1:15" x14ac:dyDescent="0.25">
      <c r="A161" s="152" t="s">
        <v>128</v>
      </c>
      <c r="B161" s="152" t="s">
        <v>126</v>
      </c>
      <c r="C161" s="153">
        <v>25.7</v>
      </c>
      <c r="D161" s="153">
        <v>26</v>
      </c>
      <c r="E161" s="153">
        <v>25.7</v>
      </c>
      <c r="F161" s="153">
        <v>24.2</v>
      </c>
      <c r="G161" s="153">
        <v>22.7</v>
      </c>
      <c r="H161" s="153">
        <v>21.5</v>
      </c>
      <c r="I161" s="153">
        <v>20.7</v>
      </c>
      <c r="J161" s="153">
        <v>21.3</v>
      </c>
      <c r="K161" s="153">
        <v>21.8</v>
      </c>
      <c r="L161" s="153">
        <v>23.2</v>
      </c>
      <c r="M161" s="153">
        <v>24.4</v>
      </c>
      <c r="N161" s="153">
        <v>25.3</v>
      </c>
      <c r="O161" s="153">
        <v>23.5</v>
      </c>
    </row>
    <row r="162" spans="1:15" x14ac:dyDescent="0.25">
      <c r="A162" s="152" t="s">
        <v>368</v>
      </c>
      <c r="B162" s="152" t="s">
        <v>357</v>
      </c>
      <c r="C162" s="153">
        <v>25</v>
      </c>
      <c r="D162" s="153">
        <v>25</v>
      </c>
      <c r="E162" s="153">
        <v>24.7</v>
      </c>
      <c r="F162" s="153">
        <v>22.7</v>
      </c>
      <c r="G162" s="153">
        <v>20</v>
      </c>
      <c r="H162" s="153">
        <v>18.7</v>
      </c>
      <c r="I162" s="153">
        <v>18.600000000000001</v>
      </c>
      <c r="J162" s="153">
        <v>20.7</v>
      </c>
      <c r="K162" s="153">
        <v>22.3</v>
      </c>
      <c r="L162" s="153">
        <v>23.4</v>
      </c>
      <c r="M162" s="153">
        <v>24.1</v>
      </c>
      <c r="N162" s="153">
        <v>24.5</v>
      </c>
      <c r="O162" s="153">
        <v>22.5</v>
      </c>
    </row>
    <row r="163" spans="1:15" x14ac:dyDescent="0.25">
      <c r="A163" s="152" t="s">
        <v>260</v>
      </c>
      <c r="B163" s="152" t="s">
        <v>251</v>
      </c>
      <c r="C163" s="153">
        <v>23.9</v>
      </c>
      <c r="D163" s="153">
        <v>24.1</v>
      </c>
      <c r="E163" s="153">
        <v>23.4</v>
      </c>
      <c r="F163" s="153">
        <v>21.3</v>
      </c>
      <c r="G163" s="153">
        <v>18.3</v>
      </c>
      <c r="H163" s="153">
        <v>16.7</v>
      </c>
      <c r="I163" s="153">
        <v>16.7</v>
      </c>
      <c r="J163" s="153">
        <v>18.399999999999999</v>
      </c>
      <c r="K163" s="153">
        <v>20</v>
      </c>
      <c r="L163" s="153">
        <v>21.5</v>
      </c>
      <c r="M163" s="153">
        <v>22.9</v>
      </c>
      <c r="N163" s="153">
        <v>23.4</v>
      </c>
      <c r="O163" s="153">
        <v>20.9</v>
      </c>
    </row>
    <row r="164" spans="1:15" x14ac:dyDescent="0.25">
      <c r="A164" s="152" t="s">
        <v>91</v>
      </c>
      <c r="B164" s="152" t="s">
        <v>89</v>
      </c>
      <c r="C164" s="153">
        <v>25.9</v>
      </c>
      <c r="D164" s="153">
        <v>25.7</v>
      </c>
      <c r="E164" s="153">
        <v>25.7</v>
      </c>
      <c r="F164" s="153">
        <v>26</v>
      </c>
      <c r="G164" s="153">
        <v>26.2</v>
      </c>
      <c r="H164" s="153">
        <v>26.2</v>
      </c>
      <c r="I164" s="153">
        <v>26.1</v>
      </c>
      <c r="J164" s="153">
        <v>26.8</v>
      </c>
      <c r="K164" s="153">
        <v>27.5</v>
      </c>
      <c r="L164" s="153">
        <v>28</v>
      </c>
      <c r="M164" s="153">
        <v>27.8</v>
      </c>
      <c r="N164" s="153">
        <v>27.1</v>
      </c>
      <c r="O164" s="153">
        <v>26.6</v>
      </c>
    </row>
    <row r="165" spans="1:15" x14ac:dyDescent="0.25">
      <c r="A165" s="152" t="s">
        <v>301</v>
      </c>
      <c r="B165" s="152" t="s">
        <v>297</v>
      </c>
      <c r="C165" s="153">
        <v>27.4</v>
      </c>
      <c r="D165" s="153">
        <v>27.3</v>
      </c>
      <c r="E165" s="153">
        <v>27</v>
      </c>
      <c r="F165" s="153">
        <v>27.1</v>
      </c>
      <c r="G165" s="153">
        <v>27</v>
      </c>
      <c r="H165" s="153">
        <v>26.3</v>
      </c>
      <c r="I165" s="153">
        <v>25.9</v>
      </c>
      <c r="J165" s="153">
        <v>26.2</v>
      </c>
      <c r="K165" s="153">
        <v>26.6</v>
      </c>
      <c r="L165" s="153">
        <v>26.5</v>
      </c>
      <c r="M165" s="153">
        <v>26.9</v>
      </c>
      <c r="N165" s="153">
        <v>27.2</v>
      </c>
      <c r="O165" s="153">
        <v>26.8</v>
      </c>
    </row>
    <row r="166" spans="1:15" x14ac:dyDescent="0.25">
      <c r="A166" s="152" t="s">
        <v>69</v>
      </c>
      <c r="B166" s="152" t="s">
        <v>68</v>
      </c>
      <c r="C166" s="153">
        <v>26.5</v>
      </c>
      <c r="D166" s="153">
        <v>26.5</v>
      </c>
      <c r="E166" s="153">
        <v>26.4</v>
      </c>
      <c r="F166" s="153">
        <v>26</v>
      </c>
      <c r="G166" s="153">
        <v>25.2</v>
      </c>
      <c r="H166" s="153">
        <v>24.3</v>
      </c>
      <c r="I166" s="153">
        <v>23.6</v>
      </c>
      <c r="J166" s="153">
        <v>23.6</v>
      </c>
      <c r="K166" s="153">
        <v>24.3</v>
      </c>
      <c r="L166" s="153">
        <v>25.3</v>
      </c>
      <c r="M166" s="153">
        <v>25.9</v>
      </c>
      <c r="N166" s="153">
        <v>26.2</v>
      </c>
      <c r="O166" s="153">
        <v>24.8</v>
      </c>
    </row>
    <row r="167" spans="1:15" x14ac:dyDescent="0.25">
      <c r="A167" s="152" t="s">
        <v>177</v>
      </c>
      <c r="B167" s="152" t="s">
        <v>148</v>
      </c>
      <c r="C167" s="153">
        <v>22.2</v>
      </c>
      <c r="D167" s="153">
        <v>22.5</v>
      </c>
      <c r="E167" s="153">
        <v>22</v>
      </c>
      <c r="F167" s="153">
        <v>20</v>
      </c>
      <c r="G167" s="153">
        <v>17.5</v>
      </c>
      <c r="H167" s="153">
        <v>16</v>
      </c>
      <c r="I167" s="153">
        <v>15.9</v>
      </c>
      <c r="J167" s="153">
        <v>17.899999999999999</v>
      </c>
      <c r="K167" s="153">
        <v>19.7</v>
      </c>
      <c r="L167" s="153">
        <v>20.9</v>
      </c>
      <c r="M167" s="153">
        <v>21.5</v>
      </c>
      <c r="N167" s="153">
        <v>21.7</v>
      </c>
      <c r="O167" s="153">
        <v>19.8</v>
      </c>
    </row>
    <row r="168" spans="1:15" x14ac:dyDescent="0.25">
      <c r="A168" s="152" t="s">
        <v>79</v>
      </c>
      <c r="B168" s="152" t="s">
        <v>71</v>
      </c>
      <c r="C168" s="153">
        <v>26.1</v>
      </c>
      <c r="D168" s="153">
        <v>25.9</v>
      </c>
      <c r="E168" s="153">
        <v>26</v>
      </c>
      <c r="F168" s="153">
        <v>26.2</v>
      </c>
      <c r="G168" s="153">
        <v>26.2</v>
      </c>
      <c r="H168" s="153">
        <v>26.4</v>
      </c>
      <c r="I168" s="153">
        <v>26.5</v>
      </c>
      <c r="J168" s="153">
        <v>27.3</v>
      </c>
      <c r="K168" s="153">
        <v>27.7</v>
      </c>
      <c r="L168" s="153">
        <v>27.7</v>
      </c>
      <c r="M168" s="153">
        <v>27.2</v>
      </c>
      <c r="N168" s="153">
        <v>26.6</v>
      </c>
      <c r="O168" s="153">
        <v>26.7</v>
      </c>
    </row>
    <row r="169" spans="1:15" x14ac:dyDescent="0.25">
      <c r="A169" s="152" t="s">
        <v>80</v>
      </c>
      <c r="B169" s="152" t="s">
        <v>71</v>
      </c>
      <c r="C169" s="153">
        <v>25.8</v>
      </c>
      <c r="D169" s="153">
        <v>25.8</v>
      </c>
      <c r="E169" s="153">
        <v>26.1</v>
      </c>
      <c r="F169" s="153">
        <v>26.3</v>
      </c>
      <c r="G169" s="153">
        <v>25.9</v>
      </c>
      <c r="H169" s="153">
        <v>26</v>
      </c>
      <c r="I169" s="153">
        <v>26.1</v>
      </c>
      <c r="J169" s="153">
        <v>26.7</v>
      </c>
      <c r="K169" s="153">
        <v>26.7</v>
      </c>
      <c r="L169" s="153">
        <v>26.9</v>
      </c>
      <c r="M169" s="153">
        <v>26.7</v>
      </c>
      <c r="N169" s="153">
        <v>26.2</v>
      </c>
      <c r="O169" s="153">
        <v>26.2</v>
      </c>
    </row>
    <row r="170" spans="1:15" x14ac:dyDescent="0.25">
      <c r="A170" s="152" t="s">
        <v>219</v>
      </c>
      <c r="B170" s="152" t="s">
        <v>211</v>
      </c>
      <c r="C170" s="153">
        <v>25.9</v>
      </c>
      <c r="D170" s="153">
        <v>25.7</v>
      </c>
      <c r="E170" s="153">
        <v>25.9</v>
      </c>
      <c r="F170" s="153">
        <v>26.3</v>
      </c>
      <c r="G170" s="153">
        <v>26.6</v>
      </c>
      <c r="H170" s="153">
        <v>26.4</v>
      </c>
      <c r="I170" s="153">
        <v>26.3</v>
      </c>
      <c r="J170" s="153">
        <v>26.9</v>
      </c>
      <c r="K170" s="153">
        <v>26.9</v>
      </c>
      <c r="L170" s="153">
        <v>26.6</v>
      </c>
      <c r="M170" s="153">
        <v>26.5</v>
      </c>
      <c r="N170" s="153">
        <v>26</v>
      </c>
      <c r="O170" s="153">
        <v>26.3</v>
      </c>
    </row>
    <row r="171" spans="1:15" x14ac:dyDescent="0.25">
      <c r="A171" s="152" t="s">
        <v>321</v>
      </c>
      <c r="B171" s="152" t="s">
        <v>308</v>
      </c>
      <c r="C171" s="153">
        <v>23.3</v>
      </c>
      <c r="D171" s="153">
        <v>23.1</v>
      </c>
      <c r="E171" s="153">
        <v>21.7</v>
      </c>
      <c r="F171" s="153">
        <v>18.100000000000001</v>
      </c>
      <c r="G171" s="153">
        <v>15.1</v>
      </c>
      <c r="H171" s="153">
        <v>13.2</v>
      </c>
      <c r="I171" s="153">
        <v>13.2</v>
      </c>
      <c r="J171" s="153">
        <v>14.5</v>
      </c>
      <c r="K171" s="153">
        <v>16.8</v>
      </c>
      <c r="L171" s="153">
        <v>18.8</v>
      </c>
      <c r="M171" s="153">
        <v>21.1</v>
      </c>
      <c r="N171" s="153">
        <v>22.6</v>
      </c>
      <c r="O171" s="153">
        <v>18.5</v>
      </c>
    </row>
    <row r="172" spans="1:15" x14ac:dyDescent="0.25">
      <c r="A172" s="152" t="s">
        <v>261</v>
      </c>
      <c r="B172" s="152" t="s">
        <v>251</v>
      </c>
      <c r="C172" s="153">
        <v>24.5</v>
      </c>
      <c r="D172" s="153">
        <v>24.5</v>
      </c>
      <c r="E172" s="153">
        <v>24</v>
      </c>
      <c r="F172" s="153">
        <v>22</v>
      </c>
      <c r="G172" s="153">
        <v>19.5</v>
      </c>
      <c r="H172" s="153">
        <v>17.8</v>
      </c>
      <c r="I172" s="153">
        <v>18</v>
      </c>
      <c r="J172" s="153">
        <v>19.600000000000001</v>
      </c>
      <c r="K172" s="153">
        <v>20.5</v>
      </c>
      <c r="L172" s="153">
        <v>22.3</v>
      </c>
      <c r="M172" s="153">
        <v>23.6</v>
      </c>
      <c r="N172" s="153">
        <v>24</v>
      </c>
      <c r="O172" s="153">
        <v>21.7</v>
      </c>
    </row>
    <row r="173" spans="1:15" x14ac:dyDescent="0.25">
      <c r="A173" s="152" t="s">
        <v>178</v>
      </c>
      <c r="B173" s="152" t="s">
        <v>148</v>
      </c>
      <c r="C173" s="153">
        <v>24</v>
      </c>
      <c r="D173" s="153">
        <v>24.3</v>
      </c>
      <c r="E173" s="153">
        <v>24</v>
      </c>
      <c r="F173" s="153">
        <v>22.8</v>
      </c>
      <c r="G173" s="153">
        <v>20.5</v>
      </c>
      <c r="H173" s="153">
        <v>19.100000000000001</v>
      </c>
      <c r="I173" s="153">
        <v>19</v>
      </c>
      <c r="J173" s="153">
        <v>20.2</v>
      </c>
      <c r="K173" s="153">
        <v>22.2</v>
      </c>
      <c r="L173" s="153">
        <v>23.2</v>
      </c>
      <c r="M173" s="153">
        <v>23.4</v>
      </c>
      <c r="N173" s="153">
        <v>23.4</v>
      </c>
      <c r="O173" s="153">
        <v>22.2</v>
      </c>
    </row>
    <row r="174" spans="1:15" x14ac:dyDescent="0.25">
      <c r="A174" s="152" t="s">
        <v>137</v>
      </c>
      <c r="B174" s="152" t="s">
        <v>131</v>
      </c>
      <c r="C174" s="153">
        <v>23.6</v>
      </c>
      <c r="D174" s="153">
        <v>23.7</v>
      </c>
      <c r="E174" s="153">
        <v>23.7</v>
      </c>
      <c r="F174" s="153">
        <v>22.9</v>
      </c>
      <c r="G174" s="153">
        <v>21.1</v>
      </c>
      <c r="H174" s="153">
        <v>19.399999999999999</v>
      </c>
      <c r="I174" s="153">
        <v>19.8</v>
      </c>
      <c r="J174" s="153">
        <v>21.8</v>
      </c>
      <c r="K174" s="153">
        <v>22.9</v>
      </c>
      <c r="L174" s="153">
        <v>24</v>
      </c>
      <c r="M174" s="153">
        <v>23.7</v>
      </c>
      <c r="N174" s="153">
        <v>23.6</v>
      </c>
      <c r="O174" s="153">
        <v>22.5</v>
      </c>
    </row>
    <row r="175" spans="1:15" x14ac:dyDescent="0.25">
      <c r="A175" s="152" t="s">
        <v>369</v>
      </c>
      <c r="B175" s="152" t="s">
        <v>357</v>
      </c>
      <c r="C175" s="153">
        <v>19.8</v>
      </c>
      <c r="D175" s="153">
        <v>19.899999999999999</v>
      </c>
      <c r="E175" s="153">
        <v>19.600000000000001</v>
      </c>
      <c r="F175" s="153">
        <v>17.399999999999999</v>
      </c>
      <c r="G175" s="153">
        <v>15.3</v>
      </c>
      <c r="H175" s="153">
        <v>13.5</v>
      </c>
      <c r="I175" s="153">
        <v>13.1</v>
      </c>
      <c r="J175" s="153">
        <v>14.4</v>
      </c>
      <c r="K175" s="153">
        <v>16</v>
      </c>
      <c r="L175" s="153">
        <v>16.3</v>
      </c>
      <c r="M175" s="153">
        <v>17.8</v>
      </c>
      <c r="N175" s="153">
        <v>18.8</v>
      </c>
      <c r="O175" s="153">
        <v>16.8</v>
      </c>
    </row>
    <row r="176" spans="1:15" x14ac:dyDescent="0.25">
      <c r="A176" s="152" t="s">
        <v>220</v>
      </c>
      <c r="B176" s="152" t="s">
        <v>211</v>
      </c>
      <c r="C176" s="153">
        <v>25.9</v>
      </c>
      <c r="D176" s="153">
        <v>25.6</v>
      </c>
      <c r="E176" s="153">
        <v>25.7</v>
      </c>
      <c r="F176" s="153">
        <v>25.9</v>
      </c>
      <c r="G176" s="153">
        <v>26</v>
      </c>
      <c r="H176" s="153">
        <v>25.9</v>
      </c>
      <c r="I176" s="153">
        <v>26.1</v>
      </c>
      <c r="J176" s="153">
        <v>26.7</v>
      </c>
      <c r="K176" s="153">
        <v>27.4</v>
      </c>
      <c r="L176" s="153">
        <v>27.7</v>
      </c>
      <c r="M176" s="153">
        <v>27.5</v>
      </c>
      <c r="N176" s="153">
        <v>27</v>
      </c>
      <c r="O176" s="153">
        <v>26.5</v>
      </c>
    </row>
    <row r="177" spans="1:15" x14ac:dyDescent="0.25">
      <c r="A177" s="152" t="s">
        <v>105</v>
      </c>
      <c r="B177" s="152" t="s">
        <v>94</v>
      </c>
      <c r="C177" s="153">
        <v>25.5</v>
      </c>
      <c r="D177" s="153">
        <v>25.3</v>
      </c>
      <c r="E177" s="153">
        <v>25.1</v>
      </c>
      <c r="F177" s="153">
        <v>24.3</v>
      </c>
      <c r="G177" s="153">
        <v>22.8</v>
      </c>
      <c r="H177" s="153">
        <v>21.4</v>
      </c>
      <c r="I177" s="153">
        <v>20.7</v>
      </c>
      <c r="J177" s="153">
        <v>21.3</v>
      </c>
      <c r="K177" s="153">
        <v>22.7</v>
      </c>
      <c r="L177" s="153">
        <v>24.5</v>
      </c>
      <c r="M177" s="153">
        <v>25.1</v>
      </c>
      <c r="N177" s="153">
        <v>25.4</v>
      </c>
      <c r="O177" s="153">
        <v>23.7</v>
      </c>
    </row>
    <row r="178" spans="1:15" x14ac:dyDescent="0.25">
      <c r="A178" s="152" t="s">
        <v>232</v>
      </c>
      <c r="B178" s="152" t="s">
        <v>230</v>
      </c>
      <c r="C178" s="153">
        <v>25.4</v>
      </c>
      <c r="D178" s="153">
        <v>25</v>
      </c>
      <c r="E178" s="153">
        <v>24.5</v>
      </c>
      <c r="F178" s="153">
        <v>23.9</v>
      </c>
      <c r="G178" s="153">
        <v>22.5</v>
      </c>
      <c r="H178" s="153">
        <v>21.6</v>
      </c>
      <c r="I178" s="153">
        <v>21.1</v>
      </c>
      <c r="J178" s="153">
        <v>21.7</v>
      </c>
      <c r="K178" s="153">
        <v>23</v>
      </c>
      <c r="L178" s="153">
        <v>24.6</v>
      </c>
      <c r="M178" s="153">
        <v>25.2</v>
      </c>
      <c r="N178" s="153">
        <v>25.4</v>
      </c>
      <c r="O178" s="153">
        <v>23.7</v>
      </c>
    </row>
    <row r="179" spans="1:15" x14ac:dyDescent="0.25">
      <c r="A179" s="152" t="s">
        <v>179</v>
      </c>
      <c r="B179" s="152" t="s">
        <v>148</v>
      </c>
      <c r="C179" s="153">
        <v>23.6</v>
      </c>
      <c r="D179" s="153">
        <v>23.8</v>
      </c>
      <c r="E179" s="153">
        <v>23.9</v>
      </c>
      <c r="F179" s="153">
        <v>23</v>
      </c>
      <c r="G179" s="153">
        <v>21.1</v>
      </c>
      <c r="H179" s="153">
        <v>20</v>
      </c>
      <c r="I179" s="153">
        <v>19.600000000000001</v>
      </c>
      <c r="J179" s="153">
        <v>21.1</v>
      </c>
      <c r="K179" s="153">
        <v>22.8</v>
      </c>
      <c r="L179" s="153">
        <v>23.6</v>
      </c>
      <c r="M179" s="153">
        <v>23.1</v>
      </c>
      <c r="N179" s="153">
        <v>23.1</v>
      </c>
      <c r="O179" s="153">
        <v>22.4</v>
      </c>
    </row>
    <row r="180" spans="1:15" x14ac:dyDescent="0.25">
      <c r="A180" s="152" t="s">
        <v>120</v>
      </c>
      <c r="B180" s="152" t="s">
        <v>113</v>
      </c>
      <c r="C180" s="153">
        <v>27.9</v>
      </c>
      <c r="D180" s="153">
        <v>27.4</v>
      </c>
      <c r="E180" s="153">
        <v>26.8</v>
      </c>
      <c r="F180" s="153">
        <v>26.7</v>
      </c>
      <c r="G180" s="153">
        <v>26.5</v>
      </c>
      <c r="H180" s="153">
        <v>26</v>
      </c>
      <c r="I180" s="153">
        <v>25.9</v>
      </c>
      <c r="J180" s="153">
        <v>26.7</v>
      </c>
      <c r="K180" s="153">
        <v>27.4</v>
      </c>
      <c r="L180" s="153">
        <v>28</v>
      </c>
      <c r="M180" s="153">
        <v>28.2</v>
      </c>
      <c r="N180" s="153">
        <v>28.2</v>
      </c>
      <c r="O180" s="153">
        <v>27.1</v>
      </c>
    </row>
    <row r="181" spans="1:15" x14ac:dyDescent="0.25">
      <c r="A181" s="152" t="s">
        <v>106</v>
      </c>
      <c r="B181" s="152" t="s">
        <v>94</v>
      </c>
      <c r="C181" s="153">
        <v>20.8</v>
      </c>
      <c r="D181" s="153">
        <v>21</v>
      </c>
      <c r="E181" s="153">
        <v>20.8</v>
      </c>
      <c r="F181" s="153">
        <v>20.399999999999999</v>
      </c>
      <c r="G181" s="153">
        <v>18.899999999999999</v>
      </c>
      <c r="H181" s="153">
        <v>17.399999999999999</v>
      </c>
      <c r="I181" s="153">
        <v>16.8</v>
      </c>
      <c r="J181" s="153">
        <v>17.399999999999999</v>
      </c>
      <c r="K181" s="153">
        <v>18.7</v>
      </c>
      <c r="L181" s="153">
        <v>20.2</v>
      </c>
      <c r="M181" s="153">
        <v>20.8</v>
      </c>
      <c r="N181" s="153">
        <v>20.7</v>
      </c>
      <c r="O181" s="153">
        <v>19.5</v>
      </c>
    </row>
    <row r="182" spans="1:15" x14ac:dyDescent="0.25">
      <c r="A182" s="152" t="s">
        <v>302</v>
      </c>
      <c r="B182" s="152" t="s">
        <v>297</v>
      </c>
      <c r="C182" s="153">
        <v>27</v>
      </c>
      <c r="D182" s="153">
        <v>27.2</v>
      </c>
      <c r="E182" s="153">
        <v>27</v>
      </c>
      <c r="F182" s="153">
        <v>26.6</v>
      </c>
      <c r="G182" s="153">
        <v>26</v>
      </c>
      <c r="H182" s="153">
        <v>24.9</v>
      </c>
      <c r="I182" s="153">
        <v>24.3</v>
      </c>
      <c r="J182" s="153">
        <v>24.3</v>
      </c>
      <c r="K182" s="153">
        <v>25.1</v>
      </c>
      <c r="L182" s="153">
        <v>26</v>
      </c>
      <c r="M182" s="153">
        <v>26.4</v>
      </c>
      <c r="N182" s="153">
        <v>26.7</v>
      </c>
      <c r="O182" s="153">
        <v>26</v>
      </c>
    </row>
    <row r="183" spans="1:15" x14ac:dyDescent="0.25">
      <c r="A183" s="152" t="s">
        <v>283</v>
      </c>
      <c r="B183" s="152" t="s">
        <v>269</v>
      </c>
      <c r="C183" s="153">
        <v>21.2</v>
      </c>
      <c r="D183" s="153">
        <v>21.2</v>
      </c>
      <c r="E183" s="153">
        <v>20.8</v>
      </c>
      <c r="F183" s="153">
        <v>18.5</v>
      </c>
      <c r="G183" s="153">
        <v>16</v>
      </c>
      <c r="H183" s="153">
        <v>14.6</v>
      </c>
      <c r="I183" s="153">
        <v>14.1</v>
      </c>
      <c r="J183" s="153">
        <v>15.3</v>
      </c>
      <c r="K183" s="153">
        <v>16.600000000000001</v>
      </c>
      <c r="L183" s="153">
        <v>18.2</v>
      </c>
      <c r="M183" s="153">
        <v>19.3</v>
      </c>
      <c r="N183" s="153">
        <v>20.3</v>
      </c>
      <c r="O183" s="153">
        <v>18</v>
      </c>
    </row>
    <row r="184" spans="1:15" x14ac:dyDescent="0.25">
      <c r="A184" s="152" t="s">
        <v>221</v>
      </c>
      <c r="B184" s="152" t="s">
        <v>211</v>
      </c>
      <c r="C184" s="153">
        <v>26.1</v>
      </c>
      <c r="D184" s="153">
        <v>25.7</v>
      </c>
      <c r="E184" s="153">
        <v>25.8</v>
      </c>
      <c r="F184" s="153">
        <v>26</v>
      </c>
      <c r="G184" s="153">
        <v>26.2</v>
      </c>
      <c r="H184" s="153">
        <v>26.2</v>
      </c>
      <c r="I184" s="153">
        <v>26.3</v>
      </c>
      <c r="J184" s="153">
        <v>27</v>
      </c>
      <c r="K184" s="153">
        <v>27.4</v>
      </c>
      <c r="L184" s="153">
        <v>27.8</v>
      </c>
      <c r="M184" s="153">
        <v>27.8</v>
      </c>
      <c r="N184" s="153">
        <v>27</v>
      </c>
      <c r="O184" s="153">
        <v>26.6</v>
      </c>
    </row>
    <row r="185" spans="1:15" x14ac:dyDescent="0.25">
      <c r="A185" s="152" t="s">
        <v>180</v>
      </c>
      <c r="B185" s="152" t="s">
        <v>148</v>
      </c>
      <c r="C185" s="153">
        <v>21.7</v>
      </c>
      <c r="D185" s="153">
        <v>22</v>
      </c>
      <c r="E185" s="153">
        <v>21.7</v>
      </c>
      <c r="F185" s="153">
        <v>20.2</v>
      </c>
      <c r="G185" s="153">
        <v>17.899999999999999</v>
      </c>
      <c r="H185" s="153">
        <v>16.7</v>
      </c>
      <c r="I185" s="153">
        <v>16.399999999999999</v>
      </c>
      <c r="J185" s="153">
        <v>18.399999999999999</v>
      </c>
      <c r="K185" s="153">
        <v>19.600000000000001</v>
      </c>
      <c r="L185" s="153">
        <v>20.5</v>
      </c>
      <c r="M185" s="153">
        <v>20.8</v>
      </c>
      <c r="N185" s="153">
        <v>21.1</v>
      </c>
      <c r="O185" s="153">
        <v>19.8</v>
      </c>
    </row>
    <row r="186" spans="1:15" x14ac:dyDescent="0.25">
      <c r="A186" s="152" t="s">
        <v>346</v>
      </c>
      <c r="B186" s="152" t="s">
        <v>338</v>
      </c>
      <c r="C186" s="153">
        <v>23.2</v>
      </c>
      <c r="D186" s="153">
        <v>23.1</v>
      </c>
      <c r="E186" s="153">
        <v>21.9</v>
      </c>
      <c r="F186" s="153">
        <v>19</v>
      </c>
      <c r="G186" s="153">
        <v>16.100000000000001</v>
      </c>
      <c r="H186" s="153">
        <v>14.1</v>
      </c>
      <c r="I186" s="153">
        <v>14.1</v>
      </c>
      <c r="J186" s="153">
        <v>15</v>
      </c>
      <c r="K186" s="153">
        <v>16.399999999999999</v>
      </c>
      <c r="L186" s="153">
        <v>18.7</v>
      </c>
      <c r="M186" s="153">
        <v>20.7</v>
      </c>
      <c r="N186" s="153">
        <v>22.3</v>
      </c>
      <c r="O186" s="153">
        <v>18.7</v>
      </c>
    </row>
    <row r="187" spans="1:15" x14ac:dyDescent="0.25">
      <c r="A187" s="152" t="s">
        <v>181</v>
      </c>
      <c r="B187" s="152" t="s">
        <v>148</v>
      </c>
      <c r="C187" s="153">
        <v>21.6</v>
      </c>
      <c r="D187" s="153">
        <v>21.9</v>
      </c>
      <c r="E187" s="153">
        <v>21.4</v>
      </c>
      <c r="F187" s="153">
        <v>19.899999999999999</v>
      </c>
      <c r="G187" s="153">
        <v>17.3</v>
      </c>
      <c r="H187" s="153">
        <v>16.100000000000001</v>
      </c>
      <c r="I187" s="153">
        <v>15.9</v>
      </c>
      <c r="J187" s="153">
        <v>17.600000000000001</v>
      </c>
      <c r="K187" s="153">
        <v>19.5</v>
      </c>
      <c r="L187" s="153">
        <v>19.899999999999999</v>
      </c>
      <c r="M187" s="153">
        <v>21</v>
      </c>
      <c r="N187" s="153">
        <v>21.1</v>
      </c>
      <c r="O187" s="153">
        <v>19.399999999999999</v>
      </c>
    </row>
    <row r="188" spans="1:15" x14ac:dyDescent="0.25">
      <c r="A188" s="152" t="s">
        <v>262</v>
      </c>
      <c r="B188" s="152" t="s">
        <v>251</v>
      </c>
      <c r="C188" s="153">
        <v>19.3</v>
      </c>
      <c r="D188" s="153">
        <v>19.3</v>
      </c>
      <c r="E188" s="153">
        <v>17.899999999999999</v>
      </c>
      <c r="F188" s="153">
        <v>14.8</v>
      </c>
      <c r="G188" s="153">
        <v>12.2</v>
      </c>
      <c r="H188" s="153">
        <v>10.7</v>
      </c>
      <c r="I188" s="153">
        <v>10.4</v>
      </c>
      <c r="J188" s="153">
        <v>11.3</v>
      </c>
      <c r="K188" s="153">
        <v>13.7</v>
      </c>
      <c r="L188" s="153">
        <v>15.5</v>
      </c>
      <c r="M188" s="153">
        <v>17.2</v>
      </c>
      <c r="N188" s="153">
        <v>18.5</v>
      </c>
      <c r="O188" s="153">
        <v>15.1</v>
      </c>
    </row>
    <row r="189" spans="1:15" x14ac:dyDescent="0.25">
      <c r="A189" s="152" t="s">
        <v>322</v>
      </c>
      <c r="B189" s="152" t="s">
        <v>308</v>
      </c>
      <c r="C189" s="153">
        <v>22.9</v>
      </c>
      <c r="D189" s="153">
        <v>22.6</v>
      </c>
      <c r="E189" s="153">
        <v>21.1</v>
      </c>
      <c r="F189" s="153">
        <v>18.5</v>
      </c>
      <c r="G189" s="153">
        <v>15.6</v>
      </c>
      <c r="H189" s="153">
        <v>13.5</v>
      </c>
      <c r="I189" s="153">
        <v>13.3</v>
      </c>
      <c r="J189" s="153">
        <v>14.4</v>
      </c>
      <c r="K189" s="153">
        <v>16.2</v>
      </c>
      <c r="L189" s="153">
        <v>18.100000000000001</v>
      </c>
      <c r="M189" s="153">
        <v>20.3</v>
      </c>
      <c r="N189" s="153">
        <v>22</v>
      </c>
      <c r="O189" s="153">
        <v>18.2</v>
      </c>
    </row>
    <row r="190" spans="1:15" x14ac:dyDescent="0.25">
      <c r="A190" s="152" t="s">
        <v>385</v>
      </c>
      <c r="B190" s="152" t="s">
        <v>384</v>
      </c>
      <c r="C190" s="153">
        <v>25</v>
      </c>
      <c r="D190" s="153">
        <v>25.1</v>
      </c>
      <c r="E190" s="153">
        <v>25.5</v>
      </c>
      <c r="F190" s="153">
        <v>25.5</v>
      </c>
      <c r="G190" s="153">
        <v>24.5</v>
      </c>
      <c r="H190" s="153">
        <v>23.1</v>
      </c>
      <c r="I190" s="153">
        <v>22.9</v>
      </c>
      <c r="J190" s="153">
        <v>24.4</v>
      </c>
      <c r="K190" s="153">
        <v>26.5</v>
      </c>
      <c r="L190" s="153">
        <v>26.4</v>
      </c>
      <c r="M190" s="153">
        <v>25.6</v>
      </c>
      <c r="N190" s="153">
        <v>25.3</v>
      </c>
      <c r="O190" s="153">
        <v>25</v>
      </c>
    </row>
    <row r="191" spans="1:15" x14ac:dyDescent="0.25">
      <c r="A191" s="152" t="s">
        <v>263</v>
      </c>
      <c r="B191" s="152" t="s">
        <v>251</v>
      </c>
      <c r="C191" s="153">
        <v>25</v>
      </c>
      <c r="D191" s="153">
        <v>25.3</v>
      </c>
      <c r="E191" s="153">
        <v>24.4</v>
      </c>
      <c r="F191" s="153">
        <v>22.1</v>
      </c>
      <c r="G191" s="153">
        <v>19.8</v>
      </c>
      <c r="H191" s="153">
        <v>17.7</v>
      </c>
      <c r="I191" s="153">
        <v>17.2</v>
      </c>
      <c r="J191" s="153">
        <v>17.8</v>
      </c>
      <c r="K191" s="153">
        <v>18.7</v>
      </c>
      <c r="L191" s="153">
        <v>20.399999999999999</v>
      </c>
      <c r="M191" s="153">
        <v>22.3</v>
      </c>
      <c r="N191" s="153">
        <v>23.9</v>
      </c>
      <c r="O191" s="153">
        <v>21.2</v>
      </c>
    </row>
    <row r="192" spans="1:15" x14ac:dyDescent="0.25">
      <c r="A192" s="152" t="s">
        <v>202</v>
      </c>
      <c r="B192" s="152" t="s">
        <v>198</v>
      </c>
      <c r="C192" s="153">
        <v>25.1</v>
      </c>
      <c r="D192" s="153">
        <v>25.5</v>
      </c>
      <c r="E192" s="153">
        <v>25.1</v>
      </c>
      <c r="F192" s="153">
        <v>23.3</v>
      </c>
      <c r="G192" s="153">
        <v>21.4</v>
      </c>
      <c r="H192" s="153">
        <v>20.100000000000001</v>
      </c>
      <c r="I192" s="153">
        <v>20</v>
      </c>
      <c r="J192" s="153">
        <v>22</v>
      </c>
      <c r="K192" s="153">
        <v>23.4</v>
      </c>
      <c r="L192" s="153">
        <v>25.3</v>
      </c>
      <c r="M192" s="153">
        <v>25</v>
      </c>
      <c r="N192" s="153">
        <v>24.8</v>
      </c>
      <c r="O192" s="153">
        <v>23.4</v>
      </c>
    </row>
    <row r="193" spans="1:15" x14ac:dyDescent="0.25">
      <c r="A193" s="152" t="s">
        <v>81</v>
      </c>
      <c r="B193" s="152" t="s">
        <v>71</v>
      </c>
      <c r="C193" s="153">
        <v>24.9</v>
      </c>
      <c r="D193" s="153">
        <v>25</v>
      </c>
      <c r="E193" s="153">
        <v>25</v>
      </c>
      <c r="F193" s="153">
        <v>25</v>
      </c>
      <c r="G193" s="153">
        <v>24.7</v>
      </c>
      <c r="H193" s="153">
        <v>24.2</v>
      </c>
      <c r="I193" s="153">
        <v>24</v>
      </c>
      <c r="J193" s="153">
        <v>24.4</v>
      </c>
      <c r="K193" s="153">
        <v>24.8</v>
      </c>
      <c r="L193" s="153">
        <v>25.2</v>
      </c>
      <c r="M193" s="153">
        <v>25.2</v>
      </c>
      <c r="N193" s="153">
        <v>24.9</v>
      </c>
      <c r="O193" s="153">
        <v>24.8</v>
      </c>
    </row>
    <row r="194" spans="1:15" x14ac:dyDescent="0.25">
      <c r="A194" s="152" t="s">
        <v>82</v>
      </c>
      <c r="B194" s="152" t="s">
        <v>71</v>
      </c>
      <c r="C194" s="153">
        <v>26.7</v>
      </c>
      <c r="D194" s="153">
        <v>26.4</v>
      </c>
      <c r="E194" s="153">
        <v>26.6</v>
      </c>
      <c r="F194" s="153">
        <v>26.7</v>
      </c>
      <c r="G194" s="153">
        <v>26.7</v>
      </c>
      <c r="H194" s="153">
        <v>26.8</v>
      </c>
      <c r="I194" s="153">
        <v>26.8</v>
      </c>
      <c r="J194" s="153">
        <v>27.7</v>
      </c>
      <c r="K194" s="153">
        <v>28.2</v>
      </c>
      <c r="L194" s="153">
        <v>28.5</v>
      </c>
      <c r="M194" s="153">
        <v>28.3</v>
      </c>
      <c r="N194" s="153">
        <v>27.4</v>
      </c>
      <c r="O194" s="153">
        <v>27.2</v>
      </c>
    </row>
    <row r="195" spans="1:15" x14ac:dyDescent="0.25">
      <c r="A195" s="152" t="s">
        <v>182</v>
      </c>
      <c r="B195" s="152" t="s">
        <v>148</v>
      </c>
      <c r="C195" s="153">
        <v>21.6</v>
      </c>
      <c r="D195" s="153">
        <v>21.8</v>
      </c>
      <c r="E195" s="153">
        <v>21.2</v>
      </c>
      <c r="F195" s="153">
        <v>19.100000000000001</v>
      </c>
      <c r="G195" s="153">
        <v>16.2</v>
      </c>
      <c r="H195" s="153">
        <v>14.5</v>
      </c>
      <c r="I195" s="153">
        <v>14.1</v>
      </c>
      <c r="J195" s="153">
        <v>15.9</v>
      </c>
      <c r="K195" s="153">
        <v>17.600000000000001</v>
      </c>
      <c r="L195" s="153">
        <v>19.7</v>
      </c>
      <c r="M195" s="153">
        <v>20.399999999999999</v>
      </c>
      <c r="N195" s="153">
        <v>20.9</v>
      </c>
      <c r="O195" s="153">
        <v>18.600000000000001</v>
      </c>
    </row>
    <row r="196" spans="1:15" x14ac:dyDescent="0.25">
      <c r="A196" s="152" t="s">
        <v>323</v>
      </c>
      <c r="B196" s="152" t="s">
        <v>308</v>
      </c>
      <c r="C196" s="153">
        <v>22.1</v>
      </c>
      <c r="D196" s="153">
        <v>22</v>
      </c>
      <c r="E196" s="153">
        <v>20.5</v>
      </c>
      <c r="F196" s="153">
        <v>17.600000000000001</v>
      </c>
      <c r="G196" s="153">
        <v>15.2</v>
      </c>
      <c r="H196" s="153">
        <v>12.9</v>
      </c>
      <c r="I196" s="153">
        <v>13.3</v>
      </c>
      <c r="J196" s="153">
        <v>13.9</v>
      </c>
      <c r="K196" s="153">
        <v>15.7</v>
      </c>
      <c r="L196" s="153">
        <v>17.600000000000001</v>
      </c>
      <c r="M196" s="153">
        <v>19.600000000000001</v>
      </c>
      <c r="N196" s="153">
        <v>21.4</v>
      </c>
      <c r="O196" s="153">
        <v>17.7</v>
      </c>
    </row>
    <row r="197" spans="1:15" x14ac:dyDescent="0.25">
      <c r="A197" s="152" t="s">
        <v>183</v>
      </c>
      <c r="B197" s="152" t="s">
        <v>148</v>
      </c>
      <c r="C197" s="153">
        <v>22.1</v>
      </c>
      <c r="D197" s="153">
        <v>22.3</v>
      </c>
      <c r="E197" s="153">
        <v>22.3</v>
      </c>
      <c r="F197" s="153">
        <v>21.1</v>
      </c>
      <c r="G197" s="153">
        <v>19.399999999999999</v>
      </c>
      <c r="H197" s="153">
        <v>18.399999999999999</v>
      </c>
      <c r="I197" s="153">
        <v>18.3</v>
      </c>
      <c r="J197" s="153">
        <v>20.399999999999999</v>
      </c>
      <c r="K197" s="153">
        <v>21.9</v>
      </c>
      <c r="L197" s="153">
        <v>22.2</v>
      </c>
      <c r="M197" s="153">
        <v>22</v>
      </c>
      <c r="N197" s="153">
        <v>21.7</v>
      </c>
      <c r="O197" s="153">
        <v>21</v>
      </c>
    </row>
    <row r="198" spans="1:15" x14ac:dyDescent="0.25">
      <c r="A198" s="152" t="s">
        <v>184</v>
      </c>
      <c r="B198" s="152" t="s">
        <v>148</v>
      </c>
      <c r="C198" s="153">
        <v>22.3</v>
      </c>
      <c r="D198" s="153">
        <v>22.2</v>
      </c>
      <c r="E198" s="153">
        <v>22.3</v>
      </c>
      <c r="F198" s="153">
        <v>20.9</v>
      </c>
      <c r="G198" s="153">
        <v>18.899999999999999</v>
      </c>
      <c r="H198" s="153">
        <v>17.8</v>
      </c>
      <c r="I198" s="153">
        <v>17.2</v>
      </c>
      <c r="J198" s="153">
        <v>19.2</v>
      </c>
      <c r="K198" s="153">
        <v>20.6</v>
      </c>
      <c r="L198" s="153">
        <v>21.8</v>
      </c>
      <c r="M198" s="153">
        <v>22</v>
      </c>
      <c r="N198" s="153">
        <v>21.7</v>
      </c>
      <c r="O198" s="153">
        <v>20.6</v>
      </c>
    </row>
    <row r="199" spans="1:15" x14ac:dyDescent="0.25">
      <c r="A199" s="152" t="s">
        <v>107</v>
      </c>
      <c r="B199" s="152" t="s">
        <v>94</v>
      </c>
      <c r="C199" s="153">
        <v>27.4</v>
      </c>
      <c r="D199" s="153">
        <v>27.2</v>
      </c>
      <c r="E199" s="153">
        <v>26.9</v>
      </c>
      <c r="F199" s="153">
        <v>26.2</v>
      </c>
      <c r="G199" s="153">
        <v>24.8</v>
      </c>
      <c r="H199" s="153">
        <v>23.2</v>
      </c>
      <c r="I199" s="153">
        <v>22.5</v>
      </c>
      <c r="J199" s="153">
        <v>23.2</v>
      </c>
      <c r="K199" s="153">
        <v>24.6</v>
      </c>
      <c r="L199" s="153">
        <v>26.5</v>
      </c>
      <c r="M199" s="153">
        <v>27.4</v>
      </c>
      <c r="N199" s="153">
        <v>27.4</v>
      </c>
      <c r="O199" s="153">
        <v>25.6</v>
      </c>
    </row>
    <row r="200" spans="1:15" x14ac:dyDescent="0.25">
      <c r="A200" s="152" t="s">
        <v>185</v>
      </c>
      <c r="B200" s="152" t="s">
        <v>148</v>
      </c>
      <c r="C200" s="153">
        <v>23.9</v>
      </c>
      <c r="D200" s="153">
        <v>24.2</v>
      </c>
      <c r="E200" s="153">
        <v>23.9</v>
      </c>
      <c r="F200" s="153">
        <v>22.9</v>
      </c>
      <c r="G200" s="153">
        <v>21.4</v>
      </c>
      <c r="H200" s="153">
        <v>20.100000000000001</v>
      </c>
      <c r="I200" s="153">
        <v>19.5</v>
      </c>
      <c r="J200" s="153">
        <v>20.399999999999999</v>
      </c>
      <c r="K200" s="153">
        <v>21.5</v>
      </c>
      <c r="L200" s="153">
        <v>22.6</v>
      </c>
      <c r="M200" s="153">
        <v>23.1</v>
      </c>
      <c r="N200" s="153">
        <v>23.4</v>
      </c>
      <c r="O200" s="153">
        <v>22.3</v>
      </c>
    </row>
    <row r="201" spans="1:15" x14ac:dyDescent="0.25">
      <c r="A201" s="152" t="s">
        <v>386</v>
      </c>
      <c r="B201" s="152" t="s">
        <v>384</v>
      </c>
      <c r="C201" s="153">
        <v>25.3</v>
      </c>
      <c r="D201" s="153">
        <v>25.4</v>
      </c>
      <c r="E201" s="153">
        <v>25.6</v>
      </c>
      <c r="F201" s="153">
        <v>26</v>
      </c>
      <c r="G201" s="153">
        <v>26.2</v>
      </c>
      <c r="H201" s="153">
        <v>25.3</v>
      </c>
      <c r="I201" s="153">
        <v>25.4</v>
      </c>
      <c r="J201" s="153">
        <v>26.4</v>
      </c>
      <c r="K201" s="153">
        <v>27.2</v>
      </c>
      <c r="L201" s="153">
        <v>26.4</v>
      </c>
      <c r="M201" s="153">
        <v>25.9</v>
      </c>
      <c r="N201" s="153">
        <v>25.5</v>
      </c>
      <c r="O201" s="153">
        <v>25.9</v>
      </c>
    </row>
    <row r="202" spans="1:15" x14ac:dyDescent="0.25">
      <c r="A202" s="152" t="s">
        <v>387</v>
      </c>
      <c r="B202" s="152" t="s">
        <v>384</v>
      </c>
      <c r="C202" s="153">
        <v>25.5</v>
      </c>
      <c r="D202" s="153">
        <v>25.5</v>
      </c>
      <c r="E202" s="153">
        <v>25.7</v>
      </c>
      <c r="F202" s="153">
        <v>26</v>
      </c>
      <c r="G202" s="153">
        <v>25.6</v>
      </c>
      <c r="H202" s="153">
        <v>24.1</v>
      </c>
      <c r="I202" s="153">
        <v>24.1</v>
      </c>
      <c r="J202" s="153">
        <v>25.6</v>
      </c>
      <c r="K202" s="153">
        <v>27.1</v>
      </c>
      <c r="L202" s="153">
        <v>26.8</v>
      </c>
      <c r="M202" s="153">
        <v>26.1</v>
      </c>
      <c r="N202" s="153">
        <v>25.5</v>
      </c>
      <c r="O202" s="153">
        <v>25.6</v>
      </c>
    </row>
    <row r="203" spans="1:15" x14ac:dyDescent="0.25">
      <c r="A203" s="152" t="s">
        <v>324</v>
      </c>
      <c r="B203" s="152" t="s">
        <v>308</v>
      </c>
      <c r="C203" s="153">
        <v>23.1</v>
      </c>
      <c r="D203" s="153">
        <v>23.4</v>
      </c>
      <c r="E203" s="153">
        <v>21.3</v>
      </c>
      <c r="F203" s="153">
        <v>18.2</v>
      </c>
      <c r="G203" s="153">
        <v>14.8</v>
      </c>
      <c r="H203" s="153">
        <v>12.6</v>
      </c>
      <c r="I203" s="153">
        <v>12.8</v>
      </c>
      <c r="J203" s="153">
        <v>13.1</v>
      </c>
      <c r="K203" s="153">
        <v>15.2</v>
      </c>
      <c r="L203" s="153">
        <v>17.399999999999999</v>
      </c>
      <c r="M203" s="153">
        <v>19.600000000000001</v>
      </c>
      <c r="N203" s="153">
        <v>21.7</v>
      </c>
      <c r="O203" s="153">
        <v>17.8</v>
      </c>
    </row>
    <row r="204" spans="1:15" x14ac:dyDescent="0.25">
      <c r="A204" s="152" t="s">
        <v>284</v>
      </c>
      <c r="B204" s="152" t="s">
        <v>269</v>
      </c>
      <c r="C204" s="153">
        <v>27.2</v>
      </c>
      <c r="D204" s="153">
        <v>27.5</v>
      </c>
      <c r="E204" s="153">
        <v>26.6</v>
      </c>
      <c r="F204" s="153">
        <v>24.7</v>
      </c>
      <c r="G204" s="153">
        <v>22.6</v>
      </c>
      <c r="H204" s="153">
        <v>21.4</v>
      </c>
      <c r="I204" s="153">
        <v>21</v>
      </c>
      <c r="J204" s="153">
        <v>22.1</v>
      </c>
      <c r="K204" s="153">
        <v>23</v>
      </c>
      <c r="L204" s="153">
        <v>23.6</v>
      </c>
      <c r="M204" s="153">
        <v>24.5</v>
      </c>
      <c r="N204" s="153">
        <v>26</v>
      </c>
      <c r="O204" s="153">
        <v>24.2</v>
      </c>
    </row>
    <row r="205" spans="1:15" x14ac:dyDescent="0.25">
      <c r="A205" s="152" t="s">
        <v>240</v>
      </c>
      <c r="B205" s="152" t="s">
        <v>235</v>
      </c>
      <c r="C205" s="153">
        <v>24.4</v>
      </c>
      <c r="D205" s="153">
        <v>24.1</v>
      </c>
      <c r="E205" s="153">
        <v>24</v>
      </c>
      <c r="F205" s="153">
        <v>23.2</v>
      </c>
      <c r="G205" s="153">
        <v>22</v>
      </c>
      <c r="H205" s="153">
        <v>20.8</v>
      </c>
      <c r="I205" s="153">
        <v>20.2</v>
      </c>
      <c r="J205" s="153">
        <v>20.399999999999999</v>
      </c>
      <c r="K205" s="153">
        <v>21.7</v>
      </c>
      <c r="L205" s="153">
        <v>23.2</v>
      </c>
      <c r="M205" s="153">
        <v>24.1</v>
      </c>
      <c r="N205" s="153">
        <v>24.2</v>
      </c>
      <c r="O205" s="153">
        <v>22.7</v>
      </c>
    </row>
    <row r="206" spans="1:15" x14ac:dyDescent="0.25">
      <c r="A206" s="152" t="s">
        <v>241</v>
      </c>
      <c r="B206" s="152" t="s">
        <v>235</v>
      </c>
      <c r="C206" s="153">
        <v>27.2</v>
      </c>
      <c r="D206" s="153">
        <v>26.8</v>
      </c>
      <c r="E206" s="153">
        <v>27.1</v>
      </c>
      <c r="F206" s="153">
        <v>26.2</v>
      </c>
      <c r="G206" s="153">
        <v>25.5</v>
      </c>
      <c r="H206" s="153">
        <v>24.5</v>
      </c>
      <c r="I206" s="153">
        <v>24.1</v>
      </c>
      <c r="J206" s="153">
        <v>24.7</v>
      </c>
      <c r="K206" s="153">
        <v>26.2</v>
      </c>
      <c r="L206" s="153">
        <v>27.7</v>
      </c>
      <c r="M206" s="153">
        <v>28.2</v>
      </c>
      <c r="N206" s="153">
        <v>27.6</v>
      </c>
      <c r="O206" s="153">
        <v>26.3</v>
      </c>
    </row>
    <row r="207" spans="1:15" x14ac:dyDescent="0.25">
      <c r="A207" s="152" t="s">
        <v>248</v>
      </c>
      <c r="B207" s="152" t="s">
        <v>246</v>
      </c>
      <c r="C207" s="153">
        <v>26.7</v>
      </c>
      <c r="D207" s="153">
        <v>26.1</v>
      </c>
      <c r="E207" s="153">
        <v>25.8</v>
      </c>
      <c r="F207" s="153">
        <v>26.1</v>
      </c>
      <c r="G207" s="153">
        <v>26.2</v>
      </c>
      <c r="H207" s="153">
        <v>26</v>
      </c>
      <c r="I207" s="153">
        <v>26</v>
      </c>
      <c r="J207" s="153">
        <v>27.1</v>
      </c>
      <c r="K207" s="153">
        <v>28.9</v>
      </c>
      <c r="L207" s="153">
        <v>29.7</v>
      </c>
      <c r="M207" s="153">
        <v>29.2</v>
      </c>
      <c r="N207" s="153">
        <v>27.8</v>
      </c>
      <c r="O207" s="153">
        <v>27.1</v>
      </c>
    </row>
    <row r="208" spans="1:15" x14ac:dyDescent="0.25">
      <c r="A208" s="152" t="s">
        <v>285</v>
      </c>
      <c r="B208" s="152" t="s">
        <v>269</v>
      </c>
      <c r="C208" s="153">
        <v>24.2</v>
      </c>
      <c r="D208" s="153">
        <v>24.1</v>
      </c>
      <c r="E208" s="153">
        <v>23.8</v>
      </c>
      <c r="F208" s="153">
        <v>21.4</v>
      </c>
      <c r="G208" s="153">
        <v>18.600000000000001</v>
      </c>
      <c r="H208" s="153">
        <v>17.399999999999999</v>
      </c>
      <c r="I208" s="153">
        <v>16.899999999999999</v>
      </c>
      <c r="J208" s="153">
        <v>18.5</v>
      </c>
      <c r="K208" s="153">
        <v>20.399999999999999</v>
      </c>
      <c r="L208" s="153">
        <v>21.2</v>
      </c>
      <c r="M208" s="153">
        <v>22.2</v>
      </c>
      <c r="N208" s="153">
        <v>23.1</v>
      </c>
      <c r="O208" s="153">
        <v>21</v>
      </c>
    </row>
    <row r="209" spans="1:15" x14ac:dyDescent="0.25">
      <c r="A209" s="152" t="s">
        <v>286</v>
      </c>
      <c r="B209" s="152" t="s">
        <v>269</v>
      </c>
      <c r="C209" s="153">
        <v>23.9</v>
      </c>
      <c r="D209" s="153">
        <v>24</v>
      </c>
      <c r="E209" s="153">
        <v>23.6</v>
      </c>
      <c r="F209" s="153">
        <v>21.5</v>
      </c>
      <c r="G209" s="153">
        <v>18.899999999999999</v>
      </c>
      <c r="H209" s="153">
        <v>17.5</v>
      </c>
      <c r="I209" s="153">
        <v>16.899999999999999</v>
      </c>
      <c r="J209" s="153">
        <v>18.2</v>
      </c>
      <c r="K209" s="153">
        <v>19.7</v>
      </c>
      <c r="L209" s="153">
        <v>20.9</v>
      </c>
      <c r="M209" s="153">
        <v>22.1</v>
      </c>
      <c r="N209" s="153">
        <v>23.2</v>
      </c>
      <c r="O209" s="153">
        <v>20.9</v>
      </c>
    </row>
    <row r="210" spans="1:15" x14ac:dyDescent="0.25">
      <c r="A210" s="152" t="s">
        <v>186</v>
      </c>
      <c r="B210" s="152" t="s">
        <v>148</v>
      </c>
      <c r="C210" s="153">
        <v>24.7</v>
      </c>
      <c r="D210" s="153">
        <v>25.3</v>
      </c>
      <c r="E210" s="153">
        <v>25.1</v>
      </c>
      <c r="F210" s="153">
        <v>23.8</v>
      </c>
      <c r="G210" s="153">
        <v>21.5</v>
      </c>
      <c r="H210" s="153">
        <v>19.8</v>
      </c>
      <c r="I210" s="153">
        <v>19.7</v>
      </c>
      <c r="J210" s="153">
        <v>21.9</v>
      </c>
      <c r="K210" s="153">
        <v>24.1</v>
      </c>
      <c r="L210" s="153">
        <v>25.3</v>
      </c>
      <c r="M210" s="153">
        <v>24.9</v>
      </c>
      <c r="N210" s="153">
        <v>24.4</v>
      </c>
      <c r="O210" s="153">
        <v>23.4</v>
      </c>
    </row>
    <row r="211" spans="1:15" x14ac:dyDescent="0.25">
      <c r="A211" s="152" t="s">
        <v>138</v>
      </c>
      <c r="B211" s="152" t="s">
        <v>131</v>
      </c>
      <c r="C211" s="153">
        <v>22.9</v>
      </c>
      <c r="D211" s="153">
        <v>23.2</v>
      </c>
      <c r="E211" s="153">
        <v>23.1</v>
      </c>
      <c r="F211" s="153">
        <v>22.9</v>
      </c>
      <c r="G211" s="153">
        <v>21.7</v>
      </c>
      <c r="H211" s="153">
        <v>20.2</v>
      </c>
      <c r="I211" s="153">
        <v>20.399999999999999</v>
      </c>
      <c r="J211" s="153">
        <v>22.4</v>
      </c>
      <c r="K211" s="153">
        <v>23.8</v>
      </c>
      <c r="L211" s="153">
        <v>24</v>
      </c>
      <c r="M211" s="153">
        <v>23.3</v>
      </c>
      <c r="N211" s="153">
        <v>22.9</v>
      </c>
      <c r="O211" s="153">
        <v>22.6</v>
      </c>
    </row>
    <row r="212" spans="1:15" x14ac:dyDescent="0.25">
      <c r="A212" s="152" t="s">
        <v>187</v>
      </c>
      <c r="B212" s="152" t="s">
        <v>148</v>
      </c>
      <c r="C212" s="153">
        <v>23.8</v>
      </c>
      <c r="D212" s="153">
        <v>24.1</v>
      </c>
      <c r="E212" s="153">
        <v>24</v>
      </c>
      <c r="F212" s="153">
        <v>22.8</v>
      </c>
      <c r="G212" s="153">
        <v>20.100000000000001</v>
      </c>
      <c r="H212" s="153">
        <v>18.899999999999999</v>
      </c>
      <c r="I212" s="153">
        <v>18.5</v>
      </c>
      <c r="J212" s="153">
        <v>20.7</v>
      </c>
      <c r="K212" s="153">
        <v>22</v>
      </c>
      <c r="L212" s="153">
        <v>23.3</v>
      </c>
      <c r="M212" s="153">
        <v>23.4</v>
      </c>
      <c r="N212" s="153">
        <v>23.1</v>
      </c>
      <c r="O212" s="153">
        <v>22.1</v>
      </c>
    </row>
    <row r="213" spans="1:15" x14ac:dyDescent="0.25">
      <c r="A213" s="152" t="s">
        <v>264</v>
      </c>
      <c r="B213" s="152" t="s">
        <v>251</v>
      </c>
      <c r="C213" s="153">
        <v>21.5</v>
      </c>
      <c r="D213" s="153">
        <v>21.5</v>
      </c>
      <c r="E213" s="153">
        <v>20.5</v>
      </c>
      <c r="F213" s="153">
        <v>17.5</v>
      </c>
      <c r="G213" s="153">
        <v>15</v>
      </c>
      <c r="H213" s="153">
        <v>13.7</v>
      </c>
      <c r="I213" s="153">
        <v>13.4</v>
      </c>
      <c r="J213" s="153">
        <v>15.1</v>
      </c>
      <c r="K213" s="153">
        <v>17</v>
      </c>
      <c r="L213" s="153">
        <v>17.899999999999999</v>
      </c>
      <c r="M213" s="153">
        <v>19.600000000000001</v>
      </c>
      <c r="N213" s="153">
        <v>20.5</v>
      </c>
      <c r="O213" s="153">
        <v>17.8</v>
      </c>
    </row>
    <row r="214" spans="1:15" x14ac:dyDescent="0.25">
      <c r="A214" s="152" t="s">
        <v>203</v>
      </c>
      <c r="B214" s="152" t="s">
        <v>198</v>
      </c>
      <c r="C214" s="153">
        <v>24</v>
      </c>
      <c r="D214" s="153">
        <v>23.8</v>
      </c>
      <c r="E214" s="153">
        <v>23</v>
      </c>
      <c r="F214" s="153">
        <v>20.7</v>
      </c>
      <c r="G214" s="153">
        <v>18.399999999999999</v>
      </c>
      <c r="H214" s="153">
        <v>16.5</v>
      </c>
      <c r="I214" s="153">
        <v>16.8</v>
      </c>
      <c r="J214" s="153">
        <v>18.100000000000001</v>
      </c>
      <c r="K214" s="153">
        <v>19.899999999999999</v>
      </c>
      <c r="L214" s="153">
        <v>21.6</v>
      </c>
      <c r="M214" s="153">
        <v>22.6</v>
      </c>
      <c r="N214" s="153">
        <v>23.4</v>
      </c>
      <c r="O214" s="153">
        <v>20.7</v>
      </c>
    </row>
    <row r="215" spans="1:15" x14ac:dyDescent="0.25">
      <c r="A215" s="152" t="s">
        <v>325</v>
      </c>
      <c r="B215" s="152" t="s">
        <v>308</v>
      </c>
      <c r="C215" s="153">
        <v>24.6</v>
      </c>
      <c r="D215" s="153">
        <v>24.6</v>
      </c>
      <c r="E215" s="153">
        <v>23.1</v>
      </c>
      <c r="F215" s="153">
        <v>19.899999999999999</v>
      </c>
      <c r="G215" s="153">
        <v>16.899999999999999</v>
      </c>
      <c r="H215" s="153">
        <v>14.3</v>
      </c>
      <c r="I215" s="153">
        <v>14.4</v>
      </c>
      <c r="J215" s="153">
        <v>15.2</v>
      </c>
      <c r="K215" s="153">
        <v>16.8</v>
      </c>
      <c r="L215" s="153">
        <v>19.100000000000001</v>
      </c>
      <c r="M215" s="153">
        <v>21.2</v>
      </c>
      <c r="N215" s="153">
        <v>23.3</v>
      </c>
      <c r="O215" s="153">
        <v>19.5</v>
      </c>
    </row>
    <row r="216" spans="1:15" x14ac:dyDescent="0.25">
      <c r="A216" s="152" t="s">
        <v>222</v>
      </c>
      <c r="B216" s="152" t="s">
        <v>211</v>
      </c>
      <c r="C216" s="153">
        <v>25.9</v>
      </c>
      <c r="D216" s="153">
        <v>25.6</v>
      </c>
      <c r="E216" s="153">
        <v>26</v>
      </c>
      <c r="F216" s="153">
        <v>26.1</v>
      </c>
      <c r="G216" s="153">
        <v>26.2</v>
      </c>
      <c r="H216" s="153">
        <v>26.2</v>
      </c>
      <c r="I216" s="153">
        <v>26.2</v>
      </c>
      <c r="J216" s="153">
        <v>26.7</v>
      </c>
      <c r="K216" s="153">
        <v>27</v>
      </c>
      <c r="L216" s="153">
        <v>27.3</v>
      </c>
      <c r="M216" s="153">
        <v>27.2</v>
      </c>
      <c r="N216" s="153">
        <v>26.7</v>
      </c>
      <c r="O216" s="153">
        <v>26.4</v>
      </c>
    </row>
    <row r="217" spans="1:15" x14ac:dyDescent="0.25">
      <c r="A217" s="152" t="s">
        <v>388</v>
      </c>
      <c r="B217" s="152" t="s">
        <v>384</v>
      </c>
      <c r="C217" s="153">
        <v>25.5</v>
      </c>
      <c r="D217" s="153">
        <v>25.4</v>
      </c>
      <c r="E217" s="153">
        <v>25.6</v>
      </c>
      <c r="F217" s="153">
        <v>26.1</v>
      </c>
      <c r="G217" s="153">
        <v>26.2</v>
      </c>
      <c r="H217" s="153">
        <v>25.3</v>
      </c>
      <c r="I217" s="153">
        <v>25.3</v>
      </c>
      <c r="J217" s="153">
        <v>26.9</v>
      </c>
      <c r="K217" s="153">
        <v>28</v>
      </c>
      <c r="L217" s="153">
        <v>26.9</v>
      </c>
      <c r="M217" s="153">
        <v>26.3</v>
      </c>
      <c r="N217" s="153">
        <v>25.7</v>
      </c>
      <c r="O217" s="153">
        <v>26.1</v>
      </c>
    </row>
    <row r="218" spans="1:15" x14ac:dyDescent="0.25">
      <c r="A218" s="152" t="s">
        <v>92</v>
      </c>
      <c r="B218" s="152" t="s">
        <v>89</v>
      </c>
      <c r="C218" s="153">
        <v>25.3</v>
      </c>
      <c r="D218" s="153">
        <v>24.9</v>
      </c>
      <c r="E218" s="153">
        <v>25</v>
      </c>
      <c r="F218" s="153">
        <v>25.4</v>
      </c>
      <c r="G218" s="153">
        <v>25.3</v>
      </c>
      <c r="H218" s="153">
        <v>25.3</v>
      </c>
      <c r="I218" s="153">
        <v>25.5</v>
      </c>
      <c r="J218" s="153">
        <v>26.1</v>
      </c>
      <c r="K218" s="153">
        <v>26.7</v>
      </c>
      <c r="L218" s="153">
        <v>26.9</v>
      </c>
      <c r="M218" s="153">
        <v>26.9</v>
      </c>
      <c r="N218" s="153">
        <v>26.2</v>
      </c>
      <c r="O218" s="153">
        <v>25.8</v>
      </c>
    </row>
    <row r="219" spans="1:15" x14ac:dyDescent="0.25">
      <c r="A219" s="152" t="s">
        <v>347</v>
      </c>
      <c r="B219" s="152" t="s">
        <v>338</v>
      </c>
      <c r="C219" s="153">
        <v>21.8</v>
      </c>
      <c r="D219" s="153">
        <v>21.8</v>
      </c>
      <c r="E219" s="153">
        <v>20.5</v>
      </c>
      <c r="F219" s="153">
        <v>17.100000000000001</v>
      </c>
      <c r="G219" s="153">
        <v>14.4</v>
      </c>
      <c r="H219" s="153">
        <v>12.3</v>
      </c>
      <c r="I219" s="153">
        <v>12.6</v>
      </c>
      <c r="J219" s="153">
        <v>13.6</v>
      </c>
      <c r="K219" s="153">
        <v>15.6</v>
      </c>
      <c r="L219" s="153">
        <v>17.7</v>
      </c>
      <c r="M219" s="153">
        <v>19.5</v>
      </c>
      <c r="N219" s="153">
        <v>21.1</v>
      </c>
      <c r="O219" s="153">
        <v>17.3</v>
      </c>
    </row>
    <row r="220" spans="1:15" x14ac:dyDescent="0.25">
      <c r="A220" s="152" t="s">
        <v>303</v>
      </c>
      <c r="B220" s="152" t="s">
        <v>304</v>
      </c>
      <c r="C220" s="153">
        <v>25.5</v>
      </c>
      <c r="D220" s="153">
        <v>25.5</v>
      </c>
      <c r="E220" s="153">
        <v>25.6</v>
      </c>
      <c r="F220" s="153">
        <v>25.7</v>
      </c>
      <c r="G220" s="153">
        <v>25.3</v>
      </c>
      <c r="H220" s="153">
        <v>24.7</v>
      </c>
      <c r="I220" s="153">
        <v>24.6</v>
      </c>
      <c r="J220" s="153">
        <v>25.9</v>
      </c>
      <c r="K220" s="153">
        <v>26.2</v>
      </c>
      <c r="L220" s="153">
        <v>26.1</v>
      </c>
      <c r="M220" s="153">
        <v>26</v>
      </c>
      <c r="N220" s="153">
        <v>25.5</v>
      </c>
      <c r="O220" s="153">
        <v>25.6</v>
      </c>
    </row>
    <row r="221" spans="1:15" x14ac:dyDescent="0.25">
      <c r="A221" s="152" t="s">
        <v>370</v>
      </c>
      <c r="B221" s="152" t="s">
        <v>357</v>
      </c>
      <c r="C221" s="153">
        <v>25.2</v>
      </c>
      <c r="D221" s="153">
        <v>25.3</v>
      </c>
      <c r="E221" s="153">
        <v>24.9</v>
      </c>
      <c r="F221" s="153">
        <v>23.1</v>
      </c>
      <c r="G221" s="153">
        <v>20.399999999999999</v>
      </c>
      <c r="H221" s="153">
        <v>19.100000000000001</v>
      </c>
      <c r="I221" s="153">
        <v>19.100000000000001</v>
      </c>
      <c r="J221" s="153">
        <v>20.8</v>
      </c>
      <c r="K221" s="153">
        <v>22</v>
      </c>
      <c r="L221" s="153">
        <v>23.3</v>
      </c>
      <c r="M221" s="153">
        <v>24.2</v>
      </c>
      <c r="N221" s="153">
        <v>24.7</v>
      </c>
      <c r="O221" s="153">
        <v>22.7</v>
      </c>
    </row>
    <row r="222" spans="1:15" x14ac:dyDescent="0.25">
      <c r="A222" s="152" t="s">
        <v>355</v>
      </c>
      <c r="B222" s="152" t="s">
        <v>353</v>
      </c>
      <c r="C222" s="153">
        <v>27.1</v>
      </c>
      <c r="D222" s="153">
        <v>27.1</v>
      </c>
      <c r="E222" s="153">
        <v>26.9</v>
      </c>
      <c r="F222" s="153">
        <v>26.2</v>
      </c>
      <c r="G222" s="153">
        <v>25</v>
      </c>
      <c r="H222" s="153">
        <v>23.8</v>
      </c>
      <c r="I222" s="153">
        <v>22.9</v>
      </c>
      <c r="J222" s="153">
        <v>22.9</v>
      </c>
      <c r="K222" s="153">
        <v>23.8</v>
      </c>
      <c r="L222" s="153">
        <v>25.3</v>
      </c>
      <c r="M222" s="153">
        <v>26.5</v>
      </c>
      <c r="N222" s="153">
        <v>26.9</v>
      </c>
      <c r="O222" s="153">
        <v>25.4</v>
      </c>
    </row>
    <row r="223" spans="1:15" x14ac:dyDescent="0.25">
      <c r="A223" s="152" t="s">
        <v>121</v>
      </c>
      <c r="B223" s="152" t="s">
        <v>113</v>
      </c>
      <c r="C223" s="153">
        <v>27.6</v>
      </c>
      <c r="D223" s="153">
        <v>27</v>
      </c>
      <c r="E223" s="153">
        <v>25.9</v>
      </c>
      <c r="F223" s="153">
        <v>25.5</v>
      </c>
      <c r="G223" s="153">
        <v>25.3</v>
      </c>
      <c r="H223" s="153">
        <v>25.1</v>
      </c>
      <c r="I223" s="153">
        <v>24.9</v>
      </c>
      <c r="J223" s="153">
        <v>26.3</v>
      </c>
      <c r="K223" s="153">
        <v>27.3</v>
      </c>
      <c r="L223" s="153">
        <v>27.7</v>
      </c>
      <c r="M223" s="153">
        <v>27.7</v>
      </c>
      <c r="N223" s="153">
        <v>27.9</v>
      </c>
      <c r="O223" s="153">
        <v>26.5</v>
      </c>
    </row>
    <row r="224" spans="1:15" x14ac:dyDescent="0.25">
      <c r="A224" s="152" t="s">
        <v>242</v>
      </c>
      <c r="B224" s="152" t="s">
        <v>235</v>
      </c>
      <c r="C224" s="153">
        <v>26.5</v>
      </c>
      <c r="D224" s="153">
        <v>26.5</v>
      </c>
      <c r="E224" s="153">
        <v>26.4</v>
      </c>
      <c r="F224" s="153">
        <v>25.9</v>
      </c>
      <c r="G224" s="153">
        <v>25.2</v>
      </c>
      <c r="H224" s="153">
        <v>24.5</v>
      </c>
      <c r="I224" s="153">
        <v>23.9</v>
      </c>
      <c r="J224" s="153">
        <v>23.9</v>
      </c>
      <c r="K224" s="153">
        <v>24.6</v>
      </c>
      <c r="L224" s="153">
        <v>25.5</v>
      </c>
      <c r="M224" s="153">
        <v>26.1</v>
      </c>
      <c r="N224" s="153">
        <v>26.4</v>
      </c>
      <c r="O224" s="153">
        <v>25.5</v>
      </c>
    </row>
    <row r="225" spans="1:15" x14ac:dyDescent="0.25">
      <c r="A225" s="152" t="s">
        <v>108</v>
      </c>
      <c r="B225" s="152" t="s">
        <v>94</v>
      </c>
      <c r="C225" s="153">
        <v>26.6</v>
      </c>
      <c r="D225" s="153">
        <v>26.6</v>
      </c>
      <c r="E225" s="153">
        <v>26.4</v>
      </c>
      <c r="F225" s="153">
        <v>26.6</v>
      </c>
      <c r="G225" s="153">
        <v>26</v>
      </c>
      <c r="H225" s="153">
        <v>25.2</v>
      </c>
      <c r="I225" s="153">
        <v>24.9</v>
      </c>
      <c r="J225" s="153">
        <v>25.6</v>
      </c>
      <c r="K225" s="153">
        <v>27.2</v>
      </c>
      <c r="L225" s="153">
        <v>28.3</v>
      </c>
      <c r="M225" s="153">
        <v>27.6</v>
      </c>
      <c r="N225" s="153">
        <v>26.7</v>
      </c>
      <c r="O225" s="153">
        <v>26.5</v>
      </c>
    </row>
    <row r="226" spans="1:15" x14ac:dyDescent="0.25">
      <c r="A226" s="152" t="s">
        <v>287</v>
      </c>
      <c r="B226" s="152" t="s">
        <v>269</v>
      </c>
      <c r="C226" s="153">
        <v>23.8</v>
      </c>
      <c r="D226" s="153">
        <v>24.2</v>
      </c>
      <c r="E226" s="153">
        <v>23.6</v>
      </c>
      <c r="F226" s="153">
        <v>21.5</v>
      </c>
      <c r="G226" s="153">
        <v>19.2</v>
      </c>
      <c r="H226" s="153">
        <v>17.7</v>
      </c>
      <c r="I226" s="153">
        <v>17.399999999999999</v>
      </c>
      <c r="J226" s="153">
        <v>18.899999999999999</v>
      </c>
      <c r="K226" s="153">
        <v>20.399999999999999</v>
      </c>
      <c r="L226" s="153">
        <v>21.4</v>
      </c>
      <c r="M226" s="153">
        <v>22.4</v>
      </c>
      <c r="N226" s="153">
        <v>23.1</v>
      </c>
      <c r="O226" s="153">
        <v>21.1</v>
      </c>
    </row>
    <row r="227" spans="1:15" x14ac:dyDescent="0.25">
      <c r="A227" s="152" t="s">
        <v>65</v>
      </c>
      <c r="B227" s="152" t="s">
        <v>64</v>
      </c>
      <c r="C227" s="153">
        <v>25.3</v>
      </c>
      <c r="D227" s="153">
        <v>25.2</v>
      </c>
      <c r="E227" s="153">
        <v>25.4</v>
      </c>
      <c r="F227" s="153">
        <v>25.2</v>
      </c>
      <c r="G227" s="153">
        <v>24.4</v>
      </c>
      <c r="H227" s="153">
        <v>23.3</v>
      </c>
      <c r="I227" s="153">
        <v>23.2</v>
      </c>
      <c r="J227" s="153">
        <v>24.2</v>
      </c>
      <c r="K227" s="153">
        <v>25.2</v>
      </c>
      <c r="L227" s="153">
        <v>25.7</v>
      </c>
      <c r="M227" s="153">
        <v>25.6</v>
      </c>
      <c r="N227" s="153">
        <v>25.4</v>
      </c>
      <c r="O227" s="153">
        <v>24.8</v>
      </c>
    </row>
    <row r="228" spans="1:15" x14ac:dyDescent="0.25">
      <c r="A228" s="152" t="s">
        <v>288</v>
      </c>
      <c r="B228" s="152" t="s">
        <v>269</v>
      </c>
      <c r="C228" s="153">
        <v>26.3</v>
      </c>
      <c r="D228" s="153">
        <v>26.6</v>
      </c>
      <c r="E228" s="153">
        <v>26</v>
      </c>
      <c r="F228" s="153">
        <v>24.4</v>
      </c>
      <c r="G228" s="153">
        <v>22.8</v>
      </c>
      <c r="H228" s="153">
        <v>21.8</v>
      </c>
      <c r="I228" s="153">
        <v>21.3</v>
      </c>
      <c r="J228" s="153">
        <v>21.8</v>
      </c>
      <c r="K228" s="153">
        <v>22.2</v>
      </c>
      <c r="L228" s="153">
        <v>22.9</v>
      </c>
      <c r="M228" s="153">
        <v>24</v>
      </c>
      <c r="N228" s="153">
        <v>25.3</v>
      </c>
      <c r="O228" s="153">
        <v>23.8</v>
      </c>
    </row>
    <row r="229" spans="1:15" x14ac:dyDescent="0.25">
      <c r="A229" s="152" t="s">
        <v>326</v>
      </c>
      <c r="B229" s="152" t="s">
        <v>308</v>
      </c>
      <c r="C229" s="153">
        <v>23.3</v>
      </c>
      <c r="D229" s="153">
        <v>23.5</v>
      </c>
      <c r="E229" s="153">
        <v>22.2</v>
      </c>
      <c r="F229" s="153">
        <v>19.3</v>
      </c>
      <c r="G229" s="153">
        <v>16.399999999999999</v>
      </c>
      <c r="H229" s="153">
        <v>13.3</v>
      </c>
      <c r="I229" s="153">
        <v>13</v>
      </c>
      <c r="J229" s="153">
        <v>13.8</v>
      </c>
      <c r="K229" s="153">
        <v>15.3</v>
      </c>
      <c r="L229" s="153">
        <v>17.5</v>
      </c>
      <c r="M229" s="153">
        <v>19.5</v>
      </c>
      <c r="N229" s="153">
        <v>21.8</v>
      </c>
      <c r="O229" s="153">
        <v>18.2</v>
      </c>
    </row>
    <row r="230" spans="1:15" x14ac:dyDescent="0.25">
      <c r="A230" s="152" t="s">
        <v>83</v>
      </c>
      <c r="B230" s="152" t="s">
        <v>71</v>
      </c>
      <c r="C230" s="153">
        <v>25.8</v>
      </c>
      <c r="D230" s="153">
        <v>26</v>
      </c>
      <c r="E230" s="153">
        <v>25.9</v>
      </c>
      <c r="F230" s="153">
        <v>25.7</v>
      </c>
      <c r="G230" s="153">
        <v>25.4</v>
      </c>
      <c r="H230" s="153">
        <v>25.1</v>
      </c>
      <c r="I230" s="153">
        <v>24.9</v>
      </c>
      <c r="J230" s="153">
        <v>25.4</v>
      </c>
      <c r="K230" s="153">
        <v>25.8</v>
      </c>
      <c r="L230" s="153">
        <v>26.1</v>
      </c>
      <c r="M230" s="153">
        <v>26.1</v>
      </c>
      <c r="N230" s="153">
        <v>26</v>
      </c>
      <c r="O230" s="153">
        <v>25.7</v>
      </c>
    </row>
    <row r="231" spans="1:15" x14ac:dyDescent="0.25">
      <c r="A231" s="152" t="s">
        <v>265</v>
      </c>
      <c r="B231" s="152" t="s">
        <v>251</v>
      </c>
      <c r="C231" s="153">
        <v>20.399999999999999</v>
      </c>
      <c r="D231" s="153">
        <v>20.7</v>
      </c>
      <c r="E231" s="153">
        <v>19.5</v>
      </c>
      <c r="F231" s="153">
        <v>16.7</v>
      </c>
      <c r="G231" s="153">
        <v>13.9</v>
      </c>
      <c r="H231" s="153">
        <v>12.6</v>
      </c>
      <c r="I231" s="153">
        <v>12.4</v>
      </c>
      <c r="J231" s="153">
        <v>13.5</v>
      </c>
      <c r="K231" s="153">
        <v>15.1</v>
      </c>
      <c r="L231" s="153">
        <v>16.600000000000001</v>
      </c>
      <c r="M231" s="153">
        <v>18.399999999999999</v>
      </c>
      <c r="N231" s="153">
        <v>19.7</v>
      </c>
      <c r="O231" s="153">
        <v>16.600000000000001</v>
      </c>
    </row>
    <row r="232" spans="1:15" x14ac:dyDescent="0.25">
      <c r="A232" s="152" t="s">
        <v>139</v>
      </c>
      <c r="B232" s="152" t="s">
        <v>131</v>
      </c>
      <c r="C232" s="153">
        <v>23.3</v>
      </c>
      <c r="D232" s="153">
        <v>23.6</v>
      </c>
      <c r="E232" s="153">
        <v>23.4</v>
      </c>
      <c r="F232" s="153">
        <v>22.5</v>
      </c>
      <c r="G232" s="153">
        <v>21.3</v>
      </c>
      <c r="H232" s="153">
        <v>20.3</v>
      </c>
      <c r="I232" s="153">
        <v>20.399999999999999</v>
      </c>
      <c r="J232" s="153">
        <v>22.4</v>
      </c>
      <c r="K232" s="153">
        <v>23.1</v>
      </c>
      <c r="L232" s="153">
        <v>24.1</v>
      </c>
      <c r="M232" s="153">
        <v>23.2</v>
      </c>
      <c r="N232" s="153">
        <v>23.1</v>
      </c>
      <c r="O232" s="153">
        <v>22.6</v>
      </c>
    </row>
    <row r="233" spans="1:15" x14ac:dyDescent="0.25">
      <c r="A233" s="152" t="s">
        <v>84</v>
      </c>
      <c r="B233" s="152" t="s">
        <v>71</v>
      </c>
      <c r="C233" s="153">
        <v>25.9</v>
      </c>
      <c r="D233" s="153">
        <v>26.1</v>
      </c>
      <c r="E233" s="153">
        <v>26</v>
      </c>
      <c r="F233" s="153">
        <v>25.8</v>
      </c>
      <c r="G233" s="153">
        <v>25.4</v>
      </c>
      <c r="H233" s="153">
        <v>24.9</v>
      </c>
      <c r="I233" s="153">
        <v>24.7</v>
      </c>
      <c r="J233" s="153">
        <v>25.2</v>
      </c>
      <c r="K233" s="153">
        <v>25.7</v>
      </c>
      <c r="L233" s="153">
        <v>26</v>
      </c>
      <c r="M233" s="153">
        <v>26</v>
      </c>
      <c r="N233" s="153">
        <v>25.9</v>
      </c>
      <c r="O233" s="153">
        <v>25.6</v>
      </c>
    </row>
    <row r="234" spans="1:15" x14ac:dyDescent="0.25">
      <c r="A234" s="152" t="s">
        <v>188</v>
      </c>
      <c r="B234" s="152" t="s">
        <v>148</v>
      </c>
      <c r="C234" s="153">
        <v>24.8</v>
      </c>
      <c r="D234" s="153">
        <v>24.9</v>
      </c>
      <c r="E234" s="153">
        <v>25</v>
      </c>
      <c r="F234" s="153">
        <v>23.2</v>
      </c>
      <c r="G234" s="153">
        <v>21.4</v>
      </c>
      <c r="H234" s="153">
        <v>19.899999999999999</v>
      </c>
      <c r="I234" s="153">
        <v>19.7</v>
      </c>
      <c r="J234" s="153">
        <v>21.5</v>
      </c>
      <c r="K234" s="153">
        <v>23.4</v>
      </c>
      <c r="L234" s="153">
        <v>24.4</v>
      </c>
      <c r="M234" s="153">
        <v>24.4</v>
      </c>
      <c r="N234" s="153">
        <v>24.2</v>
      </c>
      <c r="O234" s="153">
        <v>23.1</v>
      </c>
    </row>
    <row r="235" spans="1:15" x14ac:dyDescent="0.25">
      <c r="A235" s="152" t="s">
        <v>109</v>
      </c>
      <c r="B235" s="152" t="s">
        <v>94</v>
      </c>
      <c r="C235" s="153">
        <v>26.4</v>
      </c>
      <c r="D235" s="153">
        <v>26.5</v>
      </c>
      <c r="E235" s="153">
        <v>26.6</v>
      </c>
      <c r="F235" s="153">
        <v>26.2</v>
      </c>
      <c r="G235" s="153">
        <v>25.2</v>
      </c>
      <c r="H235" s="153">
        <v>24.3</v>
      </c>
      <c r="I235" s="153">
        <v>23.7</v>
      </c>
      <c r="J235" s="153">
        <v>23.6</v>
      </c>
      <c r="K235" s="153">
        <v>24.3</v>
      </c>
      <c r="L235" s="153">
        <v>25.1</v>
      </c>
      <c r="M235" s="153">
        <v>25.5</v>
      </c>
      <c r="N235" s="153">
        <v>25.9</v>
      </c>
      <c r="O235" s="153">
        <v>25.3</v>
      </c>
    </row>
    <row r="236" spans="1:15" x14ac:dyDescent="0.25">
      <c r="A236" s="152" t="s">
        <v>209</v>
      </c>
      <c r="B236" s="152" t="s">
        <v>205</v>
      </c>
      <c r="C236" s="153">
        <v>23.6</v>
      </c>
      <c r="D236" s="153">
        <v>23.5</v>
      </c>
      <c r="E236" s="153">
        <v>23.5</v>
      </c>
      <c r="F236" s="153">
        <v>23</v>
      </c>
      <c r="G236" s="153">
        <v>21</v>
      </c>
      <c r="H236" s="153">
        <v>19</v>
      </c>
      <c r="I236" s="153">
        <v>18.5</v>
      </c>
      <c r="J236" s="153">
        <v>21</v>
      </c>
      <c r="K236" s="153">
        <v>23.7</v>
      </c>
      <c r="L236" s="153">
        <v>24</v>
      </c>
      <c r="M236" s="153">
        <v>23.9</v>
      </c>
      <c r="N236" s="153">
        <v>23.7</v>
      </c>
      <c r="O236" s="153">
        <v>22.4</v>
      </c>
    </row>
    <row r="237" spans="1:15" x14ac:dyDescent="0.25">
      <c r="A237" s="152" t="s">
        <v>85</v>
      </c>
      <c r="B237" s="152" t="s">
        <v>71</v>
      </c>
      <c r="C237" s="153">
        <v>25.6</v>
      </c>
      <c r="D237" s="153">
        <v>25.9</v>
      </c>
      <c r="E237" s="153">
        <v>25.7</v>
      </c>
      <c r="F237" s="153">
        <v>25.6</v>
      </c>
      <c r="G237" s="153">
        <v>25.3</v>
      </c>
      <c r="H237" s="153">
        <v>25</v>
      </c>
      <c r="I237" s="153">
        <v>24.9</v>
      </c>
      <c r="J237" s="153">
        <v>25.2</v>
      </c>
      <c r="K237" s="153">
        <v>25.6</v>
      </c>
      <c r="L237" s="153">
        <v>26.1</v>
      </c>
      <c r="M237" s="153">
        <v>26.2</v>
      </c>
      <c r="N237" s="153">
        <v>25.9</v>
      </c>
      <c r="O237" s="153">
        <v>25.6</v>
      </c>
    </row>
    <row r="238" spans="1:15" x14ac:dyDescent="0.25">
      <c r="A238" s="152" t="s">
        <v>327</v>
      </c>
      <c r="B238" s="152" t="s">
        <v>308</v>
      </c>
      <c r="C238" s="153">
        <v>24.2</v>
      </c>
      <c r="D238" s="153">
        <v>23.9</v>
      </c>
      <c r="E238" s="153">
        <v>21.9</v>
      </c>
      <c r="F238" s="153">
        <v>18.399999999999999</v>
      </c>
      <c r="G238" s="153">
        <v>15.9</v>
      </c>
      <c r="H238" s="153">
        <v>13.9</v>
      </c>
      <c r="I238" s="153">
        <v>14.1</v>
      </c>
      <c r="J238" s="153">
        <v>14.2</v>
      </c>
      <c r="K238" s="153">
        <v>16.5</v>
      </c>
      <c r="L238" s="153">
        <v>18.600000000000001</v>
      </c>
      <c r="M238" s="153">
        <v>21</v>
      </c>
      <c r="N238" s="153">
        <v>23.3</v>
      </c>
      <c r="O238" s="153">
        <v>18.8</v>
      </c>
    </row>
    <row r="239" spans="1:15" x14ac:dyDescent="0.25">
      <c r="A239" s="152" t="s">
        <v>289</v>
      </c>
      <c r="B239" s="152" t="s">
        <v>269</v>
      </c>
      <c r="C239" s="153">
        <v>22.8</v>
      </c>
      <c r="D239" s="153">
        <v>23</v>
      </c>
      <c r="E239" s="153">
        <v>22.5</v>
      </c>
      <c r="F239" s="153">
        <v>20.7</v>
      </c>
      <c r="G239" s="153">
        <v>18.7</v>
      </c>
      <c r="H239" s="153">
        <v>17.7</v>
      </c>
      <c r="I239" s="153">
        <v>16.899999999999999</v>
      </c>
      <c r="J239" s="153">
        <v>18</v>
      </c>
      <c r="K239" s="153">
        <v>18.8</v>
      </c>
      <c r="L239" s="153">
        <v>19.899999999999999</v>
      </c>
      <c r="M239" s="153">
        <v>20.8</v>
      </c>
      <c r="N239" s="153">
        <v>22</v>
      </c>
      <c r="O239" s="153">
        <v>20.100000000000001</v>
      </c>
    </row>
    <row r="240" spans="1:15" x14ac:dyDescent="0.25">
      <c r="A240" s="152" t="s">
        <v>371</v>
      </c>
      <c r="B240" s="152" t="s">
        <v>357</v>
      </c>
      <c r="C240" s="153">
        <v>22.7</v>
      </c>
      <c r="D240" s="153">
        <v>22.7</v>
      </c>
      <c r="E240" s="153">
        <v>22.4</v>
      </c>
      <c r="F240" s="153">
        <v>20.6</v>
      </c>
      <c r="G240" s="153">
        <v>18.2</v>
      </c>
      <c r="H240" s="153">
        <v>17.7</v>
      </c>
      <c r="I240" s="153">
        <v>17.5</v>
      </c>
      <c r="J240" s="153">
        <v>19.600000000000001</v>
      </c>
      <c r="K240" s="153">
        <v>21.1</v>
      </c>
      <c r="L240" s="153">
        <v>21.1</v>
      </c>
      <c r="M240" s="153">
        <v>21.8</v>
      </c>
      <c r="N240" s="153">
        <v>22.2</v>
      </c>
      <c r="O240" s="153">
        <v>20.6</v>
      </c>
    </row>
    <row r="241" spans="1:15" x14ac:dyDescent="0.25">
      <c r="A241" s="152" t="s">
        <v>110</v>
      </c>
      <c r="B241" s="152" t="s">
        <v>94</v>
      </c>
      <c r="C241" s="153">
        <v>24.6</v>
      </c>
      <c r="D241" s="153">
        <v>24.6</v>
      </c>
      <c r="E241" s="153">
        <v>24.3</v>
      </c>
      <c r="F241" s="153">
        <v>24.3</v>
      </c>
      <c r="G241" s="153">
        <v>23.5</v>
      </c>
      <c r="H241" s="153">
        <v>22.1</v>
      </c>
      <c r="I241" s="153">
        <v>21.7</v>
      </c>
      <c r="J241" s="153">
        <v>22.9</v>
      </c>
      <c r="K241" s="153">
        <v>25.2</v>
      </c>
      <c r="L241" s="153">
        <v>26.4</v>
      </c>
      <c r="M241" s="153">
        <v>25.4</v>
      </c>
      <c r="N241" s="153">
        <v>24.6</v>
      </c>
      <c r="O241" s="153">
        <v>24.1</v>
      </c>
    </row>
    <row r="242" spans="1:15" x14ac:dyDescent="0.25">
      <c r="A242" s="152" t="s">
        <v>290</v>
      </c>
      <c r="B242" s="152" t="s">
        <v>269</v>
      </c>
      <c r="C242" s="153">
        <v>25.5</v>
      </c>
      <c r="D242" s="153">
        <v>25.5</v>
      </c>
      <c r="E242" s="153">
        <v>24.9</v>
      </c>
      <c r="F242" s="153">
        <v>23</v>
      </c>
      <c r="G242" s="153">
        <v>21.2</v>
      </c>
      <c r="H242" s="153">
        <v>20.3</v>
      </c>
      <c r="I242" s="153">
        <v>19.600000000000001</v>
      </c>
      <c r="J242" s="153">
        <v>20.399999999999999</v>
      </c>
      <c r="K242" s="153">
        <v>21.4</v>
      </c>
      <c r="L242" s="153">
        <v>21.7</v>
      </c>
      <c r="M242" s="153">
        <v>22.8</v>
      </c>
      <c r="N242" s="153">
        <v>24.2</v>
      </c>
      <c r="O242" s="153">
        <v>22.5</v>
      </c>
    </row>
    <row r="243" spans="1:15" x14ac:dyDescent="0.25">
      <c r="A243" s="152" t="s">
        <v>328</v>
      </c>
      <c r="B243" s="152" t="s">
        <v>308</v>
      </c>
      <c r="C243" s="153">
        <v>22.2</v>
      </c>
      <c r="D243" s="153">
        <v>22</v>
      </c>
      <c r="E243" s="153">
        <v>20.3</v>
      </c>
      <c r="F243" s="153">
        <v>17.2</v>
      </c>
      <c r="G243" s="153">
        <v>14.3</v>
      </c>
      <c r="H243" s="153">
        <v>11.7</v>
      </c>
      <c r="I243" s="153">
        <v>11.5</v>
      </c>
      <c r="J243" s="153">
        <v>11.9</v>
      </c>
      <c r="K243" s="153">
        <v>13.7</v>
      </c>
      <c r="L243" s="153">
        <v>15.8</v>
      </c>
      <c r="M243" s="153">
        <v>18</v>
      </c>
      <c r="N243" s="153">
        <v>20.5</v>
      </c>
      <c r="O243" s="153">
        <v>16.600000000000001</v>
      </c>
    </row>
    <row r="244" spans="1:15" x14ac:dyDescent="0.25">
      <c r="A244" s="152" t="s">
        <v>329</v>
      </c>
      <c r="B244" s="152" t="s">
        <v>308</v>
      </c>
      <c r="C244" s="153">
        <v>23.8</v>
      </c>
      <c r="D244" s="153">
        <v>23</v>
      </c>
      <c r="E244" s="153">
        <v>20.9</v>
      </c>
      <c r="F244" s="153">
        <v>17.3</v>
      </c>
      <c r="G244" s="153">
        <v>15</v>
      </c>
      <c r="H244" s="153">
        <v>12.4</v>
      </c>
      <c r="I244" s="153">
        <v>12.5</v>
      </c>
      <c r="J244" s="153">
        <v>13.5</v>
      </c>
      <c r="K244" s="153">
        <v>15</v>
      </c>
      <c r="L244" s="153">
        <v>17.600000000000001</v>
      </c>
      <c r="M244" s="153">
        <v>20</v>
      </c>
      <c r="N244" s="153">
        <v>22.4</v>
      </c>
      <c r="O244" s="153">
        <v>17.8</v>
      </c>
    </row>
    <row r="245" spans="1:15" x14ac:dyDescent="0.25">
      <c r="A245" s="152" t="s">
        <v>223</v>
      </c>
      <c r="B245" s="152" t="s">
        <v>211</v>
      </c>
      <c r="C245" s="153">
        <v>25.8</v>
      </c>
      <c r="D245" s="153">
        <v>25.5</v>
      </c>
      <c r="E245" s="153">
        <v>25.5</v>
      </c>
      <c r="F245" s="153">
        <v>25.6</v>
      </c>
      <c r="G245" s="153">
        <v>25.7</v>
      </c>
      <c r="H245" s="153">
        <v>25.5</v>
      </c>
      <c r="I245" s="153">
        <v>25.4</v>
      </c>
      <c r="J245" s="153">
        <v>26.1</v>
      </c>
      <c r="K245" s="153">
        <v>26.6</v>
      </c>
      <c r="L245" s="153">
        <v>26.9</v>
      </c>
      <c r="M245" s="153">
        <v>26.9</v>
      </c>
      <c r="N245" s="153">
        <v>26.2</v>
      </c>
      <c r="O245" s="153">
        <v>26</v>
      </c>
    </row>
    <row r="246" spans="1:15" x14ac:dyDescent="0.25">
      <c r="A246" s="152" t="s">
        <v>330</v>
      </c>
      <c r="B246" s="152" t="s">
        <v>308</v>
      </c>
      <c r="C246" s="153">
        <v>24.9</v>
      </c>
      <c r="D246" s="153">
        <v>24.4</v>
      </c>
      <c r="E246" s="153">
        <v>22.6</v>
      </c>
      <c r="F246" s="153">
        <v>19.399999999999999</v>
      </c>
      <c r="G246" s="153">
        <v>16.5</v>
      </c>
      <c r="H246" s="153">
        <v>14.2</v>
      </c>
      <c r="I246" s="153">
        <v>14.6</v>
      </c>
      <c r="J246" s="153">
        <v>16.2</v>
      </c>
      <c r="K246" s="153">
        <v>17.399999999999999</v>
      </c>
      <c r="L246" s="153">
        <v>19.899999999999999</v>
      </c>
      <c r="M246" s="153">
        <v>22.5</v>
      </c>
      <c r="N246" s="153">
        <v>24.2</v>
      </c>
      <c r="O246" s="153">
        <v>19.7</v>
      </c>
    </row>
    <row r="247" spans="1:15" x14ac:dyDescent="0.25">
      <c r="A247" s="152" t="s">
        <v>291</v>
      </c>
      <c r="B247" s="152" t="s">
        <v>269</v>
      </c>
      <c r="C247" s="153">
        <v>26.8</v>
      </c>
      <c r="D247" s="153">
        <v>26.9</v>
      </c>
      <c r="E247" s="153">
        <v>26.3</v>
      </c>
      <c r="F247" s="153">
        <v>24.1</v>
      </c>
      <c r="G247" s="153">
        <v>21.5</v>
      </c>
      <c r="H247" s="153">
        <v>19.899999999999999</v>
      </c>
      <c r="I247" s="153">
        <v>19.600000000000001</v>
      </c>
      <c r="J247" s="153">
        <v>21.1</v>
      </c>
      <c r="K247" s="153">
        <v>23</v>
      </c>
      <c r="L247" s="153">
        <v>23.8</v>
      </c>
      <c r="M247" s="153">
        <v>25.2</v>
      </c>
      <c r="N247" s="153">
        <v>25.8</v>
      </c>
      <c r="O247" s="153">
        <v>23.7</v>
      </c>
    </row>
    <row r="248" spans="1:15" x14ac:dyDescent="0.25">
      <c r="A248" s="152" t="s">
        <v>372</v>
      </c>
      <c r="B248" s="152" t="s">
        <v>357</v>
      </c>
      <c r="C248" s="153">
        <v>25.5</v>
      </c>
      <c r="D248" s="153">
        <v>25.7</v>
      </c>
      <c r="E248" s="153">
        <v>25.1</v>
      </c>
      <c r="F248" s="153">
        <v>23.3</v>
      </c>
      <c r="G248" s="153">
        <v>21.2</v>
      </c>
      <c r="H248" s="153">
        <v>19.600000000000001</v>
      </c>
      <c r="I248" s="153">
        <v>18.8</v>
      </c>
      <c r="J248" s="153">
        <v>19.399999999999999</v>
      </c>
      <c r="K248" s="153">
        <v>20</v>
      </c>
      <c r="L248" s="153">
        <v>21.4</v>
      </c>
      <c r="M248" s="153">
        <v>23</v>
      </c>
      <c r="N248" s="153">
        <v>24.4</v>
      </c>
      <c r="O248" s="153">
        <v>22.3</v>
      </c>
    </row>
    <row r="249" spans="1:15" x14ac:dyDescent="0.25">
      <c r="A249" s="152" t="s">
        <v>292</v>
      </c>
      <c r="B249" s="152" t="s">
        <v>269</v>
      </c>
      <c r="C249" s="153">
        <v>26.2</v>
      </c>
      <c r="D249" s="153">
        <v>26.4</v>
      </c>
      <c r="E249" s="153">
        <v>25.7</v>
      </c>
      <c r="F249" s="153">
        <v>23.4</v>
      </c>
      <c r="G249" s="153">
        <v>21.2</v>
      </c>
      <c r="H249" s="153">
        <v>20</v>
      </c>
      <c r="I249" s="153">
        <v>19.5</v>
      </c>
      <c r="J249" s="153">
        <v>20.7</v>
      </c>
      <c r="K249" s="153">
        <v>21.8</v>
      </c>
      <c r="L249" s="153">
        <v>22.9</v>
      </c>
      <c r="M249" s="153">
        <v>23.9</v>
      </c>
      <c r="N249" s="153">
        <v>25.3</v>
      </c>
      <c r="O249" s="153">
        <v>23.1</v>
      </c>
    </row>
    <row r="250" spans="1:15" x14ac:dyDescent="0.25">
      <c r="A250" s="152" t="s">
        <v>373</v>
      </c>
      <c r="B250" s="152" t="s">
        <v>357</v>
      </c>
      <c r="C250" s="153">
        <v>22.4</v>
      </c>
      <c r="D250" s="153">
        <v>22.7</v>
      </c>
      <c r="E250" s="153">
        <v>22.4</v>
      </c>
      <c r="F250" s="153">
        <v>20.8</v>
      </c>
      <c r="G250" s="153">
        <v>18.5</v>
      </c>
      <c r="H250" s="153">
        <v>17.3</v>
      </c>
      <c r="I250" s="153">
        <v>17.3</v>
      </c>
      <c r="J250" s="153">
        <v>19.100000000000001</v>
      </c>
      <c r="K250" s="153">
        <v>20.2</v>
      </c>
      <c r="L250" s="153">
        <v>21.2</v>
      </c>
      <c r="M250" s="153">
        <v>21.7</v>
      </c>
      <c r="N250" s="153">
        <v>21.9</v>
      </c>
      <c r="O250" s="153">
        <v>20.5</v>
      </c>
    </row>
    <row r="251" spans="1:15" x14ac:dyDescent="0.25">
      <c r="A251" s="152" t="s">
        <v>224</v>
      </c>
      <c r="B251" s="152" t="s">
        <v>211</v>
      </c>
      <c r="C251" s="153">
        <v>24.7</v>
      </c>
      <c r="D251" s="153">
        <v>24.6</v>
      </c>
      <c r="E251" s="153">
        <v>24.8</v>
      </c>
      <c r="F251" s="153">
        <v>25</v>
      </c>
      <c r="G251" s="153">
        <v>25.2</v>
      </c>
      <c r="H251" s="153">
        <v>24.7</v>
      </c>
      <c r="I251" s="153">
        <v>24.6</v>
      </c>
      <c r="J251" s="153">
        <v>25.2</v>
      </c>
      <c r="K251" s="153">
        <v>25.4</v>
      </c>
      <c r="L251" s="153">
        <v>25.3</v>
      </c>
      <c r="M251" s="153">
        <v>25.3</v>
      </c>
      <c r="N251" s="153">
        <v>24.8</v>
      </c>
      <c r="O251" s="153">
        <v>25</v>
      </c>
    </row>
    <row r="252" spans="1:15" x14ac:dyDescent="0.25">
      <c r="A252" s="152" t="s">
        <v>189</v>
      </c>
      <c r="B252" s="152" t="s">
        <v>148</v>
      </c>
      <c r="C252" s="153">
        <v>25</v>
      </c>
      <c r="D252" s="153">
        <v>25.2</v>
      </c>
      <c r="E252" s="153">
        <v>25.2</v>
      </c>
      <c r="F252" s="153">
        <v>24.3</v>
      </c>
      <c r="G252" s="153">
        <v>22.6</v>
      </c>
      <c r="H252" s="153">
        <v>21.7</v>
      </c>
      <c r="I252" s="153">
        <v>21.5</v>
      </c>
      <c r="J252" s="153">
        <v>23.2</v>
      </c>
      <c r="K252" s="153">
        <v>25.5</v>
      </c>
      <c r="L252" s="153">
        <v>26</v>
      </c>
      <c r="M252" s="153">
        <v>25.3</v>
      </c>
      <c r="N252" s="153">
        <v>24.7</v>
      </c>
      <c r="O252" s="153">
        <v>24.2</v>
      </c>
    </row>
    <row r="253" spans="1:15" x14ac:dyDescent="0.25">
      <c r="A253" s="152" t="s">
        <v>111</v>
      </c>
      <c r="B253" s="152" t="s">
        <v>94</v>
      </c>
      <c r="C253" s="153">
        <v>26</v>
      </c>
      <c r="D253" s="153">
        <v>26</v>
      </c>
      <c r="E253" s="153">
        <v>25.8</v>
      </c>
      <c r="F253" s="153">
        <v>25.2</v>
      </c>
      <c r="G253" s="153">
        <v>24</v>
      </c>
      <c r="H253" s="153">
        <v>23.2</v>
      </c>
      <c r="I253" s="153">
        <v>22.5</v>
      </c>
      <c r="J253" s="153">
        <v>22.6</v>
      </c>
      <c r="K253" s="153">
        <v>23.4</v>
      </c>
      <c r="L253" s="153">
        <v>24.6</v>
      </c>
      <c r="M253" s="153">
        <v>25.2</v>
      </c>
      <c r="N253" s="153">
        <v>25.5</v>
      </c>
      <c r="O253" s="153">
        <v>24.5</v>
      </c>
    </row>
    <row r="254" spans="1:15" x14ac:dyDescent="0.25">
      <c r="A254" s="152" t="s">
        <v>348</v>
      </c>
      <c r="B254" s="152" t="s">
        <v>338</v>
      </c>
      <c r="C254" s="153">
        <v>24.3</v>
      </c>
      <c r="D254" s="153">
        <v>24.4</v>
      </c>
      <c r="E254" s="153">
        <v>23.6</v>
      </c>
      <c r="F254" s="153">
        <v>21.3</v>
      </c>
      <c r="G254" s="153">
        <v>19.3</v>
      </c>
      <c r="H254" s="153">
        <v>16.8</v>
      </c>
      <c r="I254" s="153">
        <v>16.600000000000001</v>
      </c>
      <c r="J254" s="153">
        <v>17.100000000000001</v>
      </c>
      <c r="K254" s="153">
        <v>17.7</v>
      </c>
      <c r="L254" s="153">
        <v>19.399999999999999</v>
      </c>
      <c r="M254" s="153">
        <v>21.4</v>
      </c>
      <c r="N254" s="153">
        <v>23.4</v>
      </c>
      <c r="O254" s="153">
        <v>20.399999999999999</v>
      </c>
    </row>
    <row r="255" spans="1:15" x14ac:dyDescent="0.25">
      <c r="A255" s="152" t="s">
        <v>331</v>
      </c>
      <c r="B255" s="152" t="s">
        <v>308</v>
      </c>
      <c r="C255" s="153">
        <v>24</v>
      </c>
      <c r="D255" s="153">
        <v>23.7</v>
      </c>
      <c r="E255" s="153">
        <v>21.7</v>
      </c>
      <c r="F255" s="153">
        <v>18.2</v>
      </c>
      <c r="G255" s="153">
        <v>15.4</v>
      </c>
      <c r="H255" s="153">
        <v>12.5</v>
      </c>
      <c r="I255" s="153">
        <v>12.6</v>
      </c>
      <c r="J255" s="153">
        <v>13.5</v>
      </c>
      <c r="K255" s="153">
        <v>15.7</v>
      </c>
      <c r="L255" s="153">
        <v>17.8</v>
      </c>
      <c r="M255" s="153">
        <v>20.5</v>
      </c>
      <c r="N255" s="153">
        <v>23</v>
      </c>
      <c r="O255" s="153">
        <v>18.2</v>
      </c>
    </row>
    <row r="256" spans="1:15" x14ac:dyDescent="0.25">
      <c r="A256" s="152" t="s">
        <v>233</v>
      </c>
      <c r="B256" s="152" t="s">
        <v>230</v>
      </c>
      <c r="C256" s="153">
        <v>27.2</v>
      </c>
      <c r="D256" s="153">
        <v>26.4</v>
      </c>
      <c r="E256" s="153">
        <v>26</v>
      </c>
      <c r="F256" s="153">
        <v>25.9</v>
      </c>
      <c r="G256" s="153">
        <v>25.7</v>
      </c>
      <c r="H256" s="153">
        <v>25.2</v>
      </c>
      <c r="I256" s="153">
        <v>25.2</v>
      </c>
      <c r="J256" s="153">
        <v>26.1</v>
      </c>
      <c r="K256" s="153">
        <v>27.2</v>
      </c>
      <c r="L256" s="153">
        <v>27.7</v>
      </c>
      <c r="M256" s="153">
        <v>27.8</v>
      </c>
      <c r="N256" s="153">
        <v>27.8</v>
      </c>
      <c r="O256" s="153">
        <v>26.5</v>
      </c>
    </row>
    <row r="257" spans="1:15" x14ac:dyDescent="0.25">
      <c r="A257" s="152" t="s">
        <v>190</v>
      </c>
      <c r="B257" s="152" t="s">
        <v>148</v>
      </c>
      <c r="C257" s="153">
        <v>21.5</v>
      </c>
      <c r="D257" s="153">
        <v>21.7</v>
      </c>
      <c r="E257" s="153">
        <v>21.4</v>
      </c>
      <c r="F257" s="153">
        <v>19.600000000000001</v>
      </c>
      <c r="G257" s="153">
        <v>17.399999999999999</v>
      </c>
      <c r="H257" s="153">
        <v>15.9</v>
      </c>
      <c r="I257" s="153">
        <v>15.7</v>
      </c>
      <c r="J257" s="153">
        <v>17.2</v>
      </c>
      <c r="K257" s="153">
        <v>18.8</v>
      </c>
      <c r="L257" s="153">
        <v>19.899999999999999</v>
      </c>
      <c r="M257" s="153">
        <v>20.399999999999999</v>
      </c>
      <c r="N257" s="153">
        <v>21</v>
      </c>
      <c r="O257" s="153">
        <v>19.2</v>
      </c>
    </row>
    <row r="258" spans="1:15" x14ac:dyDescent="0.25">
      <c r="A258" s="152" t="s">
        <v>349</v>
      </c>
      <c r="B258" s="152" t="s">
        <v>338</v>
      </c>
      <c r="C258" s="153">
        <v>16.8</v>
      </c>
      <c r="D258" s="153">
        <v>17.100000000000001</v>
      </c>
      <c r="E258" s="153">
        <v>15.9</v>
      </c>
      <c r="F258" s="153">
        <v>13.2</v>
      </c>
      <c r="G258" s="153">
        <v>11.4</v>
      </c>
      <c r="H258" s="153">
        <v>9.6999999999999993</v>
      </c>
      <c r="I258" s="153">
        <v>9.8000000000000007</v>
      </c>
      <c r="J258" s="153">
        <v>10.7</v>
      </c>
      <c r="K258" s="153">
        <v>12</v>
      </c>
      <c r="L258" s="153">
        <v>12.8</v>
      </c>
      <c r="M258" s="153">
        <v>14.4</v>
      </c>
      <c r="N258" s="153">
        <v>16</v>
      </c>
      <c r="O258" s="153">
        <v>13.3</v>
      </c>
    </row>
    <row r="259" spans="1:15" x14ac:dyDescent="0.25">
      <c r="A259" s="152" t="s">
        <v>374</v>
      </c>
      <c r="B259" s="152" t="s">
        <v>357</v>
      </c>
      <c r="C259" s="153">
        <v>22.2</v>
      </c>
      <c r="D259" s="153">
        <v>22.4</v>
      </c>
      <c r="E259" s="153">
        <v>21.6</v>
      </c>
      <c r="F259" s="153">
        <v>19.600000000000001</v>
      </c>
      <c r="G259" s="153">
        <v>17</v>
      </c>
      <c r="H259" s="153">
        <v>16.100000000000001</v>
      </c>
      <c r="I259" s="153">
        <v>15.6</v>
      </c>
      <c r="J259" s="153">
        <v>17.100000000000001</v>
      </c>
      <c r="K259" s="153">
        <v>18.8</v>
      </c>
      <c r="L259" s="153">
        <v>19.399999999999999</v>
      </c>
      <c r="M259" s="153">
        <v>20.3</v>
      </c>
      <c r="N259" s="153">
        <v>21.4</v>
      </c>
      <c r="O259" s="153">
        <v>19.3</v>
      </c>
    </row>
    <row r="260" spans="1:15" x14ac:dyDescent="0.25">
      <c r="A260" s="152" t="s">
        <v>191</v>
      </c>
      <c r="B260" s="152" t="s">
        <v>148</v>
      </c>
      <c r="C260" s="153">
        <v>22.2</v>
      </c>
      <c r="D260" s="153">
        <v>22.3</v>
      </c>
      <c r="E260" s="153">
        <v>21.7</v>
      </c>
      <c r="F260" s="153">
        <v>19.5</v>
      </c>
      <c r="G260" s="153">
        <v>16.2</v>
      </c>
      <c r="H260" s="153">
        <v>14.6</v>
      </c>
      <c r="I260" s="153">
        <v>14.3</v>
      </c>
      <c r="J260" s="153">
        <v>16.399999999999999</v>
      </c>
      <c r="K260" s="153">
        <v>18.7</v>
      </c>
      <c r="L260" s="153">
        <v>20.399999999999999</v>
      </c>
      <c r="M260" s="153">
        <v>21.3</v>
      </c>
      <c r="N260" s="153">
        <v>21.7</v>
      </c>
      <c r="O260" s="153">
        <v>19.100000000000001</v>
      </c>
    </row>
    <row r="261" spans="1:15" x14ac:dyDescent="0.25">
      <c r="A261" s="152" t="s">
        <v>146</v>
      </c>
      <c r="B261" s="152" t="s">
        <v>140</v>
      </c>
      <c r="C261" s="153">
        <v>26.1</v>
      </c>
      <c r="D261" s="153">
        <v>25.7</v>
      </c>
      <c r="E261" s="153">
        <v>25.6</v>
      </c>
      <c r="F261" s="153">
        <v>25.8</v>
      </c>
      <c r="G261" s="153">
        <v>25.9</v>
      </c>
      <c r="H261" s="153">
        <v>25.9</v>
      </c>
      <c r="I261" s="153">
        <v>25.6</v>
      </c>
      <c r="J261" s="153">
        <v>25.9</v>
      </c>
      <c r="K261" s="153">
        <v>26.3</v>
      </c>
      <c r="L261" s="153">
        <v>26.6</v>
      </c>
      <c r="M261" s="153">
        <v>26.9</v>
      </c>
      <c r="N261" s="153">
        <v>26.7</v>
      </c>
      <c r="O261" s="153">
        <v>26.1</v>
      </c>
    </row>
    <row r="262" spans="1:15" x14ac:dyDescent="0.25">
      <c r="A262" s="152" t="s">
        <v>332</v>
      </c>
      <c r="B262" s="152" t="s">
        <v>308</v>
      </c>
      <c r="C262" s="153">
        <v>24.9</v>
      </c>
      <c r="D262" s="153">
        <v>24.5</v>
      </c>
      <c r="E262" s="153">
        <v>22.8</v>
      </c>
      <c r="F262" s="153">
        <v>19.399999999999999</v>
      </c>
      <c r="G262" s="153">
        <v>16.899999999999999</v>
      </c>
      <c r="H262" s="153">
        <v>14.6</v>
      </c>
      <c r="I262" s="153">
        <v>14.9</v>
      </c>
      <c r="J262" s="153">
        <v>15.5</v>
      </c>
      <c r="K262" s="153">
        <v>17.600000000000001</v>
      </c>
      <c r="L262" s="153">
        <v>19.8</v>
      </c>
      <c r="M262" s="153">
        <v>22</v>
      </c>
      <c r="N262" s="153">
        <v>24.2</v>
      </c>
      <c r="O262" s="153">
        <v>19.8</v>
      </c>
    </row>
    <row r="263" spans="1:15" x14ac:dyDescent="0.25">
      <c r="A263" s="152" t="s">
        <v>266</v>
      </c>
      <c r="B263" s="152" t="s">
        <v>251</v>
      </c>
      <c r="C263" s="153">
        <v>21.3</v>
      </c>
      <c r="D263" s="153">
        <v>21.2</v>
      </c>
      <c r="E263" s="153">
        <v>20.100000000000001</v>
      </c>
      <c r="F263" s="153">
        <v>16.8</v>
      </c>
      <c r="G263" s="153">
        <v>14</v>
      </c>
      <c r="H263" s="153">
        <v>12.7</v>
      </c>
      <c r="I263" s="153">
        <v>12.3</v>
      </c>
      <c r="J263" s="153">
        <v>13.9</v>
      </c>
      <c r="K263" s="153">
        <v>15.9</v>
      </c>
      <c r="L263" s="153">
        <v>17.399999999999999</v>
      </c>
      <c r="M263" s="153">
        <v>19.3</v>
      </c>
      <c r="N263" s="153">
        <v>20.399999999999999</v>
      </c>
      <c r="O263" s="153">
        <v>17.100000000000001</v>
      </c>
    </row>
    <row r="264" spans="1:15" x14ac:dyDescent="0.25">
      <c r="A264" s="152" t="s">
        <v>375</v>
      </c>
      <c r="B264" s="152" t="s">
        <v>357</v>
      </c>
      <c r="C264" s="153">
        <v>21.2</v>
      </c>
      <c r="D264" s="153">
        <v>21.6</v>
      </c>
      <c r="E264" s="153">
        <v>21.1</v>
      </c>
      <c r="F264" s="153">
        <v>18.8</v>
      </c>
      <c r="G264" s="153">
        <v>16.7</v>
      </c>
      <c r="H264" s="153">
        <v>15.6</v>
      </c>
      <c r="I264" s="153">
        <v>15.1</v>
      </c>
      <c r="J264" s="153">
        <v>16.399999999999999</v>
      </c>
      <c r="K264" s="153">
        <v>17.600000000000001</v>
      </c>
      <c r="L264" s="153">
        <v>18.5</v>
      </c>
      <c r="M264" s="153">
        <v>19.5</v>
      </c>
      <c r="N264" s="153">
        <v>20.6</v>
      </c>
      <c r="O264" s="153">
        <v>18.5</v>
      </c>
    </row>
    <row r="265" spans="1:15" x14ac:dyDescent="0.25">
      <c r="A265" s="152" t="s">
        <v>376</v>
      </c>
      <c r="B265" s="152" t="s">
        <v>357</v>
      </c>
      <c r="C265" s="153">
        <v>22.1</v>
      </c>
      <c r="D265" s="153">
        <v>22.4</v>
      </c>
      <c r="E265" s="153">
        <v>21.8</v>
      </c>
      <c r="F265" s="153">
        <v>19.7</v>
      </c>
      <c r="G265" s="153">
        <v>17.399999999999999</v>
      </c>
      <c r="H265" s="153">
        <v>16.3</v>
      </c>
      <c r="I265" s="153">
        <v>15.8</v>
      </c>
      <c r="J265" s="153">
        <v>17.100000000000001</v>
      </c>
      <c r="K265" s="153">
        <v>17.899999999999999</v>
      </c>
      <c r="L265" s="153">
        <v>19</v>
      </c>
      <c r="M265" s="153">
        <v>20.2</v>
      </c>
      <c r="N265" s="153">
        <v>21.1</v>
      </c>
      <c r="O265" s="153">
        <v>19.2</v>
      </c>
    </row>
    <row r="266" spans="1:15" x14ac:dyDescent="0.25">
      <c r="A266" s="152" t="s">
        <v>192</v>
      </c>
      <c r="B266" s="152" t="s">
        <v>148</v>
      </c>
      <c r="C266" s="153">
        <v>22</v>
      </c>
      <c r="D266" s="153">
        <v>21.9</v>
      </c>
      <c r="E266" s="153">
        <v>21.9</v>
      </c>
      <c r="F266" s="153">
        <v>20.8</v>
      </c>
      <c r="G266" s="153">
        <v>18.5</v>
      </c>
      <c r="H266" s="153">
        <v>16.8</v>
      </c>
      <c r="I266" s="153">
        <v>16.600000000000001</v>
      </c>
      <c r="J266" s="153">
        <v>19.100000000000001</v>
      </c>
      <c r="K266" s="153">
        <v>21.3</v>
      </c>
      <c r="L266" s="153">
        <v>21.3</v>
      </c>
      <c r="M266" s="153">
        <v>22.2</v>
      </c>
      <c r="N266" s="153">
        <v>21.7</v>
      </c>
      <c r="O266" s="153">
        <v>20.3</v>
      </c>
    </row>
    <row r="267" spans="1:15" x14ac:dyDescent="0.25">
      <c r="A267" s="152" t="s">
        <v>377</v>
      </c>
      <c r="B267" s="152" t="s">
        <v>357</v>
      </c>
      <c r="C267" s="153">
        <v>23.8</v>
      </c>
      <c r="D267" s="153">
        <v>23.9</v>
      </c>
      <c r="E267" s="153">
        <v>23.5</v>
      </c>
      <c r="F267" s="153">
        <v>22</v>
      </c>
      <c r="G267" s="153">
        <v>19.399999999999999</v>
      </c>
      <c r="H267" s="153">
        <v>18.2</v>
      </c>
      <c r="I267" s="153">
        <v>18.3</v>
      </c>
      <c r="J267" s="153">
        <v>20.399999999999999</v>
      </c>
      <c r="K267" s="153">
        <v>22.2</v>
      </c>
      <c r="L267" s="153">
        <v>22.9</v>
      </c>
      <c r="M267" s="153">
        <v>23.4</v>
      </c>
      <c r="N267" s="153">
        <v>23.4</v>
      </c>
      <c r="O267" s="153">
        <v>21.8</v>
      </c>
    </row>
    <row r="268" spans="1:15" x14ac:dyDescent="0.25">
      <c r="A268" s="152" t="s">
        <v>112</v>
      </c>
      <c r="B268" s="152" t="s">
        <v>94</v>
      </c>
      <c r="C268" s="153">
        <v>25.1</v>
      </c>
      <c r="D268" s="153">
        <v>24.8</v>
      </c>
      <c r="E268" s="153">
        <v>24.5</v>
      </c>
      <c r="F268" s="153">
        <v>24.2</v>
      </c>
      <c r="G268" s="153">
        <v>22.7</v>
      </c>
      <c r="H268" s="153">
        <v>21.2</v>
      </c>
      <c r="I268" s="153">
        <v>20.7</v>
      </c>
      <c r="J268" s="153">
        <v>20.9</v>
      </c>
      <c r="K268" s="153">
        <v>22.1</v>
      </c>
      <c r="L268" s="153">
        <v>23.7</v>
      </c>
      <c r="M268" s="153">
        <v>24.4</v>
      </c>
      <c r="N268" s="153">
        <v>24.8</v>
      </c>
      <c r="O268" s="153">
        <v>23.3</v>
      </c>
    </row>
    <row r="269" spans="1:15" x14ac:dyDescent="0.25">
      <c r="A269" s="152" t="s">
        <v>378</v>
      </c>
      <c r="B269" s="152" t="s">
        <v>357</v>
      </c>
      <c r="C269" s="153">
        <v>24</v>
      </c>
      <c r="D269" s="153">
        <v>23.9</v>
      </c>
      <c r="E269" s="153">
        <v>23.6</v>
      </c>
      <c r="F269" s="153">
        <v>21.7</v>
      </c>
      <c r="G269" s="153">
        <v>18.600000000000001</v>
      </c>
      <c r="H269" s="153">
        <v>17.399999999999999</v>
      </c>
      <c r="I269" s="153">
        <v>17.100000000000001</v>
      </c>
      <c r="J269" s="153">
        <v>19.2</v>
      </c>
      <c r="K269" s="153">
        <v>21.7</v>
      </c>
      <c r="L269" s="153">
        <v>22.5</v>
      </c>
      <c r="M269" s="153">
        <v>23.2</v>
      </c>
      <c r="N269" s="153">
        <v>23.4</v>
      </c>
      <c r="O269" s="153">
        <v>21.4</v>
      </c>
    </row>
    <row r="270" spans="1:15" x14ac:dyDescent="0.25">
      <c r="A270" s="152" t="s">
        <v>193</v>
      </c>
      <c r="B270" s="152" t="s">
        <v>148</v>
      </c>
      <c r="C270" s="153">
        <v>22.7</v>
      </c>
      <c r="D270" s="153">
        <v>22.9</v>
      </c>
      <c r="E270" s="153">
        <v>22.7</v>
      </c>
      <c r="F270" s="153">
        <v>21.1</v>
      </c>
      <c r="G270" s="153">
        <v>19</v>
      </c>
      <c r="H270" s="153">
        <v>17.8</v>
      </c>
      <c r="I270" s="153">
        <v>17.5</v>
      </c>
      <c r="J270" s="153">
        <v>19.399999999999999</v>
      </c>
      <c r="K270" s="153">
        <v>21</v>
      </c>
      <c r="L270" s="153">
        <v>22.1</v>
      </c>
      <c r="M270" s="153">
        <v>22.3</v>
      </c>
      <c r="N270" s="153">
        <v>22.4</v>
      </c>
      <c r="O270" s="153">
        <v>20.9</v>
      </c>
    </row>
    <row r="271" spans="1:15" x14ac:dyDescent="0.25">
      <c r="A271" s="152" t="s">
        <v>122</v>
      </c>
      <c r="B271" s="152" t="s">
        <v>113</v>
      </c>
      <c r="C271" s="153">
        <v>27.5</v>
      </c>
      <c r="D271" s="153">
        <v>26.7</v>
      </c>
      <c r="E271" s="153">
        <v>26.1</v>
      </c>
      <c r="F271" s="153">
        <v>26</v>
      </c>
      <c r="G271" s="153">
        <v>26</v>
      </c>
      <c r="H271" s="153">
        <v>26</v>
      </c>
      <c r="I271" s="153">
        <v>25.9</v>
      </c>
      <c r="J271" s="153">
        <v>26.8</v>
      </c>
      <c r="K271" s="153">
        <v>27.5</v>
      </c>
      <c r="L271" s="153">
        <v>27.8</v>
      </c>
      <c r="M271" s="153">
        <v>28.1</v>
      </c>
      <c r="N271" s="153">
        <v>28.1</v>
      </c>
      <c r="O271" s="153">
        <v>26.9</v>
      </c>
    </row>
    <row r="272" spans="1:15" x14ac:dyDescent="0.25">
      <c r="A272" s="152" t="s">
        <v>379</v>
      </c>
      <c r="B272" s="152" t="s">
        <v>357</v>
      </c>
      <c r="C272" s="153">
        <v>23.4</v>
      </c>
      <c r="D272" s="153">
        <v>23.8</v>
      </c>
      <c r="E272" s="153">
        <v>23.1</v>
      </c>
      <c r="F272" s="153">
        <v>21.4</v>
      </c>
      <c r="G272" s="153">
        <v>19</v>
      </c>
      <c r="H272" s="153">
        <v>17.100000000000001</v>
      </c>
      <c r="I272" s="153">
        <v>17.3</v>
      </c>
      <c r="J272" s="153">
        <v>18.399999999999999</v>
      </c>
      <c r="K272" s="153">
        <v>19.399999999999999</v>
      </c>
      <c r="L272" s="153">
        <v>21</v>
      </c>
      <c r="M272" s="153">
        <v>22.4</v>
      </c>
      <c r="N272" s="153">
        <v>22.6</v>
      </c>
      <c r="O272" s="153">
        <v>20.8</v>
      </c>
    </row>
    <row r="273" spans="1:15" x14ac:dyDescent="0.25">
      <c r="A273" s="152" t="s">
        <v>225</v>
      </c>
      <c r="B273" s="152" t="s">
        <v>211</v>
      </c>
      <c r="C273" s="153">
        <v>26.9</v>
      </c>
      <c r="D273" s="153">
        <v>26.3</v>
      </c>
      <c r="E273" s="153">
        <v>26.2</v>
      </c>
      <c r="F273" s="153">
        <v>26.5</v>
      </c>
      <c r="G273" s="153">
        <v>26.9</v>
      </c>
      <c r="H273" s="153">
        <v>27.2</v>
      </c>
      <c r="I273" s="153">
        <v>27.1</v>
      </c>
      <c r="J273" s="153">
        <v>27.6</v>
      </c>
      <c r="K273" s="153">
        <v>27.9</v>
      </c>
      <c r="L273" s="153">
        <v>28.2</v>
      </c>
      <c r="M273" s="153">
        <v>28.2</v>
      </c>
      <c r="N273" s="153">
        <v>27.8</v>
      </c>
      <c r="O273" s="153">
        <v>27.2</v>
      </c>
    </row>
    <row r="274" spans="1:15" x14ac:dyDescent="0.25">
      <c r="A274" s="152" t="s">
        <v>243</v>
      </c>
      <c r="B274" s="152" t="s">
        <v>235</v>
      </c>
      <c r="C274" s="153">
        <v>24.8</v>
      </c>
      <c r="D274" s="153">
        <v>24.9</v>
      </c>
      <c r="E274" s="153">
        <v>24.6</v>
      </c>
      <c r="F274" s="153">
        <v>24.3</v>
      </c>
      <c r="G274" s="153">
        <v>23.3</v>
      </c>
      <c r="H274" s="153">
        <v>22.3</v>
      </c>
      <c r="I274" s="153">
        <v>21.6</v>
      </c>
      <c r="J274" s="153">
        <v>21.9</v>
      </c>
      <c r="K274" s="153">
        <v>22.7</v>
      </c>
      <c r="L274" s="153">
        <v>23.8</v>
      </c>
      <c r="M274" s="153">
        <v>24.4</v>
      </c>
      <c r="N274" s="153">
        <v>24.7</v>
      </c>
      <c r="O274" s="153">
        <v>23.6</v>
      </c>
    </row>
    <row r="275" spans="1:15" x14ac:dyDescent="0.25">
      <c r="A275" s="152" t="s">
        <v>389</v>
      </c>
      <c r="B275" s="152" t="s">
        <v>384</v>
      </c>
      <c r="C275" s="153">
        <v>24.2</v>
      </c>
      <c r="D275" s="153">
        <v>24.3</v>
      </c>
      <c r="E275" s="153">
        <v>24.4</v>
      </c>
      <c r="F275" s="153">
        <v>24.6</v>
      </c>
      <c r="G275" s="153">
        <v>24.2</v>
      </c>
      <c r="H275" s="153">
        <v>23.6</v>
      </c>
      <c r="I275" s="153">
        <v>23.4</v>
      </c>
      <c r="J275" s="153">
        <v>25.1</v>
      </c>
      <c r="K275" s="153">
        <v>26.6</v>
      </c>
      <c r="L275" s="153">
        <v>25.7</v>
      </c>
      <c r="M275" s="153">
        <v>24.7</v>
      </c>
      <c r="N275" s="153">
        <v>24.3</v>
      </c>
      <c r="O275" s="153">
        <v>24.6</v>
      </c>
    </row>
    <row r="276" spans="1:15" x14ac:dyDescent="0.25">
      <c r="A276" s="152" t="s">
        <v>333</v>
      </c>
      <c r="B276" s="152" t="s">
        <v>308</v>
      </c>
      <c r="C276" s="153">
        <v>24.4</v>
      </c>
      <c r="D276" s="153">
        <v>24.5</v>
      </c>
      <c r="E276" s="153">
        <v>22.8</v>
      </c>
      <c r="F276" s="153">
        <v>19.600000000000001</v>
      </c>
      <c r="G276" s="153">
        <v>16.600000000000001</v>
      </c>
      <c r="H276" s="153">
        <v>14</v>
      </c>
      <c r="I276" s="153">
        <v>13.6</v>
      </c>
      <c r="J276" s="153">
        <v>14.3</v>
      </c>
      <c r="K276" s="153">
        <v>16.3</v>
      </c>
      <c r="L276" s="153">
        <v>18.600000000000001</v>
      </c>
      <c r="M276" s="153">
        <v>20.9</v>
      </c>
      <c r="N276" s="153">
        <v>23</v>
      </c>
      <c r="O276" s="153">
        <v>19.100000000000001</v>
      </c>
    </row>
    <row r="277" spans="1:15" x14ac:dyDescent="0.25">
      <c r="A277" s="152" t="s">
        <v>86</v>
      </c>
      <c r="B277" s="152" t="s">
        <v>71</v>
      </c>
      <c r="C277" s="153">
        <v>25.8</v>
      </c>
      <c r="D277" s="153">
        <v>26</v>
      </c>
      <c r="E277" s="153">
        <v>25.9</v>
      </c>
      <c r="F277" s="153">
        <v>25.8</v>
      </c>
      <c r="G277" s="153">
        <v>25.5</v>
      </c>
      <c r="H277" s="153">
        <v>25.1</v>
      </c>
      <c r="I277" s="153">
        <v>24.7</v>
      </c>
      <c r="J277" s="153">
        <v>25.2</v>
      </c>
      <c r="K277" s="153">
        <v>25.6</v>
      </c>
      <c r="L277" s="153">
        <v>26</v>
      </c>
      <c r="M277" s="153">
        <v>26</v>
      </c>
      <c r="N277" s="153">
        <v>25.8</v>
      </c>
      <c r="O277" s="153">
        <v>25.6</v>
      </c>
    </row>
    <row r="278" spans="1:15" x14ac:dyDescent="0.25">
      <c r="A278" s="152" t="s">
        <v>66</v>
      </c>
      <c r="B278" s="152" t="s">
        <v>64</v>
      </c>
      <c r="C278" s="153">
        <v>25.3</v>
      </c>
      <c r="D278" s="153">
        <v>25.3</v>
      </c>
      <c r="E278" s="153">
        <v>25.3</v>
      </c>
      <c r="F278" s="153">
        <v>25.2</v>
      </c>
      <c r="G278" s="153">
        <v>24.7</v>
      </c>
      <c r="H278" s="153">
        <v>23.8</v>
      </c>
      <c r="I278" s="153">
        <v>23.7</v>
      </c>
      <c r="J278" s="153">
        <v>24.2</v>
      </c>
      <c r="K278" s="153">
        <v>25</v>
      </c>
      <c r="L278" s="153">
        <v>25.5</v>
      </c>
      <c r="M278" s="153">
        <v>25.5</v>
      </c>
      <c r="N278" s="153">
        <v>25.5</v>
      </c>
      <c r="O278" s="153">
        <v>24.9</v>
      </c>
    </row>
    <row r="279" spans="1:15" x14ac:dyDescent="0.25">
      <c r="A279" s="152" t="s">
        <v>123</v>
      </c>
      <c r="B279" s="152" t="s">
        <v>113</v>
      </c>
      <c r="C279" s="153">
        <v>25.3</v>
      </c>
      <c r="D279" s="153">
        <v>24.9</v>
      </c>
      <c r="E279" s="153">
        <v>24.8</v>
      </c>
      <c r="F279" s="153">
        <v>24.4</v>
      </c>
      <c r="G279" s="153">
        <v>24.2</v>
      </c>
      <c r="H279" s="153">
        <v>24</v>
      </c>
      <c r="I279" s="153">
        <v>24</v>
      </c>
      <c r="J279" s="153">
        <v>25</v>
      </c>
      <c r="K279" s="153">
        <v>26</v>
      </c>
      <c r="L279" s="153">
        <v>26.7</v>
      </c>
      <c r="M279" s="153">
        <v>26.9</v>
      </c>
      <c r="N279" s="153">
        <v>27</v>
      </c>
      <c r="O279" s="153">
        <v>25.3</v>
      </c>
    </row>
    <row r="280" spans="1:15" x14ac:dyDescent="0.25">
      <c r="A280" s="152" t="s">
        <v>380</v>
      </c>
      <c r="B280" s="152" t="s">
        <v>357</v>
      </c>
      <c r="C280" s="153">
        <v>23.3</v>
      </c>
      <c r="D280" s="153">
        <v>23.5</v>
      </c>
      <c r="E280" s="153">
        <v>22.9</v>
      </c>
      <c r="F280" s="153">
        <v>20.8</v>
      </c>
      <c r="G280" s="153">
        <v>18.100000000000001</v>
      </c>
      <c r="H280" s="153">
        <v>16.7</v>
      </c>
      <c r="I280" s="153">
        <v>16.399999999999999</v>
      </c>
      <c r="J280" s="153">
        <v>18.2</v>
      </c>
      <c r="K280" s="153">
        <v>20</v>
      </c>
      <c r="L280" s="153">
        <v>20.7</v>
      </c>
      <c r="M280" s="153">
        <v>21.7</v>
      </c>
      <c r="N280" s="153">
        <v>22.7</v>
      </c>
      <c r="O280" s="153">
        <v>20.399999999999999</v>
      </c>
    </row>
    <row r="281" spans="1:15" x14ac:dyDescent="0.25">
      <c r="A281" s="152" t="s">
        <v>87</v>
      </c>
      <c r="B281" s="152" t="s">
        <v>71</v>
      </c>
      <c r="C281" s="153">
        <v>26.1</v>
      </c>
      <c r="D281" s="153">
        <v>26.1</v>
      </c>
      <c r="E281" s="153">
        <v>26.2</v>
      </c>
      <c r="F281" s="153">
        <v>26.2</v>
      </c>
      <c r="G281" s="153">
        <v>26.1</v>
      </c>
      <c r="H281" s="153">
        <v>25.7</v>
      </c>
      <c r="I281" s="153">
        <v>25.8</v>
      </c>
      <c r="J281" s="153">
        <v>26.3</v>
      </c>
      <c r="K281" s="153">
        <v>26.6</v>
      </c>
      <c r="L281" s="153">
        <v>26.7</v>
      </c>
      <c r="M281" s="153">
        <v>26.6</v>
      </c>
      <c r="N281" s="153">
        <v>26.3</v>
      </c>
      <c r="O281" s="153">
        <v>26.2</v>
      </c>
    </row>
    <row r="282" spans="1:15" x14ac:dyDescent="0.25">
      <c r="A282" s="152" t="s">
        <v>194</v>
      </c>
      <c r="B282" s="152" t="s">
        <v>148</v>
      </c>
      <c r="C282" s="153">
        <v>25.2</v>
      </c>
      <c r="D282" s="153">
        <v>25.3</v>
      </c>
      <c r="E282" s="153">
        <v>25</v>
      </c>
      <c r="F282" s="153">
        <v>23.6</v>
      </c>
      <c r="G282" s="153">
        <v>21.6</v>
      </c>
      <c r="H282" s="153">
        <v>19.899999999999999</v>
      </c>
      <c r="I282" s="153">
        <v>19.399999999999999</v>
      </c>
      <c r="J282" s="153">
        <v>20.5</v>
      </c>
      <c r="K282" s="153">
        <v>22.1</v>
      </c>
      <c r="L282" s="153">
        <v>23.5</v>
      </c>
      <c r="M282" s="153">
        <v>24</v>
      </c>
      <c r="N282" s="153">
        <v>24.5</v>
      </c>
      <c r="O282" s="153">
        <v>22.9</v>
      </c>
    </row>
    <row r="283" spans="1:15" x14ac:dyDescent="0.25">
      <c r="A283" s="152" t="s">
        <v>249</v>
      </c>
      <c r="B283" s="152" t="s">
        <v>246</v>
      </c>
      <c r="C283" s="153">
        <v>26.7</v>
      </c>
      <c r="D283" s="153">
        <v>26.1</v>
      </c>
      <c r="E283" s="153">
        <v>26.1</v>
      </c>
      <c r="F283" s="153">
        <v>26.2</v>
      </c>
      <c r="G283" s="153">
        <v>26.4</v>
      </c>
      <c r="H283" s="153">
        <v>26.1</v>
      </c>
      <c r="I283" s="153">
        <v>26.2</v>
      </c>
      <c r="J283" s="153">
        <v>26.8</v>
      </c>
      <c r="K283" s="153">
        <v>28.8</v>
      </c>
      <c r="L283" s="153">
        <v>29.3</v>
      </c>
      <c r="M283" s="153">
        <v>28.8</v>
      </c>
      <c r="N283" s="153">
        <v>28.1</v>
      </c>
      <c r="O283" s="153">
        <v>27.1</v>
      </c>
    </row>
    <row r="284" spans="1:15" x14ac:dyDescent="0.25">
      <c r="A284" s="152" t="s">
        <v>293</v>
      </c>
      <c r="B284" s="152" t="s">
        <v>269</v>
      </c>
      <c r="C284" s="153">
        <v>20.7</v>
      </c>
      <c r="D284" s="153">
        <v>20.8</v>
      </c>
      <c r="E284" s="153">
        <v>20.2</v>
      </c>
      <c r="F284" s="153">
        <v>17.899999999999999</v>
      </c>
      <c r="G284" s="153">
        <v>15.8</v>
      </c>
      <c r="H284" s="153">
        <v>14.9</v>
      </c>
      <c r="I284" s="153">
        <v>14.3</v>
      </c>
      <c r="J284" s="153">
        <v>15.6</v>
      </c>
      <c r="K284" s="153">
        <v>16.7</v>
      </c>
      <c r="L284" s="153">
        <v>17.5</v>
      </c>
      <c r="M284" s="153">
        <v>18.3</v>
      </c>
      <c r="N284" s="153">
        <v>19.7</v>
      </c>
      <c r="O284" s="153">
        <v>17.7</v>
      </c>
    </row>
    <row r="285" spans="1:15" x14ac:dyDescent="0.25">
      <c r="A285" s="152" t="s">
        <v>294</v>
      </c>
      <c r="B285" s="152" t="s">
        <v>269</v>
      </c>
      <c r="C285" s="153">
        <v>25</v>
      </c>
      <c r="D285" s="153">
        <v>25.4</v>
      </c>
      <c r="E285" s="153">
        <v>24.5</v>
      </c>
      <c r="F285" s="153">
        <v>22.4</v>
      </c>
      <c r="G285" s="153">
        <v>20.5</v>
      </c>
      <c r="H285" s="153">
        <v>19.399999999999999</v>
      </c>
      <c r="I285" s="153">
        <v>19</v>
      </c>
      <c r="J285" s="153">
        <v>20.2</v>
      </c>
      <c r="K285" s="153">
        <v>21</v>
      </c>
      <c r="L285" s="153">
        <v>21.9</v>
      </c>
      <c r="M285" s="153">
        <v>23.1</v>
      </c>
      <c r="N285" s="153">
        <v>24.3</v>
      </c>
      <c r="O285" s="153">
        <v>22.2</v>
      </c>
    </row>
    <row r="286" spans="1:15" x14ac:dyDescent="0.25">
      <c r="A286" s="152" t="s">
        <v>267</v>
      </c>
      <c r="B286" s="152" t="s">
        <v>251</v>
      </c>
      <c r="C286" s="153">
        <v>24.4</v>
      </c>
      <c r="D286" s="153">
        <v>24</v>
      </c>
      <c r="E286" s="153">
        <v>23.4</v>
      </c>
      <c r="F286" s="153">
        <v>20.7</v>
      </c>
      <c r="G286" s="153">
        <v>17.7</v>
      </c>
      <c r="H286" s="153">
        <v>15.7</v>
      </c>
      <c r="I286" s="153">
        <v>17.100000000000001</v>
      </c>
      <c r="J286" s="153">
        <v>17.100000000000001</v>
      </c>
      <c r="K286" s="153">
        <v>18.899999999999999</v>
      </c>
      <c r="L286" s="153">
        <v>21.6</v>
      </c>
      <c r="M286" s="153">
        <v>22.7</v>
      </c>
      <c r="N286" s="153">
        <v>23.4</v>
      </c>
      <c r="O286" s="153">
        <v>20.6</v>
      </c>
    </row>
    <row r="287" spans="1:15" x14ac:dyDescent="0.25">
      <c r="A287" s="152" t="s">
        <v>334</v>
      </c>
      <c r="B287" s="152" t="s">
        <v>308</v>
      </c>
      <c r="C287" s="153">
        <v>22.8</v>
      </c>
      <c r="D287" s="153">
        <v>23.3</v>
      </c>
      <c r="E287" s="153">
        <v>22.4</v>
      </c>
      <c r="F287" s="153">
        <v>20.100000000000001</v>
      </c>
      <c r="G287" s="153">
        <v>17.5</v>
      </c>
      <c r="H287" s="153">
        <v>15.1</v>
      </c>
      <c r="I287" s="153">
        <v>14.8</v>
      </c>
      <c r="J287" s="153">
        <v>15.3</v>
      </c>
      <c r="K287" s="153">
        <v>16.3</v>
      </c>
      <c r="L287" s="153">
        <v>18.2</v>
      </c>
      <c r="M287" s="153">
        <v>19.899999999999999</v>
      </c>
      <c r="N287" s="153">
        <v>21.7</v>
      </c>
      <c r="O287" s="153">
        <v>19</v>
      </c>
    </row>
    <row r="288" spans="1:15" x14ac:dyDescent="0.25">
      <c r="A288" s="152" t="s">
        <v>226</v>
      </c>
      <c r="B288" s="152" t="s">
        <v>211</v>
      </c>
      <c r="C288" s="153">
        <v>25.8</v>
      </c>
      <c r="D288" s="153">
        <v>25.2</v>
      </c>
      <c r="E288" s="153">
        <v>25.2</v>
      </c>
      <c r="F288" s="153">
        <v>25.3</v>
      </c>
      <c r="G288" s="153">
        <v>25.4</v>
      </c>
      <c r="H288" s="153">
        <v>25.3</v>
      </c>
      <c r="I288" s="153">
        <v>25.1</v>
      </c>
      <c r="J288" s="153">
        <v>25.5</v>
      </c>
      <c r="K288" s="153">
        <v>25.8</v>
      </c>
      <c r="L288" s="153">
        <v>26.3</v>
      </c>
      <c r="M288" s="153">
        <v>26.6</v>
      </c>
      <c r="N288" s="153">
        <v>26.6</v>
      </c>
      <c r="O288" s="153">
        <v>25.7</v>
      </c>
    </row>
    <row r="289" spans="1:15" x14ac:dyDescent="0.25">
      <c r="A289" s="152" t="s">
        <v>227</v>
      </c>
      <c r="B289" s="152" t="s">
        <v>211</v>
      </c>
      <c r="C289" s="153">
        <v>25.7</v>
      </c>
      <c r="D289" s="153">
        <v>25</v>
      </c>
      <c r="E289" s="153">
        <v>25</v>
      </c>
      <c r="F289" s="153">
        <v>24.8</v>
      </c>
      <c r="G289" s="153">
        <v>25.1</v>
      </c>
      <c r="H289" s="153">
        <v>25.2</v>
      </c>
      <c r="I289" s="153">
        <v>25.1</v>
      </c>
      <c r="J289" s="153">
        <v>25.4</v>
      </c>
      <c r="K289" s="153">
        <v>25.8</v>
      </c>
      <c r="L289" s="153">
        <v>26.3</v>
      </c>
      <c r="M289" s="153">
        <v>26.5</v>
      </c>
      <c r="N289" s="153">
        <v>26.5</v>
      </c>
      <c r="O289" s="153">
        <v>25.5</v>
      </c>
    </row>
    <row r="290" spans="1:15" x14ac:dyDescent="0.25">
      <c r="A290" s="152" t="s">
        <v>381</v>
      </c>
      <c r="B290" s="152" t="s">
        <v>357</v>
      </c>
      <c r="C290" s="153">
        <v>23.2</v>
      </c>
      <c r="D290" s="153">
        <v>23.6</v>
      </c>
      <c r="E290" s="153">
        <v>22.7</v>
      </c>
      <c r="F290" s="153">
        <v>21</v>
      </c>
      <c r="G290" s="153">
        <v>18.399999999999999</v>
      </c>
      <c r="H290" s="153">
        <v>16.5</v>
      </c>
      <c r="I290" s="153">
        <v>16.5</v>
      </c>
      <c r="J290" s="153">
        <v>18.100000000000001</v>
      </c>
      <c r="K290" s="153">
        <v>19.600000000000001</v>
      </c>
      <c r="L290" s="153">
        <v>21.3</v>
      </c>
      <c r="M290" s="153">
        <v>22.1</v>
      </c>
      <c r="N290" s="153">
        <v>22.4</v>
      </c>
      <c r="O290" s="153">
        <v>20.399999999999999</v>
      </c>
    </row>
    <row r="291" spans="1:15" x14ac:dyDescent="0.25">
      <c r="A291" s="152" t="s">
        <v>244</v>
      </c>
      <c r="B291" s="152" t="s">
        <v>235</v>
      </c>
      <c r="C291" s="153">
        <v>22.6</v>
      </c>
      <c r="D291" s="153">
        <v>21.9</v>
      </c>
      <c r="E291" s="153">
        <v>21.5</v>
      </c>
      <c r="F291" s="153">
        <v>21</v>
      </c>
      <c r="G291" s="153">
        <v>20.100000000000001</v>
      </c>
      <c r="H291" s="153">
        <v>19</v>
      </c>
      <c r="I291" s="153">
        <v>18.399999999999999</v>
      </c>
      <c r="J291" s="153">
        <v>19.2</v>
      </c>
      <c r="K291" s="153">
        <v>20.8</v>
      </c>
      <c r="L291" s="153">
        <v>22.5</v>
      </c>
      <c r="M291" s="153">
        <v>23.1</v>
      </c>
      <c r="N291" s="153">
        <v>23</v>
      </c>
      <c r="O291" s="153">
        <v>21.1</v>
      </c>
    </row>
    <row r="292" spans="1:15" x14ac:dyDescent="0.25">
      <c r="A292" s="152" t="s">
        <v>228</v>
      </c>
      <c r="B292" s="152" t="s">
        <v>211</v>
      </c>
      <c r="C292" s="153">
        <v>26.1</v>
      </c>
      <c r="D292" s="153">
        <v>25.9</v>
      </c>
      <c r="E292" s="153">
        <v>26.1</v>
      </c>
      <c r="F292" s="153">
        <v>26.3</v>
      </c>
      <c r="G292" s="153">
        <v>26.6</v>
      </c>
      <c r="H292" s="153">
        <v>26.5</v>
      </c>
      <c r="I292" s="153">
        <v>26.3</v>
      </c>
      <c r="J292" s="153">
        <v>26.6</v>
      </c>
      <c r="K292" s="153">
        <v>27</v>
      </c>
      <c r="L292" s="153">
        <v>27.4</v>
      </c>
      <c r="M292" s="153">
        <v>27.2</v>
      </c>
      <c r="N292" s="153">
        <v>26.6</v>
      </c>
      <c r="O292" s="153">
        <v>26.6</v>
      </c>
    </row>
    <row r="293" spans="1:15" x14ac:dyDescent="0.25">
      <c r="A293" s="152" t="s">
        <v>382</v>
      </c>
      <c r="B293" s="152" t="s">
        <v>357</v>
      </c>
      <c r="C293" s="153">
        <v>25</v>
      </c>
      <c r="D293" s="153">
        <v>25.2</v>
      </c>
      <c r="E293" s="153">
        <v>24.5</v>
      </c>
      <c r="F293" s="153">
        <v>22.6</v>
      </c>
      <c r="G293" s="153">
        <v>20.2</v>
      </c>
      <c r="H293" s="153">
        <v>18.399999999999999</v>
      </c>
      <c r="I293" s="153">
        <v>17.7</v>
      </c>
      <c r="J293" s="153">
        <v>19</v>
      </c>
      <c r="K293" s="153">
        <v>19.8</v>
      </c>
      <c r="L293" s="153">
        <v>21.2</v>
      </c>
      <c r="M293" s="153">
        <v>22.6</v>
      </c>
      <c r="N293" s="153">
        <v>23.9</v>
      </c>
      <c r="O293" s="153">
        <v>21.7</v>
      </c>
    </row>
    <row r="294" spans="1:15" x14ac:dyDescent="0.25">
      <c r="A294" s="152" t="s">
        <v>195</v>
      </c>
      <c r="B294" s="152" t="s">
        <v>148</v>
      </c>
      <c r="C294" s="153">
        <v>23.5</v>
      </c>
      <c r="D294" s="153">
        <v>23.5</v>
      </c>
      <c r="E294" s="153">
        <v>23.5</v>
      </c>
      <c r="F294" s="153">
        <v>22.2</v>
      </c>
      <c r="G294" s="153">
        <v>19.8</v>
      </c>
      <c r="H294" s="153">
        <v>18.8</v>
      </c>
      <c r="I294" s="153">
        <v>18.5</v>
      </c>
      <c r="J294" s="153">
        <v>20.9</v>
      </c>
      <c r="K294" s="153">
        <v>22.6</v>
      </c>
      <c r="L294" s="153">
        <v>23.2</v>
      </c>
      <c r="M294" s="153">
        <v>23.3</v>
      </c>
      <c r="N294" s="153">
        <v>23.1</v>
      </c>
      <c r="O294" s="153">
        <v>21.9</v>
      </c>
    </row>
    <row r="295" spans="1:15" x14ac:dyDescent="0.25">
      <c r="A295" s="152" t="s">
        <v>335</v>
      </c>
      <c r="B295" s="152" t="s">
        <v>308</v>
      </c>
      <c r="C295" s="153">
        <v>25.9</v>
      </c>
      <c r="D295" s="153">
        <v>25.1</v>
      </c>
      <c r="E295" s="153">
        <v>23.1</v>
      </c>
      <c r="F295" s="153">
        <v>19.8</v>
      </c>
      <c r="G295" s="153">
        <v>16.8</v>
      </c>
      <c r="H295" s="153">
        <v>13.8</v>
      </c>
      <c r="I295" s="153">
        <v>14.2</v>
      </c>
      <c r="J295" s="153">
        <v>14.6</v>
      </c>
      <c r="K295" s="153">
        <v>17.100000000000001</v>
      </c>
      <c r="L295" s="153">
        <v>19.600000000000001</v>
      </c>
      <c r="M295" s="153">
        <v>22.3</v>
      </c>
      <c r="N295" s="153">
        <v>24.7</v>
      </c>
      <c r="O295" s="153">
        <v>19.7</v>
      </c>
    </row>
    <row r="296" spans="1:15" x14ac:dyDescent="0.25">
      <c r="A296" s="152" t="s">
        <v>350</v>
      </c>
      <c r="B296" s="152" t="s">
        <v>338</v>
      </c>
      <c r="C296" s="153">
        <v>23.8</v>
      </c>
      <c r="D296" s="153">
        <v>23.9</v>
      </c>
      <c r="E296" s="153">
        <v>22.7</v>
      </c>
      <c r="F296" s="153">
        <v>19.8</v>
      </c>
      <c r="G296" s="153">
        <v>17</v>
      </c>
      <c r="H296" s="153">
        <v>14.9</v>
      </c>
      <c r="I296" s="153">
        <v>14.7</v>
      </c>
      <c r="J296" s="153">
        <v>15.7</v>
      </c>
      <c r="K296" s="153">
        <v>17.100000000000001</v>
      </c>
      <c r="L296" s="153">
        <v>19</v>
      </c>
      <c r="M296" s="153">
        <v>21</v>
      </c>
      <c r="N296" s="153">
        <v>22.8</v>
      </c>
      <c r="O296" s="153">
        <v>19.399999999999999</v>
      </c>
    </row>
    <row r="297" spans="1:15" x14ac:dyDescent="0.25">
      <c r="A297" s="152" t="s">
        <v>336</v>
      </c>
      <c r="B297" s="152" t="s">
        <v>308</v>
      </c>
      <c r="C297" s="153">
        <v>19.399999999999999</v>
      </c>
      <c r="D297" s="153">
        <v>19.7</v>
      </c>
      <c r="E297" s="153">
        <v>18</v>
      </c>
      <c r="F297" s="153">
        <v>14.9</v>
      </c>
      <c r="G297" s="153">
        <v>12.5</v>
      </c>
      <c r="H297" s="153">
        <v>10.8</v>
      </c>
      <c r="I297" s="153">
        <v>10.9</v>
      </c>
      <c r="J297" s="153">
        <v>11.7</v>
      </c>
      <c r="K297" s="153">
        <v>13.2</v>
      </c>
      <c r="L297" s="153">
        <v>15.4</v>
      </c>
      <c r="M297" s="153">
        <v>17.100000000000001</v>
      </c>
      <c r="N297" s="153">
        <v>18.600000000000001</v>
      </c>
      <c r="O297" s="153">
        <v>15.2</v>
      </c>
    </row>
    <row r="298" spans="1:15" x14ac:dyDescent="0.25">
      <c r="A298" s="152" t="s">
        <v>295</v>
      </c>
      <c r="B298" s="152" t="s">
        <v>269</v>
      </c>
      <c r="C298" s="153">
        <v>23.6</v>
      </c>
      <c r="D298" s="153">
        <v>24</v>
      </c>
      <c r="E298" s="153">
        <v>23.2</v>
      </c>
      <c r="F298" s="153">
        <v>21.3</v>
      </c>
      <c r="G298" s="153">
        <v>19</v>
      </c>
      <c r="H298" s="153">
        <v>17.600000000000001</v>
      </c>
      <c r="I298" s="153">
        <v>17.2</v>
      </c>
      <c r="J298" s="153">
        <v>18.600000000000001</v>
      </c>
      <c r="K298" s="153">
        <v>19.7</v>
      </c>
      <c r="L298" s="153">
        <v>20.9</v>
      </c>
      <c r="M298" s="153">
        <v>21.9</v>
      </c>
      <c r="N298" s="153">
        <v>22.9</v>
      </c>
      <c r="O298" s="153">
        <v>20.8</v>
      </c>
    </row>
    <row r="299" spans="1:15" x14ac:dyDescent="0.25">
      <c r="A299" s="152" t="s">
        <v>196</v>
      </c>
      <c r="B299" s="152" t="s">
        <v>148</v>
      </c>
      <c r="C299" s="153">
        <v>22.1</v>
      </c>
      <c r="D299" s="153">
        <v>22.2</v>
      </c>
      <c r="E299" s="153">
        <v>21.8</v>
      </c>
      <c r="F299" s="153">
        <v>19.7</v>
      </c>
      <c r="G299" s="153">
        <v>17.2</v>
      </c>
      <c r="H299" s="153">
        <v>15.9</v>
      </c>
      <c r="I299" s="153">
        <v>15.5</v>
      </c>
      <c r="J299" s="153">
        <v>16.899999999999999</v>
      </c>
      <c r="K299" s="153">
        <v>18.5</v>
      </c>
      <c r="L299" s="153">
        <v>20.2</v>
      </c>
      <c r="M299" s="153">
        <v>21.1</v>
      </c>
      <c r="N299" s="153">
        <v>21.5</v>
      </c>
      <c r="O299" s="153">
        <v>19.399999999999999</v>
      </c>
    </row>
    <row r="300" spans="1:15" x14ac:dyDescent="0.25">
      <c r="A300" s="152" t="s">
        <v>129</v>
      </c>
      <c r="B300" s="152" t="s">
        <v>126</v>
      </c>
      <c r="C300" s="153">
        <v>26.2</v>
      </c>
      <c r="D300" s="153">
        <v>26.7</v>
      </c>
      <c r="E300" s="153">
        <v>26.5</v>
      </c>
      <c r="F300" s="153">
        <v>25.1</v>
      </c>
      <c r="G300" s="153">
        <v>23.3</v>
      </c>
      <c r="H300" s="153">
        <v>22.3</v>
      </c>
      <c r="I300" s="153">
        <v>21.6</v>
      </c>
      <c r="J300" s="153">
        <v>22.2</v>
      </c>
      <c r="K300" s="153">
        <v>22.8</v>
      </c>
      <c r="L300" s="153">
        <v>23.5</v>
      </c>
      <c r="M300" s="153">
        <v>24.4</v>
      </c>
      <c r="N300" s="153">
        <v>25.5</v>
      </c>
      <c r="O300" s="153">
        <v>24.2</v>
      </c>
    </row>
    <row r="301" spans="1:15" x14ac:dyDescent="0.25">
      <c r="A301" s="152" t="s">
        <v>383</v>
      </c>
      <c r="B301" s="152" t="s">
        <v>357</v>
      </c>
      <c r="C301" s="153">
        <v>24.9</v>
      </c>
      <c r="D301" s="153">
        <v>25.1</v>
      </c>
      <c r="E301" s="153">
        <v>25</v>
      </c>
      <c r="F301" s="153">
        <v>24.2</v>
      </c>
      <c r="G301" s="153">
        <v>21.9</v>
      </c>
      <c r="H301" s="153">
        <v>20.100000000000001</v>
      </c>
      <c r="I301" s="153">
        <v>20.2</v>
      </c>
      <c r="J301" s="153">
        <v>22.5</v>
      </c>
      <c r="K301" s="153">
        <v>23.2</v>
      </c>
      <c r="L301" s="153">
        <v>24.8</v>
      </c>
      <c r="M301" s="153">
        <v>25.4</v>
      </c>
      <c r="N301" s="153">
        <v>25</v>
      </c>
      <c r="O301" s="153">
        <v>23.5</v>
      </c>
    </row>
    <row r="302" spans="1:15" x14ac:dyDescent="0.25">
      <c r="A302" s="152" t="s">
        <v>351</v>
      </c>
      <c r="B302" s="152" t="s">
        <v>338</v>
      </c>
      <c r="C302" s="153">
        <v>21.2</v>
      </c>
      <c r="D302" s="153">
        <v>21.3</v>
      </c>
      <c r="E302" s="153">
        <v>20.3</v>
      </c>
      <c r="F302" s="153">
        <v>17.5</v>
      </c>
      <c r="G302" s="153">
        <v>15.1</v>
      </c>
      <c r="H302" s="153">
        <v>13.2</v>
      </c>
      <c r="I302" s="153">
        <v>13.7</v>
      </c>
      <c r="J302" s="153">
        <v>14.7</v>
      </c>
      <c r="K302" s="153">
        <v>16</v>
      </c>
      <c r="L302" s="153">
        <v>17.5</v>
      </c>
      <c r="M302" s="153">
        <v>19.2</v>
      </c>
      <c r="N302" s="153">
        <v>20.7</v>
      </c>
      <c r="O302" s="153">
        <v>17.5</v>
      </c>
    </row>
    <row r="303" spans="1:15" x14ac:dyDescent="0.25">
      <c r="A303" s="152" t="s">
        <v>147</v>
      </c>
      <c r="B303" s="152" t="s">
        <v>140</v>
      </c>
      <c r="C303" s="153">
        <v>25.6</v>
      </c>
      <c r="D303" s="153">
        <v>25.7</v>
      </c>
      <c r="E303" s="153">
        <v>25.6</v>
      </c>
      <c r="F303" s="153">
        <v>26.1</v>
      </c>
      <c r="G303" s="153">
        <v>26.3</v>
      </c>
      <c r="H303" s="153">
        <v>26</v>
      </c>
      <c r="I303" s="153">
        <v>25.8</v>
      </c>
      <c r="J303" s="153">
        <v>25.9</v>
      </c>
      <c r="K303" s="153">
        <v>26.4</v>
      </c>
      <c r="L303" s="153">
        <v>27.3</v>
      </c>
      <c r="M303" s="153">
        <v>27.4</v>
      </c>
      <c r="N303" s="153">
        <v>26.6</v>
      </c>
      <c r="O303" s="153">
        <v>26.2</v>
      </c>
    </row>
    <row r="304" spans="1:15" x14ac:dyDescent="0.25">
      <c r="A304" s="16"/>
      <c r="B304" s="16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</row>
    <row r="305" spans="1:15" x14ac:dyDescent="0.25">
      <c r="A305" s="16"/>
      <c r="B305" s="16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</row>
    <row r="306" spans="1:15" x14ac:dyDescent="0.25">
      <c r="A306" s="16"/>
      <c r="B306" s="16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</row>
    <row r="307" spans="1:15" x14ac:dyDescent="0.25">
      <c r="A307" s="16"/>
      <c r="B307" s="16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</row>
    <row r="308" spans="1:15" x14ac:dyDescent="0.25">
      <c r="A308" s="16"/>
      <c r="B308" s="16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</row>
    <row r="309" spans="1:15" x14ac:dyDescent="0.25">
      <c r="A309" s="16"/>
      <c r="B309" s="16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</row>
    <row r="310" spans="1:15" x14ac:dyDescent="0.25">
      <c r="A310" s="16"/>
      <c r="B310" s="16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</row>
    <row r="311" spans="1:15" x14ac:dyDescent="0.25">
      <c r="A311" s="16"/>
      <c r="B311" s="16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</row>
    <row r="312" spans="1:15" x14ac:dyDescent="0.25">
      <c r="A312" s="16"/>
      <c r="B312" s="16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</row>
    <row r="313" spans="1:15" x14ac:dyDescent="0.25">
      <c r="A313" s="16"/>
      <c r="B313" s="16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</row>
    <row r="314" spans="1:15" x14ac:dyDescent="0.25">
      <c r="A314" s="16"/>
      <c r="B314" s="16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</row>
    <row r="315" spans="1:15" x14ac:dyDescent="0.25">
      <c r="A315" s="16"/>
      <c r="B315" s="16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</row>
    <row r="316" spans="1:15" x14ac:dyDescent="0.25">
      <c r="A316" s="16"/>
      <c r="B316" s="16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</row>
    <row r="317" spans="1:15" x14ac:dyDescent="0.25">
      <c r="A317" s="16"/>
      <c r="B317" s="16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</row>
    <row r="318" spans="1:15" x14ac:dyDescent="0.25">
      <c r="A318" s="16"/>
      <c r="B318" s="16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</row>
    <row r="319" spans="1:15" x14ac:dyDescent="0.25">
      <c r="A319" s="16"/>
      <c r="B319" s="16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</row>
    <row r="320" spans="1:15" x14ac:dyDescent="0.25">
      <c r="A320" s="16"/>
      <c r="B320" s="16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</row>
    <row r="321" spans="1:15" x14ac:dyDescent="0.25">
      <c r="A321" s="16"/>
      <c r="B321" s="16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</row>
    <row r="322" spans="1:15" x14ac:dyDescent="0.25">
      <c r="A322" s="16"/>
      <c r="B322" s="16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</row>
    <row r="323" spans="1:15" x14ac:dyDescent="0.25">
      <c r="A323" s="16"/>
      <c r="B323" s="16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</row>
    <row r="324" spans="1:15" x14ac:dyDescent="0.25">
      <c r="A324" s="16"/>
      <c r="B324" s="16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</row>
    <row r="325" spans="1:15" x14ac:dyDescent="0.25">
      <c r="A325" s="16"/>
      <c r="B325" s="16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</row>
    <row r="326" spans="1:15" x14ac:dyDescent="0.25">
      <c r="A326" s="16"/>
      <c r="B326" s="16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</row>
    <row r="327" spans="1:15" x14ac:dyDescent="0.25">
      <c r="A327" s="16"/>
      <c r="B327" s="16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</row>
    <row r="328" spans="1:15" x14ac:dyDescent="0.25">
      <c r="A328" s="16"/>
      <c r="B328" s="16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</row>
    <row r="329" spans="1:15" x14ac:dyDescent="0.25">
      <c r="A329" s="16"/>
      <c r="B329" s="16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</row>
    <row r="330" spans="1:15" x14ac:dyDescent="0.25">
      <c r="A330" s="16"/>
      <c r="B330" s="16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</row>
  </sheetData>
  <mergeCells count="2">
    <mergeCell ref="A1:N2"/>
    <mergeCell ref="A3:N3"/>
  </mergeCells>
  <conditionalFormatting sqref="A5:B137 A139:B260 A269">
    <cfRule type="expression" dxfId="1" priority="1" stopIfTrue="1">
      <formula>NOT(ISERROR(SEARCH("VERF",A5)))</formula>
    </cfRule>
  </conditionalFormatting>
  <conditionalFormatting sqref="B304:N320 A304:A330 B321:O321 B322:N330">
    <cfRule type="containsText" dxfId="0" priority="2" stopIfTrue="1" operator="containsText" text="VERF">
      <formula>NOT(ISERROR(SEARCH("VERF",A304)))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I2:R25"/>
  <sheetViews>
    <sheetView topLeftCell="A7" zoomScale="85" zoomScaleNormal="85" workbookViewId="0">
      <selection activeCell="J3" sqref="J3"/>
    </sheetView>
  </sheetViews>
  <sheetFormatPr defaultRowHeight="15" x14ac:dyDescent="0.25"/>
  <cols>
    <col min="1" max="7" width="9.140625" style="9"/>
    <col min="8" max="8" width="10.42578125" style="9" bestFit="1" customWidth="1"/>
    <col min="9" max="9" width="15.85546875" style="9" customWidth="1"/>
    <col min="10" max="10" width="17.28515625" style="9" customWidth="1"/>
    <col min="11" max="16384" width="9.140625" style="9"/>
  </cols>
  <sheetData>
    <row r="2" spans="9:10" x14ac:dyDescent="0.25">
      <c r="I2" s="241" t="s">
        <v>543</v>
      </c>
      <c r="J2" s="242"/>
    </row>
    <row r="3" spans="9:10" x14ac:dyDescent="0.25">
      <c r="I3" s="3" t="s">
        <v>50</v>
      </c>
      <c r="J3" s="47">
        <f>'Análise Técnica'!I9</f>
        <v>911.23719790949986</v>
      </c>
    </row>
    <row r="4" spans="9:10" x14ac:dyDescent="0.25">
      <c r="I4" s="3" t="s">
        <v>51</v>
      </c>
      <c r="J4" s="47">
        <f>'Análise Técnica'!J9</f>
        <v>959.73166223549981</v>
      </c>
    </row>
    <row r="5" spans="9:10" x14ac:dyDescent="0.25">
      <c r="I5" s="3" t="s">
        <v>52</v>
      </c>
      <c r="J5" s="47">
        <f>'Análise Técnica'!K9</f>
        <v>805.38641229375025</v>
      </c>
    </row>
    <row r="6" spans="9:10" x14ac:dyDescent="0.25">
      <c r="I6" s="3" t="s">
        <v>53</v>
      </c>
      <c r="J6" s="47">
        <f>'Análise Técnica'!L9</f>
        <v>714.19120189200009</v>
      </c>
    </row>
    <row r="7" spans="9:10" x14ac:dyDescent="0.25">
      <c r="I7" s="3" t="s">
        <v>54</v>
      </c>
      <c r="J7" s="47">
        <f>'Análise Técnica'!M9</f>
        <v>588.15921260250013</v>
      </c>
    </row>
    <row r="8" spans="9:10" x14ac:dyDescent="0.25">
      <c r="I8" s="3" t="s">
        <v>55</v>
      </c>
      <c r="J8" s="47">
        <f>'Análise Técnica'!N9</f>
        <v>543.92439717000013</v>
      </c>
    </row>
    <row r="9" spans="9:10" x14ac:dyDescent="0.25">
      <c r="I9" s="3" t="s">
        <v>56</v>
      </c>
      <c r="J9" s="47">
        <f>'Análise Técnica'!O9</f>
        <v>543.8499277837501</v>
      </c>
    </row>
    <row r="10" spans="9:10" x14ac:dyDescent="0.25">
      <c r="I10" s="3" t="s">
        <v>57</v>
      </c>
      <c r="J10" s="47">
        <f>'Análise Técnica'!P9</f>
        <v>672.51813334650001</v>
      </c>
    </row>
    <row r="11" spans="9:10" x14ac:dyDescent="0.25">
      <c r="I11" s="3" t="s">
        <v>58</v>
      </c>
      <c r="J11" s="47">
        <f>'Análise Técnica'!Q9</f>
        <v>683.09278619400015</v>
      </c>
    </row>
    <row r="12" spans="9:10" x14ac:dyDescent="0.25">
      <c r="I12" s="3" t="s">
        <v>59</v>
      </c>
      <c r="J12" s="47">
        <f>'Análise Técnica'!R9</f>
        <v>764.17505394299997</v>
      </c>
    </row>
    <row r="13" spans="9:10" x14ac:dyDescent="0.25">
      <c r="I13" s="3" t="s">
        <v>60</v>
      </c>
      <c r="J13" s="47">
        <f>'Análise Técnica'!S9</f>
        <v>769.68578852550002</v>
      </c>
    </row>
    <row r="14" spans="9:10" x14ac:dyDescent="0.25">
      <c r="I14" s="3" t="s">
        <v>61</v>
      </c>
      <c r="J14" s="47">
        <f>'Análise Técnica'!T9</f>
        <v>883.05798215250002</v>
      </c>
    </row>
    <row r="15" spans="9:10" x14ac:dyDescent="0.25">
      <c r="J15" s="204">
        <f>SUM(J3:J14)/12</f>
        <v>736.58414633737505</v>
      </c>
    </row>
    <row r="25" spans="18:18" x14ac:dyDescent="0.25">
      <c r="R25" s="219"/>
    </row>
  </sheetData>
  <mergeCells count="1">
    <mergeCell ref="I2:J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6"/>
  <sheetViews>
    <sheetView tabSelected="1" topLeftCell="A10" zoomScaleNormal="100" workbookViewId="0">
      <selection activeCell="D21" sqref="D21"/>
    </sheetView>
  </sheetViews>
  <sheetFormatPr defaultRowHeight="15" x14ac:dyDescent="0.25"/>
  <cols>
    <col min="1" max="1" width="43.7109375" customWidth="1"/>
    <col min="2" max="2" width="13.28515625" customWidth="1"/>
    <col min="3" max="3" width="12.7109375" customWidth="1"/>
    <col min="4" max="4" width="15.5703125" customWidth="1"/>
    <col min="5" max="5" width="19.28515625" customWidth="1"/>
    <col min="6" max="6" width="10" bestFit="1" customWidth="1"/>
    <col min="7" max="7" width="19.28515625" customWidth="1"/>
    <col min="8" max="8" width="35.28515625" customWidth="1"/>
    <col min="9" max="9" width="12.42578125" customWidth="1"/>
    <col min="10" max="10" width="5" customWidth="1"/>
  </cols>
  <sheetData>
    <row r="1" spans="1:8" x14ac:dyDescent="0.25">
      <c r="A1" s="205" t="s">
        <v>546</v>
      </c>
      <c r="B1" s="205" t="s">
        <v>547</v>
      </c>
      <c r="C1" s="205" t="s">
        <v>548</v>
      </c>
      <c r="D1" s="220" t="s">
        <v>0</v>
      </c>
      <c r="E1" s="230" t="s">
        <v>577</v>
      </c>
      <c r="F1" s="217"/>
      <c r="G1" s="217"/>
    </row>
    <row r="2" spans="1:8" x14ac:dyDescent="0.25">
      <c r="A2" s="225">
        <f>'Análise Técnica'!C22</f>
        <v>6.3</v>
      </c>
      <c r="B2" s="207">
        <v>1</v>
      </c>
      <c r="C2" s="208">
        <v>9726.4599999999991</v>
      </c>
      <c r="D2" s="221">
        <v>9641.68</v>
      </c>
      <c r="E2" s="222">
        <f>(C2*7%)+ C2</f>
        <v>10407.312199999998</v>
      </c>
      <c r="F2" s="223"/>
      <c r="G2" s="222"/>
    </row>
    <row r="3" spans="1:8" x14ac:dyDescent="0.25">
      <c r="A3" s="206"/>
      <c r="B3" s="207"/>
      <c r="C3" s="208"/>
      <c r="D3" s="221"/>
      <c r="E3" s="9"/>
      <c r="F3" s="224"/>
      <c r="G3" s="217"/>
    </row>
    <row r="4" spans="1:8" x14ac:dyDescent="0.25">
      <c r="A4" s="206" t="s">
        <v>569</v>
      </c>
      <c r="B4" s="207">
        <v>100</v>
      </c>
      <c r="C4" s="208">
        <v>3</v>
      </c>
      <c r="D4" s="221">
        <f t="shared" ref="D4:D18" si="0">C4*B4</f>
        <v>300</v>
      </c>
      <c r="E4" s="222">
        <v>300</v>
      </c>
      <c r="F4" s="9"/>
      <c r="G4" s="9"/>
    </row>
    <row r="5" spans="1:8" x14ac:dyDescent="0.25">
      <c r="A5" s="206" t="s">
        <v>549</v>
      </c>
      <c r="B5" s="207">
        <v>0</v>
      </c>
      <c r="C5" s="208">
        <v>50</v>
      </c>
      <c r="D5" s="221">
        <f t="shared" si="0"/>
        <v>0</v>
      </c>
      <c r="E5">
        <v>150</v>
      </c>
      <c r="F5" s="222"/>
      <c r="G5" s="217"/>
    </row>
    <row r="6" spans="1:8" x14ac:dyDescent="0.25">
      <c r="A6" s="206" t="s">
        <v>576</v>
      </c>
      <c r="B6" s="207">
        <v>0</v>
      </c>
      <c r="C6" s="208">
        <v>4</v>
      </c>
      <c r="D6" s="208">
        <f t="shared" si="0"/>
        <v>0</v>
      </c>
      <c r="E6">
        <v>400</v>
      </c>
      <c r="F6" s="222"/>
      <c r="G6" s="217"/>
    </row>
    <row r="7" spans="1:8" x14ac:dyDescent="0.25">
      <c r="A7" s="206" t="s">
        <v>550</v>
      </c>
      <c r="B7" s="207">
        <v>0</v>
      </c>
      <c r="C7" s="208">
        <v>1</v>
      </c>
      <c r="D7" s="208">
        <f t="shared" si="0"/>
        <v>0</v>
      </c>
      <c r="E7">
        <v>60</v>
      </c>
    </row>
    <row r="8" spans="1:8" x14ac:dyDescent="0.25">
      <c r="A8" s="206" t="s">
        <v>551</v>
      </c>
      <c r="B8" s="207">
        <v>0</v>
      </c>
      <c r="C8" s="208">
        <v>1</v>
      </c>
      <c r="D8" s="208">
        <f t="shared" si="0"/>
        <v>0</v>
      </c>
      <c r="E8">
        <v>800</v>
      </c>
      <c r="F8">
        <v>4219</v>
      </c>
      <c r="G8" s="217"/>
    </row>
    <row r="9" spans="1:8" x14ac:dyDescent="0.25">
      <c r="A9" s="206" t="s">
        <v>552</v>
      </c>
      <c r="B9" s="207">
        <v>0</v>
      </c>
      <c r="C9" s="208">
        <v>80</v>
      </c>
      <c r="D9" s="208">
        <f t="shared" si="0"/>
        <v>0</v>
      </c>
      <c r="H9" s="217"/>
    </row>
    <row r="10" spans="1:8" x14ac:dyDescent="0.25">
      <c r="A10" s="206" t="s">
        <v>553</v>
      </c>
      <c r="B10" s="207">
        <v>0</v>
      </c>
      <c r="C10" s="208">
        <v>130</v>
      </c>
      <c r="D10" s="208">
        <f t="shared" si="0"/>
        <v>0</v>
      </c>
      <c r="F10" t="s">
        <v>573</v>
      </c>
    </row>
    <row r="11" spans="1:8" x14ac:dyDescent="0.25">
      <c r="A11" s="206" t="s">
        <v>554</v>
      </c>
      <c r="B11" s="207">
        <v>0</v>
      </c>
      <c r="C11" s="208">
        <v>70</v>
      </c>
      <c r="D11" s="208">
        <f t="shared" si="0"/>
        <v>0</v>
      </c>
      <c r="E11">
        <v>70</v>
      </c>
      <c r="F11">
        <v>1054</v>
      </c>
    </row>
    <row r="12" spans="1:8" x14ac:dyDescent="0.25">
      <c r="A12" s="206" t="s">
        <v>555</v>
      </c>
      <c r="B12" s="207">
        <v>0</v>
      </c>
      <c r="C12" s="208">
        <v>200</v>
      </c>
      <c r="D12" s="208">
        <f t="shared" si="0"/>
        <v>0</v>
      </c>
      <c r="F12" s="229">
        <v>22300</v>
      </c>
    </row>
    <row r="13" spans="1:8" x14ac:dyDescent="0.25">
      <c r="A13" s="206" t="s">
        <v>556</v>
      </c>
      <c r="B13" s="207">
        <v>0</v>
      </c>
      <c r="C13" s="208">
        <v>60</v>
      </c>
      <c r="D13" s="208">
        <f t="shared" si="0"/>
        <v>0</v>
      </c>
      <c r="E13">
        <v>60</v>
      </c>
      <c r="F13" s="229">
        <v>15000</v>
      </c>
      <c r="G13" t="s">
        <v>572</v>
      </c>
    </row>
    <row r="14" spans="1:8" x14ac:dyDescent="0.25">
      <c r="A14" s="206" t="s">
        <v>568</v>
      </c>
      <c r="B14" s="207">
        <v>0</v>
      </c>
      <c r="C14" s="208">
        <v>150</v>
      </c>
      <c r="D14" s="208">
        <f t="shared" si="0"/>
        <v>0</v>
      </c>
      <c r="E14">
        <v>300</v>
      </c>
    </row>
    <row r="15" spans="1:8" x14ac:dyDescent="0.25">
      <c r="A15" s="206" t="s">
        <v>565</v>
      </c>
      <c r="B15" s="207">
        <v>0</v>
      </c>
      <c r="C15" s="208">
        <v>0</v>
      </c>
      <c r="D15" s="208">
        <f>D2*3%</f>
        <v>289.25040000000001</v>
      </c>
    </row>
    <row r="16" spans="1:8" x14ac:dyDescent="0.25">
      <c r="A16" s="206" t="s">
        <v>566</v>
      </c>
      <c r="B16" s="207">
        <v>0</v>
      </c>
      <c r="C16" s="208">
        <v>200</v>
      </c>
      <c r="D16" s="208">
        <f t="shared" si="0"/>
        <v>0</v>
      </c>
    </row>
    <row r="17" spans="1:11" x14ac:dyDescent="0.25">
      <c r="A17" s="206" t="s">
        <v>567</v>
      </c>
      <c r="B17" s="207">
        <v>0</v>
      </c>
      <c r="C17" s="208">
        <v>1200</v>
      </c>
      <c r="D17" s="208">
        <f t="shared" si="0"/>
        <v>0</v>
      </c>
      <c r="E17" s="216">
        <f>SUM(E4:E16)</f>
        <v>2140</v>
      </c>
    </row>
    <row r="18" spans="1:11" x14ac:dyDescent="0.25">
      <c r="A18" s="206" t="s">
        <v>570</v>
      </c>
      <c r="B18" s="207">
        <v>0</v>
      </c>
      <c r="C18" s="208">
        <v>4000</v>
      </c>
      <c r="D18" s="208">
        <f t="shared" si="0"/>
        <v>0</v>
      </c>
    </row>
    <row r="19" spans="1:11" x14ac:dyDescent="0.25">
      <c r="A19" s="209" t="s">
        <v>557</v>
      </c>
      <c r="B19" s="209"/>
      <c r="C19" s="209"/>
      <c r="D19" s="210">
        <f>SUM(D2:D18)</f>
        <v>10230.930400000001</v>
      </c>
    </row>
    <row r="20" spans="1:11" x14ac:dyDescent="0.25">
      <c r="A20" s="131" t="s">
        <v>558</v>
      </c>
      <c r="B20" s="131"/>
      <c r="C20" s="131"/>
      <c r="D20" s="227">
        <v>0.36</v>
      </c>
      <c r="F20" s="216" t="s">
        <v>571</v>
      </c>
    </row>
    <row r="21" spans="1:11" x14ac:dyDescent="0.25">
      <c r="A21" s="131" t="s">
        <v>559</v>
      </c>
      <c r="B21" s="131"/>
      <c r="C21" s="131"/>
      <c r="D21" s="211">
        <f>D19*D20</f>
        <v>3683.1349440000004</v>
      </c>
      <c r="E21">
        <v>28998.02</v>
      </c>
      <c r="F21" s="216">
        <f>E21-D2</f>
        <v>19356.34</v>
      </c>
      <c r="H21" s="212" t="s">
        <v>560</v>
      </c>
      <c r="I21" s="213">
        <f>D19</f>
        <v>10230.930400000001</v>
      </c>
      <c r="J21" s="212"/>
      <c r="K21" s="212"/>
    </row>
    <row r="22" spans="1:11" x14ac:dyDescent="0.25">
      <c r="A22" s="131" t="s">
        <v>574</v>
      </c>
      <c r="B22" s="131"/>
      <c r="C22" s="131"/>
      <c r="D22" s="211">
        <v>0</v>
      </c>
      <c r="F22" s="216"/>
      <c r="H22" s="212"/>
      <c r="I22" s="213"/>
      <c r="J22" s="212"/>
      <c r="K22" s="212"/>
    </row>
    <row r="23" spans="1:11" x14ac:dyDescent="0.25">
      <c r="A23" s="131" t="s">
        <v>561</v>
      </c>
      <c r="B23" s="131"/>
      <c r="C23" s="131"/>
      <c r="D23" s="211">
        <f>((D19+D21+D22)-D2)*7.5%</f>
        <v>320.42890080000012</v>
      </c>
      <c r="E23" s="231" t="s">
        <v>579</v>
      </c>
      <c r="G23" s="231" t="s">
        <v>578</v>
      </c>
      <c r="H23" s="212" t="s">
        <v>562</v>
      </c>
      <c r="I23" s="213">
        <f>D23</f>
        <v>320.42890080000012</v>
      </c>
      <c r="J23" s="212"/>
      <c r="K23" s="212"/>
    </row>
    <row r="24" spans="1:11" x14ac:dyDescent="0.25">
      <c r="A24" s="214" t="s">
        <v>563</v>
      </c>
      <c r="B24" s="214"/>
      <c r="C24" s="214"/>
      <c r="D24" s="215">
        <f>D19+D21+D23+D22</f>
        <v>14234.494244800002</v>
      </c>
      <c r="E24" s="232">
        <f>$D$24-$D$2</f>
        <v>4592.8142448000017</v>
      </c>
      <c r="G24" s="232">
        <v>7269.9729124999976</v>
      </c>
      <c r="H24" s="212" t="s">
        <v>559</v>
      </c>
      <c r="I24" s="213">
        <f>D21</f>
        <v>3683.1349440000004</v>
      </c>
      <c r="J24" s="212"/>
      <c r="K24" s="213"/>
    </row>
    <row r="25" spans="1:11" x14ac:dyDescent="0.25">
      <c r="B25">
        <v>12</v>
      </c>
      <c r="C25" s="226"/>
      <c r="D25" s="216">
        <f t="shared" ref="D25:D31" si="1">B25*C25</f>
        <v>0</v>
      </c>
      <c r="E25" s="216">
        <f>E17+D10+D2</f>
        <v>11781.68</v>
      </c>
      <c r="H25" s="212" t="s">
        <v>564</v>
      </c>
      <c r="I25" s="213">
        <f>SUM(I21:I24)</f>
        <v>14234.4942448</v>
      </c>
      <c r="J25" s="212"/>
      <c r="K25" s="212"/>
    </row>
    <row r="26" spans="1:11" x14ac:dyDescent="0.25">
      <c r="B26">
        <v>24</v>
      </c>
      <c r="C26" s="226"/>
      <c r="D26" s="216">
        <f t="shared" si="1"/>
        <v>0</v>
      </c>
    </row>
    <row r="27" spans="1:11" x14ac:dyDescent="0.25">
      <c r="B27">
        <v>36</v>
      </c>
      <c r="C27" s="226"/>
      <c r="D27" s="216">
        <f t="shared" si="1"/>
        <v>0</v>
      </c>
      <c r="E27" s="229">
        <v>29000</v>
      </c>
      <c r="F27" s="9"/>
    </row>
    <row r="28" spans="1:11" x14ac:dyDescent="0.25">
      <c r="B28">
        <v>48</v>
      </c>
      <c r="C28" s="226"/>
      <c r="D28" s="216">
        <f t="shared" si="1"/>
        <v>0</v>
      </c>
    </row>
    <row r="29" spans="1:11" x14ac:dyDescent="0.25">
      <c r="B29">
        <v>60</v>
      </c>
      <c r="C29" s="226"/>
      <c r="D29" s="216">
        <f t="shared" si="1"/>
        <v>0</v>
      </c>
    </row>
    <row r="30" spans="1:11" x14ac:dyDescent="0.25">
      <c r="B30">
        <v>72</v>
      </c>
      <c r="C30" s="226"/>
      <c r="D30" s="216">
        <f t="shared" si="1"/>
        <v>0</v>
      </c>
      <c r="F30">
        <v>999668608</v>
      </c>
    </row>
    <row r="31" spans="1:11" x14ac:dyDescent="0.25">
      <c r="B31">
        <v>84</v>
      </c>
      <c r="C31" s="226"/>
      <c r="D31" s="216">
        <f t="shared" si="1"/>
        <v>0</v>
      </c>
      <c r="F31" t="s">
        <v>575</v>
      </c>
    </row>
    <row r="32" spans="1:11" x14ac:dyDescent="0.25">
      <c r="A32" s="228"/>
      <c r="B32" s="218"/>
      <c r="C32" s="218"/>
      <c r="D32" s="228"/>
    </row>
    <row r="33" spans="1:4" x14ac:dyDescent="0.25">
      <c r="A33" s="228"/>
      <c r="B33" s="218"/>
      <c r="C33" s="218" t="s">
        <v>580</v>
      </c>
      <c r="D33" s="228"/>
    </row>
    <row r="34" spans="1:4" x14ac:dyDescent="0.25">
      <c r="A34" s="218"/>
      <c r="B34" s="218"/>
      <c r="C34" s="218"/>
      <c r="D34" s="228"/>
    </row>
    <row r="35" spans="1:4" x14ac:dyDescent="0.25">
      <c r="A35" s="218"/>
      <c r="B35" s="218"/>
      <c r="C35" s="218"/>
      <c r="D35" s="218"/>
    </row>
    <row r="36" spans="1:4" x14ac:dyDescent="0.25">
      <c r="A36" s="218"/>
      <c r="B36" s="218"/>
      <c r="C36" s="218"/>
      <c r="D36" s="21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Inputs</vt:lpstr>
      <vt:lpstr>Irradiação Solar</vt:lpstr>
      <vt:lpstr>Análise Técnica</vt:lpstr>
      <vt:lpstr>Análise Financeira</vt:lpstr>
      <vt:lpstr>Correção K</vt:lpstr>
      <vt:lpstr>Temp. Média</vt:lpstr>
      <vt:lpstr>Gráficos</vt:lpstr>
      <vt:lpstr>Custos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2017-11-11T21:47:06Z</dcterms:created>
  <dcterms:modified xsi:type="dcterms:W3CDTF">2026-02-06T18:06:56Z</dcterms:modified>
</cp:coreProperties>
</file>