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el\Documents\RPGVXAce\Adventure\"/>
    </mc:Choice>
  </mc:AlternateContent>
  <bookViews>
    <workbookView xWindow="0" yWindow="0" windowWidth="20490" windowHeight="7530" firstSheet="8" activeTab="13" xr2:uid="{D5030FAB-5119-49EA-A44B-FED5D2E13C22}"/>
  </bookViews>
  <sheets>
    <sheet name="Skeleton Soldier" sheetId="1" r:id="rId1"/>
    <sheet name="Skeleton Swordsman" sheetId="9" r:id="rId2"/>
    <sheet name="Skeleton Mage" sheetId="10" r:id="rId3"/>
    <sheet name="Skeleton Priest" sheetId="11" r:id="rId4"/>
    <sheet name="Zombie" sheetId="5" r:id="rId5"/>
    <sheet name="SpiritPuppet" sheetId="6" r:id="rId6"/>
    <sheet name="Bounded Lesser Wind Spirit" sheetId="13" r:id="rId7"/>
    <sheet name="Bounded Wind Spirit" sheetId="14" r:id="rId8"/>
    <sheet name="Acolyte" sheetId="7" r:id="rId9"/>
    <sheet name="Death Knight" sheetId="8" r:id="rId10"/>
    <sheet name="VillianCanson" sheetId="4" r:id="rId11"/>
    <sheet name="Death Lord" sheetId="15" r:id="rId12"/>
    <sheet name="Goblin" sheetId="2" r:id="rId13"/>
    <sheet name="Slimes" sheetId="16" r:id="rId1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" i="16" l="1"/>
  <c r="H9" i="16"/>
  <c r="H10" i="16"/>
  <c r="H11" i="16"/>
  <c r="H12" i="16"/>
  <c r="G8" i="16"/>
  <c r="G9" i="16"/>
  <c r="G10" i="16"/>
  <c r="G11" i="16"/>
  <c r="G12" i="16"/>
  <c r="E8" i="16"/>
  <c r="E9" i="16"/>
  <c r="E10" i="16"/>
  <c r="E11" i="16"/>
  <c r="E12" i="16"/>
  <c r="D8" i="16"/>
  <c r="D9" i="16"/>
  <c r="D10" i="16"/>
  <c r="D11" i="16"/>
  <c r="D12" i="16"/>
  <c r="B8" i="16"/>
  <c r="B9" i="16"/>
  <c r="B10" i="16"/>
  <c r="B11" i="16"/>
  <c r="B12" i="16"/>
  <c r="I8" i="16"/>
  <c r="I9" i="16"/>
  <c r="I10" i="16"/>
  <c r="I11" i="16"/>
  <c r="I12" i="16"/>
  <c r="F8" i="16"/>
  <c r="F9" i="16"/>
  <c r="F10" i="16"/>
  <c r="F11" i="16"/>
  <c r="F12" i="16"/>
  <c r="C8" i="16"/>
  <c r="C9" i="16"/>
  <c r="C10" i="16"/>
  <c r="C11" i="16"/>
  <c r="C12" i="16"/>
  <c r="J4" i="16"/>
  <c r="F16" i="15" l="1"/>
  <c r="D16" i="15"/>
  <c r="D12" i="15"/>
  <c r="D8" i="15"/>
  <c r="D9" i="15"/>
  <c r="D10" i="15"/>
  <c r="D11" i="15"/>
  <c r="C16" i="15"/>
  <c r="B16" i="15"/>
  <c r="I12" i="15"/>
  <c r="H12" i="15"/>
  <c r="G12" i="15"/>
  <c r="F12" i="15"/>
  <c r="E12" i="15"/>
  <c r="C12" i="15"/>
  <c r="B12" i="15"/>
  <c r="I11" i="15"/>
  <c r="H11" i="15"/>
  <c r="G11" i="15"/>
  <c r="F11" i="15"/>
  <c r="E11" i="15"/>
  <c r="C11" i="15"/>
  <c r="B11" i="15"/>
  <c r="I10" i="15"/>
  <c r="H10" i="15"/>
  <c r="G10" i="15"/>
  <c r="F10" i="15"/>
  <c r="E10" i="15"/>
  <c r="C10" i="15"/>
  <c r="B10" i="15"/>
  <c r="I9" i="15"/>
  <c r="H9" i="15"/>
  <c r="G9" i="15"/>
  <c r="F9" i="15"/>
  <c r="E9" i="15"/>
  <c r="C9" i="15"/>
  <c r="B9" i="15"/>
  <c r="I8" i="15"/>
  <c r="H8" i="15"/>
  <c r="G8" i="15"/>
  <c r="F8" i="15"/>
  <c r="E8" i="15"/>
  <c r="C8" i="15"/>
  <c r="B8" i="15"/>
  <c r="J5" i="15"/>
  <c r="E5" i="7" l="1"/>
  <c r="E6" i="7"/>
  <c r="E7" i="7"/>
  <c r="E8" i="7"/>
  <c r="E9" i="7"/>
  <c r="E10" i="7"/>
  <c r="G5" i="7"/>
  <c r="G6" i="7"/>
  <c r="G7" i="7"/>
  <c r="G8" i="7"/>
  <c r="G9" i="7"/>
  <c r="G10" i="7"/>
  <c r="F5" i="7"/>
  <c r="F6" i="7"/>
  <c r="F7" i="7"/>
  <c r="F8" i="7"/>
  <c r="F9" i="7"/>
  <c r="F10" i="7"/>
  <c r="D10" i="7"/>
  <c r="H9" i="14" l="1"/>
  <c r="H10" i="14"/>
  <c r="H11" i="14"/>
  <c r="H12" i="14"/>
  <c r="H13" i="14"/>
  <c r="H14" i="14"/>
  <c r="D9" i="14"/>
  <c r="D10" i="14"/>
  <c r="D11" i="14"/>
  <c r="D12" i="14"/>
  <c r="D13" i="14"/>
  <c r="D14" i="14"/>
  <c r="B9" i="14"/>
  <c r="B10" i="14"/>
  <c r="B11" i="14"/>
  <c r="B12" i="14"/>
  <c r="B13" i="14"/>
  <c r="B14" i="14"/>
  <c r="I14" i="14"/>
  <c r="G14" i="14"/>
  <c r="F14" i="14"/>
  <c r="E14" i="14"/>
  <c r="C14" i="14"/>
  <c r="I13" i="14"/>
  <c r="G13" i="14"/>
  <c r="F13" i="14"/>
  <c r="E13" i="14"/>
  <c r="C13" i="14"/>
  <c r="I12" i="14"/>
  <c r="G12" i="14"/>
  <c r="F12" i="14"/>
  <c r="E12" i="14"/>
  <c r="C12" i="14"/>
  <c r="I11" i="14"/>
  <c r="G11" i="14"/>
  <c r="F11" i="14"/>
  <c r="E11" i="14"/>
  <c r="C11" i="14"/>
  <c r="I10" i="14"/>
  <c r="G10" i="14"/>
  <c r="F10" i="14"/>
  <c r="E10" i="14"/>
  <c r="C10" i="14"/>
  <c r="I9" i="14"/>
  <c r="G9" i="14"/>
  <c r="F9" i="14"/>
  <c r="E9" i="14"/>
  <c r="C9" i="14"/>
  <c r="J5" i="14"/>
  <c r="I9" i="13" l="1"/>
  <c r="I10" i="13"/>
  <c r="I11" i="13"/>
  <c r="I12" i="13"/>
  <c r="I13" i="13"/>
  <c r="I14" i="13"/>
  <c r="G9" i="13"/>
  <c r="G10" i="13"/>
  <c r="G11" i="13"/>
  <c r="G12" i="13"/>
  <c r="G13" i="13"/>
  <c r="G14" i="13"/>
  <c r="E9" i="13"/>
  <c r="E10" i="13"/>
  <c r="E11" i="13"/>
  <c r="E12" i="13"/>
  <c r="E13" i="13"/>
  <c r="E14" i="13"/>
  <c r="D9" i="13"/>
  <c r="D10" i="13"/>
  <c r="D11" i="13"/>
  <c r="D12" i="13"/>
  <c r="D13" i="13"/>
  <c r="D14" i="13"/>
  <c r="H9" i="13"/>
  <c r="H10" i="13"/>
  <c r="H11" i="13"/>
  <c r="H12" i="13"/>
  <c r="H13" i="13"/>
  <c r="H14" i="13"/>
  <c r="F9" i="13"/>
  <c r="F10" i="13"/>
  <c r="F11" i="13"/>
  <c r="F12" i="13"/>
  <c r="F13" i="13"/>
  <c r="F14" i="13"/>
  <c r="B9" i="13"/>
  <c r="B10" i="13"/>
  <c r="B11" i="13"/>
  <c r="B12" i="13"/>
  <c r="B13" i="13"/>
  <c r="B14" i="13"/>
  <c r="C14" i="13"/>
  <c r="C13" i="13"/>
  <c r="C12" i="13"/>
  <c r="C11" i="13"/>
  <c r="C10" i="13"/>
  <c r="C9" i="13"/>
  <c r="J5" i="13"/>
  <c r="G8" i="11"/>
  <c r="G9" i="11"/>
  <c r="G10" i="11"/>
  <c r="G11" i="11"/>
  <c r="G12" i="11"/>
  <c r="G13" i="11"/>
  <c r="E8" i="11"/>
  <c r="E9" i="11"/>
  <c r="E10" i="11"/>
  <c r="E11" i="11"/>
  <c r="E12" i="11"/>
  <c r="E13" i="11"/>
  <c r="I8" i="11"/>
  <c r="I9" i="11"/>
  <c r="I10" i="11"/>
  <c r="I11" i="11"/>
  <c r="I12" i="11"/>
  <c r="I13" i="11"/>
  <c r="H8" i="11"/>
  <c r="H9" i="11"/>
  <c r="H10" i="11"/>
  <c r="H11" i="11"/>
  <c r="H12" i="11"/>
  <c r="H13" i="11"/>
  <c r="F8" i="11"/>
  <c r="F9" i="11"/>
  <c r="F10" i="11"/>
  <c r="F11" i="11"/>
  <c r="F12" i="11"/>
  <c r="F13" i="11"/>
  <c r="D8" i="11"/>
  <c r="C8" i="11"/>
  <c r="C9" i="11"/>
  <c r="C10" i="11"/>
  <c r="C11" i="11"/>
  <c r="C12" i="11"/>
  <c r="C13" i="11"/>
  <c r="B8" i="11"/>
  <c r="B9" i="11"/>
  <c r="B10" i="11"/>
  <c r="B11" i="11"/>
  <c r="B12" i="11"/>
  <c r="B13" i="11"/>
  <c r="D13" i="11"/>
  <c r="D12" i="11"/>
  <c r="D11" i="11"/>
  <c r="D10" i="11"/>
  <c r="D9" i="11"/>
  <c r="J4" i="11" l="1"/>
  <c r="E9" i="10" l="1"/>
  <c r="E10" i="10"/>
  <c r="E11" i="10"/>
  <c r="E12" i="10"/>
  <c r="E13" i="10"/>
  <c r="E14" i="10"/>
  <c r="G9" i="10"/>
  <c r="G10" i="10"/>
  <c r="G11" i="10"/>
  <c r="G12" i="10"/>
  <c r="G13" i="10"/>
  <c r="G14" i="10"/>
  <c r="F9" i="10"/>
  <c r="F10" i="10"/>
  <c r="F11" i="10"/>
  <c r="F12" i="10"/>
  <c r="F13" i="10"/>
  <c r="F14" i="10"/>
  <c r="C9" i="10"/>
  <c r="C10" i="10"/>
  <c r="C11" i="10"/>
  <c r="C12" i="10"/>
  <c r="C13" i="10"/>
  <c r="C14" i="10"/>
  <c r="D9" i="10"/>
  <c r="D10" i="10"/>
  <c r="D11" i="10"/>
  <c r="D12" i="10"/>
  <c r="D13" i="10"/>
  <c r="D14" i="10"/>
  <c r="B9" i="10"/>
  <c r="B10" i="10"/>
  <c r="B11" i="10"/>
  <c r="B12" i="10"/>
  <c r="B13" i="10"/>
  <c r="B14" i="10"/>
  <c r="I14" i="10" l="1"/>
  <c r="H14" i="10"/>
  <c r="I13" i="10"/>
  <c r="H13" i="10"/>
  <c r="I12" i="10"/>
  <c r="H12" i="10"/>
  <c r="I11" i="10"/>
  <c r="H11" i="10"/>
  <c r="I10" i="10"/>
  <c r="H10" i="10"/>
  <c r="I9" i="10"/>
  <c r="H9" i="10"/>
  <c r="J5" i="10"/>
  <c r="B9" i="9"/>
  <c r="B10" i="9"/>
  <c r="B11" i="9"/>
  <c r="B12" i="9"/>
  <c r="B13" i="9"/>
  <c r="B14" i="9"/>
  <c r="G9" i="9" l="1"/>
  <c r="G10" i="9"/>
  <c r="G11" i="9"/>
  <c r="G12" i="9"/>
  <c r="G13" i="9"/>
  <c r="G14" i="9"/>
  <c r="E9" i="9"/>
  <c r="E10" i="9"/>
  <c r="E11" i="9"/>
  <c r="E12" i="9"/>
  <c r="E13" i="9"/>
  <c r="E14" i="9"/>
  <c r="D9" i="9" l="1"/>
  <c r="D10" i="9"/>
  <c r="D11" i="9"/>
  <c r="D12" i="9"/>
  <c r="D13" i="9"/>
  <c r="D14" i="9"/>
  <c r="H9" i="9"/>
  <c r="H10" i="9"/>
  <c r="H11" i="9"/>
  <c r="H12" i="9"/>
  <c r="H13" i="9"/>
  <c r="H14" i="9"/>
  <c r="C9" i="9"/>
  <c r="I14" i="9"/>
  <c r="F14" i="9"/>
  <c r="C14" i="9"/>
  <c r="I13" i="9"/>
  <c r="F13" i="9"/>
  <c r="C13" i="9"/>
  <c r="I12" i="9"/>
  <c r="F12" i="9"/>
  <c r="C12" i="9"/>
  <c r="I11" i="9"/>
  <c r="F11" i="9"/>
  <c r="C11" i="9"/>
  <c r="I10" i="9"/>
  <c r="F10" i="9"/>
  <c r="C10" i="9"/>
  <c r="I9" i="9"/>
  <c r="F9" i="9"/>
  <c r="J5" i="9"/>
  <c r="Q9" i="1"/>
  <c r="Q10" i="1"/>
  <c r="Q11" i="1"/>
  <c r="Q12" i="1"/>
  <c r="Q13" i="1"/>
  <c r="Q14" i="1"/>
  <c r="B15" i="6"/>
  <c r="C15" i="6"/>
  <c r="D15" i="6"/>
  <c r="E15" i="6"/>
  <c r="F15" i="6"/>
  <c r="G15" i="6"/>
  <c r="H15" i="6"/>
  <c r="I15" i="6"/>
  <c r="L14" i="1"/>
  <c r="M14" i="1"/>
  <c r="N14" i="1"/>
  <c r="O14" i="1"/>
  <c r="P14" i="1"/>
  <c r="R14" i="1"/>
  <c r="S14" i="1"/>
  <c r="E37" i="2" l="1"/>
  <c r="E38" i="2"/>
  <c r="E39" i="2"/>
  <c r="E40" i="2"/>
  <c r="E41" i="2"/>
  <c r="G37" i="2"/>
  <c r="G38" i="2"/>
  <c r="G39" i="2"/>
  <c r="G40" i="2"/>
  <c r="G41" i="2"/>
  <c r="I37" i="2"/>
  <c r="I38" i="2"/>
  <c r="I39" i="2"/>
  <c r="I40" i="2"/>
  <c r="I41" i="2"/>
  <c r="B37" i="2"/>
  <c r="B38" i="2"/>
  <c r="B39" i="2"/>
  <c r="B40" i="2"/>
  <c r="B41" i="2"/>
  <c r="F37" i="2" l="1"/>
  <c r="F38" i="2"/>
  <c r="F39" i="2"/>
  <c r="F40" i="2"/>
  <c r="F41" i="2"/>
  <c r="D37" i="2"/>
  <c r="D38" i="2"/>
  <c r="D39" i="2"/>
  <c r="D40" i="2"/>
  <c r="D41" i="2"/>
  <c r="C37" i="2"/>
  <c r="C38" i="2"/>
  <c r="C39" i="2"/>
  <c r="C40" i="2"/>
  <c r="C41" i="2"/>
  <c r="D27" i="2"/>
  <c r="D28" i="2"/>
  <c r="D29" i="2"/>
  <c r="D30" i="2"/>
  <c r="D31" i="2"/>
  <c r="E27" i="2"/>
  <c r="E28" i="2"/>
  <c r="E29" i="2"/>
  <c r="E30" i="2"/>
  <c r="E31" i="2"/>
  <c r="H41" i="2"/>
  <c r="H40" i="2"/>
  <c r="H39" i="2"/>
  <c r="H38" i="2"/>
  <c r="H37" i="2"/>
  <c r="B27" i="2" l="1"/>
  <c r="B28" i="2"/>
  <c r="B29" i="2"/>
  <c r="B30" i="2"/>
  <c r="B31" i="2"/>
  <c r="I31" i="2"/>
  <c r="H31" i="2"/>
  <c r="G31" i="2"/>
  <c r="F31" i="2"/>
  <c r="C31" i="2"/>
  <c r="I30" i="2"/>
  <c r="H30" i="2"/>
  <c r="G30" i="2"/>
  <c r="F30" i="2"/>
  <c r="C30" i="2"/>
  <c r="I29" i="2"/>
  <c r="H29" i="2"/>
  <c r="G29" i="2"/>
  <c r="F29" i="2"/>
  <c r="C29" i="2"/>
  <c r="I28" i="2"/>
  <c r="H28" i="2"/>
  <c r="G28" i="2"/>
  <c r="F28" i="2"/>
  <c r="C28" i="2"/>
  <c r="I27" i="2"/>
  <c r="H27" i="2"/>
  <c r="G27" i="2"/>
  <c r="F27" i="2"/>
  <c r="C27" i="2"/>
  <c r="B16" i="2"/>
  <c r="B17" i="2"/>
  <c r="B18" i="2"/>
  <c r="B19" i="2"/>
  <c r="B20" i="2"/>
  <c r="H16" i="2"/>
  <c r="H17" i="2"/>
  <c r="H18" i="2"/>
  <c r="H19" i="2"/>
  <c r="H20" i="2"/>
  <c r="E16" i="2"/>
  <c r="E17" i="2"/>
  <c r="E18" i="2"/>
  <c r="E19" i="2"/>
  <c r="E20" i="2"/>
  <c r="J8" i="2"/>
  <c r="I8" i="8" l="1"/>
  <c r="I9" i="8"/>
  <c r="I10" i="8"/>
  <c r="I11" i="8"/>
  <c r="I12" i="8"/>
  <c r="H8" i="8"/>
  <c r="H9" i="8"/>
  <c r="H10" i="8"/>
  <c r="H11" i="8"/>
  <c r="H12" i="8"/>
  <c r="G8" i="8"/>
  <c r="G9" i="8"/>
  <c r="G10" i="8"/>
  <c r="G11" i="8"/>
  <c r="G12" i="8"/>
  <c r="E8" i="8"/>
  <c r="E9" i="8"/>
  <c r="E10" i="8"/>
  <c r="E11" i="8"/>
  <c r="E12" i="8"/>
  <c r="D8" i="8"/>
  <c r="D9" i="8"/>
  <c r="D10" i="8"/>
  <c r="D11" i="8"/>
  <c r="D12" i="8"/>
  <c r="C16" i="8"/>
  <c r="B16" i="8"/>
  <c r="J5" i="8"/>
  <c r="F12" i="8"/>
  <c r="C12" i="8"/>
  <c r="B12" i="8"/>
  <c r="F11" i="8"/>
  <c r="C11" i="8"/>
  <c r="B11" i="8"/>
  <c r="F10" i="8"/>
  <c r="C10" i="8"/>
  <c r="B10" i="8"/>
  <c r="F9" i="8"/>
  <c r="C9" i="8"/>
  <c r="B9" i="8"/>
  <c r="F8" i="8"/>
  <c r="C8" i="8"/>
  <c r="B8" i="8"/>
  <c r="I10" i="7"/>
  <c r="H10" i="7"/>
  <c r="C10" i="7"/>
  <c r="B10" i="7"/>
  <c r="I9" i="7"/>
  <c r="H9" i="7"/>
  <c r="D9" i="7"/>
  <c r="C9" i="7"/>
  <c r="B9" i="7"/>
  <c r="I8" i="7"/>
  <c r="H8" i="7"/>
  <c r="D8" i="7"/>
  <c r="C8" i="7"/>
  <c r="B8" i="7"/>
  <c r="I7" i="7"/>
  <c r="H7" i="7"/>
  <c r="D7" i="7"/>
  <c r="C7" i="7"/>
  <c r="B7" i="7"/>
  <c r="I6" i="7"/>
  <c r="H6" i="7"/>
  <c r="D6" i="7"/>
  <c r="C6" i="7"/>
  <c r="B6" i="7"/>
  <c r="I5" i="7"/>
  <c r="H5" i="7"/>
  <c r="D5" i="7"/>
  <c r="C5" i="7"/>
  <c r="B5" i="7"/>
  <c r="I10" i="6" l="1"/>
  <c r="I11" i="6"/>
  <c r="I12" i="6"/>
  <c r="I13" i="6"/>
  <c r="I14" i="6"/>
  <c r="H10" i="6"/>
  <c r="H11" i="6"/>
  <c r="H12" i="6"/>
  <c r="H13" i="6"/>
  <c r="H14" i="6"/>
  <c r="G10" i="6"/>
  <c r="G11" i="6"/>
  <c r="G12" i="6"/>
  <c r="G13" i="6"/>
  <c r="G14" i="6"/>
  <c r="F10" i="6"/>
  <c r="F11" i="6"/>
  <c r="F12" i="6"/>
  <c r="F13" i="6"/>
  <c r="F14" i="6"/>
  <c r="D10" i="6"/>
  <c r="D11" i="6"/>
  <c r="D12" i="6"/>
  <c r="D13" i="6"/>
  <c r="D14" i="6"/>
  <c r="C10" i="6"/>
  <c r="C11" i="6"/>
  <c r="C12" i="6"/>
  <c r="C13" i="6"/>
  <c r="C14" i="6"/>
  <c r="B10" i="6"/>
  <c r="B11" i="6"/>
  <c r="B12" i="6"/>
  <c r="B13" i="6"/>
  <c r="B14" i="6"/>
  <c r="B10" i="5"/>
  <c r="B9" i="5"/>
  <c r="B11" i="5"/>
  <c r="B12" i="5"/>
  <c r="B13" i="5"/>
  <c r="B9" i="1"/>
  <c r="E14" i="6"/>
  <c r="E13" i="6"/>
  <c r="E12" i="6"/>
  <c r="E11" i="6"/>
  <c r="E10" i="6"/>
  <c r="J7" i="6"/>
  <c r="H9" i="5" l="1"/>
  <c r="H10" i="5"/>
  <c r="H11" i="5"/>
  <c r="H12" i="5"/>
  <c r="H13" i="5"/>
  <c r="E9" i="5"/>
  <c r="E10" i="5"/>
  <c r="E11" i="5"/>
  <c r="E12" i="5"/>
  <c r="E13" i="5"/>
  <c r="D9" i="5"/>
  <c r="D10" i="5"/>
  <c r="D11" i="5"/>
  <c r="D12" i="5"/>
  <c r="D13" i="5"/>
  <c r="I13" i="5"/>
  <c r="G13" i="5"/>
  <c r="F13" i="5"/>
  <c r="C13" i="5"/>
  <c r="I12" i="5"/>
  <c r="G12" i="5"/>
  <c r="F12" i="5"/>
  <c r="C12" i="5"/>
  <c r="I11" i="5"/>
  <c r="G11" i="5"/>
  <c r="F11" i="5"/>
  <c r="C11" i="5"/>
  <c r="I10" i="5"/>
  <c r="G10" i="5"/>
  <c r="F10" i="5"/>
  <c r="C10" i="5"/>
  <c r="I9" i="5"/>
  <c r="G9" i="5"/>
  <c r="F9" i="5"/>
  <c r="C9" i="5"/>
  <c r="J6" i="5"/>
  <c r="P4" i="4" l="1"/>
  <c r="R4" i="4"/>
  <c r="Q4" i="4"/>
  <c r="T4" i="4"/>
  <c r="S4" i="4"/>
  <c r="O4" i="4"/>
  <c r="N4" i="4"/>
  <c r="M4" i="4"/>
  <c r="B9" i="4"/>
  <c r="C9" i="4"/>
  <c r="D9" i="4"/>
  <c r="E9" i="4"/>
  <c r="F9" i="4"/>
  <c r="G9" i="4"/>
  <c r="H9" i="4"/>
  <c r="I9" i="4"/>
  <c r="F4" i="4"/>
  <c r="F5" i="4"/>
  <c r="F6" i="4"/>
  <c r="F7" i="4"/>
  <c r="F8" i="4"/>
  <c r="G4" i="4"/>
  <c r="G5" i="4"/>
  <c r="G6" i="4"/>
  <c r="G7" i="4"/>
  <c r="G8" i="4"/>
  <c r="I4" i="4"/>
  <c r="I5" i="4"/>
  <c r="I6" i="4"/>
  <c r="I7" i="4"/>
  <c r="I8" i="4"/>
  <c r="H8" i="4"/>
  <c r="E8" i="4"/>
  <c r="D8" i="4"/>
  <c r="C8" i="4"/>
  <c r="B8" i="4"/>
  <c r="H7" i="4"/>
  <c r="E7" i="4"/>
  <c r="D7" i="4"/>
  <c r="C7" i="4"/>
  <c r="B7" i="4"/>
  <c r="H6" i="4"/>
  <c r="E6" i="4"/>
  <c r="D6" i="4"/>
  <c r="C6" i="4"/>
  <c r="B6" i="4"/>
  <c r="H5" i="4"/>
  <c r="E5" i="4"/>
  <c r="D5" i="4"/>
  <c r="C5" i="4"/>
  <c r="B5" i="4"/>
  <c r="H4" i="4"/>
  <c r="E4" i="4"/>
  <c r="D4" i="4"/>
  <c r="C4" i="4"/>
  <c r="B4" i="4"/>
  <c r="R9" i="1"/>
  <c r="R10" i="1"/>
  <c r="R11" i="1"/>
  <c r="R12" i="1"/>
  <c r="R13" i="1"/>
  <c r="P9" i="1"/>
  <c r="O9" i="1"/>
  <c r="O10" i="1"/>
  <c r="O11" i="1"/>
  <c r="O12" i="1"/>
  <c r="O13" i="1"/>
  <c r="N9" i="1"/>
  <c r="N10" i="1"/>
  <c r="N11" i="1"/>
  <c r="N12" i="1"/>
  <c r="N13" i="1"/>
  <c r="L9" i="1"/>
  <c r="L10" i="1"/>
  <c r="L11" i="1"/>
  <c r="L12" i="1"/>
  <c r="L13" i="1"/>
  <c r="S13" i="1"/>
  <c r="P13" i="1"/>
  <c r="M13" i="1"/>
  <c r="S12" i="1"/>
  <c r="P12" i="1"/>
  <c r="M12" i="1"/>
  <c r="S11" i="1"/>
  <c r="P11" i="1"/>
  <c r="M11" i="1"/>
  <c r="S10" i="1"/>
  <c r="P10" i="1"/>
  <c r="M10" i="1"/>
  <c r="S9" i="1"/>
  <c r="M9" i="1"/>
  <c r="L12" i="2"/>
  <c r="L13" i="2"/>
  <c r="L14" i="2"/>
  <c r="L15" i="2"/>
  <c r="L16" i="2"/>
  <c r="L17" i="2"/>
  <c r="M17" i="2"/>
  <c r="N17" i="2"/>
  <c r="O17" i="2"/>
  <c r="P17" i="2"/>
  <c r="Q17" i="2"/>
  <c r="R17" i="2"/>
  <c r="S17" i="2"/>
  <c r="R12" i="2"/>
  <c r="R13" i="2"/>
  <c r="R14" i="2"/>
  <c r="R15" i="2"/>
  <c r="R16" i="2"/>
  <c r="Q12" i="2"/>
  <c r="Q13" i="2"/>
  <c r="Q14" i="2"/>
  <c r="Q15" i="2"/>
  <c r="Q16" i="2"/>
  <c r="O12" i="2"/>
  <c r="O13" i="2"/>
  <c r="O14" i="2"/>
  <c r="O15" i="2"/>
  <c r="O16" i="2"/>
  <c r="N12" i="2"/>
  <c r="N13" i="2"/>
  <c r="N14" i="2"/>
  <c r="N15" i="2"/>
  <c r="N16" i="2"/>
  <c r="S16" i="2"/>
  <c r="P16" i="2"/>
  <c r="M16" i="2"/>
  <c r="S15" i="2"/>
  <c r="P15" i="2"/>
  <c r="M15" i="2"/>
  <c r="S14" i="2"/>
  <c r="P14" i="2"/>
  <c r="M14" i="2"/>
  <c r="S13" i="2"/>
  <c r="P13" i="2"/>
  <c r="M13" i="2"/>
  <c r="S12" i="2"/>
  <c r="P12" i="2"/>
  <c r="M12" i="2"/>
  <c r="I16" i="2"/>
  <c r="I17" i="2"/>
  <c r="I18" i="2"/>
  <c r="I19" i="2"/>
  <c r="I20" i="2"/>
  <c r="G16" i="2"/>
  <c r="G17" i="2"/>
  <c r="G18" i="2"/>
  <c r="G19" i="2"/>
  <c r="G20" i="2"/>
  <c r="F16" i="2"/>
  <c r="F17" i="2"/>
  <c r="F18" i="2"/>
  <c r="F19" i="2"/>
  <c r="F20" i="2"/>
  <c r="D16" i="2"/>
  <c r="D17" i="2"/>
  <c r="D18" i="2"/>
  <c r="D19" i="2"/>
  <c r="D20" i="2"/>
  <c r="C20" i="2"/>
  <c r="C19" i="2"/>
  <c r="C18" i="2"/>
  <c r="C17" i="2"/>
  <c r="C16" i="2"/>
  <c r="J7" i="2"/>
  <c r="J6" i="2"/>
  <c r="J5" i="2"/>
  <c r="H9" i="1" l="1"/>
  <c r="H10" i="1"/>
  <c r="H11" i="1"/>
  <c r="H12" i="1"/>
  <c r="H13" i="1"/>
  <c r="B10" i="1"/>
  <c r="B11" i="1"/>
  <c r="B12" i="1"/>
  <c r="B13" i="1"/>
  <c r="F9" i="1"/>
  <c r="F10" i="1"/>
  <c r="F11" i="1"/>
  <c r="F12" i="1"/>
  <c r="F13" i="1"/>
  <c r="G9" i="1"/>
  <c r="G10" i="1"/>
  <c r="G11" i="1"/>
  <c r="G12" i="1"/>
  <c r="G13" i="1"/>
  <c r="I9" i="1"/>
  <c r="I10" i="1"/>
  <c r="I11" i="1"/>
  <c r="I12" i="1"/>
  <c r="I13" i="1"/>
  <c r="E9" i="1"/>
  <c r="E10" i="1"/>
  <c r="E11" i="1"/>
  <c r="E12" i="1"/>
  <c r="E13" i="1"/>
  <c r="D9" i="1"/>
  <c r="D10" i="1"/>
  <c r="D11" i="1"/>
  <c r="D12" i="1"/>
  <c r="D13" i="1"/>
  <c r="C10" i="1"/>
  <c r="C13" i="1"/>
  <c r="C12" i="1"/>
  <c r="C11" i="1"/>
  <c r="C9" i="1"/>
  <c r="J5" i="1"/>
</calcChain>
</file>

<file path=xl/sharedStrings.xml><?xml version="1.0" encoding="utf-8"?>
<sst xmlns="http://schemas.openxmlformats.org/spreadsheetml/2006/main" count="358" uniqueCount="56">
  <si>
    <t>Skeletons are the most basic undead, they have low magical attributes, agility, and luck.</t>
  </si>
  <si>
    <t>Name</t>
  </si>
  <si>
    <t>HP</t>
  </si>
  <si>
    <t>MP</t>
  </si>
  <si>
    <t>ATK</t>
  </si>
  <si>
    <t>DEF</t>
  </si>
  <si>
    <t>MAT</t>
  </si>
  <si>
    <t>MDF</t>
  </si>
  <si>
    <t>AGI</t>
  </si>
  <si>
    <t>LUK</t>
  </si>
  <si>
    <t>Total</t>
  </si>
  <si>
    <t>Skeleton Soldier</t>
  </si>
  <si>
    <t>Level</t>
  </si>
  <si>
    <t>The Skeleton Soldier is a common undead, its armor and weapons are usually rusted.</t>
  </si>
  <si>
    <t>Goblins are a type of demihuman with short lifespans. They have a baselevel of 1</t>
  </si>
  <si>
    <t>Goblin Scout</t>
  </si>
  <si>
    <t>Goblin</t>
  </si>
  <si>
    <t>Goblin Shaman</t>
  </si>
  <si>
    <t>If they aren't add: 33 def, 30 attack</t>
  </si>
  <si>
    <t>Goblin Scouts use crude iron daggers, studded leather armor, and studded leather helmets</t>
  </si>
  <si>
    <t>Iron daggers should be weaker than iron sword -&gt; 25 attack 5 agility, 10 def, 8 mdf</t>
  </si>
  <si>
    <t>First Encounter. Has tech 2 gear. 40 MAT from staff, 3/10 from engraved robe, 3/2 from studded leather helmet</t>
  </si>
  <si>
    <t>Zombie</t>
  </si>
  <si>
    <t>They usually swarm in huge numbers though, and their touch corrupts defence</t>
  </si>
  <si>
    <t>Zombies are the type of undead made from decomposing corpses. Only uses weapons, can't use armor. Often made from peasants, using shovels</t>
  </si>
  <si>
    <t>These puppets originally were used by Aseran priests as representations of the harvest God</t>
  </si>
  <si>
    <t>Ever since the Empire conquered Asera, the religion was banned and these puppets became rare</t>
  </si>
  <si>
    <t>Somehow, Canson's acolytes have infused these with mana to create constructs that advent the Hell Gods</t>
  </si>
  <si>
    <t>Spirit Puppet</t>
  </si>
  <si>
    <t>Acolytes is a term that refers to an apprentice. It has connotations with necromancy due to lesser hellgod priests appearing with necromancers</t>
  </si>
  <si>
    <t>This acolyte is actually a mage</t>
  </si>
  <si>
    <t>First Encounter. Has tech 2 gear armor and tech 1 staff 28 MAT from staff, 3/10 from engraved robe, 3/2 from studded leather helmet</t>
  </si>
  <si>
    <t>Death Knight</t>
  </si>
  <si>
    <t>Death Knights are top tier undead. Equipped with heavy armor and weapons as well as a powerful base</t>
  </si>
  <si>
    <t>Sidequest: Tech 2 Gear. Iron Spear: 30, Body: 11/11, Helm: 6/2, Heavy Shield: 9/3</t>
  </si>
  <si>
    <t>Goblin Grunt</t>
  </si>
  <si>
    <t>Goblin Grunts use crude iron daggers, crude shield, crude mail, and crude helmets</t>
  </si>
  <si>
    <t>25atk/5agi, 17def/16mdf</t>
  </si>
  <si>
    <t>Goblin Shaman use their divine powers to heal and curse enemies</t>
  </si>
  <si>
    <t>They use a 2-handed faith light balanced armor: 40 Faith, 14/13</t>
  </si>
  <si>
    <t>Skeleton Swordsmans are a more advanced type of undead than skeleton soldiers</t>
  </si>
  <si>
    <t>2handed sword: 40, Heavy iron plate -&gt; (no shield) 21/7</t>
  </si>
  <si>
    <t>Skeleton mages are a high tier undead that are capable of gathering mana, an extreme rarity amongst golems. Important for logistics of an undead army</t>
  </si>
  <si>
    <t>Skeleton Priest</t>
  </si>
  <si>
    <t>2handed staff: 40, engraved robes -&gt; (no shield) 4/14</t>
  </si>
  <si>
    <t>2handed hammer: 40, iron mail -&gt; (no shield) 19/5</t>
  </si>
  <si>
    <t>Bounded spirit. A corrupted version of a summoned spirit.</t>
  </si>
  <si>
    <t>Weak to fire and light</t>
  </si>
  <si>
    <t>Bounded Spirit</t>
  </si>
  <si>
    <t>20ATK/20LUK 12/11 def</t>
  </si>
  <si>
    <t>A  wind spirit</t>
  </si>
  <si>
    <t>Weak to fire (natural) and light (corruption)</t>
  </si>
  <si>
    <t>Bounded Wind Spirit</t>
  </si>
  <si>
    <t>In fort: 30MAT, 7/21</t>
  </si>
  <si>
    <t>Death Lords are giant undead</t>
  </si>
  <si>
    <t>Slime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</si>
</sst>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0" borderId="1" xfId="0" applyFont="1" applyBorder="1"/>
    <xf numFmtId="0" fontId="0" fillId="0" borderId="2" xfId="0" applyNumberFormat="1" applyFont="1" applyBorder="1"/>
    <xf numFmtId="0" fontId="0" fillId="0" borderId="3" xfId="0" applyNumberFormat="1" applyFont="1" applyBorder="1"/>
  </cellXfs>
  <cellStyles count="1">
    <cellStyle name="Normal" xfId="0" builtinId="0"/>
  </cellStyles>
  <dxfs count="18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4" tint="0.39997558519241921"/>
        </left>
        <right/>
        <top style="thin">
          <color theme="4" tint="0.39997558519241921"/>
        </top>
        <bottom/>
        <vertical/>
        <horizontal/>
      </border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4" tint="0.39997558519241921"/>
        </left>
        <right/>
        <top style="thin">
          <color theme="4" tint="0.39997558519241921"/>
        </top>
        <bottom/>
        <vertical/>
        <horizontal/>
      </border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4" tint="0.39997558519241921"/>
        </left>
        <right/>
        <top style="thin">
          <color theme="4" tint="0.39997558519241921"/>
        </top>
        <bottom/>
        <vertical/>
        <horizontal/>
      </border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861DD08-92F9-4821-84C5-84F68B225D94}" name="Table1" displayName="Table1" ref="A4:J5" totalsRowShown="0">
  <autoFilter ref="A4:J5" xr:uid="{634C2810-B5E1-4DB3-A486-F7F8D8DC6C73}"/>
  <tableColumns count="10">
    <tableColumn id="1" xr3:uid="{117C7306-80A7-4222-9DFB-71039A554839}" name="Name"/>
    <tableColumn id="2" xr3:uid="{18C02B4B-873F-49A2-AD1E-C8DCBB95D8A6}" name="HP"/>
    <tableColumn id="3" xr3:uid="{0F8CA6AD-5E78-4028-82FC-354C8EA076AE}" name="MP"/>
    <tableColumn id="4" xr3:uid="{F5D72956-4175-4769-9F90-091125477626}" name="ATK"/>
    <tableColumn id="5" xr3:uid="{823ACEF5-1140-4182-9A79-2E4E3AB4A17E}" name="DEF"/>
    <tableColumn id="6" xr3:uid="{3BB0D53A-D277-42B8-A6E4-31FED8BF8A80}" name="MAT"/>
    <tableColumn id="7" xr3:uid="{F9852B29-E77D-4E17-A56E-5F0C649FA862}" name="MDF"/>
    <tableColumn id="8" xr3:uid="{9A914BFF-1060-46E4-B8F9-412BD9293C3D}" name="AGI"/>
    <tableColumn id="9" xr3:uid="{2F83B650-811D-4FEE-92D5-03D4DC4376E5}" name="LUK"/>
    <tableColumn id="10" xr3:uid="{A7ECC22A-E541-4FF1-905A-C7CFAFD30F4C}" name="Total" dataDxfId="188">
      <calculatedColumnFormula>SUM(Table1[[#This Row],[HP]:[LUK]])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71A73B1-117F-4F40-B5B7-178F8355834B}" name="Table16" displayName="Table16" ref="A5:J6" totalsRowShown="0">
  <autoFilter ref="A5:J6" xr:uid="{6C0AACD2-FA3F-4094-92F8-D2B9E23D5ABC}"/>
  <tableColumns count="10">
    <tableColumn id="1" xr3:uid="{58197158-FD57-4F30-A650-67B2263D3800}" name="Name"/>
    <tableColumn id="2" xr3:uid="{F44FE952-D7BA-4DB1-836A-DD3B50D3F9E3}" name="HP"/>
    <tableColumn id="3" xr3:uid="{579A554D-FD3C-4BB1-9D51-8697075641A3}" name="MP"/>
    <tableColumn id="4" xr3:uid="{13D9B90B-E0BA-4850-A6F0-8F28FD71DDCB}" name="ATK"/>
    <tableColumn id="5" xr3:uid="{0217E9E2-E13B-40B7-9079-429225374577}" name="DEF"/>
    <tableColumn id="6" xr3:uid="{72ED865C-9977-41E9-BA4A-7DFB0D0A6048}" name="MAT"/>
    <tableColumn id="7" xr3:uid="{3A2FD57C-060A-462E-8BB9-B06F717E9D20}" name="MDF"/>
    <tableColumn id="8" xr3:uid="{ED9393EA-F7F9-4661-8D0B-0D9246DDABF8}" name="AGI"/>
    <tableColumn id="9" xr3:uid="{6F56342F-5442-42CD-8B6C-D98B6D6C0C56}" name="LUK"/>
    <tableColumn id="10" xr3:uid="{8C3FB752-E74A-4FF8-9BB4-A96D072B21F5}" name="Total" dataDxfId="144">
      <calculatedColumnFormula>SUM(Table16[[#This Row],[HP]:[LUK]])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489A86C-0040-4142-8D05-11877F6AC5E6}" name="Table131610" displayName="Table131610" ref="A8:I13" totalsRowShown="0">
  <autoFilter ref="A8:I13" xr:uid="{7BE337CC-37BD-4688-B60D-A66F4420668B}"/>
  <tableColumns count="9">
    <tableColumn id="1" xr3:uid="{71340E4C-6101-4C59-8ED7-689E2AD5A962}" name="Level"/>
    <tableColumn id="2" xr3:uid="{C1A3992E-1B16-49B9-BB43-D049727FD937}" name="HP" dataDxfId="143">
      <calculatedColumnFormula>Table131610[[#This Row],[Level]]*63-100</calculatedColumnFormula>
    </tableColumn>
    <tableColumn id="3" xr3:uid="{C682D862-74D7-4A71-B58F-60B479692D97}" name="MP" dataDxfId="142">
      <calculatedColumnFormula>Table131610[[#This Row],[Level]]*10</calculatedColumnFormula>
    </tableColumn>
    <tableColumn id="4" xr3:uid="{A92CB1B9-B5DB-4C6F-9840-9A9CF6F3908F}" name="ATK" dataDxfId="141">
      <calculatedColumnFormula>Table131610[[#This Row],[Level]]*1.375+ 15</calculatedColumnFormula>
    </tableColumn>
    <tableColumn id="5" xr3:uid="{524C1F64-C076-4632-9637-C2B7F145A708}" name="DEF" dataDxfId="140">
      <calculatedColumnFormula>Table131610[[#This Row],[Level]]*1 + 15</calculatedColumnFormula>
    </tableColumn>
    <tableColumn id="6" xr3:uid="{0885B50D-EAEE-4742-B39A-A6FB8EB1237E}" name="MAT" dataDxfId="139">
      <calculatedColumnFormula>Table131610[[#This Row],[Level]]*1</calculatedColumnFormula>
    </tableColumn>
    <tableColumn id="7" xr3:uid="{61AC7716-759F-498C-8E8C-B5F398D64504}" name="MDF" dataDxfId="138">
      <calculatedColumnFormula>Table131610[[#This Row],[Level]]*1</calculatedColumnFormula>
    </tableColumn>
    <tableColumn id="8" xr3:uid="{C3006388-05CF-47C5-AB9E-F1B6224F179B}" name="AGI" dataDxfId="137">
      <calculatedColumnFormula>Table131610[[#This Row],[Level]]*1 + 15</calculatedColumnFormula>
    </tableColumn>
    <tableColumn id="9" xr3:uid="{8DBB4D25-C72A-496C-9204-90CC99BD5D11}" name="LUK" dataDxfId="136">
      <calculatedColumnFormula>Table131610[[#This Row],[Level]]*1</calculatedColumnFormula>
    </tableColumn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A2DAD7E-8DB8-432C-AD24-4A1116190AFC}" name="Table168" displayName="Table168" ref="A6:J7" totalsRowShown="0">
  <autoFilter ref="A6:J7" xr:uid="{3F070465-048B-4A60-A5D6-289DD81841E3}"/>
  <tableColumns count="10">
    <tableColumn id="1" xr3:uid="{46422AF1-99B7-4965-8F6A-D256072E575C}" name="Name"/>
    <tableColumn id="2" xr3:uid="{0A71C80C-CA2E-4E72-9D93-350B3DA84447}" name="HP"/>
    <tableColumn id="3" xr3:uid="{DF6C3EB9-3A52-40CE-AC4E-B7F04A1EBB64}" name="MP"/>
    <tableColumn id="4" xr3:uid="{F31DDD26-7F37-4DBC-8236-79185692625B}" name="ATK"/>
    <tableColumn id="5" xr3:uid="{34BB612C-EF90-4001-865D-C0BBE9DDE35C}" name="DEF"/>
    <tableColumn id="6" xr3:uid="{3C2ED426-96C6-4371-9F06-FA42D5AE2877}" name="MAT"/>
    <tableColumn id="7" xr3:uid="{4899BF24-9D2A-4CC0-AE35-4F49604AAC5A}" name="MDF"/>
    <tableColumn id="8" xr3:uid="{CB1CC6BA-1D38-4B74-9BC6-7057FB9773EE}" name="AGI"/>
    <tableColumn id="9" xr3:uid="{C47FADF6-C526-4188-9187-383757CE17C1}" name="LUK"/>
    <tableColumn id="10" xr3:uid="{88E3283E-60B0-4EF7-BD9E-33A82A31A770}" name="Total" dataDxfId="135">
      <calculatedColumnFormula>SUM(Table168[[#This Row],[HP]:[LUK]])</calculatedColumnFormula>
    </tableColumn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E50ECAD0-74A3-4ED4-B8F9-3CED6CCBE3D4}" name="Table13161013" displayName="Table13161013" ref="A9:I15" totalsRowShown="0">
  <autoFilter ref="A9:I15" xr:uid="{06A56D17-07E5-4650-8EE9-7EA8F94D4020}"/>
  <tableColumns count="9">
    <tableColumn id="1" xr3:uid="{A2BE27C9-9DAE-49F5-9A70-C6CF7428BF31}" name="Level"/>
    <tableColumn id="2" xr3:uid="{4AF6F42F-E0B8-4A6F-ABB8-DB121148C5F1}" name="HP" dataDxfId="134">
      <calculatedColumnFormula>Table13161013[[#This Row],[Level]]*56.25-100</calculatedColumnFormula>
    </tableColumn>
    <tableColumn id="3" xr3:uid="{0AFD181E-F6A3-4256-8D2D-5F1DAB2B2427}" name="MP" dataDxfId="133">
      <calculatedColumnFormula>Table13161013[[#This Row],[Level]]*10+20</calculatedColumnFormula>
    </tableColumn>
    <tableColumn id="4" xr3:uid="{57DE769C-A92E-467B-97E6-0164FBEBC66A}" name="ATK" dataDxfId="132">
      <calculatedColumnFormula>Table13161013[[#This Row],[Level]]*1+ 15</calculatedColumnFormula>
    </tableColumn>
    <tableColumn id="5" xr3:uid="{BF337D43-5142-431D-B5AC-7335DB8B1181}" name="DEF" dataDxfId="131">
      <calculatedColumnFormula>Table13161013[[#This Row],[Level]]*1 + 15</calculatedColumnFormula>
    </tableColumn>
    <tableColumn id="6" xr3:uid="{DC999929-3C77-4EB9-B113-30A73FEEEF46}" name="MAT" dataDxfId="130">
      <calculatedColumnFormula>Table13161013[[#This Row],[Level]]*1.375+15</calculatedColumnFormula>
    </tableColumn>
    <tableColumn id="7" xr3:uid="{19E03B32-9762-40A5-ABB9-71E539F12A4D}" name="MDF" dataDxfId="129">
      <calculatedColumnFormula>Table13161013[[#This Row],[Level]]*1.5+15</calculatedColumnFormula>
    </tableColumn>
    <tableColumn id="8" xr3:uid="{340B798D-7289-415A-863E-5B75541B1826}" name="AGI" dataDxfId="128">
      <calculatedColumnFormula>Table13161013[[#This Row],[Level]]*1.125 + 15</calculatedColumnFormula>
    </tableColumn>
    <tableColumn id="9" xr3:uid="{A95C61CD-FC66-44AB-B31A-915976135796}" name="LUK" dataDxfId="127">
      <calculatedColumnFormula>Table13161013[[#This Row],[Level]]*1.5+15</calculatedColumnFormula>
    </tableColumn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5BE20D8E-2365-4FB0-876D-0A68389AD467}" name="Table16826" displayName="Table16826" ref="A4:J5" totalsRowShown="0">
  <autoFilter ref="A4:J5" xr:uid="{F08EE89F-6614-49AE-B6BC-FA6BCB068F0F}"/>
  <tableColumns count="10">
    <tableColumn id="1" xr3:uid="{8367FABB-741F-4BB2-87DB-41BC5AC70FBD}" name="Name"/>
    <tableColumn id="2" xr3:uid="{2B9E4BEA-0C10-4177-9141-0B71CF7FE35E}" name="HP"/>
    <tableColumn id="3" xr3:uid="{F2F12A8B-A29B-42B1-A8E4-38304BAEDB88}" name="MP"/>
    <tableColumn id="4" xr3:uid="{20554458-B2FF-4B90-B78C-F0422DC26430}" name="ATK"/>
    <tableColumn id="5" xr3:uid="{5C0D12C0-B1FF-46EB-A183-52161051F3DE}" name="DEF"/>
    <tableColumn id="6" xr3:uid="{84149386-6F2A-4964-80D2-7E403FC213A3}" name="MAT"/>
    <tableColumn id="7" xr3:uid="{60AD88FB-4685-412B-B5FD-BF8412C6B8E2}" name="MDF"/>
    <tableColumn id="8" xr3:uid="{6A88D48C-D864-4F16-BEF2-BA88783A3FF3}" name="AGI"/>
    <tableColumn id="9" xr3:uid="{D40BD230-6392-4A28-A29D-F13EFE35C95E}" name="LUK"/>
    <tableColumn id="10" xr3:uid="{A0E09B2B-FD41-413F-8063-62214E990751}" name="Total" dataDxfId="126">
      <calculatedColumnFormula>SUM(Table16826[[#This Row],[HP]:[LUK]])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D84F3977-BD60-45B7-A8E0-43278D2A35F6}" name="Table1316101328" displayName="Table1316101328" ref="A8:I14" totalsRowShown="0">
  <autoFilter ref="A8:I14" xr:uid="{F7062CBA-4FAA-4900-9D3A-5C6613BCB6CE}"/>
  <tableColumns count="9">
    <tableColumn id="1" xr3:uid="{ADCB4852-D3A0-456B-A8BD-E5F74BDBB762}" name="Level"/>
    <tableColumn id="2" xr3:uid="{ED76047D-1BC2-4C1B-B9B0-58BE0ACDDA48}" name="HP" dataDxfId="125">
      <calculatedColumnFormula>Table1316101328[[#This Row],[Level]]*50 + 100</calculatedColumnFormula>
    </tableColumn>
    <tableColumn id="3" xr3:uid="{EC859C53-0BA5-45D1-868B-F22DC8CE7D25}" name="MP" dataDxfId="124">
      <calculatedColumnFormula>Table1316101328[[#This Row],[Level]]*10+20</calculatedColumnFormula>
    </tableColumn>
    <tableColumn id="4" xr3:uid="{DED33AB9-A2BB-4F9E-AA6D-02F8D1D65CD1}" name="ATK" dataDxfId="123">
      <calculatedColumnFormula>Table1316101328[[#This Row],[Level]]*1.375+ 15+20</calculatedColumnFormula>
    </tableColumn>
    <tableColumn id="5" xr3:uid="{329B716D-9CA6-4546-AB13-92D88BE40F5F}" name="DEF" dataDxfId="122">
      <calculatedColumnFormula>Table1316101328[[#This Row],[Level]]*1 + 15+12</calculatedColumnFormula>
    </tableColumn>
    <tableColumn id="6" xr3:uid="{67F8198A-5FC2-4C6D-9558-68B3141EA756}" name="MAT" dataDxfId="121">
      <calculatedColumnFormula>Table1316101328[[#This Row],[Level]]*1+15</calculatedColumnFormula>
    </tableColumn>
    <tableColumn id="7" xr3:uid="{C70F5BF6-63B0-44C1-862D-25E3FB55320F}" name="MDF" dataDxfId="120">
      <calculatedColumnFormula>Table1316101328[[#This Row],[Level]]*1.5+15+11</calculatedColumnFormula>
    </tableColumn>
    <tableColumn id="8" xr3:uid="{AB20AF53-453C-4266-A46B-40E693C91985}" name="AGI" dataDxfId="119">
      <calculatedColumnFormula>Table1316101328[[#This Row],[Level]]*1.25 + 15</calculatedColumnFormula>
    </tableColumn>
    <tableColumn id="9" xr3:uid="{7FC46A31-F9F1-432E-B399-0823E198FE0A}" name="LUK" dataDxfId="118">
      <calculatedColumnFormula>Table1316101328[[#This Row],[Level]]*1.5+15+20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731AA9B2-A6D9-4F07-91DC-487E972F8B3A}" name="Table1682630" displayName="Table1682630" ref="A4:J5" totalsRowShown="0">
  <autoFilter ref="A4:J5" xr:uid="{E4EB65B5-9C38-49EF-9DA3-E1D26B98560B}"/>
  <tableColumns count="10">
    <tableColumn id="1" xr3:uid="{93E59A2D-05DC-46A5-8717-462BA7AA04CF}" name="Name"/>
    <tableColumn id="2" xr3:uid="{252E1B9F-55D2-4063-9232-348AE5BDBE45}" name="HP"/>
    <tableColumn id="3" xr3:uid="{E859BE70-0FEB-40AF-A389-BF0EF5F86A0B}" name="MP"/>
    <tableColumn id="4" xr3:uid="{EBB68D4F-AC26-4FBC-A620-D13E10596067}" name="ATK"/>
    <tableColumn id="5" xr3:uid="{013A2773-8934-4B69-8FB9-94B879FEFCEE}" name="DEF"/>
    <tableColumn id="6" xr3:uid="{8AC61086-853E-48E6-B66B-41292C87AEA2}" name="MAT"/>
    <tableColumn id="7" xr3:uid="{20C5D094-BAF0-471C-ACF3-C6658991DB5F}" name="MDF"/>
    <tableColumn id="8" xr3:uid="{E08E2AF0-56DD-4A69-A536-27139D793022}" name="AGI"/>
    <tableColumn id="9" xr3:uid="{12AD8606-1127-4E5B-BA2C-872780F22F9E}" name="LUK"/>
    <tableColumn id="10" xr3:uid="{5E2EF778-63AE-48B7-9F49-0D2AFEBD66A1}" name="Total" dataDxfId="117">
      <calculatedColumnFormula>SUM(Table1682630[[#This Row],[HP]:[LUK]])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AFF2D852-F236-4D7D-8C04-D0C2FFFF0EA8}" name="Table131610132831" displayName="Table131610132831" ref="A8:I14" totalsRowShown="0">
  <autoFilter ref="A8:I14" xr:uid="{299912CC-280B-49E1-8859-432D05893259}"/>
  <tableColumns count="9">
    <tableColumn id="1" xr3:uid="{4F0B657F-C9A5-4A73-AAA3-27D307385193}" name="Level"/>
    <tableColumn id="2" xr3:uid="{526284E7-597F-4726-AB18-230CA03461B1}" name="HP" dataDxfId="116">
      <calculatedColumnFormula>Table131610132831[[#This Row],[Level]]*63+ 300</calculatedColumnFormula>
    </tableColumn>
    <tableColumn id="3" xr3:uid="{E7BA3C7A-2677-415F-BA47-A4E88679B948}" name="MP" dataDxfId="115">
      <calculatedColumnFormula>Table131610132831[[#This Row],[Level]]*10+20</calculatedColumnFormula>
    </tableColumn>
    <tableColumn id="4" xr3:uid="{AE7BE678-2229-44F6-8732-71214FB69DD7}" name="ATK" dataDxfId="114">
      <calculatedColumnFormula>Table131610132831[[#This Row],[Level]]*1.5+ 15+20</calculatedColumnFormula>
    </tableColumn>
    <tableColumn id="5" xr3:uid="{4715E3DB-8817-43D5-9074-9FB5F0BEF5B4}" name="DEF" dataDxfId="113">
      <calculatedColumnFormula>Table131610132831[[#This Row],[Level]]*1 + 15+12</calculatedColumnFormula>
    </tableColumn>
    <tableColumn id="6" xr3:uid="{9CE76933-D045-418B-A975-378EEA51D856}" name="MAT" dataDxfId="112">
      <calculatedColumnFormula>Table131610132831[[#This Row],[Level]]*1+15</calculatedColumnFormula>
    </tableColumn>
    <tableColumn id="7" xr3:uid="{244B9611-6CB0-4946-B5CD-7D42311C7D7E}" name="MDF" dataDxfId="111">
      <calculatedColumnFormula>Table131610132831[[#This Row],[Level]]*1.5+15+11</calculatedColumnFormula>
    </tableColumn>
    <tableColumn id="8" xr3:uid="{32550C13-49BB-41D2-BA0A-26798830A0FD}" name="AGI" dataDxfId="110">
      <calculatedColumnFormula>Table131610132831[[#This Row],[Level]]*1.5 + 15</calculatedColumnFormula>
    </tableColumn>
    <tableColumn id="9" xr3:uid="{BB22F289-8AF5-4DD6-877B-F09520710555}" name="LUK" dataDxfId="109">
      <calculatedColumnFormula>Table131610132831[[#This Row],[Level]]*1.5+15+20</calculatedColumnFormula>
    </tableColumn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537551B7-B0FC-43E4-9401-043CCFC4A3B0}" name="Table13162015" displayName="Table13162015" ref="A4:I10" totalsRowShown="0">
  <autoFilter ref="A4:I10" xr:uid="{A1EAC62C-C07D-464E-91B1-4A34E6604BA2}"/>
  <tableColumns count="9">
    <tableColumn id="1" xr3:uid="{430FD3D4-914C-4309-B2E6-6F01B5CAED94}" name="Level"/>
    <tableColumn id="2" xr3:uid="{28AF0DE0-B21C-412D-B81D-50BDA9E69080}" name="HP" dataDxfId="108">
      <calculatedColumnFormula>Table13162015[[#This Row],[Level]]*50 + 100</calculatedColumnFormula>
    </tableColumn>
    <tableColumn id="3" xr3:uid="{1DE5110F-EC07-4DF5-A7D5-34F082598910}" name="MP" dataDxfId="107">
      <calculatedColumnFormula>Table13162015[[#This Row],[Level]]*15+100</calculatedColumnFormula>
    </tableColumn>
    <tableColumn id="4" xr3:uid="{F18C8760-61ED-4B62-BAF2-B14B62B7D248}" name="ATK" dataDxfId="106">
      <calculatedColumnFormula>Table13162015[[#This Row],[Level]]*1+ 15</calculatedColumnFormula>
    </tableColumn>
    <tableColumn id="5" xr3:uid="{C1595AD9-E387-4A22-BCB6-4CBFA719F9D0}" name="DEF" dataDxfId="105">
      <calculatedColumnFormula>Table13162015[[#This Row],[Level]]*1 + 15 + 7</calculatedColumnFormula>
    </tableColumn>
    <tableColumn id="6" xr3:uid="{F489FA67-46F6-43D1-B73B-47D83B34338A}" name="MAT" dataDxfId="104">
      <calculatedColumnFormula>Table13162015[[#This Row],[Level]]*1.5 + 15 + 30</calculatedColumnFormula>
    </tableColumn>
    <tableColumn id="7" xr3:uid="{3F79394A-4124-4984-9D31-828E25A56C45}" name="MDF" dataDxfId="103">
      <calculatedColumnFormula>Table13162015[[#This Row],[Level]]*1.5 + 15 + 21</calculatedColumnFormula>
    </tableColumn>
    <tableColumn id="8" xr3:uid="{C07D4BAA-1701-41F8-AFCA-9DA08523E4CB}" name="AGI" dataDxfId="102">
      <calculatedColumnFormula>Table13162015[[#This Row],[Level]]*1.25 + 15</calculatedColumnFormula>
    </tableColumn>
    <tableColumn id="9" xr3:uid="{4A2DA70C-A82A-443D-8342-5AD49EBB4B2C}" name="LUK" dataDxfId="101">
      <calculatedColumnFormula>Table13162015[[#This Row],[Level]]*1 + 15</calculatedColumnFormula>
    </tableColumn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F3CEF94F-0A77-45F7-9EF0-B6E7B4DA3B1F}" name="Table131618" displayName="Table131618" ref="A7:I12" totalsRowShown="0">
  <autoFilter ref="A7:I12" xr:uid="{9BE7336F-352A-4FAE-B0E4-61965FC814C7}"/>
  <tableColumns count="9">
    <tableColumn id="1" xr3:uid="{B8DA50BB-4379-43D1-879B-CDBE6D82C13A}" name="Level"/>
    <tableColumn id="2" xr3:uid="{A8A85284-4B9F-4641-B524-14D05062AA7E}" name="HP" dataDxfId="100">
      <calculatedColumnFormula>Table131618[[#This Row],[Level]]*75 + 500</calculatedColumnFormula>
    </tableColumn>
    <tableColumn id="3" xr3:uid="{4AC299E1-6D4E-4976-B070-B7CE6420FFAE}" name="MP" dataDxfId="99">
      <calculatedColumnFormula>Table131618[[#This Row],[Level]]*10+20</calculatedColumnFormula>
    </tableColumn>
    <tableColumn id="4" xr3:uid="{BAB284EC-09DE-422F-ABFC-8F534405AF61}" name="ATK" dataDxfId="98">
      <calculatedColumnFormula>Table131618[[#This Row],[Level]]*1.5+ 15</calculatedColumnFormula>
    </tableColumn>
    <tableColumn id="5" xr3:uid="{769BCE66-0870-41ED-9C9B-5AD056584176}" name="DEF" dataDxfId="97">
      <calculatedColumnFormula>Table131618[[#This Row],[Level]]*1.5 + 15</calculatedColumnFormula>
    </tableColumn>
    <tableColumn id="6" xr3:uid="{27956CE0-AAC2-4888-96D5-4FA26667ECE7}" name="MAT" dataDxfId="96">
      <calculatedColumnFormula>Table131618[[#This Row],[Level]]*1 + 15</calculatedColumnFormula>
    </tableColumn>
    <tableColumn id="7" xr3:uid="{6C0E582B-8B24-49CA-B28B-FF3306829EEC}" name="MDF" dataDxfId="95">
      <calculatedColumnFormula>Table131618[[#This Row],[Level]]*1.5 + 15</calculatedColumnFormula>
    </tableColumn>
    <tableColumn id="8" xr3:uid="{B3895228-D7EB-4A37-A986-C2AC48A359C6}" name="AGI" dataDxfId="94">
      <calculatedColumnFormula>Table131618[[#This Row],[Level]]*1.375 + 15</calculatedColumnFormula>
    </tableColumn>
    <tableColumn id="9" xr3:uid="{9583BDED-512B-459B-98FC-273F1975BCB9}" name="LUK" dataDxfId="93">
      <calculatedColumnFormula>Table131618[[#This Row],[Level]]*1.125 + 15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433AB34-7466-42C0-850C-3337B9BEB6B5}" name="Table1316" displayName="Table1316" ref="A8:I13" totalsRowShown="0">
  <autoFilter ref="A8:I13" xr:uid="{67385006-CBB9-4472-99D4-7881E042769D}"/>
  <tableColumns count="9">
    <tableColumn id="1" xr3:uid="{FD96F8F7-CCAB-44FA-B525-A5081670706A}" name="Level"/>
    <tableColumn id="2" xr3:uid="{3B6C33F1-A23B-494D-9E01-1F3B92B01ACB}" name="HP" dataDxfId="187">
      <calculatedColumnFormula>Table1316[[#This Row],[Level]]*56.25-100</calculatedColumnFormula>
    </tableColumn>
    <tableColumn id="3" xr3:uid="{AC26381C-1E8B-4282-BA32-FAB013C92F8A}" name="MP" dataDxfId="186">
      <calculatedColumnFormula>Table1316[[#This Row],[Level]]*10</calculatedColumnFormula>
    </tableColumn>
    <tableColumn id="4" xr3:uid="{77F74EFD-F91C-4967-9511-B8BF5E4B6952}" name="ATK" dataDxfId="185">
      <calculatedColumnFormula>Table1316[[#This Row],[Level]]*1.25+ 15</calculatedColumnFormula>
    </tableColumn>
    <tableColumn id="5" xr3:uid="{C5099C7E-FF2C-413F-B479-06A4BBC781C4}" name="DEF" dataDxfId="184">
      <calculatedColumnFormula>Table1316[[#This Row],[Level]]*1.25 + 15</calculatedColumnFormula>
    </tableColumn>
    <tableColumn id="6" xr3:uid="{55F7F6C7-C6E6-49D1-9C4C-6F3D4A44FC15}" name="MAT" dataDxfId="183">
      <calculatedColumnFormula>Table1316[[#This Row],[Level]]*1</calculatedColumnFormula>
    </tableColumn>
    <tableColumn id="7" xr3:uid="{D37B7B5E-6DF3-40C9-BC2C-99DE88C4F88F}" name="MDF" dataDxfId="182">
      <calculatedColumnFormula>Table1316[[#This Row],[Level]]*1</calculatedColumnFormula>
    </tableColumn>
    <tableColumn id="8" xr3:uid="{4DAA9289-D312-4509-B000-CD43744E2CED}" name="AGI" dataDxfId="181">
      <calculatedColumnFormula>Table1316[[#This Row],[Level]]*1 + 5</calculatedColumnFormula>
    </tableColumn>
    <tableColumn id="9" xr3:uid="{D9656154-EFE0-498B-896F-CDEF92F7DC51}" name="LUK" dataDxfId="180">
      <calculatedColumnFormula>Table1316[[#This Row],[Level]]*1</calculatedColumnFormula>
    </tableColumn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6BEAD6DA-F1CC-4DB1-9830-FAC45EABEE4E}" name="Table16821" displayName="Table16821" ref="A4:J5" totalsRowShown="0">
  <autoFilter ref="A4:J5" xr:uid="{0874E50B-9ED5-4CBB-94CE-FE34DD543476}"/>
  <tableColumns count="10">
    <tableColumn id="1" xr3:uid="{D24DE64F-AD99-44F1-A563-00A2EC86C8A5}" name="Name"/>
    <tableColumn id="2" xr3:uid="{FA1ADA16-085A-4D07-AC3D-BD752AD74C02}" name="HP"/>
    <tableColumn id="3" xr3:uid="{7603371D-40BD-4E83-877D-566EDA75BB06}" name="MP"/>
    <tableColumn id="4" xr3:uid="{CAE8D85C-6716-4520-ABE5-F9AEF2B25E8E}" name="ATK"/>
    <tableColumn id="5" xr3:uid="{245407F3-8672-4D23-8668-D1E8EF177882}" name="DEF"/>
    <tableColumn id="6" xr3:uid="{CF958570-2481-49F8-81D3-7C212DEE19E7}" name="MAT"/>
    <tableColumn id="7" xr3:uid="{AEFF5C29-BE6A-4CF8-A2BB-F6B076077DA9}" name="MDF"/>
    <tableColumn id="8" xr3:uid="{4DE9B01E-67F2-4136-ADC3-60389FB67DCC}" name="AGI"/>
    <tableColumn id="9" xr3:uid="{F5A82F03-513C-46D4-9F91-470F0060526B}" name="LUK"/>
    <tableColumn id="10" xr3:uid="{AC99843E-773A-414F-BD46-4FF9EE83C7C8}" name="Total" dataDxfId="92">
      <calculatedColumnFormula>SUM(Table16821[[#This Row],[HP]:[LUK]])</calculatedColumnFormula>
    </tableColumn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C0D4CA08-9B25-4DAF-9E5A-DE83069C82B6}" name="Table1922" displayName="Table1922" ref="A15:I16" totalsRowShown="0" dataDxfId="91" tableBorderDxfId="90">
  <autoFilter ref="A15:I16" xr:uid="{434CBBE2-2F8D-4EEB-895C-68FC850EF1FD}"/>
  <tableColumns count="9">
    <tableColumn id="1" xr3:uid="{08FAD429-66B9-4C8A-8EDB-B8DA8C26C675}" name="Level" dataDxfId="89"/>
    <tableColumn id="2" xr3:uid="{CA74597C-BA22-42F0-BB05-90DCD7E1CDDE}" name="HP" dataDxfId="88">
      <calculatedColumnFormula>Table1922[Level]*75 + 500</calculatedColumnFormula>
    </tableColumn>
    <tableColumn id="3" xr3:uid="{993D070B-C7B7-45D4-93E5-17EE44EED7D3}" name="MP" dataDxfId="87">
      <calculatedColumnFormula>Table1922[[#This Row],[Level]]*10 + 20</calculatedColumnFormula>
    </tableColumn>
    <tableColumn id="4" xr3:uid="{C4545271-63AB-4362-AFD0-75163CCB58EF}" name="ATK" dataDxfId="86"/>
    <tableColumn id="5" xr3:uid="{86A4D6B9-AD17-49DD-8DA2-FFA5E1524EBD}" name="DEF" dataDxfId="85"/>
    <tableColumn id="6" xr3:uid="{E7353087-15C2-4F04-A487-D3F31754ABD6}" name="MAT" dataDxfId="84"/>
    <tableColumn id="7" xr3:uid="{ED5F6DB9-0B11-4EFF-A230-1A55AF879970}" name="MDF" dataDxfId="83"/>
    <tableColumn id="8" xr3:uid="{58B92910-71F9-41E1-9754-359D180D0AAC}" name="AGI" dataDxfId="82"/>
    <tableColumn id="9" xr3:uid="{75D84CD3-53A0-4336-93D8-A352C50C03CA}" name="LUK" dataDxfId="81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BACB03CE-1DAD-4E5F-8D00-25D6D07FC945}" name="Table131620" displayName="Table131620" ref="A3:I9" totalsRowShown="0">
  <autoFilter ref="A3:I9" xr:uid="{A90D1C2A-DBF9-4EEF-ACC2-3DC17C207301}"/>
  <tableColumns count="9">
    <tableColumn id="1" xr3:uid="{BD3505AC-AE6D-4947-A74E-A6C2D68658F1}" name="Level"/>
    <tableColumn id="2" xr3:uid="{A1294F9F-EBC1-4296-B011-01C603344440}" name="HP" dataDxfId="80">
      <calculatedColumnFormula>Table131620[[#This Row],[Level]]*50 + 100</calculatedColumnFormula>
    </tableColumn>
    <tableColumn id="3" xr3:uid="{59EABEF7-2BEF-47B5-8F65-5CA01989879E}" name="MP" dataDxfId="79">
      <calculatedColumnFormula>Table131620[[#This Row],[Level]]*15+100</calculatedColumnFormula>
    </tableColumn>
    <tableColumn id="4" xr3:uid="{1126F36B-2E1E-425F-9D79-2C33533A233C}" name="ATK" dataDxfId="78">
      <calculatedColumnFormula>Table131620[[#This Row],[Level]]*1+ 15</calculatedColumnFormula>
    </tableColumn>
    <tableColumn id="5" xr3:uid="{4235BC6B-708C-4D42-BF8A-BB1DFF8F3B48}" name="DEF" dataDxfId="77">
      <calculatedColumnFormula>Table131620[[#This Row],[Level]]*1 + 15</calculatedColumnFormula>
    </tableColumn>
    <tableColumn id="6" xr3:uid="{5089908A-1F1A-4ABC-83C5-4AB9A3F6939C}" name="MAT" dataDxfId="76">
      <calculatedColumnFormula>Table131620[[#This Row],[Level]]*1.5 + 15</calculatedColumnFormula>
    </tableColumn>
    <tableColumn id="7" xr3:uid="{244F2331-26E8-40D3-9798-7F332C488BA2}" name="MDF" dataDxfId="75">
      <calculatedColumnFormula>Table131620[[#This Row],[Level]]*1.5 + 15</calculatedColumnFormula>
    </tableColumn>
    <tableColumn id="8" xr3:uid="{2AD0FECD-797E-4EEA-B5DD-FEB78C15117F}" name="AGI" dataDxfId="74">
      <calculatedColumnFormula>Table131620[[#This Row],[Level]]*1.25 + 15</calculatedColumnFormula>
    </tableColumn>
    <tableColumn id="9" xr3:uid="{D4231BEE-7DAE-438E-B727-BC57B8F57597}" name="LUK" dataDxfId="73">
      <calculatedColumnFormula>Table131620[[#This Row],[Level]]*1 + 15</calculatedColumnFormula>
    </tableColumn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EB5E87D9-7176-4EDF-A213-1F2F1812D046}" name="Table19" displayName="Table19" ref="L3:T4" totalsRowShown="0" dataDxfId="72" tableBorderDxfId="71">
  <autoFilter ref="L3:T4" xr:uid="{5D2C3EA8-1297-4C77-AF32-84E50F8232C5}"/>
  <tableColumns count="9">
    <tableColumn id="1" xr3:uid="{0B061316-6B56-404F-BD50-AEA8EEBE29C7}" name="Level" dataDxfId="70"/>
    <tableColumn id="2" xr3:uid="{DD7F3A71-5685-4158-906B-EF22B1AE9AF0}" name="HP" dataDxfId="69">
      <calculatedColumnFormula>Table19[Level]*50 + 100</calculatedColumnFormula>
    </tableColumn>
    <tableColumn id="3" xr3:uid="{370CE45A-8A0C-43B6-91A5-13ED6B69FE90}" name="MP" dataDxfId="68">
      <calculatedColumnFormula>Table19[[#This Row],[Level]]*15+100</calculatedColumnFormula>
    </tableColumn>
    <tableColumn id="4" xr3:uid="{A67BA9CE-5223-45EC-A3F0-5AD854A4F789}" name="ATK" dataDxfId="67">
      <calculatedColumnFormula>Table19[[#This Row],[Level]]*1+ 15</calculatedColumnFormula>
    </tableColumn>
    <tableColumn id="5" xr3:uid="{C7704809-03E7-437C-B85B-D24236A90152}" name="DEF" dataDxfId="66">
      <calculatedColumnFormula>Table19[[#This Row],[Level]]*1 + 15 + 6</calculatedColumnFormula>
    </tableColumn>
    <tableColumn id="6" xr3:uid="{5A5291DB-ED22-43A9-9E32-0F7D8E2DF605}" name="MAT" dataDxfId="65">
      <calculatedColumnFormula>Table19[[#This Row],[Level]]*1.5 + 15 + 40</calculatedColumnFormula>
    </tableColumn>
    <tableColumn id="7" xr3:uid="{F6AEAE89-9D01-4371-80C5-75F4295522CF}" name="MDF" dataDxfId="64">
      <calculatedColumnFormula>Table19[[#This Row],[Level]]*1.5 + 15 + 12</calculatedColumnFormula>
    </tableColumn>
    <tableColumn id="8" xr3:uid="{27FAFF51-670F-4383-AE3D-7774533FB52E}" name="AGI" dataDxfId="63">
      <calculatedColumnFormula>Table19[[#This Row],[Level]]*1.25 + 15</calculatedColumnFormula>
    </tableColumn>
    <tableColumn id="9" xr3:uid="{1BFA026A-DC3F-4B70-9D2A-1628D758B39D}" name="LUK" dataDxfId="62">
      <calculatedColumnFormula>Table19[Level] + 15</calculatedColumnFormula>
    </tableColumn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41A82D08-9A09-4219-84C8-447F62C5E4A5}" name="Table13161833" displayName="Table13161833" ref="A7:I12" totalsRowShown="0">
  <autoFilter ref="A7:I12" xr:uid="{553298A4-7E43-42CF-9EEB-1F9E7E6BAD27}"/>
  <tableColumns count="9">
    <tableColumn id="1" xr3:uid="{2AA35C8B-719C-4BA6-9CDF-2963E1C9F233}" name="Level"/>
    <tableColumn id="2" xr3:uid="{C087FAFA-9653-40EC-B4B9-5CB8F9D7255E}" name="HP" dataDxfId="61">
      <calculatedColumnFormula>Table13161833[[#This Row],[Level]]*75 + 500</calculatedColumnFormula>
    </tableColumn>
    <tableColumn id="3" xr3:uid="{0004B47B-3968-4C5A-BE6C-B822A307D7C5}" name="MP" dataDxfId="60">
      <calculatedColumnFormula>Table13161833[[#This Row],[Level]]*10+20</calculatedColumnFormula>
    </tableColumn>
    <tableColumn id="4" xr3:uid="{67EC8D91-0122-40D7-87D0-A3AB6788CE9D}" name="ATK" dataDxfId="59">
      <calculatedColumnFormula>Table13161833[[#This Row],[Level]]*1.5+ 15</calculatedColumnFormula>
    </tableColumn>
    <tableColumn id="5" xr3:uid="{E9988E54-33D6-41EB-B6BE-6E832544E18C}" name="DEF" dataDxfId="58">
      <calculatedColumnFormula>Table13161833[[#This Row],[Level]]*1.5 + 15</calculatedColumnFormula>
    </tableColumn>
    <tableColumn id="6" xr3:uid="{16D71A55-372C-4029-A831-ECF2325E46C4}" name="MAT" dataDxfId="57">
      <calculatedColumnFormula>Table13161833[[#This Row],[Level]]*1 + 15</calculatedColumnFormula>
    </tableColumn>
    <tableColumn id="7" xr3:uid="{1802FB48-B110-4DBF-A8F2-64CD4890E741}" name="MDF" dataDxfId="56">
      <calculatedColumnFormula>Table13161833[[#This Row],[Level]]*1.5 + 15</calculatedColumnFormula>
    </tableColumn>
    <tableColumn id="8" xr3:uid="{350CA8CC-761C-4994-9D80-14685787EF3D}" name="AGI" dataDxfId="55">
      <calculatedColumnFormula>Table13161833[[#This Row],[Level]]*1.375 + 15</calculatedColumnFormula>
    </tableColumn>
    <tableColumn id="9" xr3:uid="{B578CF58-136A-41B9-800E-D75836A4CDD1}" name="LUK" dataDxfId="54">
      <calculatedColumnFormula>Table13161833[[#This Row],[Level]]*1.125 + 15</calculatedColumnFormula>
    </tableColumn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B310FA79-C251-4887-8BA0-13EFC898E0EE}" name="Table1682134" displayName="Table1682134" ref="A4:J5" totalsRowShown="0">
  <autoFilter ref="A4:J5" xr:uid="{A196C7A4-18CB-4B62-A1B5-F180559CC24F}"/>
  <tableColumns count="10">
    <tableColumn id="1" xr3:uid="{5856C6A7-86D8-4034-9C75-EF0B447521E9}" name="Name"/>
    <tableColumn id="2" xr3:uid="{0323D56B-1230-40A6-9F39-A1F15B999EB9}" name="HP"/>
    <tableColumn id="3" xr3:uid="{5047D0C1-3B69-43A4-8BB7-50413F800B48}" name="MP"/>
    <tableColumn id="4" xr3:uid="{35844843-6592-40C2-87B2-39C1F8EAC612}" name="ATK"/>
    <tableColumn id="5" xr3:uid="{1408F78D-2392-49EF-BC8D-CA3D7292C8AF}" name="DEF"/>
    <tableColumn id="6" xr3:uid="{4D9C5D96-8CD0-4851-8FE4-5E19474329C4}" name="MAT"/>
    <tableColumn id="7" xr3:uid="{5A405725-30A7-487F-95BF-061F71CA9C61}" name="MDF"/>
    <tableColumn id="8" xr3:uid="{644DEF70-6EBD-403E-904B-6C30E5FBEA48}" name="AGI"/>
    <tableColumn id="9" xr3:uid="{BA93DA54-96B9-48D1-80BB-C266771E13F1}" name="LUK"/>
    <tableColumn id="10" xr3:uid="{3EBB17A5-47EA-458B-83A5-7056BE67D25F}" name="Total" dataDxfId="53">
      <calculatedColumnFormula>SUM(Table1682134[[#This Row],[HP]:[LUK]])</calculatedColumnFormula>
    </tableColumn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A7C0F3AC-4E86-430D-AE55-8604641B493E}" name="Table192235" displayName="Table192235" ref="A15:I16" totalsRowShown="0" dataDxfId="52" tableBorderDxfId="51">
  <autoFilter ref="A15:I16" xr:uid="{D0DF3ED4-9A21-493B-88F4-CE5814AF31C9}"/>
  <tableColumns count="9">
    <tableColumn id="1" xr3:uid="{A78A876E-6C8B-4FC8-BFD4-A9BC80EA3FC2}" name="Level" dataDxfId="50"/>
    <tableColumn id="2" xr3:uid="{4B423FFC-D037-484D-A927-2F66E15D422A}" name="HP" dataDxfId="49">
      <calculatedColumnFormula>(Table192235[Level]*75 + 500)*2</calculatedColumnFormula>
    </tableColumn>
    <tableColumn id="3" xr3:uid="{B695FEDE-EC59-44D8-AE99-CBF568DE5C93}" name="MP" dataDxfId="48">
      <calculatedColumnFormula>Table192235[[#This Row],[Level]]*14 + 80</calculatedColumnFormula>
    </tableColumn>
    <tableColumn id="4" xr3:uid="{160D5D77-34E8-44F3-B51D-7CC0736DDCB1}" name="ATK" dataDxfId="47">
      <calculatedColumnFormula>Table192235[[#This Row],[Level]]*1.5+ 15 + 50</calculatedColumnFormula>
    </tableColumn>
    <tableColumn id="5" xr3:uid="{559DAC37-CD6A-449F-AFF0-355ADE7CED80}" name="DEF" dataDxfId="46"/>
    <tableColumn id="6" xr3:uid="{EEC344A5-27A5-450E-B795-04D237DD063F}" name="MAT" dataDxfId="45">
      <calculatedColumnFormula>Table192235[Level]*1.5+15+50</calculatedColumnFormula>
    </tableColumn>
    <tableColumn id="7" xr3:uid="{54363CA4-9EE5-495F-8323-6C0C1261453C}" name="MDF" dataDxfId="44"/>
    <tableColumn id="8" xr3:uid="{26B56E9D-2FCD-4476-A6CF-8F2EDC965246}" name="AGI" dataDxfId="43"/>
    <tableColumn id="9" xr3:uid="{95814D66-3343-4190-9BF4-F4E45AB27D95}" name="LUK" dataDxfId="42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E335D90-A9BD-40A2-B9C7-73CA6E6CAB11}" name="Table15" displayName="Table15" ref="A4:J8" totalsRowShown="0">
  <autoFilter ref="A4:J8" xr:uid="{CE759384-ADAA-40BA-B9E0-40CE462A16EC}"/>
  <tableColumns count="10">
    <tableColumn id="1" xr3:uid="{DAE2EC63-1D40-4ED3-8C7B-1C8C0375CA6B}" name="Name"/>
    <tableColumn id="2" xr3:uid="{0BF5F099-BE0D-4349-90FC-65863CB0E17C}" name="HP"/>
    <tableColumn id="3" xr3:uid="{CCC1BCC5-CFE4-4B8A-8323-673868BD95EF}" name="MP"/>
    <tableColumn id="4" xr3:uid="{FE1FBFE1-8412-412B-A359-6E322B02EF8B}" name="ATK"/>
    <tableColumn id="5" xr3:uid="{8DA4C046-05AD-4DAC-A5E6-0889B4BA4F65}" name="DEF"/>
    <tableColumn id="6" xr3:uid="{90827F4E-7CAE-4259-B6F9-E364498748A0}" name="MAT"/>
    <tableColumn id="7" xr3:uid="{22216E02-260E-4471-8BB1-4E6E1250BAC9}" name="MDF"/>
    <tableColumn id="8" xr3:uid="{DC2670AC-8DF2-47F7-A3F6-EE7896309BC9}" name="AGI"/>
    <tableColumn id="9" xr3:uid="{749652E2-F6CF-428C-B67C-FD0B1EFCCBBF}" name="LUK"/>
    <tableColumn id="10" xr3:uid="{A073A2A7-93B1-4F9E-9D91-2F78C352794F}" name="Total" dataDxfId="41">
      <calculatedColumnFormula>SUM(Table15[[#This Row],[HP]:[LUK]])</calculatedColumnFormula>
    </tableColumn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1E951F1-5D13-41C6-A7E5-8F4298DA5463}" name="Table13167" displayName="Table13167" ref="A15:I20" totalsRowShown="0">
  <autoFilter ref="A15:I20" xr:uid="{A1CF627F-8D28-44AD-9A35-411103976FCA}"/>
  <tableColumns count="9">
    <tableColumn id="1" xr3:uid="{F14CC326-DE44-48D8-856F-8DCDCFC89CAD}" name="Level"/>
    <tableColumn id="2" xr3:uid="{92BF3802-59D2-4399-9FE0-AA0C8E30CE98}" name="HP" dataDxfId="40">
      <calculatedColumnFormula>Table13167[[#This Row],[Level]]*63-100</calculatedColumnFormula>
    </tableColumn>
    <tableColumn id="3" xr3:uid="{E9621569-56FF-47E7-9862-FC92FAC1C576}" name="MP" dataDxfId="39">
      <calculatedColumnFormula>Table13167[[#This Row],[Level]]*10</calculatedColumnFormula>
    </tableColumn>
    <tableColumn id="4" xr3:uid="{28BC25CB-DFDA-4486-9929-9CA07015ACEC}" name="ATK" dataDxfId="38">
      <calculatedColumnFormula>Table13167[[#This Row],[Level]]*1.375+ 15</calculatedColumnFormula>
    </tableColumn>
    <tableColumn id="5" xr3:uid="{4F19BC44-4A9A-447E-BCFE-EBCA7F73E27C}" name="DEF" dataDxfId="37">
      <calculatedColumnFormula>Table13167[[#This Row],[Level]]*1.375 + 15</calculatedColumnFormula>
    </tableColumn>
    <tableColumn id="6" xr3:uid="{585C622F-EDFD-478A-B7AC-2300F7EC40B6}" name="MAT" dataDxfId="36">
      <calculatedColumnFormula>Table13167[[#This Row],[Level]]*1 + 15</calculatedColumnFormula>
    </tableColumn>
    <tableColumn id="7" xr3:uid="{4D664A3B-F840-4064-982E-516959FFFE80}" name="MDF" dataDxfId="35">
      <calculatedColumnFormula>Table13167[[#This Row],[Level]]*1.25+ 15</calculatedColumnFormula>
    </tableColumn>
    <tableColumn id="8" xr3:uid="{6A83289D-4D2C-4B86-8288-8E0D88EEFF85}" name="AGI" dataDxfId="34">
      <calculatedColumnFormula>Table13167[[#This Row],[Level]]*1.25 + 15</calculatedColumnFormula>
    </tableColumn>
    <tableColumn id="9" xr3:uid="{4C33EB48-74C2-47D6-870F-35D2D49D3558}" name="LUK" dataDxfId="33">
      <calculatedColumnFormula>Table13167[[#This Row],[Level]]*1.125 + 15</calculatedColumnFormula>
    </tableColumn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60D4A7A8-82BF-4B58-A912-589523D22F05}" name="Table131679" displayName="Table131679" ref="K11:S17" totalsRowShown="0">
  <autoFilter ref="K11:S17" xr:uid="{EAF9FB6A-F011-40E3-AB2F-E53826722AFB}"/>
  <tableColumns count="9">
    <tableColumn id="1" xr3:uid="{DF3E0800-6EE4-4E1B-BA6F-0194351D6E7C}" name="Level"/>
    <tableColumn id="2" xr3:uid="{C6F6C58B-0423-443B-ADB0-8D76D9074DCF}" name="HP" dataDxfId="32">
      <calculatedColumnFormula>Table131679[[#This Row],[Level]]*56.25+100</calculatedColumnFormula>
    </tableColumn>
    <tableColumn id="3" xr3:uid="{8EEC9751-28E7-41A4-A78F-6EA9934C1A52}" name="MP" dataDxfId="31">
      <calculatedColumnFormula>Table131679[[#This Row],[Level]]*10</calculatedColumnFormula>
    </tableColumn>
    <tableColumn id="4" xr3:uid="{551DBC8D-C1F9-431E-BE65-6008C6C634D8}" name="ATK" dataDxfId="30">
      <calculatedColumnFormula>Table131679[[#This Row],[Level]]*1.375+ 15 + 25</calculatedColumnFormula>
    </tableColumn>
    <tableColumn id="5" xr3:uid="{C9773950-14BB-4E0D-A68A-C952715F9420}" name="DEF" dataDxfId="29">
      <calculatedColumnFormula>Table131679[[#This Row],[Level]]*1.25 + 15 + 10</calculatedColumnFormula>
    </tableColumn>
    <tableColumn id="6" xr3:uid="{C9030533-FE21-4603-9B7F-56E1EA202112}" name="MAT" dataDxfId="28">
      <calculatedColumnFormula>Table131679[[#This Row],[Level]]*1 + 15</calculatedColumnFormula>
    </tableColumn>
    <tableColumn id="7" xr3:uid="{9AEE6B8F-A581-4136-83A2-A40D27A19079}" name="MDF" dataDxfId="27">
      <calculatedColumnFormula>Table131679[[#This Row],[Level]]*1.25+ 15 + 8</calculatedColumnFormula>
    </tableColumn>
    <tableColumn id="8" xr3:uid="{30C1EA69-009B-4C45-B758-5A4E2869B8E0}" name="AGI" dataDxfId="26">
      <calculatedColumnFormula>Table131679[[#This Row],[Level]]*1.5 + 15 + 5</calculatedColumnFormula>
    </tableColumn>
    <tableColumn id="9" xr3:uid="{0C309EA8-7C68-414C-9AEF-19A3079055BC}" name="LUK" dataDxfId="25">
      <calculatedColumnFormula>Table131679[[#This Row],[Level]]*1.125 + 15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7268DD6D-84F4-43D7-A05F-EB56AE11DFF7}" name="Table131611" displayName="Table131611" ref="K8:S14" totalsRowShown="0">
  <autoFilter ref="K8:S14" xr:uid="{AB7E938D-7ACC-4BFB-A6B9-682B8B29CEF2}"/>
  <tableColumns count="9">
    <tableColumn id="1" xr3:uid="{66EB8EF1-BCF4-44F7-B8A6-3C3B425F8FF5}" name="Level"/>
    <tableColumn id="2" xr3:uid="{EADBE3A7-BA36-40E2-AAFD-C66683EE9BBF}" name="HP" dataDxfId="179">
      <calculatedColumnFormula>Table131611[[#This Row],[Level]]*56.25+200</calculatedColumnFormula>
    </tableColumn>
    <tableColumn id="3" xr3:uid="{562074CC-9FA5-4DCD-9CD7-0BF99E403D1D}" name="MP" dataDxfId="178">
      <calculatedColumnFormula>Table131611[[#This Row],[Level]]*10</calculatedColumnFormula>
    </tableColumn>
    <tableColumn id="4" xr3:uid="{CA308242-617E-4D28-8842-309A46576513}" name="ATK" dataDxfId="177">
      <calculatedColumnFormula>Table131611[[#This Row],[Level]]*1.25+ 15+30</calculatedColumnFormula>
    </tableColumn>
    <tableColumn id="5" xr3:uid="{8DEFEC48-72A2-4000-BBAC-49E6AAC4CFA7}" name="DEF" dataDxfId="176">
      <calculatedColumnFormula>Table131611[[#This Row],[Level]]*1.25 + 15+33</calculatedColumnFormula>
    </tableColumn>
    <tableColumn id="6" xr3:uid="{B08936F6-A9CF-4FDB-88B5-260CD2AB0EC9}" name="MAT" dataDxfId="175">
      <calculatedColumnFormula>Table131611[[#This Row],[Level]]*1</calculatedColumnFormula>
    </tableColumn>
    <tableColumn id="7" xr3:uid="{BFBA5362-FC90-4144-922B-553D2C152D05}" name="MDF" dataDxfId="174">
      <calculatedColumnFormula>Table131611[[#This Row],[Level]]*1+15</calculatedColumnFormula>
    </tableColumn>
    <tableColumn id="8" xr3:uid="{AC746062-EE21-4939-ACAD-9BB491959CF0}" name="AGI" dataDxfId="173">
      <calculatedColumnFormula>Table131611[[#This Row],[Level]]*1 + 15</calculatedColumnFormula>
    </tableColumn>
    <tableColumn id="9" xr3:uid="{2F766C3C-A331-48B3-8271-4C32811B2BB3}" name="LUK" dataDxfId="172">
      <calculatedColumnFormula>Table131611[[#This Row],[Level]]*1</calculatedColumnFormula>
    </tableColumn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57801F89-51BE-4BC1-9BA3-39DF9D564857}" name="Table1316717" displayName="Table1316717" ref="A26:I31" totalsRowShown="0">
  <autoFilter ref="A26:I31" xr:uid="{870F76F2-5EA7-4FD7-B1F9-507D64592088}"/>
  <tableColumns count="9">
    <tableColumn id="1" xr3:uid="{3C04B742-338A-4366-BF3D-C5BC13023785}" name="Level"/>
    <tableColumn id="2" xr3:uid="{311B5B5D-94D8-4564-862A-CCEB5AFD3A6D}" name="HP" dataDxfId="24">
      <calculatedColumnFormula>Table1316717[[#This Row],[Level]]*63+100</calculatedColumnFormula>
    </tableColumn>
    <tableColumn id="3" xr3:uid="{BAA0998C-C9BA-4131-BCFC-05790596DB78}" name="MP" dataDxfId="23">
      <calculatedColumnFormula>Table1316717[[#This Row],[Level]]*10</calculatedColumnFormula>
    </tableColumn>
    <tableColumn id="4" xr3:uid="{01F6813D-3052-455F-8D17-6AAE233215C4}" name="ATK" dataDxfId="22">
      <calculatedColumnFormula>Table1316717[[#This Row],[Level]]*1.375+ 15</calculatedColumnFormula>
    </tableColumn>
    <tableColumn id="5" xr3:uid="{B48E24B7-D7BD-4C2D-A60C-0393FF7535C3}" name="DEF" dataDxfId="21">
      <calculatedColumnFormula>Table1316717[[#This Row],[Level]]*1.375 + 15</calculatedColumnFormula>
    </tableColumn>
    <tableColumn id="6" xr3:uid="{13BA118E-6B00-4F41-9AFE-6F1E4548C218}" name="MAT" dataDxfId="20">
      <calculatedColumnFormula>Table1316717[[#This Row],[Level]]*1 + 15</calculatedColumnFormula>
    </tableColumn>
    <tableColumn id="7" xr3:uid="{2ED3B673-EB80-40C4-80C0-583E0B6370DB}" name="MDF" dataDxfId="19">
      <calculatedColumnFormula>Table1316717[[#This Row],[Level]]*1.25+ 15</calculatedColumnFormula>
    </tableColumn>
    <tableColumn id="8" xr3:uid="{5AD00210-9BCE-4AF3-9075-1C6B934E686C}" name="AGI" dataDxfId="18">
      <calculatedColumnFormula>Table1316717[[#This Row],[Level]]*1.25 + 15</calculatedColumnFormula>
    </tableColumn>
    <tableColumn id="9" xr3:uid="{02B9C036-A321-4EBE-90DF-CF68CB6FB35E}" name="LUK" dataDxfId="17">
      <calculatedColumnFormula>Table1316717[[#This Row],[Level]]*1.125 + 15</calculatedColumnFormula>
    </tableColumn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BE19079-7252-4251-9EA9-046E7A11042F}" name="Table13167173" displayName="Table13167173" ref="A36:I41" totalsRowShown="0">
  <autoFilter ref="A36:I41" xr:uid="{9BD043AF-0D77-4FF4-B2F9-B4AC3C3F1F82}"/>
  <tableColumns count="9">
    <tableColumn id="1" xr3:uid="{7BB908A3-05D7-4357-920B-BF4C6BC20C06}" name="Level"/>
    <tableColumn id="2" xr3:uid="{346E2BC5-B5D5-44A0-84D6-859E1B4DC76D}" name="HP" dataDxfId="16">
      <calculatedColumnFormula>Table13167173[[#This Row],[Level]]*56.5+200</calculatedColumnFormula>
    </tableColumn>
    <tableColumn id="3" xr3:uid="{48184CEA-2CA3-4CEA-8AE5-71C005FA24C9}" name="MP" dataDxfId="15">
      <calculatedColumnFormula>Table13167173[[#This Row],[Level]]*12.5</calculatedColumnFormula>
    </tableColumn>
    <tableColumn id="4" xr3:uid="{3B46ED9A-2E4B-401C-B83E-32CE8A74CB32}" name="ATK" dataDxfId="14">
      <calculatedColumnFormula>Table13167173[[#This Row],[Level]]*1+ 15</calculatedColumnFormula>
    </tableColumn>
    <tableColumn id="5" xr3:uid="{E3091C6D-70B6-453C-B493-8D9CC0DD5C37}" name="DEF" dataDxfId="13">
      <calculatedColumnFormula>Table13167173[[#This Row],[Level]]*1 + 15+14</calculatedColumnFormula>
    </tableColumn>
    <tableColumn id="6" xr3:uid="{C2E89F50-3D99-49B9-8E98-20EFA4CBA8EB}" name="MAT" dataDxfId="12">
      <calculatedColumnFormula>Table13167173[[#This Row],[Level]]*1.125 + 15</calculatedColumnFormula>
    </tableColumn>
    <tableColumn id="7" xr3:uid="{51AF53BA-4D3D-4ABA-A3CC-2F9EF73D34CB}" name="MDF" dataDxfId="11">
      <calculatedColumnFormula>Table13167173[[#This Row],[Level]]*1.5+ 15+13</calculatedColumnFormula>
    </tableColumn>
    <tableColumn id="8" xr3:uid="{285CB6EF-4E49-4066-90AB-68B42C1B2989}" name="AGI" dataDxfId="10">
      <calculatedColumnFormula>Table13167173[[#This Row],[Level]]*1.25 + 15</calculatedColumnFormula>
    </tableColumn>
    <tableColumn id="9" xr3:uid="{34BE8683-723F-43E8-AE99-E2D525D32717}" name="LUK" dataDxfId="9">
      <calculatedColumnFormula>Table13167173[[#This Row],[Level]]*1.375 + 15+40</calculatedColumnFormula>
    </tableColumn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E4471554-FCCF-4CBD-B1D2-34C3D61042AD}" name="Table168213429" displayName="Table168213429" ref="A3:J4" totalsRowShown="0">
  <autoFilter ref="A3:J4" xr:uid="{B7276DA8-436B-4A87-A068-359A8A999C7E}"/>
  <tableColumns count="10">
    <tableColumn id="1" xr3:uid="{5B20A54B-B88D-4A60-AC76-0D908355E6BA}" name="Name"/>
    <tableColumn id="2" xr3:uid="{68EBB8E2-05D1-4EDB-9CDA-3AD9FF254CCC}" name="HP"/>
    <tableColumn id="3" xr3:uid="{8A304FC7-0E71-4252-847F-360347B995ED}" name="MP"/>
    <tableColumn id="4" xr3:uid="{7083D6DB-67C9-429B-B586-FA259E20A040}" name="ATK"/>
    <tableColumn id="5" xr3:uid="{32627FC9-83F7-4B6B-BCEF-A7C48D737A49}" name="DEF"/>
    <tableColumn id="6" xr3:uid="{25B3F460-3592-4647-BCA0-54E890CB0695}" name="MAT"/>
    <tableColumn id="7" xr3:uid="{09E4151E-54A0-41FF-BA5B-3B1C748DA23D}" name="MDF"/>
    <tableColumn id="8" xr3:uid="{909575E0-EC13-4E35-A35F-2451A5741589}" name="AGI"/>
    <tableColumn id="9" xr3:uid="{2CDCF32E-D8FC-48D9-A28D-8D9C5F3EB001}" name="LUK"/>
    <tableColumn id="10" xr3:uid="{001DA1BB-34DD-4786-BDE4-23C510900A3D}" name="Total" dataDxfId="8">
      <calculatedColumnFormula>SUM(Table168213429[[#This Row],[HP]:[LUK]])</calculatedColumnFormula>
    </tableColumn>
  </tableColumns>
  <tableStyleInfo name="TableStyleMedium2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E8776A97-35F2-43E5-8B1D-D6E628AF44FA}" name="Table1316183336" displayName="Table1316183336" ref="A7:I12" totalsRowShown="0">
  <autoFilter ref="A7:I12" xr:uid="{4ED64482-035D-49B9-A477-A1D5AEB4A5A4}"/>
  <tableColumns count="9">
    <tableColumn id="1" xr3:uid="{141B0E2E-D4F3-4884-86FD-AAD67C363749}" name="Level"/>
    <tableColumn id="2" xr3:uid="{D4B50877-EF56-4EF7-8C6D-9928A6D654F6}" name="HP" dataDxfId="4">
      <calculatedColumnFormula>Table1316183336[[#This Row],[Level]]*88</calculatedColumnFormula>
    </tableColumn>
    <tableColumn id="3" xr3:uid="{F4B06187-BE28-4283-9518-F773FE75C2BF}" name="MP" dataDxfId="7">
      <calculatedColumnFormula>Table1316183336[[#This Row],[Level]]*10</calculatedColumnFormula>
    </tableColumn>
    <tableColumn id="4" xr3:uid="{91A68FC7-5F16-4880-AE82-97341814BB95}" name="ATK" dataDxfId="3">
      <calculatedColumnFormula>Table1316183336[[#This Row],[Level]]*4.5</calculatedColumnFormula>
    </tableColumn>
    <tableColumn id="5" xr3:uid="{2BCD0E58-85DE-4C10-BFBC-AF77BC569C92}" name="DEF" dataDxfId="2">
      <calculatedColumnFormula>Table1316183336[[#This Row],[Level]]*4.5</calculatedColumnFormula>
    </tableColumn>
    <tableColumn id="6" xr3:uid="{7C48A1FC-CE8F-4CDD-9A3D-308B46D78A48}" name="MAT" dataDxfId="6">
      <calculatedColumnFormula>Table1316183336[[#This Row],[Level]]*1</calculatedColumnFormula>
    </tableColumn>
    <tableColumn id="7" xr3:uid="{474D8178-EA8C-4322-93C3-B7F6EBA88102}" name="MDF" dataDxfId="1">
      <calculatedColumnFormula>Table1316183336[[#This Row],[Level]]*4.5</calculatedColumnFormula>
    </tableColumn>
    <tableColumn id="8" xr3:uid="{257B31D9-5838-45E0-A56E-9B1566E1A34A}" name="AGI" dataDxfId="0">
      <calculatedColumnFormula>Table1316183336[[#This Row],[Level]]*1.5</calculatedColumnFormula>
    </tableColumn>
    <tableColumn id="9" xr3:uid="{17960EB4-4250-49DB-9A6B-455B9913B04B}" name="LUK" dataDxfId="5">
      <calculatedColumnFormula>Table1316183336[[#This Row],[Level]]*1.125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FD9E665F-9A0B-404A-95E4-EDBB03CAF48D}" name="Table114" displayName="Table114" ref="A4:J5" totalsRowShown="0">
  <autoFilter ref="A4:J5" xr:uid="{E9278F13-379F-448A-A51E-94066E7C03F7}"/>
  <tableColumns count="10">
    <tableColumn id="1" xr3:uid="{5FC81D18-62EF-448A-9E55-8A9C52D43090}" name="Name"/>
    <tableColumn id="2" xr3:uid="{0E78CA4E-A74F-419A-9E47-7AE45C542639}" name="HP"/>
    <tableColumn id="3" xr3:uid="{95DB8F2F-7F57-4056-AD97-739982489212}" name="MP"/>
    <tableColumn id="4" xr3:uid="{EE075CA3-304F-4DCB-AB35-0B55B867F191}" name="ATK"/>
    <tableColumn id="5" xr3:uid="{FD5AB016-A5A2-4D6F-B6CB-B99FE33534FF}" name="DEF"/>
    <tableColumn id="6" xr3:uid="{C2B0F5C0-8020-4DE8-8CAF-E2EF237A54C7}" name="MAT"/>
    <tableColumn id="7" xr3:uid="{F833922A-76F9-427C-8462-D94DE51D0477}" name="MDF"/>
    <tableColumn id="8" xr3:uid="{203171A1-C88B-4F81-ADC2-1EE072D645F3}" name="AGI"/>
    <tableColumn id="9" xr3:uid="{34003EF6-E9A5-4584-A186-09DFF4EC11C7}" name="LUK"/>
    <tableColumn id="10" xr3:uid="{C4602156-F897-42BE-8F3F-411E13EEB095}" name="Total" dataDxfId="171">
      <calculatedColumnFormula>SUM(Table114[[#This Row],[HP]:[LUK]])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244DE9F1-262D-4253-A743-41598B2E31D8}" name="Table13161123" displayName="Table13161123" ref="A8:I14" totalsRowShown="0">
  <autoFilter ref="A8:I14" xr:uid="{D3C3F418-ED32-4504-9D73-88545A192967}"/>
  <tableColumns count="9">
    <tableColumn id="1" xr3:uid="{13E0AF4A-AA83-489A-A156-B01D4F48D2F5}" name="Level"/>
    <tableColumn id="2" xr3:uid="{B970139F-8BB5-4CE6-92F8-79E3236AC62B}" name="HP" dataDxfId="170">
      <calculatedColumnFormula>Table13161123[[#This Row],[Level]]*63+300</calculatedColumnFormula>
    </tableColumn>
    <tableColumn id="3" xr3:uid="{7BCF83B8-7492-4991-A008-F212725940B9}" name="MP" dataDxfId="169">
      <calculatedColumnFormula>Table13161123[[#This Row],[Level]]*10</calculatedColumnFormula>
    </tableColumn>
    <tableColumn id="4" xr3:uid="{33220A80-38D8-4480-ACC7-DF484072C96B}" name="ATK" dataDxfId="168">
      <calculatedColumnFormula>Table13161123[[#This Row],[Level]]*1.5+ 15+40</calculatedColumnFormula>
    </tableColumn>
    <tableColumn id="5" xr3:uid="{36708515-5004-4705-A558-44B59D0CE676}" name="DEF" dataDxfId="167">
      <calculatedColumnFormula>Table13161123[[#This Row],[Level]]*1.25 + 15+21</calculatedColumnFormula>
    </tableColumn>
    <tableColumn id="6" xr3:uid="{11729EA3-08C4-4E0B-B5EE-5B3C08A31A9C}" name="MAT" dataDxfId="166">
      <calculatedColumnFormula>Table13161123[[#This Row],[Level]]*1</calculatedColumnFormula>
    </tableColumn>
    <tableColumn id="7" xr3:uid="{B179D090-E484-4663-937A-480D1164D655}" name="MDF" dataDxfId="165">
      <calculatedColumnFormula>Table13161123[[#This Row],[Level]]*1.25+15 + 7</calculatedColumnFormula>
    </tableColumn>
    <tableColumn id="8" xr3:uid="{28323AD0-B3BD-401F-A237-92C8B8D70FEA}" name="AGI" dataDxfId="164">
      <calculatedColumnFormula>Table13161123[[#This Row],[Level]]*1.25 + 15</calculatedColumnFormula>
    </tableColumn>
    <tableColumn id="9" xr3:uid="{657BED8B-4C8A-42DC-BECD-5EEF9D1B7F37}" name="LUK" dataDxfId="163">
      <calculatedColumnFormula>Table13161123[[#This Row],[Level]]*1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6DB90FA-47BB-4001-850B-2E17AF4D6004}" name="Table11412" displayName="Table11412" ref="A4:J5" totalsRowShown="0">
  <autoFilter ref="A4:J5" xr:uid="{DFE1AD4A-B881-42F7-AAE6-39AE9A965177}"/>
  <tableColumns count="10">
    <tableColumn id="1" xr3:uid="{E4B7B88D-C722-46AF-A0B0-1626D101562F}" name="Name"/>
    <tableColumn id="2" xr3:uid="{66DF6FD9-5382-4400-BDCD-999E4BAAD10E}" name="HP"/>
    <tableColumn id="3" xr3:uid="{51EB43B9-01BB-4061-9E8A-340E86516E96}" name="MP"/>
    <tableColumn id="4" xr3:uid="{C1B55568-DE47-4E09-8DF1-04C8D85529DC}" name="ATK"/>
    <tableColumn id="5" xr3:uid="{B6CC6D9E-EACE-49C0-97AE-A601A0EC3165}" name="DEF"/>
    <tableColumn id="6" xr3:uid="{2264D5A1-C893-4362-97B8-7E20FC5D2A58}" name="MAT"/>
    <tableColumn id="7" xr3:uid="{D1DFC0D2-A987-4E3F-BA23-52162FB0C0BA}" name="MDF"/>
    <tableColumn id="8" xr3:uid="{AB6209DB-CCCB-4C37-B455-4C7652E0DAC9}" name="AGI"/>
    <tableColumn id="9" xr3:uid="{2CD4CD14-92FD-41A7-9CCD-1329B5A77390}" name="LUK"/>
    <tableColumn id="10" xr3:uid="{3B2C0A10-5038-4C21-BAC5-12FB16275D2E}" name="Total" dataDxfId="162">
      <calculatedColumnFormula>SUM(Table11412[[#This Row],[HP]:[LUK]])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4CE0C0-6517-463C-8F96-51BDA9C554B5}" name="Table1316112324" displayName="Table1316112324" ref="A8:I14" totalsRowShown="0">
  <autoFilter ref="A8:I14" xr:uid="{43F790D1-EA7B-4BAE-8A37-7CAD791E8821}"/>
  <tableColumns count="9">
    <tableColumn id="1" xr3:uid="{F6E842E1-B25F-4CA1-9107-AC7179420C29}" name="Level"/>
    <tableColumn id="2" xr3:uid="{EFB2F0D5-318D-4A65-BA2B-20ADDE071648}" name="HP" dataDxfId="161">
      <calculatedColumnFormula>Table1316112324[[#This Row],[Level]]*50 + 100</calculatedColumnFormula>
    </tableColumn>
    <tableColumn id="3" xr3:uid="{0D914B89-2678-453F-BC18-571DCD45E628}" name="MP" dataDxfId="160">
      <calculatedColumnFormula>Table1316112324[[#This Row],[Level]]*13.75 + 80</calculatedColumnFormula>
    </tableColumn>
    <tableColumn id="4" xr3:uid="{6FBD2F64-5B1C-4035-BB1A-AFB092DB60C3}" name="ATK" dataDxfId="159">
      <calculatedColumnFormula>Table1316112324[[#This Row],[Level]]*1 + 15</calculatedColumnFormula>
    </tableColumn>
    <tableColumn id="5" xr3:uid="{7E0AF3FC-CC5D-4A6A-A4A2-DE278DEC4062}" name="DEF" dataDxfId="158">
      <calculatedColumnFormula>Table1316112324[[#This Row],[Level]]*1 + 15 + 4</calculatedColumnFormula>
    </tableColumn>
    <tableColumn id="6" xr3:uid="{3AF4D559-893B-4D50-BCB4-A1BD1FAF2F23}" name="MAT" dataDxfId="157">
      <calculatedColumnFormula>Table1316112324[[#This Row],[Level]]*1.5 + 15 + 40</calculatedColumnFormula>
    </tableColumn>
    <tableColumn id="7" xr3:uid="{6E9418A6-75AC-4541-9029-814EC5C06E70}" name="MDF" dataDxfId="156">
      <calculatedColumnFormula>Table1316112324[[#This Row],[Level]]*1.375+15 + 14</calculatedColumnFormula>
    </tableColumn>
    <tableColumn id="8" xr3:uid="{CD605BEE-D561-4A2C-8D06-8E9AD70C32AC}" name="AGI" dataDxfId="155">
      <calculatedColumnFormula>Table1316112324[[#This Row],[Level]]*1.25 + 15</calculatedColumnFormula>
    </tableColumn>
    <tableColumn id="9" xr3:uid="{E26506B2-F488-4AA4-AC87-819A22964609}" name="LUK" dataDxfId="154">
      <calculatedColumnFormula>Table1316112324[[#This Row],[Level]]*1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7EBF5F99-EB8E-4DAA-93AD-7B86915BB72D}" name="Table1141219" displayName="Table1141219" ref="A3:J4" totalsRowShown="0">
  <autoFilter ref="A3:J4" xr:uid="{783DED92-507B-4C4B-A718-3C354B059EAD}"/>
  <tableColumns count="10">
    <tableColumn id="1" xr3:uid="{0B7BA6E1-58E1-4B4D-BF79-E503BA2B346E}" name="Name"/>
    <tableColumn id="2" xr3:uid="{027B9311-5519-42B6-BF00-23016BA8C4BE}" name="HP"/>
    <tableColumn id="3" xr3:uid="{6D1F6EE3-7339-4798-BBE7-A5C5389E4192}" name="MP"/>
    <tableColumn id="4" xr3:uid="{CBFDDC5F-49CD-49BA-838A-6432DC330DAA}" name="ATK"/>
    <tableColumn id="5" xr3:uid="{7B4300A8-BC1C-4721-BEFC-A5BB90A6D01A}" name="DEF"/>
    <tableColumn id="6" xr3:uid="{41F675DE-92A3-4EE0-97A6-467C7E4D0591}" name="MAT"/>
    <tableColumn id="7" xr3:uid="{E91A64A8-F750-4893-9958-7C6ABC37405F}" name="MDF"/>
    <tableColumn id="8" xr3:uid="{3832FF0E-95E5-4B1F-B122-1EAFBF719DE3}" name="AGI"/>
    <tableColumn id="9" xr3:uid="{237404A9-EB50-465E-89AF-7167C57AFB99}" name="LUK"/>
    <tableColumn id="10" xr3:uid="{927EBD24-571F-408C-A33B-59C753D9D96D}" name="Total" dataDxfId="153">
      <calculatedColumnFormula>SUM(Table1141219[[#This Row],[HP]:[LUK]])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E6981CAF-67FE-4C6C-8978-BAFE0986F524}" name="Table131611232425" displayName="Table131611232425" ref="A7:I13" totalsRowShown="0">
  <autoFilter ref="A7:I13" xr:uid="{2539D8EE-2982-4734-B28B-342036FEDAC6}"/>
  <tableColumns count="9">
    <tableColumn id="1" xr3:uid="{FEE8F081-132E-4ED3-8FFD-2CF48368B2CC}" name="Level"/>
    <tableColumn id="2" xr3:uid="{A79BC043-DB1A-48B4-AC21-AD31632979A6}" name="HP" dataDxfId="152">
      <calculatedColumnFormula>Table131611232425[[#This Row],[Level]]*63 + 300</calculatedColumnFormula>
    </tableColumn>
    <tableColumn id="3" xr3:uid="{42935B44-C727-42B0-B48E-0369818BF78A}" name="MP" dataDxfId="151">
      <calculatedColumnFormula>Table131611232425[[#This Row],[Level]]*10 + 20</calculatedColumnFormula>
    </tableColumn>
    <tableColumn id="4" xr3:uid="{FC4572C7-88EC-4981-A6ED-43397844845B}" name="ATK" dataDxfId="150">
      <calculatedColumnFormula>Table131611232425[[#This Row],[Level]]*1 + 15</calculatedColumnFormula>
    </tableColumn>
    <tableColumn id="5" xr3:uid="{C8D61CEB-FFEC-42C3-9123-5140E65C1A2C}" name="DEF" dataDxfId="149">
      <calculatedColumnFormula>Table131611232425[[#This Row],[Level]]*1.375 + 15 + 19</calculatedColumnFormula>
    </tableColumn>
    <tableColumn id="6" xr3:uid="{8C971683-28D2-4474-83CA-936F352F1324}" name="MAT" dataDxfId="148">
      <calculatedColumnFormula>Table131611232425[[#This Row],[Level]]*1 + 15</calculatedColumnFormula>
    </tableColumn>
    <tableColumn id="7" xr3:uid="{3371862A-9CF2-47CA-A149-4921E3B33162}" name="MDF" dataDxfId="147">
      <calculatedColumnFormula>Table131611232425[[#This Row],[Level]]*1.375+15 + 5</calculatedColumnFormula>
    </tableColumn>
    <tableColumn id="8" xr3:uid="{AC6AC739-B4C9-47A6-9472-439C60B629A0}" name="AGI" dataDxfId="146">
      <calculatedColumnFormula>Table131611232425[[#This Row],[Level]]*1 + 15</calculatedColumnFormula>
    </tableColumn>
    <tableColumn id="9" xr3:uid="{E727A271-B479-47C0-A557-227ABD8EC0AC}" name="LUK" dataDxfId="145">
      <calculatedColumnFormula>Table131611232425[[#This Row],[Level]]*1.5 + 15 + 40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3.xml"/><Relationship Id="rId1" Type="http://schemas.openxmlformats.org/officeDocument/2006/relationships/table" Target="../tables/table22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6.xml"/><Relationship Id="rId2" Type="http://schemas.openxmlformats.org/officeDocument/2006/relationships/table" Target="../tables/table25.xml"/><Relationship Id="rId1" Type="http://schemas.openxmlformats.org/officeDocument/2006/relationships/table" Target="../tables/table24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9.xml"/><Relationship Id="rId2" Type="http://schemas.openxmlformats.org/officeDocument/2006/relationships/table" Target="../tables/table28.xml"/><Relationship Id="rId1" Type="http://schemas.openxmlformats.org/officeDocument/2006/relationships/table" Target="../tables/table27.xml"/><Relationship Id="rId5" Type="http://schemas.openxmlformats.org/officeDocument/2006/relationships/table" Target="../tables/table31.xml"/><Relationship Id="rId4" Type="http://schemas.openxmlformats.org/officeDocument/2006/relationships/table" Target="../tables/table30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3.xml"/><Relationship Id="rId1" Type="http://schemas.openxmlformats.org/officeDocument/2006/relationships/table" Target="../tables/table3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table" Target="../tables/table6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table" Target="../tables/table8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table" Target="../tables/table10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table" Target="../tables/table1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table" Target="../tables/table1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table" Target="../tables/table1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7AABB-3532-4A29-877B-ED130C7A9042}">
  <dimension ref="A2:S14"/>
  <sheetViews>
    <sheetView workbookViewId="0">
      <selection activeCell="M20" sqref="M20"/>
    </sheetView>
  </sheetViews>
  <sheetFormatPr defaultRowHeight="15" x14ac:dyDescent="0.25"/>
  <cols>
    <col min="1" max="9" width="11" customWidth="1"/>
    <col min="10" max="10" width="12" customWidth="1"/>
  </cols>
  <sheetData>
    <row r="2" spans="1:19" x14ac:dyDescent="0.25">
      <c r="A2" t="s">
        <v>0</v>
      </c>
    </row>
    <row r="4" spans="1:19" x14ac:dyDescent="0.25">
      <c r="A4" t="s">
        <v>1</v>
      </c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</row>
    <row r="5" spans="1:19" x14ac:dyDescent="0.25">
      <c r="A5" t="s">
        <v>11</v>
      </c>
      <c r="B5">
        <v>2</v>
      </c>
      <c r="C5">
        <v>1</v>
      </c>
      <c r="D5">
        <v>3</v>
      </c>
      <c r="E5">
        <v>3</v>
      </c>
      <c r="F5">
        <v>1</v>
      </c>
      <c r="G5">
        <v>1</v>
      </c>
      <c r="H5">
        <v>1</v>
      </c>
      <c r="I5">
        <v>1</v>
      </c>
      <c r="J5">
        <f>SUM(Table1[[#This Row],[HP]:[LUK]])</f>
        <v>13</v>
      </c>
    </row>
    <row r="6" spans="1:19" x14ac:dyDescent="0.25">
      <c r="A6" t="s">
        <v>13</v>
      </c>
      <c r="J6" s="1"/>
    </row>
    <row r="7" spans="1:19" x14ac:dyDescent="0.25">
      <c r="A7" t="s">
        <v>18</v>
      </c>
    </row>
    <row r="8" spans="1:19" x14ac:dyDescent="0.25">
      <c r="A8" t="s">
        <v>12</v>
      </c>
      <c r="B8" t="s">
        <v>2</v>
      </c>
      <c r="C8" t="s">
        <v>3</v>
      </c>
      <c r="D8" t="s">
        <v>4</v>
      </c>
      <c r="E8" t="s">
        <v>5</v>
      </c>
      <c r="F8" t="s">
        <v>6</v>
      </c>
      <c r="G8" t="s">
        <v>7</v>
      </c>
      <c r="H8" t="s">
        <v>8</v>
      </c>
      <c r="I8" t="s">
        <v>9</v>
      </c>
      <c r="K8" t="s">
        <v>12</v>
      </c>
      <c r="L8" t="s">
        <v>2</v>
      </c>
      <c r="M8" t="s">
        <v>3</v>
      </c>
      <c r="N8" t="s">
        <v>4</v>
      </c>
      <c r="O8" t="s">
        <v>5</v>
      </c>
      <c r="P8" t="s">
        <v>6</v>
      </c>
      <c r="Q8" t="s">
        <v>7</v>
      </c>
      <c r="R8" t="s">
        <v>8</v>
      </c>
      <c r="S8" t="s">
        <v>9</v>
      </c>
    </row>
    <row r="9" spans="1:19" x14ac:dyDescent="0.25">
      <c r="A9">
        <v>1</v>
      </c>
      <c r="B9">
        <f>Table1316[[#This Row],[Level]]*56.25-100</f>
        <v>-43.75</v>
      </c>
      <c r="C9">
        <f>Table1316[[#This Row],[Level]]*10</f>
        <v>10</v>
      </c>
      <c r="D9">
        <f>Table1316[[#This Row],[Level]]*1.25+ 15</f>
        <v>16.25</v>
      </c>
      <c r="E9">
        <f>Table1316[[#This Row],[Level]]*1.25 + 15</f>
        <v>16.25</v>
      </c>
      <c r="F9">
        <f>Table1316[[#This Row],[Level]]*1</f>
        <v>1</v>
      </c>
      <c r="G9">
        <f>Table1316[[#This Row],[Level]]*1</f>
        <v>1</v>
      </c>
      <c r="H9">
        <f>Table1316[[#This Row],[Level]]*1 + 5</f>
        <v>6</v>
      </c>
      <c r="I9">
        <f>Table1316[[#This Row],[Level]]*1</f>
        <v>1</v>
      </c>
      <c r="K9">
        <v>1</v>
      </c>
      <c r="L9">
        <f>Table131611[[#This Row],[Level]]*56.25+200</f>
        <v>256.25</v>
      </c>
      <c r="M9">
        <f>Table131611[[#This Row],[Level]]*10</f>
        <v>10</v>
      </c>
      <c r="N9">
        <f>Table131611[[#This Row],[Level]]*1.25+ 15+30</f>
        <v>46.25</v>
      </c>
      <c r="O9">
        <f>Table131611[[#This Row],[Level]]*1.25 + 15+33</f>
        <v>49.25</v>
      </c>
      <c r="P9">
        <f>Table131611[[#This Row],[Level]]*1</f>
        <v>1</v>
      </c>
      <c r="Q9">
        <f>Table131611[[#This Row],[Level]]*1+15</f>
        <v>16</v>
      </c>
      <c r="R9">
        <f>Table131611[[#This Row],[Level]]*1 + 15</f>
        <v>16</v>
      </c>
      <c r="S9">
        <f>Table131611[[#This Row],[Level]]*1</f>
        <v>1</v>
      </c>
    </row>
    <row r="10" spans="1:19" x14ac:dyDescent="0.25">
      <c r="A10">
        <v>10</v>
      </c>
      <c r="B10">
        <f>Table1316[[#This Row],[Level]]*56.25-100</f>
        <v>462.5</v>
      </c>
      <c r="C10">
        <f>Table1316[[#This Row],[Level]]*10</f>
        <v>100</v>
      </c>
      <c r="D10">
        <f>Table1316[[#This Row],[Level]]*1.25+ 15</f>
        <v>27.5</v>
      </c>
      <c r="E10">
        <f>Table1316[[#This Row],[Level]]*1.25 + 15</f>
        <v>27.5</v>
      </c>
      <c r="F10">
        <f>Table1316[[#This Row],[Level]]*1</f>
        <v>10</v>
      </c>
      <c r="G10">
        <f>Table1316[[#This Row],[Level]]*1</f>
        <v>10</v>
      </c>
      <c r="H10">
        <f>Table1316[[#This Row],[Level]]*1 + 5</f>
        <v>15</v>
      </c>
      <c r="I10">
        <f>Table1316[[#This Row],[Level]]*1</f>
        <v>10</v>
      </c>
      <c r="K10">
        <v>10</v>
      </c>
      <c r="L10">
        <f>Table131611[[#This Row],[Level]]*56.25+200</f>
        <v>762.5</v>
      </c>
      <c r="M10">
        <f>Table131611[[#This Row],[Level]]*10</f>
        <v>100</v>
      </c>
      <c r="N10">
        <f>Table131611[[#This Row],[Level]]*1.25+ 15+30</f>
        <v>57.5</v>
      </c>
      <c r="O10">
        <f>Table131611[[#This Row],[Level]]*1.25 + 15+33</f>
        <v>60.5</v>
      </c>
      <c r="P10">
        <f>Table131611[[#This Row],[Level]]*1</f>
        <v>10</v>
      </c>
      <c r="Q10">
        <f>Table131611[[#This Row],[Level]]*1+15</f>
        <v>25</v>
      </c>
      <c r="R10">
        <f>Table131611[[#This Row],[Level]]*1 + 15</f>
        <v>25</v>
      </c>
      <c r="S10">
        <f>Table131611[[#This Row],[Level]]*1</f>
        <v>10</v>
      </c>
    </row>
    <row r="11" spans="1:19" x14ac:dyDescent="0.25">
      <c r="A11">
        <v>25</v>
      </c>
      <c r="B11">
        <f>Table1316[[#This Row],[Level]]*56.25-100</f>
        <v>1306.25</v>
      </c>
      <c r="C11">
        <f>Table1316[[#This Row],[Level]]*10</f>
        <v>250</v>
      </c>
      <c r="D11">
        <f>Table1316[[#This Row],[Level]]*1.25+ 15</f>
        <v>46.25</v>
      </c>
      <c r="E11">
        <f>Table1316[[#This Row],[Level]]*1.25 + 15</f>
        <v>46.25</v>
      </c>
      <c r="F11">
        <f>Table1316[[#This Row],[Level]]*1</f>
        <v>25</v>
      </c>
      <c r="G11">
        <f>Table1316[[#This Row],[Level]]*1</f>
        <v>25</v>
      </c>
      <c r="H11">
        <f>Table1316[[#This Row],[Level]]*1 + 5</f>
        <v>30</v>
      </c>
      <c r="I11">
        <f>Table1316[[#This Row],[Level]]*1</f>
        <v>25</v>
      </c>
      <c r="K11">
        <v>25</v>
      </c>
      <c r="L11">
        <f>Table131611[[#This Row],[Level]]*56.25+200</f>
        <v>1606.25</v>
      </c>
      <c r="M11">
        <f>Table131611[[#This Row],[Level]]*10</f>
        <v>250</v>
      </c>
      <c r="N11">
        <f>Table131611[[#This Row],[Level]]*1.25+ 15+30</f>
        <v>76.25</v>
      </c>
      <c r="O11">
        <f>Table131611[[#This Row],[Level]]*1.25 + 15+33</f>
        <v>79.25</v>
      </c>
      <c r="P11">
        <f>Table131611[[#This Row],[Level]]*1</f>
        <v>25</v>
      </c>
      <c r="Q11">
        <f>Table131611[[#This Row],[Level]]*1+15</f>
        <v>40</v>
      </c>
      <c r="R11">
        <f>Table131611[[#This Row],[Level]]*1 + 15</f>
        <v>40</v>
      </c>
      <c r="S11">
        <f>Table131611[[#This Row],[Level]]*1</f>
        <v>25</v>
      </c>
    </row>
    <row r="12" spans="1:19" x14ac:dyDescent="0.25">
      <c r="A12">
        <v>35</v>
      </c>
      <c r="B12">
        <f>Table1316[[#This Row],[Level]]*56.25-100</f>
        <v>1868.75</v>
      </c>
      <c r="C12">
        <f>Table1316[[#This Row],[Level]]*10</f>
        <v>350</v>
      </c>
      <c r="D12">
        <f>Table1316[[#This Row],[Level]]*1.25+ 15</f>
        <v>58.75</v>
      </c>
      <c r="E12">
        <f>Table1316[[#This Row],[Level]]*1.25 + 15</f>
        <v>58.75</v>
      </c>
      <c r="F12">
        <f>Table1316[[#This Row],[Level]]*1</f>
        <v>35</v>
      </c>
      <c r="G12">
        <f>Table1316[[#This Row],[Level]]*1</f>
        <v>35</v>
      </c>
      <c r="H12">
        <f>Table1316[[#This Row],[Level]]*1 + 5</f>
        <v>40</v>
      </c>
      <c r="I12">
        <f>Table1316[[#This Row],[Level]]*1</f>
        <v>35</v>
      </c>
      <c r="K12">
        <v>35</v>
      </c>
      <c r="L12">
        <f>Table131611[[#This Row],[Level]]*56.25+200</f>
        <v>2168.75</v>
      </c>
      <c r="M12">
        <f>Table131611[[#This Row],[Level]]*10</f>
        <v>350</v>
      </c>
      <c r="N12">
        <f>Table131611[[#This Row],[Level]]*1.25+ 15+30</f>
        <v>88.75</v>
      </c>
      <c r="O12">
        <f>Table131611[[#This Row],[Level]]*1.25 + 15+33</f>
        <v>91.75</v>
      </c>
      <c r="P12">
        <f>Table131611[[#This Row],[Level]]*1</f>
        <v>35</v>
      </c>
      <c r="Q12">
        <f>Table131611[[#This Row],[Level]]*1+15</f>
        <v>50</v>
      </c>
      <c r="R12">
        <f>Table131611[[#This Row],[Level]]*1 + 15</f>
        <v>50</v>
      </c>
      <c r="S12">
        <f>Table131611[[#This Row],[Level]]*1</f>
        <v>35</v>
      </c>
    </row>
    <row r="13" spans="1:19" x14ac:dyDescent="0.25">
      <c r="A13">
        <v>99</v>
      </c>
      <c r="B13">
        <f>Table1316[[#This Row],[Level]]*56.25-100</f>
        <v>5468.75</v>
      </c>
      <c r="C13">
        <f>Table1316[[#This Row],[Level]]*10</f>
        <v>990</v>
      </c>
      <c r="D13">
        <f>Table1316[[#This Row],[Level]]*1.25+ 15</f>
        <v>138.75</v>
      </c>
      <c r="E13">
        <f>Table1316[[#This Row],[Level]]*1.25 + 15</f>
        <v>138.75</v>
      </c>
      <c r="F13">
        <f>Table1316[[#This Row],[Level]]*1</f>
        <v>99</v>
      </c>
      <c r="G13">
        <f>Table1316[[#This Row],[Level]]*1</f>
        <v>99</v>
      </c>
      <c r="H13">
        <f>Table1316[[#This Row],[Level]]*1 + 5</f>
        <v>104</v>
      </c>
      <c r="I13">
        <f>Table1316[[#This Row],[Level]]*1</f>
        <v>99</v>
      </c>
      <c r="K13">
        <v>99</v>
      </c>
      <c r="L13">
        <f>Table131611[[#This Row],[Level]]*56.25+200</f>
        <v>5768.75</v>
      </c>
      <c r="M13">
        <f>Table131611[[#This Row],[Level]]*10</f>
        <v>990</v>
      </c>
      <c r="N13">
        <f>Table131611[[#This Row],[Level]]*1.25+ 15+30</f>
        <v>168.75</v>
      </c>
      <c r="O13">
        <f>Table131611[[#This Row],[Level]]*1.25 + 15+33</f>
        <v>171.75</v>
      </c>
      <c r="P13">
        <f>Table131611[[#This Row],[Level]]*1</f>
        <v>99</v>
      </c>
      <c r="Q13">
        <f>Table131611[[#This Row],[Level]]*1+15</f>
        <v>114</v>
      </c>
      <c r="R13">
        <f>Table131611[[#This Row],[Level]]*1 + 15</f>
        <v>114</v>
      </c>
      <c r="S13">
        <f>Table131611[[#This Row],[Level]]*1</f>
        <v>99</v>
      </c>
    </row>
    <row r="14" spans="1:19" x14ac:dyDescent="0.25">
      <c r="K14">
        <v>15</v>
      </c>
      <c r="L14" s="1">
        <f>Table131611[[#This Row],[Level]]*56.25+200</f>
        <v>1043.75</v>
      </c>
      <c r="M14" s="1">
        <f>Table131611[[#This Row],[Level]]*10</f>
        <v>150</v>
      </c>
      <c r="N14" s="1">
        <f>Table131611[[#This Row],[Level]]*1.25+ 15+30</f>
        <v>63.75</v>
      </c>
      <c r="O14" s="1">
        <f>Table131611[[#This Row],[Level]]*1.25 + 15+33</f>
        <v>66.75</v>
      </c>
      <c r="P14" s="1">
        <f>Table131611[[#This Row],[Level]]*1</f>
        <v>15</v>
      </c>
      <c r="Q14" s="1">
        <f>Table131611[[#This Row],[Level]]*1+15</f>
        <v>30</v>
      </c>
      <c r="R14" s="1">
        <f>Table131611[[#This Row],[Level]]*1 + 15</f>
        <v>30</v>
      </c>
      <c r="S14" s="1">
        <f>Table131611[[#This Row],[Level]]*1</f>
        <v>15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E9C02-0686-4D94-800E-4766BA124417}">
  <dimension ref="A2:J16"/>
  <sheetViews>
    <sheetView workbookViewId="0">
      <selection activeCell="A2" sqref="A2:J17"/>
    </sheetView>
  </sheetViews>
  <sheetFormatPr defaultRowHeight="15" x14ac:dyDescent="0.25"/>
  <sheetData>
    <row r="2" spans="1:10" x14ac:dyDescent="0.25">
      <c r="A2" t="s">
        <v>33</v>
      </c>
    </row>
    <row r="4" spans="1:10" x14ac:dyDescent="0.25">
      <c r="A4" t="s">
        <v>1</v>
      </c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</row>
    <row r="5" spans="1:10" x14ac:dyDescent="0.25">
      <c r="A5" t="s">
        <v>32</v>
      </c>
      <c r="B5">
        <v>5</v>
      </c>
      <c r="C5">
        <v>1</v>
      </c>
      <c r="D5">
        <v>5</v>
      </c>
      <c r="E5">
        <v>5</v>
      </c>
      <c r="F5">
        <v>1</v>
      </c>
      <c r="G5">
        <v>5</v>
      </c>
      <c r="H5">
        <v>4</v>
      </c>
      <c r="I5">
        <v>2</v>
      </c>
      <c r="J5">
        <f>SUM(Table16821[[#This Row],[HP]:[LUK]])</f>
        <v>28</v>
      </c>
    </row>
    <row r="7" spans="1:10" x14ac:dyDescent="0.25">
      <c r="A7" t="s">
        <v>12</v>
      </c>
      <c r="B7" t="s">
        <v>2</v>
      </c>
      <c r="C7" t="s">
        <v>3</v>
      </c>
      <c r="D7" t="s">
        <v>4</v>
      </c>
      <c r="E7" t="s">
        <v>5</v>
      </c>
      <c r="F7" t="s">
        <v>6</v>
      </c>
      <c r="G7" t="s">
        <v>7</v>
      </c>
      <c r="H7" t="s">
        <v>8</v>
      </c>
      <c r="I7" t="s">
        <v>9</v>
      </c>
    </row>
    <row r="8" spans="1:10" x14ac:dyDescent="0.25">
      <c r="A8">
        <v>1</v>
      </c>
      <c r="B8">
        <f>Table131618[[#This Row],[Level]]*75 + 500</f>
        <v>575</v>
      </c>
      <c r="C8">
        <f>Table131618[[#This Row],[Level]]*10+20</f>
        <v>30</v>
      </c>
      <c r="D8">
        <f>Table131618[[#This Row],[Level]]*1.5+ 15</f>
        <v>16.5</v>
      </c>
      <c r="E8">
        <f>Table131618[[#This Row],[Level]]*1.5 + 15</f>
        <v>16.5</v>
      </c>
      <c r="F8">
        <f>Table131618[[#This Row],[Level]]*1 + 15</f>
        <v>16</v>
      </c>
      <c r="G8">
        <f>Table131618[[#This Row],[Level]]*1.5 + 15</f>
        <v>16.5</v>
      </c>
      <c r="H8">
        <f>Table131618[[#This Row],[Level]]*1.375 + 15</f>
        <v>16.375</v>
      </c>
      <c r="I8">
        <f>Table131618[[#This Row],[Level]]*1.125 + 15</f>
        <v>16.125</v>
      </c>
    </row>
    <row r="9" spans="1:10" x14ac:dyDescent="0.25">
      <c r="A9">
        <v>15</v>
      </c>
      <c r="B9">
        <f>Table131618[[#This Row],[Level]]*75 + 500</f>
        <v>1625</v>
      </c>
      <c r="C9">
        <f>Table131618[[#This Row],[Level]]*10+20</f>
        <v>170</v>
      </c>
      <c r="D9">
        <f>Table131618[[#This Row],[Level]]*1.5+ 15</f>
        <v>37.5</v>
      </c>
      <c r="E9">
        <f>Table131618[[#This Row],[Level]]*1.5 + 15</f>
        <v>37.5</v>
      </c>
      <c r="F9">
        <f>Table131618[[#This Row],[Level]]*1 + 15</f>
        <v>30</v>
      </c>
      <c r="G9">
        <f>Table131618[[#This Row],[Level]]*1.5 + 15</f>
        <v>37.5</v>
      </c>
      <c r="H9">
        <f>Table131618[[#This Row],[Level]]*1.375 + 15</f>
        <v>35.625</v>
      </c>
      <c r="I9">
        <f>Table131618[[#This Row],[Level]]*1.125 + 15</f>
        <v>31.875</v>
      </c>
    </row>
    <row r="10" spans="1:10" x14ac:dyDescent="0.25">
      <c r="A10">
        <v>25</v>
      </c>
      <c r="B10">
        <f>Table131618[[#This Row],[Level]]*75 + 500</f>
        <v>2375</v>
      </c>
      <c r="C10">
        <f>Table131618[[#This Row],[Level]]*10+20</f>
        <v>270</v>
      </c>
      <c r="D10">
        <f>Table131618[[#This Row],[Level]]*1.5+ 15</f>
        <v>52.5</v>
      </c>
      <c r="E10">
        <f>Table131618[[#This Row],[Level]]*1.5 + 15</f>
        <v>52.5</v>
      </c>
      <c r="F10">
        <f>Table131618[[#This Row],[Level]]*1 + 15</f>
        <v>40</v>
      </c>
      <c r="G10">
        <f>Table131618[[#This Row],[Level]]*1.5 + 15</f>
        <v>52.5</v>
      </c>
      <c r="H10">
        <f>Table131618[[#This Row],[Level]]*1.375 + 15</f>
        <v>49.375</v>
      </c>
      <c r="I10">
        <f>Table131618[[#This Row],[Level]]*1.125 + 15</f>
        <v>43.125</v>
      </c>
    </row>
    <row r="11" spans="1:10" x14ac:dyDescent="0.25">
      <c r="A11">
        <v>35</v>
      </c>
      <c r="B11">
        <f>Table131618[[#This Row],[Level]]*75 + 500</f>
        <v>3125</v>
      </c>
      <c r="C11">
        <f>Table131618[[#This Row],[Level]]*10+20</f>
        <v>370</v>
      </c>
      <c r="D11">
        <f>Table131618[[#This Row],[Level]]*1.5+ 15</f>
        <v>67.5</v>
      </c>
      <c r="E11">
        <f>Table131618[[#This Row],[Level]]*1.5 + 15</f>
        <v>67.5</v>
      </c>
      <c r="F11">
        <f>Table131618[[#This Row],[Level]]*1 + 15</f>
        <v>50</v>
      </c>
      <c r="G11">
        <f>Table131618[[#This Row],[Level]]*1.5 + 15</f>
        <v>67.5</v>
      </c>
      <c r="H11">
        <f>Table131618[[#This Row],[Level]]*1.375 + 15</f>
        <v>63.125</v>
      </c>
      <c r="I11">
        <f>Table131618[[#This Row],[Level]]*1.125 + 15</f>
        <v>54.375</v>
      </c>
    </row>
    <row r="12" spans="1:10" x14ac:dyDescent="0.25">
      <c r="A12">
        <v>20</v>
      </c>
      <c r="B12">
        <f>Table131618[[#This Row],[Level]]*75 + 500</f>
        <v>2000</v>
      </c>
      <c r="C12">
        <f>Table131618[[#This Row],[Level]]*10+20</f>
        <v>220</v>
      </c>
      <c r="D12">
        <f>Table131618[[#This Row],[Level]]*1.5+ 15</f>
        <v>45</v>
      </c>
      <c r="E12">
        <f>Table131618[[#This Row],[Level]]*1.5 + 15</f>
        <v>45</v>
      </c>
      <c r="F12">
        <f>Table131618[[#This Row],[Level]]*1 + 15</f>
        <v>35</v>
      </c>
      <c r="G12">
        <f>Table131618[[#This Row],[Level]]*1.5 + 15</f>
        <v>45</v>
      </c>
      <c r="H12">
        <f>Table131618[[#This Row],[Level]]*1.375 + 15</f>
        <v>42.5</v>
      </c>
      <c r="I12">
        <f>Table131618[[#This Row],[Level]]*1.125 + 15</f>
        <v>37.5</v>
      </c>
    </row>
    <row r="14" spans="1:10" x14ac:dyDescent="0.25">
      <c r="A14" t="s">
        <v>34</v>
      </c>
    </row>
    <row r="15" spans="1:10" x14ac:dyDescent="0.25">
      <c r="A15" t="s">
        <v>12</v>
      </c>
      <c r="B15" t="s">
        <v>2</v>
      </c>
      <c r="C15" t="s">
        <v>3</v>
      </c>
      <c r="D15" t="s">
        <v>4</v>
      </c>
      <c r="E15" t="s">
        <v>5</v>
      </c>
      <c r="F15" t="s">
        <v>6</v>
      </c>
      <c r="G15" t="s">
        <v>7</v>
      </c>
      <c r="H15" t="s">
        <v>8</v>
      </c>
      <c r="I15" t="s">
        <v>9</v>
      </c>
    </row>
    <row r="16" spans="1:10" x14ac:dyDescent="0.25">
      <c r="A16" s="2">
        <v>20</v>
      </c>
      <c r="B16" s="3">
        <f>Table1922[Level]*75 + 500</f>
        <v>2000</v>
      </c>
      <c r="C16" s="3">
        <f>Table1922[[#This Row],[Level]]*10 + 20</f>
        <v>220</v>
      </c>
      <c r="D16" s="3">
        <v>75</v>
      </c>
      <c r="E16" s="3">
        <v>71</v>
      </c>
      <c r="F16" s="3">
        <v>35</v>
      </c>
      <c r="G16" s="3">
        <v>61</v>
      </c>
      <c r="H16" s="3">
        <v>42.5</v>
      </c>
      <c r="I16" s="4">
        <v>37.5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46686-A238-4174-849F-9F6770BD1F9B}">
  <dimension ref="A1:T9"/>
  <sheetViews>
    <sheetView topLeftCell="K1" workbookViewId="0">
      <selection activeCell="L3" sqref="L3:T3"/>
    </sheetView>
  </sheetViews>
  <sheetFormatPr defaultRowHeight="15" x14ac:dyDescent="0.25"/>
  <sheetData>
    <row r="1" spans="1:20" x14ac:dyDescent="0.25">
      <c r="F1">
        <v>5</v>
      </c>
      <c r="G1">
        <v>5</v>
      </c>
      <c r="I1">
        <v>1</v>
      </c>
    </row>
    <row r="3" spans="1:20" x14ac:dyDescent="0.25">
      <c r="A3" t="s">
        <v>12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L3" t="s">
        <v>12</v>
      </c>
      <c r="M3" t="s">
        <v>2</v>
      </c>
      <c r="N3" t="s">
        <v>3</v>
      </c>
      <c r="O3" t="s">
        <v>4</v>
      </c>
      <c r="P3" t="s">
        <v>5</v>
      </c>
      <c r="Q3" t="s">
        <v>6</v>
      </c>
      <c r="R3" t="s">
        <v>7</v>
      </c>
      <c r="S3" t="s">
        <v>8</v>
      </c>
      <c r="T3" t="s">
        <v>9</v>
      </c>
    </row>
    <row r="4" spans="1:20" x14ac:dyDescent="0.25">
      <c r="A4">
        <v>1</v>
      </c>
      <c r="B4">
        <f>Table131620[[#This Row],[Level]]*50 + 100</f>
        <v>150</v>
      </c>
      <c r="C4">
        <f>Table131620[[#This Row],[Level]]*15+100</f>
        <v>115</v>
      </c>
      <c r="D4">
        <f>Table131620[[#This Row],[Level]]*1+ 15</f>
        <v>16</v>
      </c>
      <c r="E4">
        <f>Table131620[[#This Row],[Level]]*1 + 15</f>
        <v>16</v>
      </c>
      <c r="F4">
        <f>Table131620[[#This Row],[Level]]*1.5 + 15</f>
        <v>16.5</v>
      </c>
      <c r="G4">
        <f>Table131620[[#This Row],[Level]]*1.5 + 15</f>
        <v>16.5</v>
      </c>
      <c r="H4">
        <f>Table131620[[#This Row],[Level]]*1.25 + 15</f>
        <v>16.25</v>
      </c>
      <c r="I4">
        <f>Table131620[[#This Row],[Level]]*1 + 15</f>
        <v>16</v>
      </c>
      <c r="L4" s="2">
        <v>20</v>
      </c>
      <c r="M4" s="3">
        <f>Table19[Level]*50 + 100</f>
        <v>1100</v>
      </c>
      <c r="N4" s="3">
        <f>Table19[[#This Row],[Level]]*15+100</f>
        <v>400</v>
      </c>
      <c r="O4" s="3">
        <f>Table19[[#This Row],[Level]]*1+ 15</f>
        <v>35</v>
      </c>
      <c r="P4" s="3">
        <f>Table19[[#This Row],[Level]]*1 + 15 + 6</f>
        <v>41</v>
      </c>
      <c r="Q4" s="3">
        <f>Table19[[#This Row],[Level]]*1.5 + 15 + 40</f>
        <v>85</v>
      </c>
      <c r="R4" s="3">
        <f>Table19[[#This Row],[Level]]*1.5 + 15 + 12</f>
        <v>57</v>
      </c>
      <c r="S4" s="3">
        <f>Table19[[#This Row],[Level]]*1.25 + 15</f>
        <v>40</v>
      </c>
      <c r="T4" s="4">
        <f>Table19[Level] + 15</f>
        <v>35</v>
      </c>
    </row>
    <row r="5" spans="1:20" x14ac:dyDescent="0.25">
      <c r="A5">
        <v>15</v>
      </c>
      <c r="B5">
        <f>Table131620[[#This Row],[Level]]*50 + 100</f>
        <v>850</v>
      </c>
      <c r="C5">
        <f>Table131620[[#This Row],[Level]]*15+100</f>
        <v>325</v>
      </c>
      <c r="D5">
        <f>Table131620[[#This Row],[Level]]*1+ 15</f>
        <v>30</v>
      </c>
      <c r="E5">
        <f>Table131620[[#This Row],[Level]]*1 + 15</f>
        <v>30</v>
      </c>
      <c r="F5">
        <f>Table131620[[#This Row],[Level]]*1.5 + 15</f>
        <v>37.5</v>
      </c>
      <c r="G5">
        <f>Table131620[[#This Row],[Level]]*1.5 + 15</f>
        <v>37.5</v>
      </c>
      <c r="H5">
        <f>Table131620[[#This Row],[Level]]*1.25 + 15</f>
        <v>33.75</v>
      </c>
      <c r="I5">
        <f>Table131620[[#This Row],[Level]]*1 + 15</f>
        <v>30</v>
      </c>
    </row>
    <row r="6" spans="1:20" x14ac:dyDescent="0.25">
      <c r="A6">
        <v>25</v>
      </c>
      <c r="B6">
        <f>Table131620[[#This Row],[Level]]*50 + 100</f>
        <v>1350</v>
      </c>
      <c r="C6">
        <f>Table131620[[#This Row],[Level]]*15+100</f>
        <v>475</v>
      </c>
      <c r="D6">
        <f>Table131620[[#This Row],[Level]]*1+ 15</f>
        <v>40</v>
      </c>
      <c r="E6">
        <f>Table131620[[#This Row],[Level]]*1 + 15</f>
        <v>40</v>
      </c>
      <c r="F6">
        <f>Table131620[[#This Row],[Level]]*1.5 + 15</f>
        <v>52.5</v>
      </c>
      <c r="G6">
        <f>Table131620[[#This Row],[Level]]*1.5 + 15</f>
        <v>52.5</v>
      </c>
      <c r="H6">
        <f>Table131620[[#This Row],[Level]]*1.25 + 15</f>
        <v>46.25</v>
      </c>
      <c r="I6">
        <f>Table131620[[#This Row],[Level]]*1 + 15</f>
        <v>40</v>
      </c>
    </row>
    <row r="7" spans="1:20" x14ac:dyDescent="0.25">
      <c r="A7">
        <v>35</v>
      </c>
      <c r="B7">
        <f>Table131620[[#This Row],[Level]]*50 + 100</f>
        <v>1850</v>
      </c>
      <c r="C7">
        <f>Table131620[[#This Row],[Level]]*15+100</f>
        <v>625</v>
      </c>
      <c r="D7">
        <f>Table131620[[#This Row],[Level]]*1+ 15</f>
        <v>50</v>
      </c>
      <c r="E7">
        <f>Table131620[[#This Row],[Level]]*1 + 15</f>
        <v>50</v>
      </c>
      <c r="F7">
        <f>Table131620[[#This Row],[Level]]*1.5 + 15</f>
        <v>67.5</v>
      </c>
      <c r="G7">
        <f>Table131620[[#This Row],[Level]]*1.5 + 15</f>
        <v>67.5</v>
      </c>
      <c r="H7">
        <f>Table131620[[#This Row],[Level]]*1.25 + 15</f>
        <v>58.75</v>
      </c>
      <c r="I7">
        <f>Table131620[[#This Row],[Level]]*1 + 15</f>
        <v>50</v>
      </c>
    </row>
    <row r="8" spans="1:20" x14ac:dyDescent="0.25">
      <c r="A8">
        <v>99</v>
      </c>
      <c r="B8">
        <f>Table131620[[#This Row],[Level]]*50 + 100</f>
        <v>5050</v>
      </c>
      <c r="C8">
        <f>Table131620[[#This Row],[Level]]*15+100</f>
        <v>1585</v>
      </c>
      <c r="D8">
        <f>Table131620[[#This Row],[Level]]*1+ 15</f>
        <v>114</v>
      </c>
      <c r="E8">
        <f>Table131620[[#This Row],[Level]]*1 + 15</f>
        <v>114</v>
      </c>
      <c r="F8">
        <f>Table131620[[#This Row],[Level]]*1.5 + 15</f>
        <v>163.5</v>
      </c>
      <c r="G8">
        <f>Table131620[[#This Row],[Level]]*1.5 + 15</f>
        <v>163.5</v>
      </c>
      <c r="H8">
        <f>Table131620[[#This Row],[Level]]*1.25 + 15</f>
        <v>138.75</v>
      </c>
      <c r="I8">
        <f>Table131620[[#This Row],[Level]]*1 + 15</f>
        <v>114</v>
      </c>
    </row>
    <row r="9" spans="1:20" x14ac:dyDescent="0.25">
      <c r="A9">
        <v>20</v>
      </c>
      <c r="B9" s="1">
        <f>Table131620[[#This Row],[Level]]*50 + 100</f>
        <v>1100</v>
      </c>
      <c r="C9" s="1">
        <f>Table131620[[#This Row],[Level]]*15+100</f>
        <v>400</v>
      </c>
      <c r="D9" s="1">
        <f>Table131620[[#This Row],[Level]]*1+ 15</f>
        <v>35</v>
      </c>
      <c r="E9" s="1">
        <f>Table131620[[#This Row],[Level]]*1 + 15</f>
        <v>35</v>
      </c>
      <c r="F9" s="1">
        <f>Table131620[[#This Row],[Level]]*1.5 + 15</f>
        <v>45</v>
      </c>
      <c r="G9" s="1">
        <f>Table131620[[#This Row],[Level]]*1.5 + 15</f>
        <v>45</v>
      </c>
      <c r="H9" s="1">
        <f>Table131620[[#This Row],[Level]]*1.25 + 15</f>
        <v>40</v>
      </c>
      <c r="I9" s="1">
        <f>Table131620[[#This Row],[Level]]*1 + 15</f>
        <v>35</v>
      </c>
      <c r="K9" t="s">
        <v>21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5335F-A4EA-4889-9D4A-6AE8EF295080}">
  <dimension ref="A2:J16"/>
  <sheetViews>
    <sheetView workbookViewId="0">
      <selection activeCell="A7" sqref="A7:I12"/>
    </sheetView>
  </sheetViews>
  <sheetFormatPr defaultRowHeight="15" x14ac:dyDescent="0.25"/>
  <sheetData>
    <row r="2" spans="1:10" x14ac:dyDescent="0.25">
      <c r="A2" t="s">
        <v>54</v>
      </c>
    </row>
    <row r="4" spans="1:10" x14ac:dyDescent="0.25">
      <c r="A4" t="s">
        <v>1</v>
      </c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</row>
    <row r="5" spans="1:10" x14ac:dyDescent="0.25">
      <c r="A5" t="s">
        <v>32</v>
      </c>
      <c r="B5">
        <v>5</v>
      </c>
      <c r="C5">
        <v>4</v>
      </c>
      <c r="D5">
        <v>5</v>
      </c>
      <c r="E5">
        <v>5</v>
      </c>
      <c r="F5">
        <v>5</v>
      </c>
      <c r="G5">
        <v>5</v>
      </c>
      <c r="H5">
        <v>4</v>
      </c>
      <c r="I5">
        <v>2</v>
      </c>
      <c r="J5">
        <f>SUM(Table1682134[[#This Row],[HP]:[LUK]])</f>
        <v>35</v>
      </c>
    </row>
    <row r="7" spans="1:10" x14ac:dyDescent="0.25">
      <c r="A7" t="s">
        <v>12</v>
      </c>
      <c r="B7" t="s">
        <v>2</v>
      </c>
      <c r="C7" t="s">
        <v>3</v>
      </c>
      <c r="D7" t="s">
        <v>4</v>
      </c>
      <c r="E7" t="s">
        <v>5</v>
      </c>
      <c r="F7" t="s">
        <v>6</v>
      </c>
      <c r="G7" t="s">
        <v>7</v>
      </c>
      <c r="H7" t="s">
        <v>8</v>
      </c>
      <c r="I7" t="s">
        <v>9</v>
      </c>
    </row>
    <row r="8" spans="1:10" x14ac:dyDescent="0.25">
      <c r="A8">
        <v>1</v>
      </c>
      <c r="B8">
        <f>Table13161833[[#This Row],[Level]]*75 + 500</f>
        <v>575</v>
      </c>
      <c r="C8">
        <f>Table13161833[[#This Row],[Level]]*10+20</f>
        <v>30</v>
      </c>
      <c r="D8">
        <f>Table13161833[[#This Row],[Level]]*1.5+ 15</f>
        <v>16.5</v>
      </c>
      <c r="E8">
        <f>Table13161833[[#This Row],[Level]]*1.5 + 15</f>
        <v>16.5</v>
      </c>
      <c r="F8">
        <f>Table13161833[[#This Row],[Level]]*1 + 15</f>
        <v>16</v>
      </c>
      <c r="G8">
        <f>Table13161833[[#This Row],[Level]]*1.5 + 15</f>
        <v>16.5</v>
      </c>
      <c r="H8">
        <f>Table13161833[[#This Row],[Level]]*1.375 + 15</f>
        <v>16.375</v>
      </c>
      <c r="I8">
        <f>Table13161833[[#This Row],[Level]]*1.125 + 15</f>
        <v>16.125</v>
      </c>
    </row>
    <row r="9" spans="1:10" x14ac:dyDescent="0.25">
      <c r="A9">
        <v>15</v>
      </c>
      <c r="B9">
        <f>Table13161833[[#This Row],[Level]]*75 + 500</f>
        <v>1625</v>
      </c>
      <c r="C9">
        <f>Table13161833[[#This Row],[Level]]*10+20</f>
        <v>170</v>
      </c>
      <c r="D9">
        <f>Table13161833[[#This Row],[Level]]*1.5+ 15</f>
        <v>37.5</v>
      </c>
      <c r="E9">
        <f>Table13161833[[#This Row],[Level]]*1.5 + 15</f>
        <v>37.5</v>
      </c>
      <c r="F9">
        <f>Table13161833[[#This Row],[Level]]*1 + 15</f>
        <v>30</v>
      </c>
      <c r="G9">
        <f>Table13161833[[#This Row],[Level]]*1.5 + 15</f>
        <v>37.5</v>
      </c>
      <c r="H9">
        <f>Table13161833[[#This Row],[Level]]*1.375 + 15</f>
        <v>35.625</v>
      </c>
      <c r="I9">
        <f>Table13161833[[#This Row],[Level]]*1.125 + 15</f>
        <v>31.875</v>
      </c>
    </row>
    <row r="10" spans="1:10" x14ac:dyDescent="0.25">
      <c r="A10">
        <v>25</v>
      </c>
      <c r="B10">
        <f>Table13161833[[#This Row],[Level]]*75 + 500</f>
        <v>2375</v>
      </c>
      <c r="C10">
        <f>Table13161833[[#This Row],[Level]]*10+20</f>
        <v>270</v>
      </c>
      <c r="D10">
        <f>Table13161833[[#This Row],[Level]]*1.5+ 15</f>
        <v>52.5</v>
      </c>
      <c r="E10">
        <f>Table13161833[[#This Row],[Level]]*1.5 + 15</f>
        <v>52.5</v>
      </c>
      <c r="F10">
        <f>Table13161833[[#This Row],[Level]]*1 + 15</f>
        <v>40</v>
      </c>
      <c r="G10">
        <f>Table13161833[[#This Row],[Level]]*1.5 + 15</f>
        <v>52.5</v>
      </c>
      <c r="H10">
        <f>Table13161833[[#This Row],[Level]]*1.375 + 15</f>
        <v>49.375</v>
      </c>
      <c r="I10">
        <f>Table13161833[[#This Row],[Level]]*1.125 + 15</f>
        <v>43.125</v>
      </c>
    </row>
    <row r="11" spans="1:10" x14ac:dyDescent="0.25">
      <c r="A11">
        <v>35</v>
      </c>
      <c r="B11">
        <f>Table13161833[[#This Row],[Level]]*75 + 500</f>
        <v>3125</v>
      </c>
      <c r="C11">
        <f>Table13161833[[#This Row],[Level]]*10+20</f>
        <v>370</v>
      </c>
      <c r="D11">
        <f>Table13161833[[#This Row],[Level]]*1.5+ 15</f>
        <v>67.5</v>
      </c>
      <c r="E11">
        <f>Table13161833[[#This Row],[Level]]*1.5 + 15</f>
        <v>67.5</v>
      </c>
      <c r="F11">
        <f>Table13161833[[#This Row],[Level]]*1 + 15</f>
        <v>50</v>
      </c>
      <c r="G11">
        <f>Table13161833[[#This Row],[Level]]*1.5 + 15</f>
        <v>67.5</v>
      </c>
      <c r="H11">
        <f>Table13161833[[#This Row],[Level]]*1.375 + 15</f>
        <v>63.125</v>
      </c>
      <c r="I11">
        <f>Table13161833[[#This Row],[Level]]*1.125 + 15</f>
        <v>54.375</v>
      </c>
    </row>
    <row r="12" spans="1:10" x14ac:dyDescent="0.25">
      <c r="A12">
        <v>20</v>
      </c>
      <c r="B12">
        <f>Table13161833[[#This Row],[Level]]*75 + 500</f>
        <v>2000</v>
      </c>
      <c r="C12">
        <f>Table13161833[[#This Row],[Level]]*10+20</f>
        <v>220</v>
      </c>
      <c r="D12">
        <f>Table13161833[[#This Row],[Level]]*1.5+ 15</f>
        <v>45</v>
      </c>
      <c r="E12">
        <f>Table13161833[[#This Row],[Level]]*1.5 + 15</f>
        <v>45</v>
      </c>
      <c r="F12">
        <f>Table13161833[[#This Row],[Level]]*1 + 15</f>
        <v>35</v>
      </c>
      <c r="G12">
        <f>Table13161833[[#This Row],[Level]]*1.5 + 15</f>
        <v>45</v>
      </c>
      <c r="H12">
        <f>Table13161833[[#This Row],[Level]]*1.375 + 15</f>
        <v>42.5</v>
      </c>
      <c r="I12">
        <f>Table13161833[[#This Row],[Level]]*1.125 + 15</f>
        <v>37.5</v>
      </c>
    </row>
    <row r="15" spans="1:10" x14ac:dyDescent="0.25">
      <c r="A15" t="s">
        <v>12</v>
      </c>
      <c r="B15" t="s">
        <v>2</v>
      </c>
      <c r="C15" t="s">
        <v>3</v>
      </c>
      <c r="D15" t="s">
        <v>4</v>
      </c>
      <c r="E15" t="s">
        <v>5</v>
      </c>
      <c r="F15" t="s">
        <v>6</v>
      </c>
      <c r="G15" t="s">
        <v>7</v>
      </c>
      <c r="H15" t="s">
        <v>8</v>
      </c>
      <c r="I15" t="s">
        <v>9</v>
      </c>
    </row>
    <row r="16" spans="1:10" x14ac:dyDescent="0.25">
      <c r="A16" s="2">
        <v>20</v>
      </c>
      <c r="B16" s="3">
        <f>(Table192235[Level]*75 + 500)*2</f>
        <v>4000</v>
      </c>
      <c r="C16" s="3">
        <f>Table192235[[#This Row],[Level]]*14 + 80</f>
        <v>360</v>
      </c>
      <c r="D16" s="3">
        <f>Table192235[[#This Row],[Level]]*1.5+ 15 + 50</f>
        <v>95</v>
      </c>
      <c r="E16" s="3">
        <v>75</v>
      </c>
      <c r="F16" s="3">
        <f>Table192235[Level]*1.5+15+50</f>
        <v>95</v>
      </c>
      <c r="G16" s="3">
        <v>75</v>
      </c>
      <c r="H16" s="3">
        <v>42.5</v>
      </c>
      <c r="I16" s="4">
        <v>37.5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5E475-9F10-4DD8-82F0-E47D9A595A6E}">
  <dimension ref="A2:S41"/>
  <sheetViews>
    <sheetView topLeftCell="A22" workbookViewId="0">
      <selection activeCell="L27" sqref="L27"/>
    </sheetView>
  </sheetViews>
  <sheetFormatPr defaultRowHeight="15" x14ac:dyDescent="0.25"/>
  <sheetData>
    <row r="2" spans="1:19" x14ac:dyDescent="0.25">
      <c r="A2" t="s">
        <v>14</v>
      </c>
    </row>
    <row r="4" spans="1:19" x14ac:dyDescent="0.25">
      <c r="A4" t="s">
        <v>1</v>
      </c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</row>
    <row r="5" spans="1:19" x14ac:dyDescent="0.25">
      <c r="A5" t="s">
        <v>15</v>
      </c>
      <c r="B5">
        <v>2</v>
      </c>
      <c r="C5">
        <v>1</v>
      </c>
      <c r="D5">
        <v>4</v>
      </c>
      <c r="E5">
        <v>3</v>
      </c>
      <c r="F5">
        <v>1</v>
      </c>
      <c r="G5">
        <v>3</v>
      </c>
      <c r="H5">
        <v>5</v>
      </c>
      <c r="I5">
        <v>2</v>
      </c>
      <c r="J5">
        <f>SUM(Table15[[#This Row],[HP]:[LUK]])</f>
        <v>21</v>
      </c>
    </row>
    <row r="6" spans="1:19" x14ac:dyDescent="0.25">
      <c r="A6" t="s">
        <v>16</v>
      </c>
      <c r="B6">
        <v>2</v>
      </c>
      <c r="C6">
        <v>1</v>
      </c>
      <c r="D6">
        <v>3</v>
      </c>
      <c r="E6">
        <v>3</v>
      </c>
      <c r="F6">
        <v>1</v>
      </c>
      <c r="G6">
        <v>3</v>
      </c>
      <c r="H6">
        <v>4</v>
      </c>
      <c r="I6">
        <v>2</v>
      </c>
      <c r="J6" s="1">
        <f>SUM(Table15[[#This Row],[HP]:[LUK]])</f>
        <v>19</v>
      </c>
    </row>
    <row r="7" spans="1:19" x14ac:dyDescent="0.25">
      <c r="A7" t="s">
        <v>17</v>
      </c>
      <c r="B7">
        <v>2</v>
      </c>
      <c r="C7">
        <v>3</v>
      </c>
      <c r="D7">
        <v>1</v>
      </c>
      <c r="E7">
        <v>1</v>
      </c>
      <c r="F7">
        <v>2</v>
      </c>
      <c r="G7">
        <v>5</v>
      </c>
      <c r="H7">
        <v>3</v>
      </c>
      <c r="I7">
        <v>4</v>
      </c>
      <c r="J7" s="1">
        <f>SUM(Table15[[#This Row],[HP]:[LUK]])</f>
        <v>21</v>
      </c>
    </row>
    <row r="8" spans="1:19" x14ac:dyDescent="0.25">
      <c r="A8" t="s">
        <v>35</v>
      </c>
      <c r="B8">
        <v>3</v>
      </c>
      <c r="C8">
        <v>1</v>
      </c>
      <c r="D8">
        <v>4</v>
      </c>
      <c r="E8">
        <v>4</v>
      </c>
      <c r="F8">
        <v>1</v>
      </c>
      <c r="G8">
        <v>3</v>
      </c>
      <c r="H8">
        <v>3</v>
      </c>
      <c r="I8">
        <v>2</v>
      </c>
      <c r="J8" s="1">
        <f>SUM(Table15[[#This Row],[HP]:[LUK]])</f>
        <v>21</v>
      </c>
    </row>
    <row r="11" spans="1:19" x14ac:dyDescent="0.25">
      <c r="K11" t="s">
        <v>12</v>
      </c>
      <c r="L11" t="s">
        <v>2</v>
      </c>
      <c r="M11" t="s">
        <v>3</v>
      </c>
      <c r="N11" t="s">
        <v>4</v>
      </c>
      <c r="O11" t="s">
        <v>5</v>
      </c>
      <c r="P11" t="s">
        <v>6</v>
      </c>
      <c r="Q11" t="s">
        <v>7</v>
      </c>
      <c r="R11" t="s">
        <v>8</v>
      </c>
      <c r="S11" t="s">
        <v>9</v>
      </c>
    </row>
    <row r="12" spans="1:19" x14ac:dyDescent="0.25">
      <c r="K12">
        <v>1</v>
      </c>
      <c r="L12">
        <f>Table131679[[#This Row],[Level]]*56.25+100</f>
        <v>156.25</v>
      </c>
      <c r="M12">
        <f>Table131679[[#This Row],[Level]]*10</f>
        <v>10</v>
      </c>
      <c r="N12">
        <f>Table131679[[#This Row],[Level]]*1.375+ 15 + 25</f>
        <v>41.375</v>
      </c>
      <c r="O12">
        <f>Table131679[[#This Row],[Level]]*1.25 + 15 + 10</f>
        <v>26.25</v>
      </c>
      <c r="P12">
        <f>Table131679[[#This Row],[Level]]*1 + 15</f>
        <v>16</v>
      </c>
      <c r="Q12">
        <f>Table131679[[#This Row],[Level]]*1.25+ 15 + 8</f>
        <v>24.25</v>
      </c>
      <c r="R12">
        <f>Table131679[[#This Row],[Level]]*1.5 + 15 + 5</f>
        <v>21.5</v>
      </c>
      <c r="S12">
        <f>Table131679[[#This Row],[Level]]*1.125 + 15</f>
        <v>16.125</v>
      </c>
    </row>
    <row r="13" spans="1:19" x14ac:dyDescent="0.25">
      <c r="A13" t="s">
        <v>19</v>
      </c>
      <c r="K13">
        <v>10</v>
      </c>
      <c r="L13">
        <f>Table131679[[#This Row],[Level]]*56.25+100</f>
        <v>662.5</v>
      </c>
      <c r="M13">
        <f>Table131679[[#This Row],[Level]]*10</f>
        <v>100</v>
      </c>
      <c r="N13">
        <f>Table131679[[#This Row],[Level]]*1.375+ 15 + 25</f>
        <v>53.75</v>
      </c>
      <c r="O13">
        <f>Table131679[[#This Row],[Level]]*1.25 + 15 + 10</f>
        <v>37.5</v>
      </c>
      <c r="P13">
        <f>Table131679[[#This Row],[Level]]*1 + 15</f>
        <v>25</v>
      </c>
      <c r="Q13">
        <f>Table131679[[#This Row],[Level]]*1.25+ 15 + 8</f>
        <v>35.5</v>
      </c>
      <c r="R13">
        <f>Table131679[[#This Row],[Level]]*1.5 + 15 + 5</f>
        <v>35</v>
      </c>
      <c r="S13">
        <f>Table131679[[#This Row],[Level]]*1.125 + 15</f>
        <v>26.25</v>
      </c>
    </row>
    <row r="14" spans="1:19" x14ac:dyDescent="0.25">
      <c r="A14" t="s">
        <v>20</v>
      </c>
      <c r="K14">
        <v>25</v>
      </c>
      <c r="L14">
        <f>Table131679[[#This Row],[Level]]*56.25+100</f>
        <v>1506.25</v>
      </c>
      <c r="M14">
        <f>Table131679[[#This Row],[Level]]*10</f>
        <v>250</v>
      </c>
      <c r="N14">
        <f>Table131679[[#This Row],[Level]]*1.375+ 15 + 25</f>
        <v>74.375</v>
      </c>
      <c r="O14">
        <f>Table131679[[#This Row],[Level]]*1.25 + 15 + 10</f>
        <v>56.25</v>
      </c>
      <c r="P14">
        <f>Table131679[[#This Row],[Level]]*1 + 15</f>
        <v>40</v>
      </c>
      <c r="Q14">
        <f>Table131679[[#This Row],[Level]]*1.25+ 15 + 8</f>
        <v>54.25</v>
      </c>
      <c r="R14">
        <f>Table131679[[#This Row],[Level]]*1.5 + 15 + 5</f>
        <v>57.5</v>
      </c>
      <c r="S14">
        <f>Table131679[[#This Row],[Level]]*1.125 + 15</f>
        <v>43.125</v>
      </c>
    </row>
    <row r="15" spans="1:19" x14ac:dyDescent="0.25">
      <c r="A15" t="s">
        <v>12</v>
      </c>
      <c r="B15" t="s">
        <v>2</v>
      </c>
      <c r="C15" t="s">
        <v>3</v>
      </c>
      <c r="D15" t="s">
        <v>4</v>
      </c>
      <c r="E15" t="s">
        <v>5</v>
      </c>
      <c r="F15" t="s">
        <v>6</v>
      </c>
      <c r="G15" t="s">
        <v>7</v>
      </c>
      <c r="H15" t="s">
        <v>8</v>
      </c>
      <c r="I15" t="s">
        <v>9</v>
      </c>
      <c r="K15">
        <v>35</v>
      </c>
      <c r="L15">
        <f>Table131679[[#This Row],[Level]]*56.25+100</f>
        <v>2068.75</v>
      </c>
      <c r="M15">
        <f>Table131679[[#This Row],[Level]]*10</f>
        <v>350</v>
      </c>
      <c r="N15">
        <f>Table131679[[#This Row],[Level]]*1.375+ 15 + 25</f>
        <v>88.125</v>
      </c>
      <c r="O15">
        <f>Table131679[[#This Row],[Level]]*1.25 + 15 + 10</f>
        <v>68.75</v>
      </c>
      <c r="P15">
        <f>Table131679[[#This Row],[Level]]*1 + 15</f>
        <v>50</v>
      </c>
      <c r="Q15">
        <f>Table131679[[#This Row],[Level]]*1.25+ 15 + 8</f>
        <v>66.75</v>
      </c>
      <c r="R15">
        <f>Table131679[[#This Row],[Level]]*1.5 + 15 + 5</f>
        <v>72.5</v>
      </c>
      <c r="S15">
        <f>Table131679[[#This Row],[Level]]*1.125 + 15</f>
        <v>54.375</v>
      </c>
    </row>
    <row r="16" spans="1:19" x14ac:dyDescent="0.25">
      <c r="A16">
        <v>1</v>
      </c>
      <c r="B16">
        <f>Table13167[[#This Row],[Level]]*63-100</f>
        <v>-37</v>
      </c>
      <c r="C16">
        <f>Table13167[[#This Row],[Level]]*10</f>
        <v>10</v>
      </c>
      <c r="D16">
        <f>Table13167[[#This Row],[Level]]*1.375+ 15</f>
        <v>16.375</v>
      </c>
      <c r="E16">
        <f>Table13167[[#This Row],[Level]]*1.375 + 15</f>
        <v>16.375</v>
      </c>
      <c r="F16">
        <f>Table13167[[#This Row],[Level]]*1 + 15</f>
        <v>16</v>
      </c>
      <c r="G16">
        <f>Table13167[[#This Row],[Level]]*1.25+ 15</f>
        <v>16.25</v>
      </c>
      <c r="H16">
        <f>Table13167[[#This Row],[Level]]*1.25 + 15</f>
        <v>16.25</v>
      </c>
      <c r="I16">
        <f>Table13167[[#This Row],[Level]]*1.125 + 15</f>
        <v>16.125</v>
      </c>
      <c r="K16">
        <v>99</v>
      </c>
      <c r="L16">
        <f>Table131679[[#This Row],[Level]]*56.25+100</f>
        <v>5668.75</v>
      </c>
      <c r="M16">
        <f>Table131679[[#This Row],[Level]]*10</f>
        <v>990</v>
      </c>
      <c r="N16">
        <f>Table131679[[#This Row],[Level]]*1.375+ 15 + 25</f>
        <v>176.125</v>
      </c>
      <c r="O16">
        <f>Table131679[[#This Row],[Level]]*1.25 + 15 + 10</f>
        <v>148.75</v>
      </c>
      <c r="P16">
        <f>Table131679[[#This Row],[Level]]*1 + 15</f>
        <v>114</v>
      </c>
      <c r="Q16">
        <f>Table131679[[#This Row],[Level]]*1.25+ 15 + 8</f>
        <v>146.75</v>
      </c>
      <c r="R16">
        <f>Table131679[[#This Row],[Level]]*1.5 + 15 + 5</f>
        <v>168.5</v>
      </c>
      <c r="S16">
        <f>Table131679[[#This Row],[Level]]*1.125 + 15</f>
        <v>126.375</v>
      </c>
    </row>
    <row r="17" spans="1:19" x14ac:dyDescent="0.25">
      <c r="A17">
        <v>10</v>
      </c>
      <c r="B17">
        <f>Table13167[[#This Row],[Level]]*63</f>
        <v>630</v>
      </c>
      <c r="C17">
        <f>Table13167[[#This Row],[Level]]*10</f>
        <v>100</v>
      </c>
      <c r="D17">
        <f>Table13167[[#This Row],[Level]]*1.375+ 15</f>
        <v>28.75</v>
      </c>
      <c r="E17">
        <f>Table13167[[#This Row],[Level]]*1.375 + 15</f>
        <v>28.75</v>
      </c>
      <c r="F17">
        <f>Table13167[[#This Row],[Level]]*1 + 15</f>
        <v>25</v>
      </c>
      <c r="G17">
        <f>Table13167[[#This Row],[Level]]*1.25+ 15</f>
        <v>27.5</v>
      </c>
      <c r="H17">
        <f>Table13167[[#This Row],[Level]]*1.25 + 15</f>
        <v>27.5</v>
      </c>
      <c r="I17">
        <f>Table13167[[#This Row],[Level]]*1.125 + 15</f>
        <v>26.25</v>
      </c>
      <c r="K17">
        <v>3</v>
      </c>
      <c r="L17" s="1">
        <f>Table131679[[#This Row],[Level]]*56.25+100</f>
        <v>268.75</v>
      </c>
      <c r="M17" s="1">
        <f>Table131679[[#This Row],[Level]]*10</f>
        <v>30</v>
      </c>
      <c r="N17" s="1">
        <f>Table131679[[#This Row],[Level]]*1.375+ 15 + 25</f>
        <v>44.125</v>
      </c>
      <c r="O17" s="1">
        <f>Table131679[[#This Row],[Level]]*1.25 + 15 + 10</f>
        <v>28.75</v>
      </c>
      <c r="P17" s="1">
        <f>Table131679[[#This Row],[Level]]*1 + 15</f>
        <v>18</v>
      </c>
      <c r="Q17" s="1">
        <f>Table131679[[#This Row],[Level]]*1.25+ 15 + 8</f>
        <v>26.75</v>
      </c>
      <c r="R17" s="1">
        <f>Table131679[[#This Row],[Level]]*1.5 + 15 + 5</f>
        <v>24.5</v>
      </c>
      <c r="S17" s="1">
        <f>Table131679[[#This Row],[Level]]*1.125 + 15</f>
        <v>18.375</v>
      </c>
    </row>
    <row r="18" spans="1:19" x14ac:dyDescent="0.25">
      <c r="A18">
        <v>25</v>
      </c>
      <c r="B18">
        <f>Table13167[[#This Row],[Level]]*63-100</f>
        <v>1475</v>
      </c>
      <c r="C18">
        <f>Table13167[[#This Row],[Level]]*10</f>
        <v>250</v>
      </c>
      <c r="D18">
        <f>Table13167[[#This Row],[Level]]*1.375+ 15</f>
        <v>49.375</v>
      </c>
      <c r="E18">
        <f>Table13167[[#This Row],[Level]]*1.375 + 15</f>
        <v>49.375</v>
      </c>
      <c r="F18">
        <f>Table13167[[#This Row],[Level]]*1 + 15</f>
        <v>40</v>
      </c>
      <c r="G18">
        <f>Table13167[[#This Row],[Level]]*1.25+ 15</f>
        <v>46.25</v>
      </c>
      <c r="H18">
        <f>Table13167[[#This Row],[Level]]*1.25 + 15</f>
        <v>46.25</v>
      </c>
      <c r="I18">
        <f>Table13167[[#This Row],[Level]]*1.125 + 15</f>
        <v>43.125</v>
      </c>
    </row>
    <row r="19" spans="1:19" x14ac:dyDescent="0.25">
      <c r="A19">
        <v>35</v>
      </c>
      <c r="B19">
        <f>Table13167[[#This Row],[Level]]*63-100</f>
        <v>2105</v>
      </c>
      <c r="C19">
        <f>Table13167[[#This Row],[Level]]*10</f>
        <v>350</v>
      </c>
      <c r="D19">
        <f>Table13167[[#This Row],[Level]]*1.375+ 15</f>
        <v>63.125</v>
      </c>
      <c r="E19">
        <f>Table13167[[#This Row],[Level]]*1.375 + 15</f>
        <v>63.125</v>
      </c>
      <c r="F19">
        <f>Table13167[[#This Row],[Level]]*1 + 15</f>
        <v>50</v>
      </c>
      <c r="G19">
        <f>Table13167[[#This Row],[Level]]*1.25+ 15</f>
        <v>58.75</v>
      </c>
      <c r="H19">
        <f>Table13167[[#This Row],[Level]]*1.25 + 15</f>
        <v>58.75</v>
      </c>
      <c r="I19">
        <f>Table13167[[#This Row],[Level]]*1.125 + 15</f>
        <v>54.375</v>
      </c>
    </row>
    <row r="20" spans="1:19" x14ac:dyDescent="0.25">
      <c r="A20">
        <v>99</v>
      </c>
      <c r="B20">
        <f>Table13167[[#This Row],[Level]]*63-100</f>
        <v>6137</v>
      </c>
      <c r="C20">
        <f>Table13167[[#This Row],[Level]]*10</f>
        <v>990</v>
      </c>
      <c r="D20">
        <f>Table13167[[#This Row],[Level]]*1.375+ 15</f>
        <v>151.125</v>
      </c>
      <c r="E20">
        <f>Table13167[[#This Row],[Level]]*1.375 + 15</f>
        <v>151.125</v>
      </c>
      <c r="F20">
        <f>Table13167[[#This Row],[Level]]*1 + 15</f>
        <v>114</v>
      </c>
      <c r="G20">
        <f>Table13167[[#This Row],[Level]]*1.25+ 15</f>
        <v>138.75</v>
      </c>
      <c r="H20">
        <f>Table13167[[#This Row],[Level]]*1.25 + 15</f>
        <v>138.75</v>
      </c>
      <c r="I20">
        <f>Table13167[[#This Row],[Level]]*1.125 + 15</f>
        <v>126.375</v>
      </c>
    </row>
    <row r="23" spans="1:19" x14ac:dyDescent="0.25">
      <c r="A23" t="s">
        <v>36</v>
      </c>
    </row>
    <row r="24" spans="1:19" x14ac:dyDescent="0.25">
      <c r="A24" t="s">
        <v>37</v>
      </c>
    </row>
    <row r="26" spans="1:19" x14ac:dyDescent="0.25">
      <c r="A26" t="s">
        <v>12</v>
      </c>
      <c r="B26" t="s">
        <v>2</v>
      </c>
      <c r="C26" t="s">
        <v>3</v>
      </c>
      <c r="D26" t="s">
        <v>4</v>
      </c>
      <c r="E26" t="s">
        <v>5</v>
      </c>
      <c r="F26" t="s">
        <v>6</v>
      </c>
      <c r="G26" t="s">
        <v>7</v>
      </c>
      <c r="H26" t="s">
        <v>8</v>
      </c>
      <c r="I26" t="s">
        <v>9</v>
      </c>
    </row>
    <row r="27" spans="1:19" x14ac:dyDescent="0.25">
      <c r="A27">
        <v>1</v>
      </c>
      <c r="B27">
        <f>Table1316717[[#This Row],[Level]]*63+100</f>
        <v>163</v>
      </c>
      <c r="C27">
        <f>Table1316717[[#This Row],[Level]]*10</f>
        <v>10</v>
      </c>
      <c r="D27">
        <f>Table1316717[[#This Row],[Level]]*1.375+ 15</f>
        <v>16.375</v>
      </c>
      <c r="E27">
        <f>Table1316717[[#This Row],[Level]]*1.375 + 15</f>
        <v>16.375</v>
      </c>
      <c r="F27">
        <f>Table1316717[[#This Row],[Level]]*1 + 15</f>
        <v>16</v>
      </c>
      <c r="G27">
        <f>Table1316717[[#This Row],[Level]]*1.25+ 15</f>
        <v>16.25</v>
      </c>
      <c r="H27">
        <f>Table1316717[[#This Row],[Level]]*1.25 + 15</f>
        <v>16.25</v>
      </c>
      <c r="I27">
        <f>Table1316717[[#This Row],[Level]]*1.125 + 15</f>
        <v>16.125</v>
      </c>
    </row>
    <row r="28" spans="1:19" x14ac:dyDescent="0.25">
      <c r="A28">
        <v>10</v>
      </c>
      <c r="B28">
        <f>Table1316717[[#This Row],[Level]]*63+100</f>
        <v>730</v>
      </c>
      <c r="C28">
        <f>Table1316717[[#This Row],[Level]]*10</f>
        <v>100</v>
      </c>
      <c r="D28">
        <f>Table1316717[[#This Row],[Level]]*1.375+ 15</f>
        <v>28.75</v>
      </c>
      <c r="E28">
        <f>Table1316717[[#This Row],[Level]]*1.375 + 15</f>
        <v>28.75</v>
      </c>
      <c r="F28">
        <f>Table1316717[[#This Row],[Level]]*1 + 15</f>
        <v>25</v>
      </c>
      <c r="G28">
        <f>Table1316717[[#This Row],[Level]]*1.25+ 15</f>
        <v>27.5</v>
      </c>
      <c r="H28">
        <f>Table1316717[[#This Row],[Level]]*1.25 + 15</f>
        <v>27.5</v>
      </c>
      <c r="I28">
        <f>Table1316717[[#This Row],[Level]]*1.125 + 15</f>
        <v>26.25</v>
      </c>
    </row>
    <row r="29" spans="1:19" x14ac:dyDescent="0.25">
      <c r="A29">
        <v>25</v>
      </c>
      <c r="B29">
        <f>Table1316717[[#This Row],[Level]]*63+100</f>
        <v>1675</v>
      </c>
      <c r="C29">
        <f>Table1316717[[#This Row],[Level]]*10</f>
        <v>250</v>
      </c>
      <c r="D29">
        <f>Table1316717[[#This Row],[Level]]*1.375+ 15</f>
        <v>49.375</v>
      </c>
      <c r="E29">
        <f>Table1316717[[#This Row],[Level]]*1.375 + 15</f>
        <v>49.375</v>
      </c>
      <c r="F29">
        <f>Table1316717[[#This Row],[Level]]*1 + 15</f>
        <v>40</v>
      </c>
      <c r="G29">
        <f>Table1316717[[#This Row],[Level]]*1.25+ 15</f>
        <v>46.25</v>
      </c>
      <c r="H29">
        <f>Table1316717[[#This Row],[Level]]*1.25 + 15</f>
        <v>46.25</v>
      </c>
      <c r="I29">
        <f>Table1316717[[#This Row],[Level]]*1.125 + 15</f>
        <v>43.125</v>
      </c>
    </row>
    <row r="30" spans="1:19" x14ac:dyDescent="0.25">
      <c r="A30">
        <v>35</v>
      </c>
      <c r="B30">
        <f>Table1316717[[#This Row],[Level]]*63+100</f>
        <v>2305</v>
      </c>
      <c r="C30">
        <f>Table1316717[[#This Row],[Level]]*10</f>
        <v>350</v>
      </c>
      <c r="D30">
        <f>Table1316717[[#This Row],[Level]]*1.375+ 15</f>
        <v>63.125</v>
      </c>
      <c r="E30">
        <f>Table1316717[[#This Row],[Level]]*1.375 + 15</f>
        <v>63.125</v>
      </c>
      <c r="F30">
        <f>Table1316717[[#This Row],[Level]]*1 + 15</f>
        <v>50</v>
      </c>
      <c r="G30">
        <f>Table1316717[[#This Row],[Level]]*1.25+ 15</f>
        <v>58.75</v>
      </c>
      <c r="H30">
        <f>Table1316717[[#This Row],[Level]]*1.25 + 15</f>
        <v>58.75</v>
      </c>
      <c r="I30">
        <f>Table1316717[[#This Row],[Level]]*1.125 + 15</f>
        <v>54.375</v>
      </c>
    </row>
    <row r="31" spans="1:19" x14ac:dyDescent="0.25">
      <c r="A31">
        <v>99</v>
      </c>
      <c r="B31">
        <f>Table1316717[[#This Row],[Level]]*63+100</f>
        <v>6337</v>
      </c>
      <c r="C31">
        <f>Table1316717[[#This Row],[Level]]*10</f>
        <v>990</v>
      </c>
      <c r="D31">
        <f>Table1316717[[#This Row],[Level]]*1.375+ 15</f>
        <v>151.125</v>
      </c>
      <c r="E31">
        <f>Table1316717[[#This Row],[Level]]*1.375 + 15</f>
        <v>151.125</v>
      </c>
      <c r="F31">
        <f>Table1316717[[#This Row],[Level]]*1 + 15</f>
        <v>114</v>
      </c>
      <c r="G31">
        <f>Table1316717[[#This Row],[Level]]*1.25+ 15</f>
        <v>138.75</v>
      </c>
      <c r="H31">
        <f>Table1316717[[#This Row],[Level]]*1.25 + 15</f>
        <v>138.75</v>
      </c>
      <c r="I31">
        <f>Table1316717[[#This Row],[Level]]*1.125 + 15</f>
        <v>126.375</v>
      </c>
    </row>
    <row r="34" spans="1:9" x14ac:dyDescent="0.25">
      <c r="A34" t="s">
        <v>38</v>
      </c>
    </row>
    <row r="35" spans="1:9" x14ac:dyDescent="0.25">
      <c r="A35" t="s">
        <v>39</v>
      </c>
    </row>
    <row r="36" spans="1:9" x14ac:dyDescent="0.25">
      <c r="A36" t="s">
        <v>12</v>
      </c>
      <c r="B36" t="s">
        <v>2</v>
      </c>
      <c r="C36" t="s">
        <v>3</v>
      </c>
      <c r="D36" t="s">
        <v>4</v>
      </c>
      <c r="E36" t="s">
        <v>5</v>
      </c>
      <c r="F36" t="s">
        <v>6</v>
      </c>
      <c r="G36" t="s">
        <v>7</v>
      </c>
      <c r="H36" t="s">
        <v>8</v>
      </c>
      <c r="I36" t="s">
        <v>9</v>
      </c>
    </row>
    <row r="37" spans="1:9" x14ac:dyDescent="0.25">
      <c r="A37">
        <v>1</v>
      </c>
      <c r="B37">
        <f>Table13167173[[#This Row],[Level]]*56.5+200</f>
        <v>256.5</v>
      </c>
      <c r="C37">
        <f>Table13167173[[#This Row],[Level]]*12.5</f>
        <v>12.5</v>
      </c>
      <c r="D37">
        <f>Table13167173[[#This Row],[Level]]*1+ 15</f>
        <v>16</v>
      </c>
      <c r="E37">
        <f>Table13167173[[#This Row],[Level]]*1 + 15+14</f>
        <v>30</v>
      </c>
      <c r="F37">
        <f>Table13167173[[#This Row],[Level]]*1.125 + 15</f>
        <v>16.125</v>
      </c>
      <c r="G37">
        <f>Table13167173[[#This Row],[Level]]*1.5+ 15+13</f>
        <v>29.5</v>
      </c>
      <c r="H37">
        <f>Table13167173[[#This Row],[Level]]*1.25 + 15</f>
        <v>16.25</v>
      </c>
      <c r="I37">
        <f>Table13167173[[#This Row],[Level]]*1.375 + 15+40</f>
        <v>56.375</v>
      </c>
    </row>
    <row r="38" spans="1:9" x14ac:dyDescent="0.25">
      <c r="A38">
        <v>10</v>
      </c>
      <c r="B38">
        <f>Table13167173[[#This Row],[Level]]*56.5+200</f>
        <v>765</v>
      </c>
      <c r="C38">
        <f>Table13167173[[#This Row],[Level]]*12.5+100</f>
        <v>225</v>
      </c>
      <c r="D38">
        <f>Table13167173[[#This Row],[Level]]*1+ 15</f>
        <v>25</v>
      </c>
      <c r="E38">
        <f>Table13167173[[#This Row],[Level]]*1 + 15+14</f>
        <v>39</v>
      </c>
      <c r="F38">
        <f>Table13167173[[#This Row],[Level]]*1.125 + 15</f>
        <v>26.25</v>
      </c>
      <c r="G38">
        <f>Table13167173[[#This Row],[Level]]*1.5+ 15+13</f>
        <v>43</v>
      </c>
      <c r="H38">
        <f>Table13167173[[#This Row],[Level]]*1.25 + 15</f>
        <v>27.5</v>
      </c>
      <c r="I38">
        <f>Table13167173[[#This Row],[Level]]*1.375 + 15+40</f>
        <v>68.75</v>
      </c>
    </row>
    <row r="39" spans="1:9" x14ac:dyDescent="0.25">
      <c r="A39">
        <v>25</v>
      </c>
      <c r="B39">
        <f>Table13167173[[#This Row],[Level]]*56.5+200</f>
        <v>1612.5</v>
      </c>
      <c r="C39">
        <f>Table13167173[[#This Row],[Level]]*12.5</f>
        <v>312.5</v>
      </c>
      <c r="D39">
        <f>Table13167173[[#This Row],[Level]]*1+ 15</f>
        <v>40</v>
      </c>
      <c r="E39">
        <f>Table13167173[[#This Row],[Level]]*1 + 15+14</f>
        <v>54</v>
      </c>
      <c r="F39">
        <f>Table13167173[[#This Row],[Level]]*1.125 + 15</f>
        <v>43.125</v>
      </c>
      <c r="G39">
        <f>Table13167173[[#This Row],[Level]]*1.5+ 15+13</f>
        <v>65.5</v>
      </c>
      <c r="H39">
        <f>Table13167173[[#This Row],[Level]]*1.25 + 15</f>
        <v>46.25</v>
      </c>
      <c r="I39">
        <f>Table13167173[[#This Row],[Level]]*1.375 + 15+40</f>
        <v>89.375</v>
      </c>
    </row>
    <row r="40" spans="1:9" x14ac:dyDescent="0.25">
      <c r="A40">
        <v>35</v>
      </c>
      <c r="B40">
        <f>Table13167173[[#This Row],[Level]]*56.5+200</f>
        <v>2177.5</v>
      </c>
      <c r="C40">
        <f>Table13167173[[#This Row],[Level]]*12.5</f>
        <v>437.5</v>
      </c>
      <c r="D40">
        <f>Table13167173[[#This Row],[Level]]*1+ 15</f>
        <v>50</v>
      </c>
      <c r="E40">
        <f>Table13167173[[#This Row],[Level]]*1 + 15+14</f>
        <v>64</v>
      </c>
      <c r="F40">
        <f>Table13167173[[#This Row],[Level]]*1.125 + 15</f>
        <v>54.375</v>
      </c>
      <c r="G40">
        <f>Table13167173[[#This Row],[Level]]*1.5+ 15+13</f>
        <v>80.5</v>
      </c>
      <c r="H40">
        <f>Table13167173[[#This Row],[Level]]*1.25 + 15</f>
        <v>58.75</v>
      </c>
      <c r="I40">
        <f>Table13167173[[#This Row],[Level]]*1.375 + 15+40</f>
        <v>103.125</v>
      </c>
    </row>
    <row r="41" spans="1:9" x14ac:dyDescent="0.25">
      <c r="A41">
        <v>20</v>
      </c>
      <c r="B41">
        <f>Table13167173[[#This Row],[Level]]*56.5+200</f>
        <v>1330</v>
      </c>
      <c r="C41">
        <f>Table13167173[[#This Row],[Level]]*12.5</f>
        <v>250</v>
      </c>
      <c r="D41">
        <f>Table13167173[[#This Row],[Level]]*1+ 15</f>
        <v>35</v>
      </c>
      <c r="E41">
        <f>Table13167173[[#This Row],[Level]]*1 + 15+14</f>
        <v>49</v>
      </c>
      <c r="F41">
        <f>Table13167173[[#This Row],[Level]]*1.125 + 15</f>
        <v>37.5</v>
      </c>
      <c r="G41">
        <f>Table13167173[[#This Row],[Level]]*1.5+ 15+13</f>
        <v>58</v>
      </c>
      <c r="H41">
        <f>Table13167173[[#This Row],[Level]]*1.25 + 15</f>
        <v>40</v>
      </c>
      <c r="I41">
        <f>Table13167173[[#This Row],[Level]]*1.375 + 15+40</f>
        <v>82.5</v>
      </c>
    </row>
  </sheetData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D1546-413F-4D33-8AC9-20828C70BDCB}">
  <dimension ref="A3:J12"/>
  <sheetViews>
    <sheetView tabSelected="1" workbookViewId="0">
      <selection activeCell="K8" sqref="K8"/>
    </sheetView>
  </sheetViews>
  <sheetFormatPr defaultRowHeight="15" x14ac:dyDescent="0.25"/>
  <sheetData>
    <row r="3" spans="1:10" x14ac:dyDescent="0.25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</row>
    <row r="4" spans="1:10" x14ac:dyDescent="0.25">
      <c r="A4" t="s">
        <v>55</v>
      </c>
      <c r="B4">
        <v>7</v>
      </c>
      <c r="C4">
        <v>1</v>
      </c>
      <c r="D4">
        <v>15</v>
      </c>
      <c r="E4">
        <v>15</v>
      </c>
      <c r="F4">
        <v>1</v>
      </c>
      <c r="G4">
        <v>15</v>
      </c>
      <c r="H4">
        <v>5</v>
      </c>
      <c r="I4">
        <v>2</v>
      </c>
      <c r="J4">
        <f>SUM(Table168213429[[#This Row],[HP]:[LUK]])</f>
        <v>61</v>
      </c>
    </row>
    <row r="7" spans="1:10" x14ac:dyDescent="0.25">
      <c r="A7" t="s">
        <v>12</v>
      </c>
      <c r="B7" t="s">
        <v>2</v>
      </c>
      <c r="C7" t="s">
        <v>3</v>
      </c>
      <c r="D7" t="s">
        <v>4</v>
      </c>
      <c r="E7" t="s">
        <v>5</v>
      </c>
      <c r="F7" t="s">
        <v>6</v>
      </c>
      <c r="G7" t="s">
        <v>7</v>
      </c>
      <c r="H7" t="s">
        <v>8</v>
      </c>
      <c r="I7" t="s">
        <v>9</v>
      </c>
    </row>
    <row r="8" spans="1:10" x14ac:dyDescent="0.25">
      <c r="A8">
        <v>1</v>
      </c>
      <c r="B8">
        <f>Table1316183336[[#This Row],[Level]]*88</f>
        <v>88</v>
      </c>
      <c r="C8">
        <f>Table1316183336[[#This Row],[Level]]*10</f>
        <v>10</v>
      </c>
      <c r="D8">
        <f>Table1316183336[[#This Row],[Level]]*4.5</f>
        <v>4.5</v>
      </c>
      <c r="E8">
        <f>Table1316183336[[#This Row],[Level]]*4.5</f>
        <v>4.5</v>
      </c>
      <c r="F8">
        <f>Table1316183336[[#This Row],[Level]]*1</f>
        <v>1</v>
      </c>
      <c r="G8">
        <f>Table1316183336[[#This Row],[Level]]*4.5</f>
        <v>4.5</v>
      </c>
      <c r="H8">
        <f>Table1316183336[[#This Row],[Level]]*1.5</f>
        <v>1.5</v>
      </c>
      <c r="I8">
        <f>Table1316183336[[#This Row],[Level]]*1.125</f>
        <v>1.125</v>
      </c>
    </row>
    <row r="9" spans="1:10" x14ac:dyDescent="0.25">
      <c r="A9">
        <v>15</v>
      </c>
      <c r="B9">
        <f>Table1316183336[[#This Row],[Level]]*88</f>
        <v>1320</v>
      </c>
      <c r="C9">
        <f>Table1316183336[[#This Row],[Level]]*10</f>
        <v>150</v>
      </c>
      <c r="D9">
        <f>Table1316183336[[#This Row],[Level]]*4.5</f>
        <v>67.5</v>
      </c>
      <c r="E9">
        <f>Table1316183336[[#This Row],[Level]]*4.5</f>
        <v>67.5</v>
      </c>
      <c r="F9">
        <f>Table1316183336[[#This Row],[Level]]*1</f>
        <v>15</v>
      </c>
      <c r="G9">
        <f>Table1316183336[[#This Row],[Level]]*4.5</f>
        <v>67.5</v>
      </c>
      <c r="H9">
        <f>Table1316183336[[#This Row],[Level]]*1.5</f>
        <v>22.5</v>
      </c>
      <c r="I9">
        <f>Table1316183336[[#This Row],[Level]]*1.125</f>
        <v>16.875</v>
      </c>
    </row>
    <row r="10" spans="1:10" x14ac:dyDescent="0.25">
      <c r="A10">
        <v>25</v>
      </c>
      <c r="B10">
        <f>Table1316183336[[#This Row],[Level]]*88</f>
        <v>2200</v>
      </c>
      <c r="C10">
        <f>Table1316183336[[#This Row],[Level]]*10</f>
        <v>250</v>
      </c>
      <c r="D10">
        <f>Table1316183336[[#This Row],[Level]]*4.5</f>
        <v>112.5</v>
      </c>
      <c r="E10">
        <f>Table1316183336[[#This Row],[Level]]*4.5</f>
        <v>112.5</v>
      </c>
      <c r="F10">
        <f>Table1316183336[[#This Row],[Level]]*1</f>
        <v>25</v>
      </c>
      <c r="G10">
        <f>Table1316183336[[#This Row],[Level]]*4.5</f>
        <v>112.5</v>
      </c>
      <c r="H10">
        <f>Table1316183336[[#This Row],[Level]]*1.5</f>
        <v>37.5</v>
      </c>
      <c r="I10">
        <f>Table1316183336[[#This Row],[Level]]*1.125</f>
        <v>28.125</v>
      </c>
    </row>
    <row r="11" spans="1:10" x14ac:dyDescent="0.25">
      <c r="A11">
        <v>35</v>
      </c>
      <c r="B11">
        <f>Table1316183336[[#This Row],[Level]]*88</f>
        <v>3080</v>
      </c>
      <c r="C11">
        <f>Table1316183336[[#This Row],[Level]]*10</f>
        <v>350</v>
      </c>
      <c r="D11">
        <f>Table1316183336[[#This Row],[Level]]*4.5</f>
        <v>157.5</v>
      </c>
      <c r="E11">
        <f>Table1316183336[[#This Row],[Level]]*4.5</f>
        <v>157.5</v>
      </c>
      <c r="F11">
        <f>Table1316183336[[#This Row],[Level]]*1</f>
        <v>35</v>
      </c>
      <c r="G11">
        <f>Table1316183336[[#This Row],[Level]]*4.5</f>
        <v>157.5</v>
      </c>
      <c r="H11">
        <f>Table1316183336[[#This Row],[Level]]*1.5</f>
        <v>52.5</v>
      </c>
      <c r="I11">
        <f>Table1316183336[[#This Row],[Level]]*1.125</f>
        <v>39.375</v>
      </c>
    </row>
    <row r="12" spans="1:10" x14ac:dyDescent="0.25">
      <c r="A12">
        <v>20</v>
      </c>
      <c r="B12">
        <f>Table1316183336[[#This Row],[Level]]*88</f>
        <v>1760</v>
      </c>
      <c r="C12">
        <f>Table1316183336[[#This Row],[Level]]*10</f>
        <v>200</v>
      </c>
      <c r="D12">
        <f>Table1316183336[[#This Row],[Level]]*4.5</f>
        <v>90</v>
      </c>
      <c r="E12">
        <f>Table1316183336[[#This Row],[Level]]*4.5</f>
        <v>90</v>
      </c>
      <c r="F12">
        <f>Table1316183336[[#This Row],[Level]]*1</f>
        <v>20</v>
      </c>
      <c r="G12">
        <f>Table1316183336[[#This Row],[Level]]*4.5</f>
        <v>90</v>
      </c>
      <c r="H12">
        <f>Table1316183336[[#This Row],[Level]]*1.5</f>
        <v>30</v>
      </c>
      <c r="I12">
        <f>Table1316183336[[#This Row],[Level]]*1.125</f>
        <v>22.5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FDAFD-5CD5-4F03-8B08-1FCB08CB3DEC}">
  <dimension ref="A2:J17"/>
  <sheetViews>
    <sheetView workbookViewId="0">
      <selection activeCell="A17" sqref="A17"/>
    </sheetView>
  </sheetViews>
  <sheetFormatPr defaultRowHeight="15" x14ac:dyDescent="0.25"/>
  <sheetData>
    <row r="2" spans="1:10" x14ac:dyDescent="0.25">
      <c r="A2" t="s">
        <v>40</v>
      </c>
    </row>
    <row r="4" spans="1:10" x14ac:dyDescent="0.25">
      <c r="A4" t="s">
        <v>1</v>
      </c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</row>
    <row r="5" spans="1:10" x14ac:dyDescent="0.25">
      <c r="A5" t="s">
        <v>11</v>
      </c>
      <c r="B5">
        <v>3</v>
      </c>
      <c r="C5">
        <v>1</v>
      </c>
      <c r="D5">
        <v>5</v>
      </c>
      <c r="E5">
        <v>3</v>
      </c>
      <c r="F5">
        <v>1</v>
      </c>
      <c r="G5">
        <v>3</v>
      </c>
      <c r="H5">
        <v>3</v>
      </c>
      <c r="I5">
        <v>1</v>
      </c>
      <c r="J5">
        <f>SUM(Table114[[#This Row],[HP]:[LUK]])</f>
        <v>20</v>
      </c>
    </row>
    <row r="8" spans="1:10" x14ac:dyDescent="0.25">
      <c r="A8" t="s">
        <v>12</v>
      </c>
      <c r="B8" t="s">
        <v>2</v>
      </c>
      <c r="C8" t="s">
        <v>3</v>
      </c>
      <c r="D8" t="s">
        <v>4</v>
      </c>
      <c r="E8" t="s">
        <v>5</v>
      </c>
      <c r="F8" t="s">
        <v>6</v>
      </c>
      <c r="G8" t="s">
        <v>7</v>
      </c>
      <c r="H8" t="s">
        <v>8</v>
      </c>
      <c r="I8" t="s">
        <v>9</v>
      </c>
    </row>
    <row r="9" spans="1:10" x14ac:dyDescent="0.25">
      <c r="A9">
        <v>1</v>
      </c>
      <c r="B9">
        <f>Table13161123[[#This Row],[Level]]*63+300</f>
        <v>363</v>
      </c>
      <c r="C9">
        <f>Table13161123[[#This Row],[Level]]*10</f>
        <v>10</v>
      </c>
      <c r="D9">
        <f>Table13161123[[#This Row],[Level]]*1.5+ 15+40</f>
        <v>56.5</v>
      </c>
      <c r="E9">
        <f>Table13161123[[#This Row],[Level]]*1.25 + 15+21</f>
        <v>37.25</v>
      </c>
      <c r="F9">
        <f>Table13161123[[#This Row],[Level]]*1</f>
        <v>1</v>
      </c>
      <c r="G9">
        <f>Table13161123[[#This Row],[Level]]*1.25+15 + 7</f>
        <v>23.25</v>
      </c>
      <c r="H9">
        <f>Table13161123[[#This Row],[Level]]*1.25 + 15</f>
        <v>16.25</v>
      </c>
      <c r="I9">
        <f>Table13161123[[#This Row],[Level]]*1</f>
        <v>1</v>
      </c>
    </row>
    <row r="10" spans="1:10" x14ac:dyDescent="0.25">
      <c r="A10">
        <v>10</v>
      </c>
      <c r="B10">
        <f>Table13161123[[#This Row],[Level]]*63+300</f>
        <v>930</v>
      </c>
      <c r="C10">
        <f>Table13161123[[#This Row],[Level]]*10</f>
        <v>100</v>
      </c>
      <c r="D10">
        <f>Table13161123[[#This Row],[Level]]*1.5+ 15+40</f>
        <v>70</v>
      </c>
      <c r="E10">
        <f>Table13161123[[#This Row],[Level]]*1.25 + 15+21</f>
        <v>48.5</v>
      </c>
      <c r="F10">
        <f>Table13161123[[#This Row],[Level]]*1</f>
        <v>10</v>
      </c>
      <c r="G10">
        <f>Table13161123[[#This Row],[Level]]*1.25+15 + 7</f>
        <v>34.5</v>
      </c>
      <c r="H10">
        <f>Table13161123[[#This Row],[Level]]*1.25 + 15</f>
        <v>27.5</v>
      </c>
      <c r="I10">
        <f>Table13161123[[#This Row],[Level]]*1</f>
        <v>10</v>
      </c>
    </row>
    <row r="11" spans="1:10" x14ac:dyDescent="0.25">
      <c r="A11">
        <v>25</v>
      </c>
      <c r="B11">
        <f>Table13161123[[#This Row],[Level]]*63+300</f>
        <v>1875</v>
      </c>
      <c r="C11">
        <f>Table13161123[[#This Row],[Level]]*10</f>
        <v>250</v>
      </c>
      <c r="D11">
        <f>Table13161123[[#This Row],[Level]]*1.5+ 15+40</f>
        <v>92.5</v>
      </c>
      <c r="E11">
        <f>Table13161123[[#This Row],[Level]]*1.25 + 15+21</f>
        <v>67.25</v>
      </c>
      <c r="F11">
        <f>Table13161123[[#This Row],[Level]]*1</f>
        <v>25</v>
      </c>
      <c r="G11">
        <f>Table13161123[[#This Row],[Level]]*1.25+15 + 7</f>
        <v>53.25</v>
      </c>
      <c r="H11">
        <f>Table13161123[[#This Row],[Level]]*1.25 + 15</f>
        <v>46.25</v>
      </c>
      <c r="I11">
        <f>Table13161123[[#This Row],[Level]]*1</f>
        <v>25</v>
      </c>
    </row>
    <row r="12" spans="1:10" x14ac:dyDescent="0.25">
      <c r="A12">
        <v>35</v>
      </c>
      <c r="B12">
        <f>Table13161123[[#This Row],[Level]]*63+300</f>
        <v>2505</v>
      </c>
      <c r="C12">
        <f>Table13161123[[#This Row],[Level]]*10</f>
        <v>350</v>
      </c>
      <c r="D12">
        <f>Table13161123[[#This Row],[Level]]*1.5+ 15+40</f>
        <v>107.5</v>
      </c>
      <c r="E12">
        <f>Table13161123[[#This Row],[Level]]*1.25 + 15+21</f>
        <v>79.75</v>
      </c>
      <c r="F12">
        <f>Table13161123[[#This Row],[Level]]*1</f>
        <v>35</v>
      </c>
      <c r="G12">
        <f>Table13161123[[#This Row],[Level]]*1.25+15 + 7</f>
        <v>65.75</v>
      </c>
      <c r="H12">
        <f>Table13161123[[#This Row],[Level]]*1.25 + 15</f>
        <v>58.75</v>
      </c>
      <c r="I12">
        <f>Table13161123[[#This Row],[Level]]*1</f>
        <v>35</v>
      </c>
    </row>
    <row r="13" spans="1:10" x14ac:dyDescent="0.25">
      <c r="A13">
        <v>99</v>
      </c>
      <c r="B13">
        <f>Table13161123[[#This Row],[Level]]*63+300</f>
        <v>6537</v>
      </c>
      <c r="C13">
        <f>Table13161123[[#This Row],[Level]]*10</f>
        <v>990</v>
      </c>
      <c r="D13">
        <f>Table13161123[[#This Row],[Level]]*1.5+ 15+40</f>
        <v>203.5</v>
      </c>
      <c r="E13">
        <f>Table13161123[[#This Row],[Level]]*1.25 + 15+21</f>
        <v>159.75</v>
      </c>
      <c r="F13">
        <f>Table13161123[[#This Row],[Level]]*1</f>
        <v>99</v>
      </c>
      <c r="G13">
        <f>Table13161123[[#This Row],[Level]]*1.25+15 + 7</f>
        <v>145.75</v>
      </c>
      <c r="H13">
        <f>Table13161123[[#This Row],[Level]]*1.25 + 15</f>
        <v>138.75</v>
      </c>
      <c r="I13">
        <f>Table13161123[[#This Row],[Level]]*1</f>
        <v>99</v>
      </c>
    </row>
    <row r="14" spans="1:10" x14ac:dyDescent="0.25">
      <c r="A14">
        <v>15</v>
      </c>
      <c r="B14" s="1">
        <f>Table13161123[[#This Row],[Level]]*63+300</f>
        <v>1245</v>
      </c>
      <c r="C14" s="1">
        <f>Table13161123[[#This Row],[Level]]*10</f>
        <v>150</v>
      </c>
      <c r="D14" s="1">
        <f>Table13161123[[#This Row],[Level]]*1.5+ 15+40</f>
        <v>77.5</v>
      </c>
      <c r="E14" s="1">
        <f>Table13161123[[#This Row],[Level]]*1.25 + 15+21</f>
        <v>54.75</v>
      </c>
      <c r="F14" s="1">
        <f>Table13161123[[#This Row],[Level]]*1</f>
        <v>15</v>
      </c>
      <c r="G14" s="1">
        <f>Table13161123[[#This Row],[Level]]*1.25+15 + 7</f>
        <v>40.75</v>
      </c>
      <c r="H14" s="1">
        <f>Table13161123[[#This Row],[Level]]*1.25 + 15</f>
        <v>33.75</v>
      </c>
      <c r="I14" s="1">
        <f>Table13161123[[#This Row],[Level]]*1</f>
        <v>15</v>
      </c>
    </row>
    <row r="17" spans="1:1" x14ac:dyDescent="0.25">
      <c r="A17" t="s">
        <v>41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63E77-5E81-4490-B187-3082B2132C5A}">
  <dimension ref="A3:J17"/>
  <sheetViews>
    <sheetView workbookViewId="0">
      <selection activeCell="K11" sqref="K11"/>
    </sheetView>
  </sheetViews>
  <sheetFormatPr defaultRowHeight="15" x14ac:dyDescent="0.25"/>
  <sheetData>
    <row r="3" spans="1:10" x14ac:dyDescent="0.25">
      <c r="A3" t="s">
        <v>42</v>
      </c>
    </row>
    <row r="4" spans="1:10" x14ac:dyDescent="0.25">
      <c r="A4" t="s">
        <v>1</v>
      </c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</row>
    <row r="5" spans="1:10" x14ac:dyDescent="0.25">
      <c r="A5" t="s">
        <v>11</v>
      </c>
      <c r="B5">
        <v>1</v>
      </c>
      <c r="C5">
        <v>4</v>
      </c>
      <c r="D5">
        <v>1</v>
      </c>
      <c r="E5">
        <v>1</v>
      </c>
      <c r="F5">
        <v>5</v>
      </c>
      <c r="G5">
        <v>4</v>
      </c>
      <c r="H5">
        <v>3</v>
      </c>
      <c r="I5">
        <v>1</v>
      </c>
      <c r="J5">
        <f>SUM(Table11412[[#This Row],[HP]:[LUK]])</f>
        <v>20</v>
      </c>
    </row>
    <row r="8" spans="1:10" x14ac:dyDescent="0.25">
      <c r="A8" t="s">
        <v>12</v>
      </c>
      <c r="B8" t="s">
        <v>2</v>
      </c>
      <c r="C8" t="s">
        <v>3</v>
      </c>
      <c r="D8" t="s">
        <v>4</v>
      </c>
      <c r="E8" t="s">
        <v>5</v>
      </c>
      <c r="F8" t="s">
        <v>6</v>
      </c>
      <c r="G8" t="s">
        <v>7</v>
      </c>
      <c r="H8" t="s">
        <v>8</v>
      </c>
      <c r="I8" t="s">
        <v>9</v>
      </c>
    </row>
    <row r="9" spans="1:10" x14ac:dyDescent="0.25">
      <c r="A9">
        <v>1</v>
      </c>
      <c r="B9">
        <f>Table1316112324[[#This Row],[Level]]*50 + 100</f>
        <v>150</v>
      </c>
      <c r="C9">
        <f>Table1316112324[[#This Row],[Level]]*13.75 + 80</f>
        <v>93.75</v>
      </c>
      <c r="D9">
        <f>Table1316112324[[#This Row],[Level]]*1 + 15</f>
        <v>16</v>
      </c>
      <c r="E9">
        <f>Table1316112324[[#This Row],[Level]]*1 + 15 + 4</f>
        <v>20</v>
      </c>
      <c r="F9">
        <f>Table1316112324[[#This Row],[Level]]*1.5 + 15 + 40</f>
        <v>56.5</v>
      </c>
      <c r="G9">
        <f>Table1316112324[[#This Row],[Level]]*1.375+15 + 14</f>
        <v>30.375</v>
      </c>
      <c r="H9">
        <f>Table1316112324[[#This Row],[Level]]*1.25 + 15</f>
        <v>16.25</v>
      </c>
      <c r="I9">
        <f>Table1316112324[[#This Row],[Level]]*1</f>
        <v>1</v>
      </c>
    </row>
    <row r="10" spans="1:10" x14ac:dyDescent="0.25">
      <c r="A10">
        <v>10</v>
      </c>
      <c r="B10">
        <f>Table1316112324[[#This Row],[Level]]*50 + 100</f>
        <v>600</v>
      </c>
      <c r="C10">
        <f>Table1316112324[[#This Row],[Level]]*13.75 + 80</f>
        <v>217.5</v>
      </c>
      <c r="D10">
        <f>Table1316112324[[#This Row],[Level]]*1 + 15</f>
        <v>25</v>
      </c>
      <c r="E10">
        <f>Table1316112324[[#This Row],[Level]]*1 + 15 + 4</f>
        <v>29</v>
      </c>
      <c r="F10">
        <f>Table1316112324[[#This Row],[Level]]*1.5 + 15 + 40</f>
        <v>70</v>
      </c>
      <c r="G10">
        <f>Table1316112324[[#This Row],[Level]]*1.375+15 + 14</f>
        <v>42.75</v>
      </c>
      <c r="H10">
        <f>Table1316112324[[#This Row],[Level]]*1.25 + 15</f>
        <v>27.5</v>
      </c>
      <c r="I10">
        <f>Table1316112324[[#This Row],[Level]]*1</f>
        <v>10</v>
      </c>
    </row>
    <row r="11" spans="1:10" x14ac:dyDescent="0.25">
      <c r="A11">
        <v>25</v>
      </c>
      <c r="B11">
        <f>Table1316112324[[#This Row],[Level]]*50 + 100</f>
        <v>1350</v>
      </c>
      <c r="C11">
        <f>Table1316112324[[#This Row],[Level]]*13.75 + 80</f>
        <v>423.75</v>
      </c>
      <c r="D11">
        <f>Table1316112324[[#This Row],[Level]]*1 + 15</f>
        <v>40</v>
      </c>
      <c r="E11">
        <f>Table1316112324[[#This Row],[Level]]*1 + 15 + 4</f>
        <v>44</v>
      </c>
      <c r="F11">
        <f>Table1316112324[[#This Row],[Level]]*1.5 + 15 + 40</f>
        <v>92.5</v>
      </c>
      <c r="G11">
        <f>Table1316112324[[#This Row],[Level]]*1.375+15 + 14</f>
        <v>63.375</v>
      </c>
      <c r="H11">
        <f>Table1316112324[[#This Row],[Level]]*1.25 + 15</f>
        <v>46.25</v>
      </c>
      <c r="I11">
        <f>Table1316112324[[#This Row],[Level]]*1</f>
        <v>25</v>
      </c>
    </row>
    <row r="12" spans="1:10" x14ac:dyDescent="0.25">
      <c r="A12">
        <v>35</v>
      </c>
      <c r="B12">
        <f>Table1316112324[[#This Row],[Level]]*50 + 100</f>
        <v>1850</v>
      </c>
      <c r="C12">
        <f>Table1316112324[[#This Row],[Level]]*13.75 + 80</f>
        <v>561.25</v>
      </c>
      <c r="D12">
        <f>Table1316112324[[#This Row],[Level]]*1 + 15</f>
        <v>50</v>
      </c>
      <c r="E12">
        <f>Table1316112324[[#This Row],[Level]]*1 + 15 + 4</f>
        <v>54</v>
      </c>
      <c r="F12">
        <f>Table1316112324[[#This Row],[Level]]*1.5 + 15 + 40</f>
        <v>107.5</v>
      </c>
      <c r="G12">
        <f>Table1316112324[[#This Row],[Level]]*1.375+15 + 14</f>
        <v>77.125</v>
      </c>
      <c r="H12">
        <f>Table1316112324[[#This Row],[Level]]*1.25 + 15</f>
        <v>58.75</v>
      </c>
      <c r="I12">
        <f>Table1316112324[[#This Row],[Level]]*1</f>
        <v>35</v>
      </c>
    </row>
    <row r="13" spans="1:10" x14ac:dyDescent="0.25">
      <c r="A13">
        <v>99</v>
      </c>
      <c r="B13">
        <f>Table1316112324[[#This Row],[Level]]*50 + 100</f>
        <v>5050</v>
      </c>
      <c r="C13">
        <f>Table1316112324[[#This Row],[Level]]*13.75 + 80</f>
        <v>1441.25</v>
      </c>
      <c r="D13">
        <f>Table1316112324[[#This Row],[Level]]*1 + 15</f>
        <v>114</v>
      </c>
      <c r="E13">
        <f>Table1316112324[[#This Row],[Level]]*1 + 15 + 4</f>
        <v>118</v>
      </c>
      <c r="F13">
        <f>Table1316112324[[#This Row],[Level]]*1.5 + 15 + 40</f>
        <v>203.5</v>
      </c>
      <c r="G13">
        <f>Table1316112324[[#This Row],[Level]]*1.375+15 + 14</f>
        <v>165.125</v>
      </c>
      <c r="H13">
        <f>Table1316112324[[#This Row],[Level]]*1.25 + 15</f>
        <v>138.75</v>
      </c>
      <c r="I13">
        <f>Table1316112324[[#This Row],[Level]]*1</f>
        <v>99</v>
      </c>
    </row>
    <row r="14" spans="1:10" x14ac:dyDescent="0.25">
      <c r="A14">
        <v>15</v>
      </c>
      <c r="B14" s="1">
        <f>Table1316112324[[#This Row],[Level]]*50 + 100</f>
        <v>850</v>
      </c>
      <c r="C14" s="1">
        <f>Table1316112324[[#This Row],[Level]]*13.75 + 80</f>
        <v>286.25</v>
      </c>
      <c r="D14" s="1">
        <f>Table1316112324[[#This Row],[Level]]*1 + 15</f>
        <v>30</v>
      </c>
      <c r="E14" s="1">
        <f>Table1316112324[[#This Row],[Level]]*1 + 15 + 4</f>
        <v>34</v>
      </c>
      <c r="F14" s="1">
        <f>Table1316112324[[#This Row],[Level]]*1.5 + 15 + 40</f>
        <v>77.5</v>
      </c>
      <c r="G14" s="1">
        <f>Table1316112324[[#This Row],[Level]]*1.375+15 + 14</f>
        <v>49.625</v>
      </c>
      <c r="H14" s="1">
        <f>Table1316112324[[#This Row],[Level]]*1.25 + 15</f>
        <v>33.75</v>
      </c>
      <c r="I14" s="1">
        <f>Table1316112324[[#This Row],[Level]]*1</f>
        <v>15</v>
      </c>
    </row>
    <row r="17" spans="1:1" x14ac:dyDescent="0.25">
      <c r="A17" t="s">
        <v>44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12E51-D3D0-4D99-802A-0D9D3581ACB3}">
  <dimension ref="A3:J15"/>
  <sheetViews>
    <sheetView workbookViewId="0">
      <selection activeCell="L11" sqref="L11"/>
    </sheetView>
  </sheetViews>
  <sheetFormatPr defaultRowHeight="15" x14ac:dyDescent="0.25"/>
  <sheetData>
    <row r="3" spans="1:10" x14ac:dyDescent="0.25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</row>
    <row r="4" spans="1:10" x14ac:dyDescent="0.25">
      <c r="A4" t="s">
        <v>43</v>
      </c>
      <c r="B4">
        <v>3</v>
      </c>
      <c r="C4">
        <v>1</v>
      </c>
      <c r="D4">
        <v>1</v>
      </c>
      <c r="E4">
        <v>4</v>
      </c>
      <c r="F4">
        <v>1</v>
      </c>
      <c r="G4">
        <v>4</v>
      </c>
      <c r="H4">
        <v>1</v>
      </c>
      <c r="I4">
        <v>5</v>
      </c>
      <c r="J4">
        <f>SUM(Table1141219[[#This Row],[HP]:[LUK]])</f>
        <v>20</v>
      </c>
    </row>
    <row r="7" spans="1:10" x14ac:dyDescent="0.25">
      <c r="A7" t="s">
        <v>12</v>
      </c>
      <c r="B7" t="s">
        <v>2</v>
      </c>
      <c r="C7" t="s">
        <v>3</v>
      </c>
      <c r="D7" t="s">
        <v>4</v>
      </c>
      <c r="E7" t="s">
        <v>5</v>
      </c>
      <c r="F7" t="s">
        <v>6</v>
      </c>
      <c r="G7" t="s">
        <v>7</v>
      </c>
      <c r="H7" t="s">
        <v>8</v>
      </c>
      <c r="I7" t="s">
        <v>9</v>
      </c>
    </row>
    <row r="8" spans="1:10" x14ac:dyDescent="0.25">
      <c r="A8">
        <v>1</v>
      </c>
      <c r="B8">
        <f>Table131611232425[[#This Row],[Level]]*63 + 300</f>
        <v>363</v>
      </c>
      <c r="C8">
        <f>Table131611232425[[#This Row],[Level]]*10 + 20</f>
        <v>30</v>
      </c>
      <c r="D8">
        <f>Table131611232425[[#This Row],[Level]]*1 + 15</f>
        <v>16</v>
      </c>
      <c r="E8">
        <f>Table131611232425[[#This Row],[Level]]*1.375 + 15 + 19</f>
        <v>35.375</v>
      </c>
      <c r="F8">
        <f>Table131611232425[[#This Row],[Level]]*1 + 15</f>
        <v>16</v>
      </c>
      <c r="G8">
        <f>Table131611232425[[#This Row],[Level]]*1.375+15 + 5</f>
        <v>21.375</v>
      </c>
      <c r="H8">
        <f>Table131611232425[[#This Row],[Level]]*1 + 15</f>
        <v>16</v>
      </c>
      <c r="I8">
        <f>Table131611232425[[#This Row],[Level]]*1.5 + 15 + 40</f>
        <v>56.5</v>
      </c>
    </row>
    <row r="9" spans="1:10" x14ac:dyDescent="0.25">
      <c r="A9">
        <v>10</v>
      </c>
      <c r="B9">
        <f>Table131611232425[[#This Row],[Level]]*63 + 300</f>
        <v>930</v>
      </c>
      <c r="C9">
        <f>Table131611232425[[#This Row],[Level]]*10 + 20</f>
        <v>120</v>
      </c>
      <c r="D9">
        <f>Table131611232425[[#This Row],[Level]]*1 + 15</f>
        <v>25</v>
      </c>
      <c r="E9">
        <f>Table131611232425[[#This Row],[Level]]*1.375 + 15 + 19</f>
        <v>47.75</v>
      </c>
      <c r="F9">
        <f>Table131611232425[[#This Row],[Level]]*1 + 15</f>
        <v>25</v>
      </c>
      <c r="G9">
        <f>Table131611232425[[#This Row],[Level]]*1.375+15 + 5</f>
        <v>33.75</v>
      </c>
      <c r="H9">
        <f>Table131611232425[[#This Row],[Level]]*1 + 15</f>
        <v>25</v>
      </c>
      <c r="I9">
        <f>Table131611232425[[#This Row],[Level]]*1.5 + 15 + 40</f>
        <v>70</v>
      </c>
    </row>
    <row r="10" spans="1:10" x14ac:dyDescent="0.25">
      <c r="A10">
        <v>25</v>
      </c>
      <c r="B10">
        <f>Table131611232425[[#This Row],[Level]]*63 + 300</f>
        <v>1875</v>
      </c>
      <c r="C10">
        <f>Table131611232425[[#This Row],[Level]]*10 + 20</f>
        <v>270</v>
      </c>
      <c r="D10">
        <f>Table131611232425[[#This Row],[Level]]*1 + 15</f>
        <v>40</v>
      </c>
      <c r="E10">
        <f>Table131611232425[[#This Row],[Level]]*1.375 + 15 + 19</f>
        <v>68.375</v>
      </c>
      <c r="F10">
        <f>Table131611232425[[#This Row],[Level]]*1 + 15</f>
        <v>40</v>
      </c>
      <c r="G10">
        <f>Table131611232425[[#This Row],[Level]]*1.375+15 + 5</f>
        <v>54.375</v>
      </c>
      <c r="H10">
        <f>Table131611232425[[#This Row],[Level]]*1 + 15</f>
        <v>40</v>
      </c>
      <c r="I10">
        <f>Table131611232425[[#This Row],[Level]]*1.5 + 15 + 40</f>
        <v>92.5</v>
      </c>
    </row>
    <row r="11" spans="1:10" x14ac:dyDescent="0.25">
      <c r="A11">
        <v>35</v>
      </c>
      <c r="B11">
        <f>Table131611232425[[#This Row],[Level]]*63 + 300</f>
        <v>2505</v>
      </c>
      <c r="C11">
        <f>Table131611232425[[#This Row],[Level]]*10 + 20</f>
        <v>370</v>
      </c>
      <c r="D11">
        <f>Table131611232425[[#This Row],[Level]]*1 + 15</f>
        <v>50</v>
      </c>
      <c r="E11">
        <f>Table131611232425[[#This Row],[Level]]*1.375 + 15 + 19</f>
        <v>82.125</v>
      </c>
      <c r="F11">
        <f>Table131611232425[[#This Row],[Level]]*1 + 15</f>
        <v>50</v>
      </c>
      <c r="G11">
        <f>Table131611232425[[#This Row],[Level]]*1.375+15 + 5</f>
        <v>68.125</v>
      </c>
      <c r="H11">
        <f>Table131611232425[[#This Row],[Level]]*1 + 15</f>
        <v>50</v>
      </c>
      <c r="I11">
        <f>Table131611232425[[#This Row],[Level]]*1.5 + 15 + 40</f>
        <v>107.5</v>
      </c>
    </row>
    <row r="12" spans="1:10" x14ac:dyDescent="0.25">
      <c r="A12">
        <v>99</v>
      </c>
      <c r="B12">
        <f>Table131611232425[[#This Row],[Level]]*63 + 300</f>
        <v>6537</v>
      </c>
      <c r="C12">
        <f>Table131611232425[[#This Row],[Level]]*10 + 20</f>
        <v>1010</v>
      </c>
      <c r="D12">
        <f>Table131611232425[[#This Row],[Level]]*1 + 15</f>
        <v>114</v>
      </c>
      <c r="E12">
        <f>Table131611232425[[#This Row],[Level]]*1.375 + 15 + 19</f>
        <v>170.125</v>
      </c>
      <c r="F12">
        <f>Table131611232425[[#This Row],[Level]]*1 + 15</f>
        <v>114</v>
      </c>
      <c r="G12">
        <f>Table131611232425[[#This Row],[Level]]*1.375+15 + 5</f>
        <v>156.125</v>
      </c>
      <c r="H12">
        <f>Table131611232425[[#This Row],[Level]]*1 + 15</f>
        <v>114</v>
      </c>
      <c r="I12">
        <f>Table131611232425[[#This Row],[Level]]*1.5 + 15 + 40</f>
        <v>203.5</v>
      </c>
    </row>
    <row r="13" spans="1:10" x14ac:dyDescent="0.25">
      <c r="A13">
        <v>15</v>
      </c>
      <c r="B13" s="1">
        <f>Table131611232425[[#This Row],[Level]]*63 + 300</f>
        <v>1245</v>
      </c>
      <c r="C13" s="1">
        <f>Table131611232425[[#This Row],[Level]]*10 + 20</f>
        <v>170</v>
      </c>
      <c r="D13" s="1">
        <f>Table131611232425[[#This Row],[Level]]*1 + 15</f>
        <v>30</v>
      </c>
      <c r="E13" s="1">
        <f>Table131611232425[[#This Row],[Level]]*1.375 + 15 + 19</f>
        <v>54.625</v>
      </c>
      <c r="F13" s="1">
        <f>Table131611232425[[#This Row],[Level]]*1 + 15</f>
        <v>30</v>
      </c>
      <c r="G13" s="1">
        <f>Table131611232425[[#This Row],[Level]]*1.375+15 + 5</f>
        <v>40.625</v>
      </c>
      <c r="H13" s="1">
        <f>Table131611232425[[#This Row],[Level]]*1 + 15</f>
        <v>30</v>
      </c>
      <c r="I13" s="1">
        <f>Table131611232425[[#This Row],[Level]]*1.5 + 15 + 40</f>
        <v>77.5</v>
      </c>
    </row>
    <row r="15" spans="1:10" x14ac:dyDescent="0.25">
      <c r="A15" t="s">
        <v>45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B1284-A899-416A-A581-E0E1F5719020}">
  <dimension ref="A2:J13"/>
  <sheetViews>
    <sheetView workbookViewId="0">
      <selection activeCell="B10" sqref="B10"/>
    </sheetView>
  </sheetViews>
  <sheetFormatPr defaultRowHeight="15" x14ac:dyDescent="0.25"/>
  <sheetData>
    <row r="2" spans="1:10" x14ac:dyDescent="0.25">
      <c r="A2" t="s">
        <v>24</v>
      </c>
    </row>
    <row r="3" spans="1:10" x14ac:dyDescent="0.25">
      <c r="A3" t="s">
        <v>23</v>
      </c>
    </row>
    <row r="5" spans="1:10" x14ac:dyDescent="0.25">
      <c r="A5" t="s">
        <v>1</v>
      </c>
      <c r="B5" t="s">
        <v>2</v>
      </c>
      <c r="C5" t="s">
        <v>3</v>
      </c>
      <c r="D5" t="s">
        <v>4</v>
      </c>
      <c r="E5" t="s">
        <v>5</v>
      </c>
      <c r="F5" t="s">
        <v>6</v>
      </c>
      <c r="G5" t="s">
        <v>7</v>
      </c>
      <c r="H5" t="s">
        <v>8</v>
      </c>
      <c r="I5" t="s">
        <v>9</v>
      </c>
      <c r="J5" t="s">
        <v>10</v>
      </c>
    </row>
    <row r="6" spans="1:10" x14ac:dyDescent="0.25">
      <c r="A6" t="s">
        <v>22</v>
      </c>
      <c r="B6">
        <v>3</v>
      </c>
      <c r="C6">
        <v>1</v>
      </c>
      <c r="D6">
        <v>4</v>
      </c>
      <c r="E6">
        <v>1</v>
      </c>
      <c r="F6">
        <v>1</v>
      </c>
      <c r="G6">
        <v>1</v>
      </c>
      <c r="H6">
        <v>1</v>
      </c>
      <c r="I6">
        <v>1</v>
      </c>
      <c r="J6">
        <f>SUM(Table16[[#This Row],[HP]:[LUK]])</f>
        <v>13</v>
      </c>
    </row>
    <row r="8" spans="1:10" x14ac:dyDescent="0.25">
      <c r="A8" t="s">
        <v>12</v>
      </c>
      <c r="B8" t="s">
        <v>2</v>
      </c>
      <c r="C8" t="s">
        <v>3</v>
      </c>
      <c r="D8" t="s">
        <v>4</v>
      </c>
      <c r="E8" t="s">
        <v>5</v>
      </c>
      <c r="F8" t="s">
        <v>6</v>
      </c>
      <c r="G8" t="s">
        <v>7</v>
      </c>
      <c r="H8" t="s">
        <v>8</v>
      </c>
      <c r="I8" t="s">
        <v>9</v>
      </c>
    </row>
    <row r="9" spans="1:10" x14ac:dyDescent="0.25">
      <c r="A9">
        <v>1</v>
      </c>
      <c r="B9">
        <f>Table131610[[#This Row],[Level]]*63-100</f>
        <v>-37</v>
      </c>
      <c r="C9">
        <f>Table131610[[#This Row],[Level]]*10</f>
        <v>10</v>
      </c>
      <c r="D9">
        <f>Table131610[[#This Row],[Level]]*1.375+ 15</f>
        <v>16.375</v>
      </c>
      <c r="E9">
        <f>Table131610[[#This Row],[Level]]*1 + 15</f>
        <v>16</v>
      </c>
      <c r="F9">
        <f>Table131610[[#This Row],[Level]]*1</f>
        <v>1</v>
      </c>
      <c r="G9">
        <f>Table131610[[#This Row],[Level]]*1</f>
        <v>1</v>
      </c>
      <c r="H9">
        <f>Table131610[[#This Row],[Level]]*1 + 15</f>
        <v>16</v>
      </c>
      <c r="I9">
        <f>Table131610[[#This Row],[Level]]*1</f>
        <v>1</v>
      </c>
    </row>
    <row r="10" spans="1:10" x14ac:dyDescent="0.25">
      <c r="A10">
        <v>10</v>
      </c>
      <c r="B10">
        <f>Table131610[[#This Row],[Level]]*63-100</f>
        <v>530</v>
      </c>
      <c r="C10">
        <f>Table131610[[#This Row],[Level]]*10</f>
        <v>100</v>
      </c>
      <c r="D10">
        <f>Table131610[[#This Row],[Level]]*1.375+ 15</f>
        <v>28.75</v>
      </c>
      <c r="E10">
        <f>Table131610[[#This Row],[Level]]*1 + 15</f>
        <v>25</v>
      </c>
      <c r="F10">
        <f>Table131610[[#This Row],[Level]]*1</f>
        <v>10</v>
      </c>
      <c r="G10">
        <f>Table131610[[#This Row],[Level]]*1</f>
        <v>10</v>
      </c>
      <c r="H10">
        <f>Table131610[[#This Row],[Level]]*1 + 15</f>
        <v>25</v>
      </c>
      <c r="I10">
        <f>Table131610[[#This Row],[Level]]*1</f>
        <v>10</v>
      </c>
    </row>
    <row r="11" spans="1:10" x14ac:dyDescent="0.25">
      <c r="A11">
        <v>25</v>
      </c>
      <c r="B11">
        <f>Table131610[[#This Row],[Level]]*63-100</f>
        <v>1475</v>
      </c>
      <c r="C11">
        <f>Table131610[[#This Row],[Level]]*10</f>
        <v>250</v>
      </c>
      <c r="D11">
        <f>Table131610[[#This Row],[Level]]*1.375+ 15</f>
        <v>49.375</v>
      </c>
      <c r="E11">
        <f>Table131610[[#This Row],[Level]]*1 + 15</f>
        <v>40</v>
      </c>
      <c r="F11">
        <f>Table131610[[#This Row],[Level]]*1</f>
        <v>25</v>
      </c>
      <c r="G11">
        <f>Table131610[[#This Row],[Level]]*1</f>
        <v>25</v>
      </c>
      <c r="H11">
        <f>Table131610[[#This Row],[Level]]*1 + 15</f>
        <v>40</v>
      </c>
      <c r="I11">
        <f>Table131610[[#This Row],[Level]]*1</f>
        <v>25</v>
      </c>
    </row>
    <row r="12" spans="1:10" x14ac:dyDescent="0.25">
      <c r="A12">
        <v>35</v>
      </c>
      <c r="B12">
        <f>Table131610[[#This Row],[Level]]*63-100</f>
        <v>2105</v>
      </c>
      <c r="C12">
        <f>Table131610[[#This Row],[Level]]*10</f>
        <v>350</v>
      </c>
      <c r="D12">
        <f>Table131610[[#This Row],[Level]]*1.375+ 15</f>
        <v>63.125</v>
      </c>
      <c r="E12">
        <f>Table131610[[#This Row],[Level]]*1 + 15</f>
        <v>50</v>
      </c>
      <c r="F12">
        <f>Table131610[[#This Row],[Level]]*1</f>
        <v>35</v>
      </c>
      <c r="G12">
        <f>Table131610[[#This Row],[Level]]*1</f>
        <v>35</v>
      </c>
      <c r="H12">
        <f>Table131610[[#This Row],[Level]]*1 + 15</f>
        <v>50</v>
      </c>
      <c r="I12">
        <f>Table131610[[#This Row],[Level]]*1</f>
        <v>35</v>
      </c>
    </row>
    <row r="13" spans="1:10" x14ac:dyDescent="0.25">
      <c r="A13">
        <v>99</v>
      </c>
      <c r="B13">
        <f>Table131610[[#This Row],[Level]]*63-100</f>
        <v>6137</v>
      </c>
      <c r="C13">
        <f>Table131610[[#This Row],[Level]]*10</f>
        <v>990</v>
      </c>
      <c r="D13">
        <f>Table131610[[#This Row],[Level]]*1.375+ 15</f>
        <v>151.125</v>
      </c>
      <c r="E13">
        <f>Table131610[[#This Row],[Level]]*1 + 15</f>
        <v>114</v>
      </c>
      <c r="F13">
        <f>Table131610[[#This Row],[Level]]*1</f>
        <v>99</v>
      </c>
      <c r="G13">
        <f>Table131610[[#This Row],[Level]]*1</f>
        <v>99</v>
      </c>
      <c r="H13">
        <f>Table131610[[#This Row],[Level]]*1 + 15</f>
        <v>114</v>
      </c>
      <c r="I13">
        <f>Table131610[[#This Row],[Level]]*1</f>
        <v>99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7F697-48C3-4A93-87DF-719DC89F6DFD}">
  <dimension ref="A2:J15"/>
  <sheetViews>
    <sheetView workbookViewId="0">
      <selection activeCell="A9" sqref="A9:I15"/>
    </sheetView>
  </sheetViews>
  <sheetFormatPr defaultRowHeight="15" x14ac:dyDescent="0.25"/>
  <sheetData>
    <row r="2" spans="1:10" x14ac:dyDescent="0.25">
      <c r="A2" t="s">
        <v>25</v>
      </c>
    </row>
    <row r="3" spans="1:10" x14ac:dyDescent="0.25">
      <c r="A3" t="s">
        <v>26</v>
      </c>
    </row>
    <row r="4" spans="1:10" x14ac:dyDescent="0.25">
      <c r="A4" t="s">
        <v>27</v>
      </c>
    </row>
    <row r="6" spans="1:10" x14ac:dyDescent="0.25">
      <c r="A6" t="s">
        <v>1</v>
      </c>
      <c r="B6" t="s">
        <v>2</v>
      </c>
      <c r="C6" t="s">
        <v>3</v>
      </c>
      <c r="D6" t="s">
        <v>4</v>
      </c>
      <c r="E6" t="s">
        <v>5</v>
      </c>
      <c r="F6" t="s">
        <v>6</v>
      </c>
      <c r="G6" t="s">
        <v>7</v>
      </c>
      <c r="H6" t="s">
        <v>8</v>
      </c>
      <c r="I6" t="s">
        <v>9</v>
      </c>
      <c r="J6" t="s">
        <v>10</v>
      </c>
    </row>
    <row r="7" spans="1:10" x14ac:dyDescent="0.25">
      <c r="A7" t="s">
        <v>28</v>
      </c>
      <c r="B7">
        <v>2</v>
      </c>
      <c r="C7">
        <v>1</v>
      </c>
      <c r="D7">
        <v>1</v>
      </c>
      <c r="E7">
        <v>1</v>
      </c>
      <c r="F7">
        <v>4</v>
      </c>
      <c r="G7">
        <v>5</v>
      </c>
      <c r="H7">
        <v>2</v>
      </c>
      <c r="I7">
        <v>5</v>
      </c>
      <c r="J7">
        <f>SUM(Table168[[#This Row],[HP]:[LUK]])</f>
        <v>21</v>
      </c>
    </row>
    <row r="9" spans="1:10" x14ac:dyDescent="0.25">
      <c r="A9" t="s">
        <v>12</v>
      </c>
      <c r="B9" t="s">
        <v>2</v>
      </c>
      <c r="C9" t="s">
        <v>3</v>
      </c>
      <c r="D9" t="s">
        <v>4</v>
      </c>
      <c r="E9" t="s">
        <v>5</v>
      </c>
      <c r="F9" t="s">
        <v>6</v>
      </c>
      <c r="G9" t="s">
        <v>7</v>
      </c>
      <c r="H9" t="s">
        <v>8</v>
      </c>
      <c r="I9" t="s">
        <v>9</v>
      </c>
    </row>
    <row r="10" spans="1:10" x14ac:dyDescent="0.25">
      <c r="A10">
        <v>1</v>
      </c>
      <c r="B10">
        <f>Table13161013[[#This Row],[Level]]*56.25-100</f>
        <v>-43.75</v>
      </c>
      <c r="C10">
        <f>Table13161013[[#This Row],[Level]]*10+20</f>
        <v>30</v>
      </c>
      <c r="D10">
        <f>Table13161013[[#This Row],[Level]]*1+ 15</f>
        <v>16</v>
      </c>
      <c r="E10">
        <f>Table13161013[[#This Row],[Level]]*1 + 15</f>
        <v>16</v>
      </c>
      <c r="F10">
        <f>Table13161013[[#This Row],[Level]]*1.375+15</f>
        <v>16.375</v>
      </c>
      <c r="G10">
        <f>Table13161013[[#This Row],[Level]]*1.5+15</f>
        <v>16.5</v>
      </c>
      <c r="H10">
        <f>Table13161013[[#This Row],[Level]]*1.125 + 15</f>
        <v>16.125</v>
      </c>
      <c r="I10">
        <f>Table13161013[[#This Row],[Level]]*1.5+15</f>
        <v>16.5</v>
      </c>
    </row>
    <row r="11" spans="1:10" x14ac:dyDescent="0.25">
      <c r="A11">
        <v>10</v>
      </c>
      <c r="B11">
        <f>Table13161013[[#This Row],[Level]]*56.25-100</f>
        <v>462.5</v>
      </c>
      <c r="C11">
        <f>Table13161013[[#This Row],[Level]]*10+20</f>
        <v>120</v>
      </c>
      <c r="D11">
        <f>Table13161013[[#This Row],[Level]]*1+ 15</f>
        <v>25</v>
      </c>
      <c r="E11">
        <f>Table13161013[[#This Row],[Level]]*1 + 15</f>
        <v>25</v>
      </c>
      <c r="F11">
        <f>Table13161013[[#This Row],[Level]]*1.375+15</f>
        <v>28.75</v>
      </c>
      <c r="G11">
        <f>Table13161013[[#This Row],[Level]]*1.5+15</f>
        <v>30</v>
      </c>
      <c r="H11">
        <f>Table13161013[[#This Row],[Level]]*1.125 + 15</f>
        <v>26.25</v>
      </c>
      <c r="I11">
        <f>Table13161013[[#This Row],[Level]]*1.5+15</f>
        <v>30</v>
      </c>
    </row>
    <row r="12" spans="1:10" x14ac:dyDescent="0.25">
      <c r="A12">
        <v>25</v>
      </c>
      <c r="B12">
        <f>Table13161013[[#This Row],[Level]]*56.25-100</f>
        <v>1306.25</v>
      </c>
      <c r="C12">
        <f>Table13161013[[#This Row],[Level]]*10+20</f>
        <v>270</v>
      </c>
      <c r="D12">
        <f>Table13161013[[#This Row],[Level]]*1+ 15</f>
        <v>40</v>
      </c>
      <c r="E12">
        <f>Table13161013[[#This Row],[Level]]*1 + 15</f>
        <v>40</v>
      </c>
      <c r="F12">
        <f>Table13161013[[#This Row],[Level]]*1.375+15</f>
        <v>49.375</v>
      </c>
      <c r="G12">
        <f>Table13161013[[#This Row],[Level]]*1.5+15</f>
        <v>52.5</v>
      </c>
      <c r="H12">
        <f>Table13161013[[#This Row],[Level]]*1.125 + 15</f>
        <v>43.125</v>
      </c>
      <c r="I12">
        <f>Table13161013[[#This Row],[Level]]*1.5+15</f>
        <v>52.5</v>
      </c>
    </row>
    <row r="13" spans="1:10" x14ac:dyDescent="0.25">
      <c r="A13">
        <v>35</v>
      </c>
      <c r="B13">
        <f>Table13161013[[#This Row],[Level]]*56.25-100</f>
        <v>1868.75</v>
      </c>
      <c r="C13">
        <f>Table13161013[[#This Row],[Level]]*10+20</f>
        <v>370</v>
      </c>
      <c r="D13">
        <f>Table13161013[[#This Row],[Level]]*1+ 15</f>
        <v>50</v>
      </c>
      <c r="E13">
        <f>Table13161013[[#This Row],[Level]]*1 + 15</f>
        <v>50</v>
      </c>
      <c r="F13">
        <f>Table13161013[[#This Row],[Level]]*1.375+15</f>
        <v>63.125</v>
      </c>
      <c r="G13">
        <f>Table13161013[[#This Row],[Level]]*1.5+15</f>
        <v>67.5</v>
      </c>
      <c r="H13">
        <f>Table13161013[[#This Row],[Level]]*1.125 + 15</f>
        <v>54.375</v>
      </c>
      <c r="I13">
        <f>Table13161013[[#This Row],[Level]]*1.5+15</f>
        <v>67.5</v>
      </c>
    </row>
    <row r="14" spans="1:10" x14ac:dyDescent="0.25">
      <c r="A14">
        <v>99</v>
      </c>
      <c r="B14">
        <f>Table13161013[[#This Row],[Level]]*56.25-100</f>
        <v>5468.75</v>
      </c>
      <c r="C14">
        <f>Table13161013[[#This Row],[Level]]*10+20</f>
        <v>1010</v>
      </c>
      <c r="D14">
        <f>Table13161013[[#This Row],[Level]]*1+ 15</f>
        <v>114</v>
      </c>
      <c r="E14">
        <f>Table13161013[[#This Row],[Level]]*1 + 15</f>
        <v>114</v>
      </c>
      <c r="F14">
        <f>Table13161013[[#This Row],[Level]]*1.375+15</f>
        <v>151.125</v>
      </c>
      <c r="G14">
        <f>Table13161013[[#This Row],[Level]]*1.5+15</f>
        <v>163.5</v>
      </c>
      <c r="H14">
        <f>Table13161013[[#This Row],[Level]]*1.125 + 15</f>
        <v>126.375</v>
      </c>
      <c r="I14">
        <f>Table13161013[[#This Row],[Level]]*1.5+15</f>
        <v>163.5</v>
      </c>
    </row>
    <row r="15" spans="1:10" x14ac:dyDescent="0.25">
      <c r="A15">
        <v>15</v>
      </c>
      <c r="B15" s="1">
        <f>Table13161013[[#This Row],[Level]]*56.25-100</f>
        <v>743.75</v>
      </c>
      <c r="C15" s="1">
        <f>Table13161013[[#This Row],[Level]]*10+20</f>
        <v>170</v>
      </c>
      <c r="D15" s="1">
        <f>Table13161013[[#This Row],[Level]]*1+ 15</f>
        <v>30</v>
      </c>
      <c r="E15" s="1">
        <f>Table13161013[[#This Row],[Level]]*1 + 15</f>
        <v>30</v>
      </c>
      <c r="F15" s="1">
        <f>Table13161013[[#This Row],[Level]]*1.375+15</f>
        <v>35.625</v>
      </c>
      <c r="G15" s="1">
        <f>Table13161013[[#This Row],[Level]]*1.5+15</f>
        <v>37.5</v>
      </c>
      <c r="H15" s="1">
        <f>Table13161013[[#This Row],[Level]]*1.125 + 15</f>
        <v>31.875</v>
      </c>
      <c r="I15" s="1">
        <f>Table13161013[[#This Row],[Level]]*1.5+15</f>
        <v>37.5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7AF43-AB89-4AA2-8337-7907EB2AAE66}">
  <dimension ref="A2:J17"/>
  <sheetViews>
    <sheetView workbookViewId="0">
      <selection activeCell="M8" sqref="M8"/>
    </sheetView>
  </sheetViews>
  <sheetFormatPr defaultRowHeight="15" x14ac:dyDescent="0.25"/>
  <sheetData>
    <row r="2" spans="1:10" x14ac:dyDescent="0.25">
      <c r="A2" t="s">
        <v>46</v>
      </c>
    </row>
    <row r="3" spans="1:10" x14ac:dyDescent="0.25">
      <c r="A3" t="s">
        <v>47</v>
      </c>
    </row>
    <row r="4" spans="1:10" x14ac:dyDescent="0.25">
      <c r="A4" t="s">
        <v>1</v>
      </c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</row>
    <row r="5" spans="1:10" x14ac:dyDescent="0.25">
      <c r="A5" t="s">
        <v>48</v>
      </c>
      <c r="B5">
        <v>1</v>
      </c>
      <c r="C5">
        <v>1</v>
      </c>
      <c r="D5">
        <v>4</v>
      </c>
      <c r="E5">
        <v>1</v>
      </c>
      <c r="F5">
        <v>1</v>
      </c>
      <c r="G5">
        <v>5</v>
      </c>
      <c r="H5">
        <v>3</v>
      </c>
      <c r="I5">
        <v>5</v>
      </c>
      <c r="J5">
        <f>SUM(Table16826[[#This Row],[HP]:[LUK]])</f>
        <v>21</v>
      </c>
    </row>
    <row r="8" spans="1:10" x14ac:dyDescent="0.25">
      <c r="A8" t="s">
        <v>12</v>
      </c>
      <c r="B8" t="s">
        <v>2</v>
      </c>
      <c r="C8" t="s">
        <v>3</v>
      </c>
      <c r="D8" t="s">
        <v>4</v>
      </c>
      <c r="E8" t="s">
        <v>5</v>
      </c>
      <c r="F8" t="s">
        <v>6</v>
      </c>
      <c r="G8" t="s">
        <v>7</v>
      </c>
      <c r="H8" t="s">
        <v>8</v>
      </c>
      <c r="I8" t="s">
        <v>9</v>
      </c>
    </row>
    <row r="9" spans="1:10" x14ac:dyDescent="0.25">
      <c r="A9">
        <v>1</v>
      </c>
      <c r="B9">
        <f>Table1316101328[[#This Row],[Level]]*50 + 100</f>
        <v>150</v>
      </c>
      <c r="C9">
        <f>Table1316101328[[#This Row],[Level]]*10+20</f>
        <v>30</v>
      </c>
      <c r="D9">
        <f>Table1316101328[[#This Row],[Level]]*1.375+ 15+20</f>
        <v>36.375</v>
      </c>
      <c r="E9">
        <f>Table1316101328[[#This Row],[Level]]*1 + 15+12</f>
        <v>28</v>
      </c>
      <c r="F9">
        <f>Table1316101328[[#This Row],[Level]]*1+15</f>
        <v>16</v>
      </c>
      <c r="G9">
        <f>Table1316101328[[#This Row],[Level]]*1.5+15+11</f>
        <v>27.5</v>
      </c>
      <c r="H9">
        <f>Table1316101328[[#This Row],[Level]]*1.25 + 15</f>
        <v>16.25</v>
      </c>
      <c r="I9">
        <f>Table1316101328[[#This Row],[Level]]*1.5+15+20</f>
        <v>36.5</v>
      </c>
    </row>
    <row r="10" spans="1:10" x14ac:dyDescent="0.25">
      <c r="A10">
        <v>10</v>
      </c>
      <c r="B10">
        <f>Table1316101328[[#This Row],[Level]]*50 + 100</f>
        <v>600</v>
      </c>
      <c r="C10">
        <f>Table1316101328[[#This Row],[Level]]*10+20</f>
        <v>120</v>
      </c>
      <c r="D10">
        <f>Table1316101328[[#This Row],[Level]]*1.375+ 15+20</f>
        <v>48.75</v>
      </c>
      <c r="E10">
        <f>Table1316101328[[#This Row],[Level]]*1 + 15+12</f>
        <v>37</v>
      </c>
      <c r="F10">
        <f>Table1316101328[[#This Row],[Level]]*1+15</f>
        <v>25</v>
      </c>
      <c r="G10">
        <f>Table1316101328[[#This Row],[Level]]*1.5+15+11</f>
        <v>41</v>
      </c>
      <c r="H10">
        <f>Table1316101328[[#This Row],[Level]]*1.25 + 15</f>
        <v>27.5</v>
      </c>
      <c r="I10">
        <f>Table1316101328[[#This Row],[Level]]*1.5+15+20</f>
        <v>50</v>
      </c>
    </row>
    <row r="11" spans="1:10" x14ac:dyDescent="0.25">
      <c r="A11">
        <v>25</v>
      </c>
      <c r="B11">
        <f>Table1316101328[[#This Row],[Level]]*50 + 100</f>
        <v>1350</v>
      </c>
      <c r="C11">
        <f>Table1316101328[[#This Row],[Level]]*10+20</f>
        <v>270</v>
      </c>
      <c r="D11">
        <f>Table1316101328[[#This Row],[Level]]*1.375+ 15+20</f>
        <v>69.375</v>
      </c>
      <c r="E11">
        <f>Table1316101328[[#This Row],[Level]]*1 + 15+12</f>
        <v>52</v>
      </c>
      <c r="F11">
        <f>Table1316101328[[#This Row],[Level]]*1+15</f>
        <v>40</v>
      </c>
      <c r="G11">
        <f>Table1316101328[[#This Row],[Level]]*1.5+15+11</f>
        <v>63.5</v>
      </c>
      <c r="H11">
        <f>Table1316101328[[#This Row],[Level]]*1.25 + 15</f>
        <v>46.25</v>
      </c>
      <c r="I11">
        <f>Table1316101328[[#This Row],[Level]]*1.5+15+20</f>
        <v>72.5</v>
      </c>
    </row>
    <row r="12" spans="1:10" x14ac:dyDescent="0.25">
      <c r="A12">
        <v>35</v>
      </c>
      <c r="B12">
        <f>Table1316101328[[#This Row],[Level]]*50 + 100</f>
        <v>1850</v>
      </c>
      <c r="C12">
        <f>Table1316101328[[#This Row],[Level]]*10+20</f>
        <v>370</v>
      </c>
      <c r="D12">
        <f>Table1316101328[[#This Row],[Level]]*1.375+ 15+20</f>
        <v>83.125</v>
      </c>
      <c r="E12">
        <f>Table1316101328[[#This Row],[Level]]*1 + 15+12</f>
        <v>62</v>
      </c>
      <c r="F12">
        <f>Table1316101328[[#This Row],[Level]]*1+15</f>
        <v>50</v>
      </c>
      <c r="G12">
        <f>Table1316101328[[#This Row],[Level]]*1.5+15+11</f>
        <v>78.5</v>
      </c>
      <c r="H12">
        <f>Table1316101328[[#This Row],[Level]]*1.25 + 15</f>
        <v>58.75</v>
      </c>
      <c r="I12">
        <f>Table1316101328[[#This Row],[Level]]*1.5+15+20</f>
        <v>87.5</v>
      </c>
    </row>
    <row r="13" spans="1:10" x14ac:dyDescent="0.25">
      <c r="A13">
        <v>99</v>
      </c>
      <c r="B13">
        <f>Table1316101328[[#This Row],[Level]]*50 + 100</f>
        <v>5050</v>
      </c>
      <c r="C13">
        <f>Table1316101328[[#This Row],[Level]]*10+20</f>
        <v>1010</v>
      </c>
      <c r="D13">
        <f>Table1316101328[[#This Row],[Level]]*1.375+ 15+20</f>
        <v>171.125</v>
      </c>
      <c r="E13">
        <f>Table1316101328[[#This Row],[Level]]*1 + 15+12</f>
        <v>126</v>
      </c>
      <c r="F13">
        <f>Table1316101328[[#This Row],[Level]]*1+15</f>
        <v>114</v>
      </c>
      <c r="G13">
        <f>Table1316101328[[#This Row],[Level]]*1.5+15+11</f>
        <v>174.5</v>
      </c>
      <c r="H13">
        <f>Table1316101328[[#This Row],[Level]]*1.25 + 15</f>
        <v>138.75</v>
      </c>
      <c r="I13">
        <f>Table1316101328[[#This Row],[Level]]*1.5+15+20</f>
        <v>183.5</v>
      </c>
    </row>
    <row r="14" spans="1:10" x14ac:dyDescent="0.25">
      <c r="A14">
        <v>15</v>
      </c>
      <c r="B14" s="1">
        <f>Table1316101328[[#This Row],[Level]]*50 + 100</f>
        <v>850</v>
      </c>
      <c r="C14" s="1">
        <f>Table1316101328[[#This Row],[Level]]*10+20</f>
        <v>170</v>
      </c>
      <c r="D14" s="1">
        <f>Table1316101328[[#This Row],[Level]]*1.375+ 15+20</f>
        <v>55.625</v>
      </c>
      <c r="E14" s="1">
        <f>Table1316101328[[#This Row],[Level]]*1 + 15+12</f>
        <v>42</v>
      </c>
      <c r="F14" s="1">
        <f>Table1316101328[[#This Row],[Level]]*1+15</f>
        <v>30</v>
      </c>
      <c r="G14" s="1">
        <f>Table1316101328[[#This Row],[Level]]*1.5+15+11</f>
        <v>48.5</v>
      </c>
      <c r="H14" s="1">
        <f>Table1316101328[[#This Row],[Level]]*1.25 + 15</f>
        <v>33.75</v>
      </c>
      <c r="I14" s="1">
        <f>Table1316101328[[#This Row],[Level]]*1.5+15+20</f>
        <v>57.5</v>
      </c>
    </row>
    <row r="17" spans="1:1" x14ac:dyDescent="0.25">
      <c r="A17" t="s">
        <v>49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D32E0-5A99-4BFF-A02D-6B35D71614A2}">
  <dimension ref="A2:J17"/>
  <sheetViews>
    <sheetView workbookViewId="0">
      <selection activeCell="E16" sqref="E16"/>
    </sheetView>
  </sheetViews>
  <sheetFormatPr defaultRowHeight="15" x14ac:dyDescent="0.25"/>
  <sheetData>
    <row r="2" spans="1:10" x14ac:dyDescent="0.25">
      <c r="A2" t="s">
        <v>50</v>
      </c>
    </row>
    <row r="3" spans="1:10" x14ac:dyDescent="0.25">
      <c r="A3" t="s">
        <v>51</v>
      </c>
    </row>
    <row r="4" spans="1:10" x14ac:dyDescent="0.25">
      <c r="A4" t="s">
        <v>1</v>
      </c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</row>
    <row r="5" spans="1:10" x14ac:dyDescent="0.25">
      <c r="A5" t="s">
        <v>52</v>
      </c>
      <c r="B5">
        <v>3</v>
      </c>
      <c r="C5">
        <v>1</v>
      </c>
      <c r="D5">
        <v>5</v>
      </c>
      <c r="E5">
        <v>1</v>
      </c>
      <c r="F5">
        <v>1</v>
      </c>
      <c r="G5">
        <v>5</v>
      </c>
      <c r="H5">
        <v>5</v>
      </c>
      <c r="I5">
        <v>5</v>
      </c>
      <c r="J5">
        <f>SUM(Table1682630[[#This Row],[HP]:[LUK]])</f>
        <v>26</v>
      </c>
    </row>
    <row r="8" spans="1:10" x14ac:dyDescent="0.25">
      <c r="A8" t="s">
        <v>12</v>
      </c>
      <c r="B8" t="s">
        <v>2</v>
      </c>
      <c r="C8" t="s">
        <v>3</v>
      </c>
      <c r="D8" t="s">
        <v>4</v>
      </c>
      <c r="E8" t="s">
        <v>5</v>
      </c>
      <c r="F8" t="s">
        <v>6</v>
      </c>
      <c r="G8" t="s">
        <v>7</v>
      </c>
      <c r="H8" t="s">
        <v>8</v>
      </c>
      <c r="I8" t="s">
        <v>9</v>
      </c>
    </row>
    <row r="9" spans="1:10" x14ac:dyDescent="0.25">
      <c r="A9">
        <v>1</v>
      </c>
      <c r="B9">
        <f>Table131610132831[[#This Row],[Level]]*63+ 300</f>
        <v>363</v>
      </c>
      <c r="C9">
        <f>Table131610132831[[#This Row],[Level]]*10+20</f>
        <v>30</v>
      </c>
      <c r="D9">
        <f>Table131610132831[[#This Row],[Level]]*1.5+ 15+20</f>
        <v>36.5</v>
      </c>
      <c r="E9">
        <f>Table131610132831[[#This Row],[Level]]*1 + 15+12</f>
        <v>28</v>
      </c>
      <c r="F9">
        <f>Table131610132831[[#This Row],[Level]]*1+15</f>
        <v>16</v>
      </c>
      <c r="G9">
        <f>Table131610132831[[#This Row],[Level]]*1.5+15+11</f>
        <v>27.5</v>
      </c>
      <c r="H9">
        <f>Table131610132831[[#This Row],[Level]]*1.5 + 15</f>
        <v>16.5</v>
      </c>
      <c r="I9">
        <f>Table131610132831[[#This Row],[Level]]*1.5+15+20</f>
        <v>36.5</v>
      </c>
    </row>
    <row r="10" spans="1:10" x14ac:dyDescent="0.25">
      <c r="A10">
        <v>10</v>
      </c>
      <c r="B10">
        <f>Table131610132831[[#This Row],[Level]]*63+ 300</f>
        <v>930</v>
      </c>
      <c r="C10">
        <f>Table131610132831[[#This Row],[Level]]*10+20</f>
        <v>120</v>
      </c>
      <c r="D10">
        <f>Table131610132831[[#This Row],[Level]]*1.5+ 15+20</f>
        <v>50</v>
      </c>
      <c r="E10">
        <f>Table131610132831[[#This Row],[Level]]*1 + 15+12</f>
        <v>37</v>
      </c>
      <c r="F10">
        <f>Table131610132831[[#This Row],[Level]]*1+15</f>
        <v>25</v>
      </c>
      <c r="G10">
        <f>Table131610132831[[#This Row],[Level]]*1.5+15+11</f>
        <v>41</v>
      </c>
      <c r="H10">
        <f>Table131610132831[[#This Row],[Level]]*1.5 + 15</f>
        <v>30</v>
      </c>
      <c r="I10">
        <f>Table131610132831[[#This Row],[Level]]*1.5+15+20</f>
        <v>50</v>
      </c>
    </row>
    <row r="11" spans="1:10" x14ac:dyDescent="0.25">
      <c r="A11">
        <v>25</v>
      </c>
      <c r="B11">
        <f>Table131610132831[[#This Row],[Level]]*63+ 300</f>
        <v>1875</v>
      </c>
      <c r="C11">
        <f>Table131610132831[[#This Row],[Level]]*10+20</f>
        <v>270</v>
      </c>
      <c r="D11">
        <f>Table131610132831[[#This Row],[Level]]*1.5+ 15+20</f>
        <v>72.5</v>
      </c>
      <c r="E11">
        <f>Table131610132831[[#This Row],[Level]]*1 + 15+12</f>
        <v>52</v>
      </c>
      <c r="F11">
        <f>Table131610132831[[#This Row],[Level]]*1+15</f>
        <v>40</v>
      </c>
      <c r="G11">
        <f>Table131610132831[[#This Row],[Level]]*1.5+15+11</f>
        <v>63.5</v>
      </c>
      <c r="H11">
        <f>Table131610132831[[#This Row],[Level]]*1.5 + 15</f>
        <v>52.5</v>
      </c>
      <c r="I11">
        <f>Table131610132831[[#This Row],[Level]]*1.5+15+20</f>
        <v>72.5</v>
      </c>
    </row>
    <row r="12" spans="1:10" x14ac:dyDescent="0.25">
      <c r="A12">
        <v>35</v>
      </c>
      <c r="B12">
        <f>Table131610132831[[#This Row],[Level]]*63+ 300</f>
        <v>2505</v>
      </c>
      <c r="C12">
        <f>Table131610132831[[#This Row],[Level]]*10+20</f>
        <v>370</v>
      </c>
      <c r="D12">
        <f>Table131610132831[[#This Row],[Level]]*1.5+ 15+20</f>
        <v>87.5</v>
      </c>
      <c r="E12">
        <f>Table131610132831[[#This Row],[Level]]*1 + 15+12</f>
        <v>62</v>
      </c>
      <c r="F12">
        <f>Table131610132831[[#This Row],[Level]]*1+15</f>
        <v>50</v>
      </c>
      <c r="G12">
        <f>Table131610132831[[#This Row],[Level]]*1.5+15+11</f>
        <v>78.5</v>
      </c>
      <c r="H12">
        <f>Table131610132831[[#This Row],[Level]]*1.5 + 15</f>
        <v>67.5</v>
      </c>
      <c r="I12">
        <f>Table131610132831[[#This Row],[Level]]*1.5+15+20</f>
        <v>87.5</v>
      </c>
    </row>
    <row r="13" spans="1:10" x14ac:dyDescent="0.25">
      <c r="A13">
        <v>20</v>
      </c>
      <c r="B13">
        <f>Table131610132831[[#This Row],[Level]]*63+ 300</f>
        <v>1560</v>
      </c>
      <c r="C13">
        <f>Table131610132831[[#This Row],[Level]]*10+20</f>
        <v>220</v>
      </c>
      <c r="D13">
        <f>Table131610132831[[#This Row],[Level]]*1.5+ 15+20</f>
        <v>65</v>
      </c>
      <c r="E13">
        <f>Table131610132831[[#This Row],[Level]]*1 + 15+12</f>
        <v>47</v>
      </c>
      <c r="F13">
        <f>Table131610132831[[#This Row],[Level]]*1+15</f>
        <v>35</v>
      </c>
      <c r="G13">
        <f>Table131610132831[[#This Row],[Level]]*1.5+15+11</f>
        <v>56</v>
      </c>
      <c r="H13">
        <f>Table131610132831[[#This Row],[Level]]*1.5 + 15</f>
        <v>45</v>
      </c>
      <c r="I13">
        <f>Table131610132831[[#This Row],[Level]]*1.5+15+20</f>
        <v>65</v>
      </c>
    </row>
    <row r="14" spans="1:10" x14ac:dyDescent="0.25">
      <c r="A14">
        <v>15</v>
      </c>
      <c r="B14" s="1">
        <f>Table131610132831[[#This Row],[Level]]*63+ 300</f>
        <v>1245</v>
      </c>
      <c r="C14" s="1">
        <f>Table131610132831[[#This Row],[Level]]*10+20</f>
        <v>170</v>
      </c>
      <c r="D14" s="1">
        <f>Table131610132831[[#This Row],[Level]]*1.5+ 15+20</f>
        <v>57.5</v>
      </c>
      <c r="E14" s="1">
        <f>Table131610132831[[#This Row],[Level]]*1 + 15+12</f>
        <v>42</v>
      </c>
      <c r="F14" s="1">
        <f>Table131610132831[[#This Row],[Level]]*1+15</f>
        <v>30</v>
      </c>
      <c r="G14" s="1">
        <f>Table131610132831[[#This Row],[Level]]*1.5+15+11</f>
        <v>48.5</v>
      </c>
      <c r="H14" s="1">
        <f>Table131610132831[[#This Row],[Level]]*1.5 + 15</f>
        <v>37.5</v>
      </c>
      <c r="I14" s="1">
        <f>Table131610132831[[#This Row],[Level]]*1.5+15+20</f>
        <v>57.5</v>
      </c>
    </row>
    <row r="17" spans="1:1" x14ac:dyDescent="0.25">
      <c r="A17" t="s">
        <v>49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7AE8E-3CBD-43D4-8334-3506A3BDF6FA}">
  <dimension ref="A2:I15"/>
  <sheetViews>
    <sheetView workbookViewId="0">
      <selection activeCell="F11" sqref="F11"/>
    </sheetView>
  </sheetViews>
  <sheetFormatPr defaultRowHeight="15" x14ac:dyDescent="0.25"/>
  <sheetData>
    <row r="2" spans="1:9" x14ac:dyDescent="0.25">
      <c r="A2" t="s">
        <v>29</v>
      </c>
    </row>
    <row r="3" spans="1:9" x14ac:dyDescent="0.25">
      <c r="A3" t="s">
        <v>30</v>
      </c>
    </row>
    <row r="4" spans="1:9" x14ac:dyDescent="0.25">
      <c r="A4" t="s">
        <v>12</v>
      </c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</row>
    <row r="5" spans="1:9" x14ac:dyDescent="0.25">
      <c r="A5">
        <v>1</v>
      </c>
      <c r="B5">
        <f>Table13162015[[#This Row],[Level]]*50 + 100</f>
        <v>150</v>
      </c>
      <c r="C5">
        <f>Table13162015[[#This Row],[Level]]*15+100</f>
        <v>115</v>
      </c>
      <c r="D5">
        <f>Table13162015[[#This Row],[Level]]*1+ 15</f>
        <v>16</v>
      </c>
      <c r="E5">
        <f>Table13162015[[#This Row],[Level]]*1 + 15 + 7</f>
        <v>23</v>
      </c>
      <c r="F5">
        <f>Table13162015[[#This Row],[Level]]*1.5 + 15 + 30</f>
        <v>46.5</v>
      </c>
      <c r="G5">
        <f>Table13162015[[#This Row],[Level]]*1.5 + 15 + 21</f>
        <v>37.5</v>
      </c>
      <c r="H5">
        <f>Table13162015[[#This Row],[Level]]*1.25 + 15</f>
        <v>16.25</v>
      </c>
      <c r="I5">
        <f>Table13162015[[#This Row],[Level]]*1 + 15</f>
        <v>16</v>
      </c>
    </row>
    <row r="6" spans="1:9" x14ac:dyDescent="0.25">
      <c r="A6">
        <v>15</v>
      </c>
      <c r="B6">
        <f>Table13162015[[#This Row],[Level]]*50 + 100</f>
        <v>850</v>
      </c>
      <c r="C6">
        <f>Table13162015[[#This Row],[Level]]*15+100</f>
        <v>325</v>
      </c>
      <c r="D6">
        <f>Table13162015[[#This Row],[Level]]*1+ 15</f>
        <v>30</v>
      </c>
      <c r="E6">
        <f>Table13162015[[#This Row],[Level]]*1 + 15 + 7</f>
        <v>37</v>
      </c>
      <c r="F6">
        <f>Table13162015[[#This Row],[Level]]*1.5 + 15 + 30</f>
        <v>67.5</v>
      </c>
      <c r="G6">
        <f>Table13162015[[#This Row],[Level]]*1.5 + 15 + 21</f>
        <v>58.5</v>
      </c>
      <c r="H6">
        <f>Table13162015[[#This Row],[Level]]*1.25 + 15</f>
        <v>33.75</v>
      </c>
      <c r="I6">
        <f>Table13162015[[#This Row],[Level]]*1 + 15</f>
        <v>30</v>
      </c>
    </row>
    <row r="7" spans="1:9" x14ac:dyDescent="0.25">
      <c r="A7">
        <v>25</v>
      </c>
      <c r="B7">
        <f>Table13162015[[#This Row],[Level]]*50 + 100</f>
        <v>1350</v>
      </c>
      <c r="C7">
        <f>Table13162015[[#This Row],[Level]]*15+100</f>
        <v>475</v>
      </c>
      <c r="D7">
        <f>Table13162015[[#This Row],[Level]]*1+ 15</f>
        <v>40</v>
      </c>
      <c r="E7">
        <f>Table13162015[[#This Row],[Level]]*1 + 15 + 7</f>
        <v>47</v>
      </c>
      <c r="F7">
        <f>Table13162015[[#This Row],[Level]]*1.5 + 15 + 30</f>
        <v>82.5</v>
      </c>
      <c r="G7">
        <f>Table13162015[[#This Row],[Level]]*1.5 + 15 + 21</f>
        <v>73.5</v>
      </c>
      <c r="H7">
        <f>Table13162015[[#This Row],[Level]]*1.25 + 15</f>
        <v>46.25</v>
      </c>
      <c r="I7">
        <f>Table13162015[[#This Row],[Level]]*1 + 15</f>
        <v>40</v>
      </c>
    </row>
    <row r="8" spans="1:9" x14ac:dyDescent="0.25">
      <c r="A8">
        <v>35</v>
      </c>
      <c r="B8">
        <f>Table13162015[[#This Row],[Level]]*50 + 100</f>
        <v>1850</v>
      </c>
      <c r="C8">
        <f>Table13162015[[#This Row],[Level]]*15+100</f>
        <v>625</v>
      </c>
      <c r="D8">
        <f>Table13162015[[#This Row],[Level]]*1+ 15</f>
        <v>50</v>
      </c>
      <c r="E8">
        <f>Table13162015[[#This Row],[Level]]*1 + 15 + 7</f>
        <v>57</v>
      </c>
      <c r="F8">
        <f>Table13162015[[#This Row],[Level]]*1.5 + 15 + 30</f>
        <v>97.5</v>
      </c>
      <c r="G8">
        <f>Table13162015[[#This Row],[Level]]*1.5 + 15 + 21</f>
        <v>88.5</v>
      </c>
      <c r="H8">
        <f>Table13162015[[#This Row],[Level]]*1.25 + 15</f>
        <v>58.75</v>
      </c>
      <c r="I8">
        <f>Table13162015[[#This Row],[Level]]*1 + 15</f>
        <v>50</v>
      </c>
    </row>
    <row r="9" spans="1:9" x14ac:dyDescent="0.25">
      <c r="A9">
        <v>99</v>
      </c>
      <c r="B9">
        <f>Table13162015[[#This Row],[Level]]*50 + 100</f>
        <v>5050</v>
      </c>
      <c r="C9">
        <f>Table13162015[[#This Row],[Level]]*15+100</f>
        <v>1585</v>
      </c>
      <c r="D9">
        <f>Table13162015[[#This Row],[Level]]*1+ 15</f>
        <v>114</v>
      </c>
      <c r="E9">
        <f>Table13162015[[#This Row],[Level]]*1 + 15 + 7</f>
        <v>121</v>
      </c>
      <c r="F9">
        <f>Table13162015[[#This Row],[Level]]*1.5 + 15 + 30</f>
        <v>193.5</v>
      </c>
      <c r="G9">
        <f>Table13162015[[#This Row],[Level]]*1.5 + 15 + 21</f>
        <v>184.5</v>
      </c>
      <c r="H9">
        <f>Table13162015[[#This Row],[Level]]*1.25 + 15</f>
        <v>138.75</v>
      </c>
      <c r="I9">
        <f>Table13162015[[#This Row],[Level]]*1 + 15</f>
        <v>114</v>
      </c>
    </row>
    <row r="10" spans="1:9" x14ac:dyDescent="0.25">
      <c r="A10">
        <v>20</v>
      </c>
      <c r="B10" s="1">
        <f>Table13162015[[#This Row],[Level]]*50 + 100</f>
        <v>1100</v>
      </c>
      <c r="C10" s="1">
        <f>Table13162015[[#This Row],[Level]]*15+100</f>
        <v>400</v>
      </c>
      <c r="D10" s="1">
        <f>Table13162015[[#This Row],[Level]]*1+ 15</f>
        <v>35</v>
      </c>
      <c r="E10" s="1">
        <f>Table13162015[[#This Row],[Level]]*1 + 15 + 7</f>
        <v>42</v>
      </c>
      <c r="F10" s="1">
        <f>Table13162015[[#This Row],[Level]]*1.5 + 15 + 30</f>
        <v>75</v>
      </c>
      <c r="G10" s="1">
        <f>Table13162015[[#This Row],[Level]]*1.5 + 15 + 21</f>
        <v>66</v>
      </c>
      <c r="H10" s="1">
        <f>Table13162015[[#This Row],[Level]]*1.25 + 15</f>
        <v>40</v>
      </c>
      <c r="I10" s="1">
        <f>Table13162015[[#This Row],[Level]]*1 + 15</f>
        <v>35</v>
      </c>
    </row>
    <row r="13" spans="1:9" x14ac:dyDescent="0.25">
      <c r="A13" t="s">
        <v>31</v>
      </c>
    </row>
    <row r="15" spans="1:9" x14ac:dyDescent="0.25">
      <c r="A15" t="s">
        <v>53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Skeleton Soldier</vt:lpstr>
      <vt:lpstr>Skeleton Swordsman</vt:lpstr>
      <vt:lpstr>Skeleton Mage</vt:lpstr>
      <vt:lpstr>Skeleton Priest</vt:lpstr>
      <vt:lpstr>Zombie</vt:lpstr>
      <vt:lpstr>SpiritPuppet</vt:lpstr>
      <vt:lpstr>Bounded Lesser Wind Spirit</vt:lpstr>
      <vt:lpstr>Bounded Wind Spirit</vt:lpstr>
      <vt:lpstr>Acolyte</vt:lpstr>
      <vt:lpstr>Death Knight</vt:lpstr>
      <vt:lpstr>VillianCanson</vt:lpstr>
      <vt:lpstr>Death Lord</vt:lpstr>
      <vt:lpstr>Goblin</vt:lpstr>
      <vt:lpstr>Slimes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ly</dc:creator>
  <cp:lastModifiedBy>Michael ly</cp:lastModifiedBy>
  <dcterms:created xsi:type="dcterms:W3CDTF">2017-10-06T22:06:18Z</dcterms:created>
  <dcterms:modified xsi:type="dcterms:W3CDTF">2017-10-21T23:21:20Z</dcterms:modified>
</cp:coreProperties>
</file>