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xr2:uid="{C17BEB8E-A02F-43D4-B32F-FEE2218EF49A}"/>
  </bookViews>
  <sheets>
    <sheet name="Sheet1" sheetId="1" r:id="rId1"/>
    <sheet name="Z1 Beginning" sheetId="2" r:id="rId2"/>
    <sheet name="Z2 Iston Forest" sheetId="3" r:id="rId3"/>
    <sheet name="Z3 Deep Forest" sheetId="4" r:id="rId4"/>
    <sheet name="Z4 Fort Reo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22" i="1"/>
  <c r="B23" i="1"/>
  <c r="B24" i="1"/>
  <c r="I3" i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D8" i="1"/>
  <c r="D9" i="1"/>
  <c r="E4" i="1"/>
  <c r="E5" i="1"/>
  <c r="E6" i="1"/>
  <c r="E7" i="1"/>
  <c r="E8" i="1"/>
  <c r="E9" i="1"/>
  <c r="E10" i="1"/>
  <c r="E3" i="1"/>
  <c r="B9" i="1"/>
  <c r="B10" i="1"/>
  <c r="C9" i="1"/>
  <c r="C10" i="1"/>
  <c r="D10" i="1"/>
  <c r="B8" i="1"/>
  <c r="C8" i="1"/>
  <c r="F8" i="5"/>
  <c r="F7" i="5"/>
  <c r="F6" i="5"/>
  <c r="F5" i="5"/>
  <c r="F4" i="5"/>
  <c r="F3" i="5"/>
  <c r="F2" i="5"/>
  <c r="E8" i="5"/>
  <c r="E7" i="5"/>
  <c r="E6" i="5"/>
  <c r="E5" i="5"/>
  <c r="E4" i="5"/>
  <c r="E3" i="5"/>
  <c r="E2" i="5"/>
  <c r="H19" i="5"/>
  <c r="D8" i="5"/>
  <c r="D7" i="5"/>
  <c r="D6" i="5"/>
  <c r="D5" i="5"/>
  <c r="D4" i="5"/>
  <c r="D3" i="5"/>
  <c r="D2" i="5"/>
  <c r="C2" i="5"/>
  <c r="C8" i="5"/>
  <c r="C7" i="5"/>
  <c r="C6" i="5"/>
  <c r="C5" i="5"/>
  <c r="C4" i="5"/>
  <c r="C3" i="5"/>
  <c r="B2" i="5"/>
  <c r="D24" i="5"/>
  <c r="H22" i="5"/>
  <c r="H20" i="5"/>
  <c r="G17" i="5" l="1"/>
  <c r="E17" i="5"/>
  <c r="B8" i="5"/>
  <c r="B7" i="5"/>
  <c r="B6" i="5"/>
  <c r="B3" i="5"/>
  <c r="E15" i="5"/>
  <c r="E14" i="5"/>
  <c r="D14" i="5"/>
  <c r="B4" i="5" s="1"/>
  <c r="E13" i="5"/>
  <c r="E12" i="5"/>
  <c r="B5" i="5" s="1"/>
  <c r="D12" i="5"/>
  <c r="B5" i="1"/>
  <c r="B3" i="1"/>
  <c r="B4" i="1"/>
  <c r="B6" i="1"/>
  <c r="B7" i="1"/>
  <c r="D3" i="1"/>
  <c r="D4" i="1"/>
  <c r="D5" i="1"/>
  <c r="D6" i="1"/>
  <c r="D7" i="1"/>
  <c r="C3" i="1"/>
  <c r="C4" i="1"/>
  <c r="C5" i="1"/>
  <c r="C6" i="1"/>
  <c r="C7" i="1"/>
  <c r="K8" i="4"/>
  <c r="J8" i="4"/>
  <c r="B7" i="4"/>
  <c r="K6" i="4"/>
  <c r="K5" i="4"/>
  <c r="J5" i="4"/>
  <c r="K4" i="4"/>
  <c r="B3" i="4"/>
  <c r="B5" i="4"/>
  <c r="B4" i="4"/>
  <c r="K3" i="4"/>
  <c r="B6" i="4" s="1"/>
  <c r="J3" i="4"/>
  <c r="B4" i="2"/>
  <c r="B3" i="2"/>
  <c r="B4" i="3"/>
  <c r="B3" i="3"/>
  <c r="B6" i="3"/>
  <c r="B5" i="3"/>
  <c r="K3" i="3"/>
  <c r="K4" i="3"/>
  <c r="J4" i="3"/>
  <c r="J3" i="3"/>
</calcChain>
</file>

<file path=xl/sharedStrings.xml><?xml version="1.0" encoding="utf-8"?>
<sst xmlns="http://schemas.openxmlformats.org/spreadsheetml/2006/main" count="115" uniqueCount="54">
  <si>
    <t>Enemy</t>
  </si>
  <si>
    <t>EXP</t>
  </si>
  <si>
    <t>Count</t>
  </si>
  <si>
    <t>Skeleton Soldier</t>
  </si>
  <si>
    <t>Max</t>
  </si>
  <si>
    <t>Copper</t>
  </si>
  <si>
    <t>Resource</t>
  </si>
  <si>
    <t>Total</t>
  </si>
  <si>
    <t>Iron</t>
  </si>
  <si>
    <t>Leather</t>
  </si>
  <si>
    <t>Skeleton Soldier 2</t>
  </si>
  <si>
    <t>Goblin Scout</t>
  </si>
  <si>
    <t>Canson</t>
  </si>
  <si>
    <t>Mighty Kyle</t>
  </si>
  <si>
    <t>Spirit Puppets</t>
  </si>
  <si>
    <t>Skeleton Warrior</t>
  </si>
  <si>
    <t>Skeleton Swordsman</t>
  </si>
  <si>
    <t>Potion</t>
  </si>
  <si>
    <t>Goblin Grunt</t>
  </si>
  <si>
    <t>Z1</t>
  </si>
  <si>
    <t>Z2</t>
  </si>
  <si>
    <t>Z3</t>
  </si>
  <si>
    <t>Z4-Ext</t>
  </si>
  <si>
    <t>Z4-1F</t>
  </si>
  <si>
    <t>Z4-1B</t>
  </si>
  <si>
    <t>Z4-Secret</t>
  </si>
  <si>
    <t>Z4-2F</t>
  </si>
  <si>
    <t>Skeleton Mage</t>
  </si>
  <si>
    <t>Mana Potion</t>
  </si>
  <si>
    <t>Restorative</t>
  </si>
  <si>
    <t>Exterior</t>
  </si>
  <si>
    <t>1F</t>
  </si>
  <si>
    <t>Ext Count</t>
  </si>
  <si>
    <t>1F Count</t>
  </si>
  <si>
    <t>1F Max Count</t>
  </si>
  <si>
    <t>Ext Max Count</t>
  </si>
  <si>
    <t>Spirit Puppets 2</t>
  </si>
  <si>
    <t>1B Count</t>
  </si>
  <si>
    <t>1B Max Count</t>
  </si>
  <si>
    <t>Death Knight</t>
  </si>
  <si>
    <t>Skeleton Priest</t>
  </si>
  <si>
    <t>Secret &amp;1B Again Max</t>
  </si>
  <si>
    <t>BLW Spirit</t>
  </si>
  <si>
    <t>BW Spirit</t>
  </si>
  <si>
    <t>Acolyte</t>
  </si>
  <si>
    <t>2F Count</t>
  </si>
  <si>
    <t>Skeleton Guard</t>
  </si>
  <si>
    <t>Death Lord</t>
  </si>
  <si>
    <t>1B</t>
  </si>
  <si>
    <t>Secret &amp; 1B</t>
  </si>
  <si>
    <t>SEC</t>
  </si>
  <si>
    <t>2F</t>
  </si>
  <si>
    <t>Minimal Resources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</si>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</sst>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12305C8-027E-4AF3-BBD8-744050003FC2}" name="Table12" displayName="Table12" ref="A2:I10" totalsRowShown="0">
  <autoFilter ref="A2:I10" xr:uid="{3ECCC950-267B-4748-BB09-9744E60C6695}"/>
  <tableColumns count="9">
    <tableColumn id="1" xr3:uid="{AF5A20F0-600B-4D71-A34A-9AB7E387BF40}" name="Resource"/>
    <tableColumn id="2" xr3:uid="{986F8739-B172-4EA6-8D87-F07A422786CA}" name="Z1" dataDxfId="12">
      <calculatedColumnFormula>Table2[[#This Row],[Total]]</calculatedColumnFormula>
    </tableColumn>
    <tableColumn id="3" xr3:uid="{E357D56D-F125-4E8C-BF05-AB64B17469E3}" name="Z2" dataDxfId="11">
      <calculatedColumnFormula>'Z2 Iston Forest'!B3</calculatedColumnFormula>
    </tableColumn>
    <tableColumn id="4" xr3:uid="{A1010162-7C76-4C3D-8390-FAB6B8614E3A}" name="Z3" dataDxfId="10">
      <calculatedColumnFormula>Table2511[[#This Row],[Total]]</calculatedColumnFormula>
    </tableColumn>
    <tableColumn id="5" xr3:uid="{5177A577-72ED-4896-8A97-3108C68D0F64}" name="Z4-Ext">
      <calculatedColumnFormula>'Z4 Fort Reon'!B2</calculatedColumnFormula>
    </tableColumn>
    <tableColumn id="6" xr3:uid="{0D3BE69F-B7C5-47F2-B1EB-77D1B0D8A367}" name="Z4-1F" dataDxfId="4">
      <calculatedColumnFormula>'Z4 Fort Reon'!C2</calculatedColumnFormula>
    </tableColumn>
    <tableColumn id="7" xr3:uid="{D9217075-B537-4493-8A29-FA7720684F50}" name="Z4-1B" dataDxfId="3">
      <calculatedColumnFormula>'Z4 Fort Reon'!D2</calculatedColumnFormula>
    </tableColumn>
    <tableColumn id="8" xr3:uid="{F452E7C1-5E2F-4854-A946-FE7E08F9AB94}" name="Z4-Secret" dataDxfId="2">
      <calculatedColumnFormula>'Z4 Fort Reon'!E2</calculatedColumnFormula>
    </tableColumn>
    <tableColumn id="10" xr3:uid="{E000E4DC-D273-421F-9323-D2FDD90ABBBA}" name="Z4-2F" dataDxfId="1">
      <calculatedColumnFormula>'Z4 Fort Reon'!F2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4C29402-8D23-42CA-B6E1-97C41F0502EE}" name="Table181217" displayName="Table181217" ref="A11:Q25" totalsRowShown="0">
  <autoFilter ref="A11:Q25" xr:uid="{95675CB4-287A-47B5-B264-8C654A59D321}"/>
  <tableColumns count="17">
    <tableColumn id="1" xr3:uid="{9A4BF864-4ADE-4F19-85F5-3C619E4AC11C}" name="Enemy"/>
    <tableColumn id="2" xr3:uid="{370AD5BA-3CF3-46BA-B3BA-14EA1553E2C2}" name="EXP"/>
    <tableColumn id="3" xr3:uid="{9DEE1D84-099C-49BA-AB04-F28932B701BF}" name="Copper"/>
    <tableColumn id="7" xr3:uid="{25CB3223-3347-46BB-9DDA-6DE9E4DDD256}" name="Iron"/>
    <tableColumn id="8" xr3:uid="{2AAE1A52-8E13-4AD1-8060-CDF5F598B857}" name="Leather"/>
    <tableColumn id="9" xr3:uid="{363326E8-0D6E-4BE2-A036-14180AC55490}" name="Potion"/>
    <tableColumn id="10" xr3:uid="{1E193F14-AA3F-4931-83B7-A2556694FC1B}" name="Mana Potion"/>
    <tableColumn id="11" xr3:uid="{80F2185B-A82A-4596-9DDA-FA315D1E5A99}" name="Restorative"/>
    <tableColumn id="12" xr3:uid="{EED61496-9936-4CF8-B848-439D630221A7}" name="Ext Count"/>
    <tableColumn id="13" xr3:uid="{8A9D3609-490E-4327-9BB3-BF787B369E43}" name="Ext Max Count"/>
    <tableColumn id="14" xr3:uid="{1794E323-27D3-4968-B474-EFE0D71D3327}" name="1F Count"/>
    <tableColumn id="15" xr3:uid="{005FB8E0-0612-4C57-8463-71BCD97ED937}" name="1F Max Count"/>
    <tableColumn id="4" xr3:uid="{E2059782-2128-498D-9412-F37B0F4B859C}" name="1B Count"/>
    <tableColumn id="5" xr3:uid="{95239946-6051-4C5F-A85C-6A2D4EC9B01F}" name="1B Max Count"/>
    <tableColumn id="6" xr3:uid="{E7FB3FF7-786E-4CDC-8F6B-0504DB5B9B97}" name="SEC"/>
    <tableColumn id="16" xr3:uid="{BB45DBBC-D13A-458A-9706-84874DB2BF8D}" name="Secret &amp;1B Again Max"/>
    <tableColumn id="17" xr3:uid="{09028B2A-00A4-4B56-96BF-55F256973AB5}" name="2F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F77B6A-602D-4661-B705-A2DD3F137F9D}" name="Table3" displayName="Table3" ref="A19:B24" totalsRowShown="0">
  <autoFilter ref="A19:B24" xr:uid="{2B573164-2133-45D6-AB07-87BCE50B93A3}"/>
  <tableColumns count="2">
    <tableColumn id="1" xr3:uid="{5AB58A83-81EB-40F1-8325-972669A97F75}" name="Minimal Resources"/>
    <tableColumn id="2" xr3:uid="{33EB6522-2C5C-4F1A-B733-B7ACA0F56F61}" name="Quantity" dataDxfId="0">
      <calculatedColumnFormula>SUM(B3:H3)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37765-78DC-43AC-B1E4-85A5502C5E22}" name="Table1" displayName="Table1" ref="E2:I4" totalsRowShown="0">
  <autoFilter ref="E2:I4" xr:uid="{018B0E7A-DC1E-420B-A461-4D0D2F78E5C7}"/>
  <tableColumns count="5">
    <tableColumn id="1" xr3:uid="{099DD978-AD84-4BD7-8968-1F0269569D02}" name="Enemy"/>
    <tableColumn id="2" xr3:uid="{DCB2CE3E-CE3F-4873-8711-85EEB5CE85FC}" name="EXP"/>
    <tableColumn id="3" xr3:uid="{FD61A2E5-8739-4D32-9A97-04396B133C7A}" name="Copper"/>
    <tableColumn id="5" xr3:uid="{221F1830-04D6-4CA5-8AE2-B6074C001453}" name="Count"/>
    <tableColumn id="6" xr3:uid="{9CCAD066-851A-4A93-A433-983F4540F2AA}" name="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A3D37B-2E8C-483B-88B0-FE0CC538C547}" name="Table2" displayName="Table2" ref="A2:B11" totalsRowShown="0">
  <autoFilter ref="A2:B11" xr:uid="{3CEF8D17-E6EB-4472-B441-93EB2DBD7CFA}"/>
  <tableColumns count="2">
    <tableColumn id="1" xr3:uid="{535D5567-E2EE-4D3A-9FE0-241F15D71BE8}" name="Resource"/>
    <tableColumn id="2" xr3:uid="{8F124801-4C0B-4A10-BAA7-787E077BD267}" name="Total" dataDxfId="9">
      <calculatedColumnFormula>Table1[Copper]*Table1[Count]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0CBCD-351C-418C-9FEC-D2318A7D51F4}" name="Table25" displayName="Table25" ref="A2:B6" totalsRowShown="0">
  <autoFilter ref="A2:B6" xr:uid="{2FAAC14E-A5D7-4A84-A3B6-B1EDAB821A70}"/>
  <tableColumns count="2">
    <tableColumn id="1" xr3:uid="{D9B68D78-4275-4C3D-A286-2B6395C1F9D0}" name="Resource"/>
    <tableColumn id="2" xr3:uid="{1C0B04D6-6189-4AEC-B3CA-ECC5BF85BA40}" name="Total" dataDxfId="8">
      <calculatedColumnFormula>Table1[Copper]*Table1[Count]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B5C48C-5901-4B65-8235-E711CD3DECBD}" name="Table18" displayName="Table18" ref="E2:K6" totalsRowShown="0">
  <autoFilter ref="E2:K6" xr:uid="{E17E5A1E-0F01-4775-9099-0B2C191D1813}"/>
  <tableColumns count="7">
    <tableColumn id="1" xr3:uid="{A8B76B62-D482-404C-A1E6-F45FACEAC090}" name="Enemy"/>
    <tableColumn id="2" xr3:uid="{4D4B1109-524D-465C-A1D2-36E531DEA448}" name="EXP"/>
    <tableColumn id="3" xr3:uid="{A3BE9D3A-7DE5-4408-9C24-E730DDCFFBF1}" name="Copper"/>
    <tableColumn id="5" xr3:uid="{57961DA9-783B-404F-AC97-68FDC4F4C6E1}" name="Count"/>
    <tableColumn id="6" xr3:uid="{18F81F99-7B2F-4437-BA94-173FF5F1FBF4}" name="Max"/>
    <tableColumn id="7" xr3:uid="{62AFDE6A-334C-4816-9B74-98CB95ACBCF4}" name="Iron"/>
    <tableColumn id="8" xr3:uid="{1CE717B0-767F-49C4-A477-74E0427FB881}" name="Leath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C024D5-E74F-4F03-9A76-BBDA16E8E62F}" name="Table2511" displayName="Table2511" ref="A2:B10" totalsRowShown="0">
  <autoFilter ref="A2:B10" xr:uid="{DBE2E078-72EF-4FC6-AEB9-48CE4800D1A5}"/>
  <tableColumns count="2">
    <tableColumn id="1" xr3:uid="{428DD592-B766-47F7-B4C4-BACD21A509A6}" name="Resource"/>
    <tableColumn id="2" xr3:uid="{873B423A-D2AC-45AD-9BC7-3BD4CAA98A19}" name="Total" dataDxfId="7">
      <calculatedColumnFormula>Table1[Copper]*Table1[Count]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37C4BE-A12C-4E20-A031-400E09BE52AB}" name="Table1812" displayName="Table1812" ref="E2:L8" totalsRowShown="0">
  <autoFilter ref="E2:L8" xr:uid="{CD685764-4F94-45C3-8834-A95E979FC15A}"/>
  <tableColumns count="8">
    <tableColumn id="1" xr3:uid="{0279A2DB-6CA6-48C8-8BCF-4826290BED37}" name="Enemy"/>
    <tableColumn id="2" xr3:uid="{4B35A757-D71E-4F0E-8C1C-2ABCC5C12135}" name="EXP"/>
    <tableColumn id="3" xr3:uid="{B1BCB8CB-3799-40DA-A403-38991F1170EB}" name="Copper"/>
    <tableColumn id="5" xr3:uid="{DBA1EB3F-9D31-4AC7-9AB5-FB4FB34791AE}" name="Count"/>
    <tableColumn id="6" xr3:uid="{301E5DAA-166B-4086-A722-6928B448CC79}" name="Max"/>
    <tableColumn id="7" xr3:uid="{485EBB19-0759-4D36-BBFD-154558EDA4E9}" name="Iron"/>
    <tableColumn id="8" xr3:uid="{00952588-B151-4B14-827D-EDA092955E33}" name="Leather"/>
    <tableColumn id="9" xr3:uid="{0DAF25D3-8D05-436E-B47D-02700D7998EF}" name="Po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EBA8B15-BA39-426D-AF3D-61CD9F7C163D}" name="Table251116" displayName="Table251116" ref="A1:F8" totalsRowShown="0">
  <autoFilter ref="A1:F8" xr:uid="{C57296E8-F403-4B55-A10F-DC29DF91EC81}"/>
  <tableColumns count="6">
    <tableColumn id="1" xr3:uid="{E8BB58F5-2E7B-419C-AD08-15424C65D752}" name="Resource"/>
    <tableColumn id="2" xr3:uid="{DE3CE257-1A5C-4195-9A67-4151184B2BC8}" name="Exterior" dataDxfId="6">
      <calculatedColumnFormula>SUMPRODUCT(Table181217[EXP], Table181217[Ext Count])</calculatedColumnFormula>
    </tableColumn>
    <tableColumn id="3" xr3:uid="{962DEA61-692E-4CCA-A4FE-15816216BDE7}" name="1F" dataDxfId="5">
      <calculatedColumnFormula>SUMPRODUCT(Table181217[Copper], Table181217[1F Count])</calculatedColumnFormula>
    </tableColumn>
    <tableColumn id="4" xr3:uid="{DFA865C7-94B2-4590-95FF-7904BB224151}" name="1B"/>
    <tableColumn id="5" xr3:uid="{D84E43C0-80E3-446A-9DE4-2D3F6494F408}" name="Secret &amp; 1B"/>
    <tableColumn id="6" xr3:uid="{2BD21B0C-3C2F-4031-92FD-966DE026B662}" name="2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0E5D-F65A-4CA7-9147-6EE9F3B768D7}">
  <dimension ref="A2:I24"/>
  <sheetViews>
    <sheetView tabSelected="1" topLeftCell="A7" workbookViewId="0">
      <selection activeCell="G18" sqref="G18"/>
    </sheetView>
  </sheetViews>
  <sheetFormatPr defaultColWidth="15.7109375" defaultRowHeight="15" x14ac:dyDescent="0.25"/>
  <cols>
    <col min="1" max="1" width="20" customWidth="1"/>
  </cols>
  <sheetData>
    <row r="2" spans="1:9" x14ac:dyDescent="0.25">
      <c r="A2" t="s">
        <v>6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</row>
    <row r="3" spans="1:9" x14ac:dyDescent="0.25">
      <c r="A3" t="s">
        <v>1</v>
      </c>
      <c r="B3">
        <f>Table2[[#This Row],[Total]]</f>
        <v>1300</v>
      </c>
      <c r="C3">
        <f>'Z2 Iston Forest'!B3</f>
        <v>2410</v>
      </c>
      <c r="D3">
        <f>Table2511[[#This Row],[Total]]</f>
        <v>2790</v>
      </c>
      <c r="E3">
        <f>'Z4 Fort Reon'!B2</f>
        <v>1970</v>
      </c>
      <c r="F3">
        <f>'Z4 Fort Reon'!C2</f>
        <v>1690</v>
      </c>
      <c r="G3" s="1">
        <f>'Z4 Fort Reon'!D2</f>
        <v>6120</v>
      </c>
      <c r="H3" s="1">
        <f>'Z4 Fort Reon'!E2</f>
        <v>6250</v>
      </c>
      <c r="I3" s="1">
        <f>'Z4 Fort Reon'!F2</f>
        <v>3660</v>
      </c>
    </row>
    <row r="4" spans="1:9" x14ac:dyDescent="0.25">
      <c r="A4" t="s">
        <v>5</v>
      </c>
      <c r="B4">
        <f>Table2[[#This Row],[Total]]</f>
        <v>60</v>
      </c>
      <c r="C4">
        <f>'Z2 Iston Forest'!B4</f>
        <v>180</v>
      </c>
      <c r="D4">
        <f>Table2511[[#This Row],[Total]]</f>
        <v>565</v>
      </c>
      <c r="E4">
        <f>'Z4 Fort Reon'!B3</f>
        <v>405</v>
      </c>
      <c r="F4">
        <f>'Z4 Fort Reon'!C3</f>
        <v>350</v>
      </c>
      <c r="G4" s="1">
        <f>'Z4 Fort Reon'!D3</f>
        <v>1305</v>
      </c>
      <c r="H4" s="1">
        <f>'Z4 Fort Reon'!E3</f>
        <v>990</v>
      </c>
      <c r="I4" s="1">
        <f>'Z4 Fort Reon'!F3</f>
        <v>885</v>
      </c>
    </row>
    <row r="5" spans="1:9" x14ac:dyDescent="0.25">
      <c r="A5" t="s">
        <v>8</v>
      </c>
      <c r="B5">
        <f>Table2[[#This Row],[Total]]</f>
        <v>0</v>
      </c>
      <c r="C5">
        <f>'Z2 Iston Forest'!B5</f>
        <v>2.2000000000000002</v>
      </c>
      <c r="D5">
        <f>Table2511[[#This Row],[Total]]</f>
        <v>7.5000000000000009</v>
      </c>
      <c r="E5">
        <f>'Z4 Fort Reon'!B4</f>
        <v>6.3000000000000007</v>
      </c>
      <c r="F5">
        <f>'Z4 Fort Reon'!C4</f>
        <v>5.1000000000000005</v>
      </c>
      <c r="G5" s="1">
        <f>'Z4 Fort Reon'!D4</f>
        <v>15.200000000000001</v>
      </c>
      <c r="H5" s="1">
        <f>'Z4 Fort Reon'!E4</f>
        <v>11.4</v>
      </c>
      <c r="I5" s="1">
        <f>'Z4 Fort Reon'!F4</f>
        <v>1.6</v>
      </c>
    </row>
    <row r="6" spans="1:9" x14ac:dyDescent="0.25">
      <c r="A6" t="s">
        <v>9</v>
      </c>
      <c r="B6">
        <f>Table2[[#This Row],[Total]]</f>
        <v>0</v>
      </c>
      <c r="C6">
        <f>'Z2 Iston Forest'!B6</f>
        <v>4.5</v>
      </c>
      <c r="D6">
        <f>Table2511[[#This Row],[Total]]</f>
        <v>6.5</v>
      </c>
      <c r="E6">
        <f>'Z4 Fort Reon'!B5</f>
        <v>4.9000000000000004</v>
      </c>
      <c r="F6">
        <f>'Z4 Fort Reon'!C5</f>
        <v>4.9000000000000004</v>
      </c>
      <c r="G6" s="1">
        <f>'Z4 Fort Reon'!D5</f>
        <v>14.5</v>
      </c>
      <c r="H6" s="1">
        <f>'Z4 Fort Reon'!E5</f>
        <v>4</v>
      </c>
      <c r="I6" s="1">
        <f>'Z4 Fort Reon'!F5</f>
        <v>1</v>
      </c>
    </row>
    <row r="7" spans="1:9" x14ac:dyDescent="0.25">
      <c r="A7" t="s">
        <v>17</v>
      </c>
      <c r="B7">
        <f>Table2[[#This Row],[Total]]</f>
        <v>0</v>
      </c>
      <c r="C7">
        <f>'Z2 Iston Forest'!B7</f>
        <v>0</v>
      </c>
      <c r="D7">
        <f>Table2511[[#This Row],[Total]]</f>
        <v>1</v>
      </c>
      <c r="E7">
        <f>'Z4 Fort Reon'!B6</f>
        <v>1</v>
      </c>
      <c r="F7">
        <f>'Z4 Fort Reon'!C6</f>
        <v>1</v>
      </c>
      <c r="G7" s="1">
        <f>'Z4 Fort Reon'!D6</f>
        <v>2</v>
      </c>
      <c r="H7" s="1">
        <f>'Z4 Fort Reon'!E6</f>
        <v>0</v>
      </c>
      <c r="I7" s="1">
        <f>'Z4 Fort Reon'!F6</f>
        <v>0</v>
      </c>
    </row>
    <row r="8" spans="1:9" x14ac:dyDescent="0.25">
      <c r="A8" t="s">
        <v>28</v>
      </c>
      <c r="B8" s="1">
        <f>Table2[[#This Row],[Total]]</f>
        <v>0</v>
      </c>
      <c r="C8" s="1">
        <f>'Z2 Iston Forest'!B8</f>
        <v>0</v>
      </c>
      <c r="D8" s="1">
        <f>Table2511[[#This Row],[Total]]</f>
        <v>0</v>
      </c>
      <c r="E8">
        <f>'Z4 Fort Reon'!B7</f>
        <v>1</v>
      </c>
      <c r="F8">
        <f>'Z4 Fort Reon'!C7</f>
        <v>1.2</v>
      </c>
      <c r="G8" s="1">
        <f>'Z4 Fort Reon'!D7</f>
        <v>2.7</v>
      </c>
      <c r="H8" s="1">
        <f>'Z4 Fort Reon'!E7</f>
        <v>1</v>
      </c>
      <c r="I8" s="1">
        <f>'Z4 Fort Reon'!F7</f>
        <v>0</v>
      </c>
    </row>
    <row r="9" spans="1:9" x14ac:dyDescent="0.25">
      <c r="A9" t="s">
        <v>29</v>
      </c>
      <c r="B9" s="1">
        <f>Table2[[#This Row],[Total]]</f>
        <v>0</v>
      </c>
      <c r="C9" s="1">
        <f>'Z2 Iston Forest'!B9</f>
        <v>0</v>
      </c>
      <c r="D9" s="1">
        <f>Table2511[[#This Row],[Total]]</f>
        <v>0</v>
      </c>
      <c r="E9">
        <f>'Z4 Fort Reon'!B8</f>
        <v>0</v>
      </c>
      <c r="F9">
        <f>'Z4 Fort Reon'!C8</f>
        <v>0</v>
      </c>
      <c r="G9" s="1">
        <f>'Z4 Fort Reon'!D8</f>
        <v>1</v>
      </c>
      <c r="H9" s="1">
        <f>'Z4 Fort Reon'!E8</f>
        <v>2.1</v>
      </c>
      <c r="I9" s="1">
        <f>'Z4 Fort Reon'!F8</f>
        <v>0.5</v>
      </c>
    </row>
    <row r="10" spans="1:9" x14ac:dyDescent="0.25">
      <c r="B10" s="1">
        <f>Table2[[#This Row],[Total]]</f>
        <v>0</v>
      </c>
      <c r="C10" s="1">
        <f>'Z2 Iston Forest'!B10</f>
        <v>0</v>
      </c>
      <c r="D10" s="1">
        <f>Table2511[[#This Row],[Total]]</f>
        <v>0</v>
      </c>
      <c r="E10">
        <f>'Z4 Fort Reon'!B9</f>
        <v>0</v>
      </c>
      <c r="F10">
        <f>'Z4 Fort Reon'!C9</f>
        <v>0</v>
      </c>
      <c r="G10" s="1">
        <f>'Z4 Fort Reon'!D9</f>
        <v>0</v>
      </c>
      <c r="H10" s="1">
        <f>'Z4 Fort Reon'!E9</f>
        <v>0</v>
      </c>
      <c r="I10" s="1">
        <f>'Z4 Fort Reon'!F9</f>
        <v>0</v>
      </c>
    </row>
    <row r="19" spans="1:2" x14ac:dyDescent="0.25">
      <c r="A19" t="s">
        <v>52</v>
      </c>
      <c r="B19" t="s">
        <v>53</v>
      </c>
    </row>
    <row r="20" spans="1:2" x14ac:dyDescent="0.25">
      <c r="A20" t="s">
        <v>1</v>
      </c>
      <c r="B20">
        <f t="shared" ref="B20:B24" si="0">SUM(B3:H3)</f>
        <v>22530</v>
      </c>
    </row>
    <row r="21" spans="1:2" x14ac:dyDescent="0.25">
      <c r="A21" t="s">
        <v>5</v>
      </c>
      <c r="B21">
        <f>SUM(B4:H4)</f>
        <v>3855</v>
      </c>
    </row>
    <row r="22" spans="1:2" x14ac:dyDescent="0.25">
      <c r="A22" t="s">
        <v>8</v>
      </c>
      <c r="B22">
        <f t="shared" si="0"/>
        <v>47.7</v>
      </c>
    </row>
    <row r="23" spans="1:2" x14ac:dyDescent="0.25">
      <c r="A23" t="s">
        <v>9</v>
      </c>
      <c r="B23">
        <f t="shared" si="0"/>
        <v>39.299999999999997</v>
      </c>
    </row>
    <row r="24" spans="1:2" x14ac:dyDescent="0.25">
      <c r="A24" t="s">
        <v>17</v>
      </c>
      <c r="B24">
        <f t="shared" si="0"/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31-51A4-47A0-AF3B-C313CA41D09A}">
  <dimension ref="A2:I11"/>
  <sheetViews>
    <sheetView workbookViewId="0">
      <selection activeCell="D8" sqref="D8"/>
    </sheetView>
  </sheetViews>
  <sheetFormatPr defaultRowHeight="15" x14ac:dyDescent="0.25"/>
  <cols>
    <col min="1" max="5" width="11" customWidth="1"/>
  </cols>
  <sheetData>
    <row r="2" spans="1:9" x14ac:dyDescent="0.25">
      <c r="A2" t="s">
        <v>6</v>
      </c>
      <c r="B2" t="s">
        <v>7</v>
      </c>
      <c r="E2" t="s">
        <v>0</v>
      </c>
      <c r="F2" t="s">
        <v>1</v>
      </c>
      <c r="G2" t="s">
        <v>5</v>
      </c>
      <c r="H2" t="s">
        <v>2</v>
      </c>
      <c r="I2" t="s">
        <v>4</v>
      </c>
    </row>
    <row r="3" spans="1:9" x14ac:dyDescent="0.25">
      <c r="A3" t="s">
        <v>1</v>
      </c>
      <c r="B3">
        <f>SUMPRODUCT(Table1[EXP], Table1[Count])</f>
        <v>1300</v>
      </c>
      <c r="E3" t="s">
        <v>3</v>
      </c>
      <c r="F3">
        <v>25</v>
      </c>
      <c r="G3">
        <v>5</v>
      </c>
      <c r="H3">
        <v>12</v>
      </c>
      <c r="I3">
        <v>25</v>
      </c>
    </row>
    <row r="4" spans="1:9" x14ac:dyDescent="0.25">
      <c r="A4" t="s">
        <v>5</v>
      </c>
      <c r="B4">
        <f>SUMPRODUCT(Table1[Copper], Table1[Count])</f>
        <v>60</v>
      </c>
      <c r="E4" t="s">
        <v>13</v>
      </c>
      <c r="F4">
        <v>1000</v>
      </c>
      <c r="G4">
        <v>0</v>
      </c>
      <c r="H4">
        <v>1</v>
      </c>
      <c r="I4">
        <v>1</v>
      </c>
    </row>
    <row r="5" spans="1:9" x14ac:dyDescent="0.25">
      <c r="B5" s="1">
        <v>0</v>
      </c>
    </row>
    <row r="6" spans="1:9" x14ac:dyDescent="0.25">
      <c r="B6" s="1">
        <v>0</v>
      </c>
    </row>
    <row r="7" spans="1:9" x14ac:dyDescent="0.25">
      <c r="B7" s="1">
        <v>0</v>
      </c>
    </row>
    <row r="8" spans="1:9" x14ac:dyDescent="0.25">
      <c r="B8" s="1">
        <v>0</v>
      </c>
    </row>
    <row r="9" spans="1:9" x14ac:dyDescent="0.25">
      <c r="B9" s="1">
        <v>0</v>
      </c>
    </row>
    <row r="10" spans="1:9" x14ac:dyDescent="0.25">
      <c r="B10" s="1">
        <v>0</v>
      </c>
    </row>
    <row r="11" spans="1:9" x14ac:dyDescent="0.25">
      <c r="B11" s="1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ACE8-E63F-4EB5-B492-446DAF28D9B0}">
  <dimension ref="A2:K6"/>
  <sheetViews>
    <sheetView workbookViewId="0">
      <selection activeCell="B3" sqref="B3:B6"/>
    </sheetView>
  </sheetViews>
  <sheetFormatPr defaultRowHeight="15" x14ac:dyDescent="0.25"/>
  <cols>
    <col min="5" max="9" width="12.7109375" customWidth="1"/>
  </cols>
  <sheetData>
    <row r="2" spans="1:11" x14ac:dyDescent="0.25">
      <c r="A2" t="s">
        <v>6</v>
      </c>
      <c r="B2" t="s">
        <v>7</v>
      </c>
      <c r="E2" t="s">
        <v>0</v>
      </c>
      <c r="F2" t="s">
        <v>1</v>
      </c>
      <c r="G2" t="s">
        <v>5</v>
      </c>
      <c r="H2" t="s">
        <v>2</v>
      </c>
      <c r="I2" t="s">
        <v>4</v>
      </c>
      <c r="J2" t="s">
        <v>8</v>
      </c>
      <c r="K2" t="s">
        <v>9</v>
      </c>
    </row>
    <row r="3" spans="1:11" x14ac:dyDescent="0.25">
      <c r="A3" t="s">
        <v>1</v>
      </c>
      <c r="B3">
        <f>SUMPRODUCT(Table18[EXP], Table18[Count])</f>
        <v>2410</v>
      </c>
      <c r="E3" t="s">
        <v>10</v>
      </c>
      <c r="F3">
        <v>70</v>
      </c>
      <c r="G3">
        <v>15</v>
      </c>
      <c r="H3">
        <v>5</v>
      </c>
      <c r="I3">
        <v>14</v>
      </c>
      <c r="J3">
        <f>1/5+1/10</f>
        <v>0.30000000000000004</v>
      </c>
      <c r="K3">
        <f>1/5</f>
        <v>0.2</v>
      </c>
    </row>
    <row r="4" spans="1:11" x14ac:dyDescent="0.25">
      <c r="A4" t="s">
        <v>5</v>
      </c>
      <c r="B4">
        <f>SUMPRODUCT(Table18[Copper], Table18[Count])</f>
        <v>180</v>
      </c>
      <c r="E4" t="s">
        <v>11</v>
      </c>
      <c r="F4">
        <v>80</v>
      </c>
      <c r="G4">
        <v>15</v>
      </c>
      <c r="H4">
        <v>7</v>
      </c>
      <c r="I4">
        <v>7</v>
      </c>
      <c r="J4">
        <f>1/10</f>
        <v>0.1</v>
      </c>
      <c r="K4">
        <f>1/2</f>
        <v>0.5</v>
      </c>
    </row>
    <row r="5" spans="1:11" x14ac:dyDescent="0.25">
      <c r="A5" t="s">
        <v>8</v>
      </c>
      <c r="B5">
        <f>SUMPRODUCT(Table18[Count], Table18[Iron])</f>
        <v>2.2000000000000002</v>
      </c>
      <c r="E5" t="s">
        <v>12</v>
      </c>
      <c r="F5">
        <v>1500</v>
      </c>
      <c r="G5">
        <v>0</v>
      </c>
      <c r="H5">
        <v>1</v>
      </c>
      <c r="I5">
        <v>1</v>
      </c>
      <c r="J5">
        <v>0</v>
      </c>
      <c r="K5">
        <v>0</v>
      </c>
    </row>
    <row r="6" spans="1:11" x14ac:dyDescent="0.25">
      <c r="A6" t="s">
        <v>9</v>
      </c>
      <c r="B6" s="1">
        <f>SUMPRODUCT(Table18[Count],Table18[Leather])</f>
        <v>4.5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B6FD-0716-4C98-B563-70054503DF68}">
  <dimension ref="A2:L10"/>
  <sheetViews>
    <sheetView workbookViewId="0">
      <selection activeCell="C11" sqref="C11"/>
    </sheetView>
  </sheetViews>
  <sheetFormatPr defaultColWidth="15.7109375" defaultRowHeight="15" x14ac:dyDescent="0.25"/>
  <cols>
    <col min="7" max="7" width="15.7109375" customWidth="1"/>
  </cols>
  <sheetData>
    <row r="2" spans="1:12" x14ac:dyDescent="0.25">
      <c r="A2" t="s">
        <v>6</v>
      </c>
      <c r="B2" t="s">
        <v>7</v>
      </c>
      <c r="E2" t="s">
        <v>0</v>
      </c>
      <c r="F2" t="s">
        <v>1</v>
      </c>
      <c r="G2" t="s">
        <v>5</v>
      </c>
      <c r="H2" t="s">
        <v>2</v>
      </c>
      <c r="I2" t="s">
        <v>4</v>
      </c>
      <c r="J2" t="s">
        <v>8</v>
      </c>
      <c r="K2" t="s">
        <v>9</v>
      </c>
      <c r="L2" t="s">
        <v>17</v>
      </c>
    </row>
    <row r="3" spans="1:12" x14ac:dyDescent="0.25">
      <c r="A3" t="s">
        <v>1</v>
      </c>
      <c r="B3">
        <f>SUMPRODUCT(Table1812[EXP], Table1812[Count])</f>
        <v>2790</v>
      </c>
      <c r="E3" t="s">
        <v>10</v>
      </c>
      <c r="F3">
        <v>70</v>
      </c>
      <c r="G3">
        <v>15</v>
      </c>
      <c r="H3">
        <v>11</v>
      </c>
      <c r="I3">
        <v>20</v>
      </c>
      <c r="J3">
        <f>1/5+1/10</f>
        <v>0.30000000000000004</v>
      </c>
      <c r="K3">
        <f>1/5</f>
        <v>0.2</v>
      </c>
      <c r="L3">
        <v>0</v>
      </c>
    </row>
    <row r="4" spans="1:12" x14ac:dyDescent="0.25">
      <c r="A4" t="s">
        <v>5</v>
      </c>
      <c r="B4">
        <f>SUMPRODUCT(Table1812[Copper], Table1812[Count])</f>
        <v>565</v>
      </c>
      <c r="E4" t="s">
        <v>14</v>
      </c>
      <c r="F4">
        <v>80</v>
      </c>
      <c r="G4">
        <v>15</v>
      </c>
      <c r="H4">
        <v>11</v>
      </c>
      <c r="I4">
        <v>11</v>
      </c>
      <c r="J4">
        <v>0</v>
      </c>
      <c r="K4">
        <f>1/5</f>
        <v>0.2</v>
      </c>
      <c r="L4">
        <v>0</v>
      </c>
    </row>
    <row r="5" spans="1:12" x14ac:dyDescent="0.25">
      <c r="A5" t="s">
        <v>8</v>
      </c>
      <c r="B5">
        <f>SUMPRODUCT(Table1812[Count], Table1812[Iron])</f>
        <v>7.5000000000000009</v>
      </c>
      <c r="E5" t="s">
        <v>15</v>
      </c>
      <c r="F5">
        <v>120</v>
      </c>
      <c r="G5">
        <v>25</v>
      </c>
      <c r="H5">
        <v>8</v>
      </c>
      <c r="I5">
        <v>12</v>
      </c>
      <c r="J5">
        <f>1/5+1/5</f>
        <v>0.4</v>
      </c>
      <c r="K5">
        <f>1/5+0</f>
        <v>0.2</v>
      </c>
      <c r="L5">
        <v>0</v>
      </c>
    </row>
    <row r="6" spans="1:12" x14ac:dyDescent="0.25">
      <c r="A6" t="s">
        <v>9</v>
      </c>
      <c r="B6" s="1">
        <f>SUMPRODUCT(Table1812[Count],Table1812[Leather])</f>
        <v>6.5</v>
      </c>
      <c r="E6" t="s">
        <v>16</v>
      </c>
      <c r="F6">
        <v>180</v>
      </c>
      <c r="G6">
        <v>35</v>
      </c>
      <c r="H6">
        <v>1</v>
      </c>
      <c r="I6">
        <v>1</v>
      </c>
      <c r="J6">
        <v>1</v>
      </c>
      <c r="K6">
        <f>1/2 + 0</f>
        <v>0.5</v>
      </c>
      <c r="L6">
        <v>1</v>
      </c>
    </row>
    <row r="7" spans="1:12" x14ac:dyDescent="0.25">
      <c r="A7" t="s">
        <v>17</v>
      </c>
      <c r="B7" s="1">
        <f>SUMPRODUCT(Table1812[Count],Table1812[Potion])</f>
        <v>1</v>
      </c>
      <c r="E7" t="s">
        <v>11</v>
      </c>
      <c r="F7">
        <v>80</v>
      </c>
      <c r="G7">
        <v>15</v>
      </c>
      <c r="H7">
        <v>0</v>
      </c>
      <c r="I7">
        <v>3</v>
      </c>
      <c r="J7">
        <v>0.1</v>
      </c>
      <c r="K7">
        <v>0.5</v>
      </c>
      <c r="L7">
        <v>0</v>
      </c>
    </row>
    <row r="8" spans="1:12" x14ac:dyDescent="0.25">
      <c r="B8" s="1">
        <v>0</v>
      </c>
      <c r="E8" t="s">
        <v>18</v>
      </c>
      <c r="F8">
        <v>100</v>
      </c>
      <c r="G8">
        <v>20</v>
      </c>
      <c r="H8">
        <v>0</v>
      </c>
      <c r="I8">
        <v>6</v>
      </c>
      <c r="J8">
        <f>1/5+1/5</f>
        <v>0.4</v>
      </c>
      <c r="K8">
        <f>1/5</f>
        <v>0.2</v>
      </c>
      <c r="L8">
        <v>0</v>
      </c>
    </row>
    <row r="9" spans="1:12" x14ac:dyDescent="0.25">
      <c r="B9" s="1">
        <v>0</v>
      </c>
    </row>
    <row r="10" spans="1:12" x14ac:dyDescent="0.25">
      <c r="B10" s="1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9993-12A1-4A4C-A6C1-860EE11BEC95}">
  <dimension ref="A1:Q25"/>
  <sheetViews>
    <sheetView workbookViewId="0">
      <selection activeCell="B2" sqref="B2"/>
    </sheetView>
  </sheetViews>
  <sheetFormatPr defaultColWidth="15.7109375" defaultRowHeight="15" x14ac:dyDescent="0.25"/>
  <sheetData>
    <row r="1" spans="1:17" x14ac:dyDescent="0.25">
      <c r="A1" t="s">
        <v>6</v>
      </c>
      <c r="B1" t="s">
        <v>30</v>
      </c>
      <c r="C1" t="s">
        <v>31</v>
      </c>
      <c r="D1" t="s">
        <v>48</v>
      </c>
      <c r="E1" t="s">
        <v>49</v>
      </c>
      <c r="F1" t="s">
        <v>51</v>
      </c>
    </row>
    <row r="2" spans="1:17" x14ac:dyDescent="0.25">
      <c r="A2" t="s">
        <v>1</v>
      </c>
      <c r="B2">
        <f>SUMPRODUCT(Table181217[EXP], Table181217[Ext Count])</f>
        <v>1970</v>
      </c>
      <c r="C2">
        <f>SUMPRODUCT(Table181217[EXP], Table181217[1F Count])</f>
        <v>1690</v>
      </c>
      <c r="D2">
        <f>SUMPRODUCT(Table181217[EXP], Table181217[1B Count])</f>
        <v>6120</v>
      </c>
      <c r="E2">
        <f>SUMPRODUCT(Table181217[EXP], Table181217[SEC])</f>
        <v>6250</v>
      </c>
      <c r="F2">
        <f>SUMPRODUCT(Table181217[EXP], Table181217[2F Count])</f>
        <v>3660</v>
      </c>
    </row>
    <row r="3" spans="1:17" x14ac:dyDescent="0.25">
      <c r="A3" t="s">
        <v>5</v>
      </c>
      <c r="B3">
        <f>SUMPRODUCT(Table181217[Copper], Table181217[Ext Count])</f>
        <v>405</v>
      </c>
      <c r="C3">
        <f>SUMPRODUCT(Table181217[Copper], Table181217[1F Count])</f>
        <v>350</v>
      </c>
      <c r="D3">
        <f>SUMPRODUCT(Table181217[Copper], Table181217[1B Count])</f>
        <v>1305</v>
      </c>
      <c r="E3">
        <f>SUMPRODUCT(Table181217[Copper], Table181217[SEC])</f>
        <v>990</v>
      </c>
      <c r="F3">
        <f>SUMPRODUCT(Table181217[Copper], Table181217[2F Count])</f>
        <v>885</v>
      </c>
    </row>
    <row r="4" spans="1:17" x14ac:dyDescent="0.25">
      <c r="A4" t="s">
        <v>8</v>
      </c>
      <c r="B4">
        <f>SUMPRODUCT(Table181217[Iron], Table181217[Ext Count])</f>
        <v>6.3000000000000007</v>
      </c>
      <c r="C4">
        <f>SUMPRODUCT(Table181217[Iron], Table181217[1F Count])</f>
        <v>5.1000000000000005</v>
      </c>
      <c r="D4">
        <f>SUMPRODUCT(Table181217[Iron], Table181217[1B Count])</f>
        <v>15.200000000000001</v>
      </c>
      <c r="E4">
        <f>SUMPRODUCT(Table181217[Iron], Table181217[SEC])</f>
        <v>11.4</v>
      </c>
      <c r="F4">
        <f>SUMPRODUCT(Table181217[Iron], Table181217[2F Count])</f>
        <v>1.6</v>
      </c>
    </row>
    <row r="5" spans="1:17" x14ac:dyDescent="0.25">
      <c r="A5" t="s">
        <v>9</v>
      </c>
      <c r="B5" s="1">
        <f>SUMPRODUCT(Table181217[Leather], Table181217[Ext Count])</f>
        <v>4.9000000000000004</v>
      </c>
      <c r="C5">
        <f>SUMPRODUCT(Table181217[Leather], Table181217[1F Count])</f>
        <v>4.9000000000000004</v>
      </c>
      <c r="D5">
        <f>SUMPRODUCT(Table181217[Leather], Table181217[1B Count])</f>
        <v>14.5</v>
      </c>
      <c r="E5">
        <f>SUMPRODUCT(Table181217[Leather], Table181217[SEC])</f>
        <v>4</v>
      </c>
      <c r="F5">
        <f>SUMPRODUCT(Table181217[Leather], Table181217[2F Count])</f>
        <v>1</v>
      </c>
    </row>
    <row r="6" spans="1:17" x14ac:dyDescent="0.25">
      <c r="A6" t="s">
        <v>17</v>
      </c>
      <c r="B6" s="1">
        <f>SUMPRODUCT(Table181217[Potion], Table181217[Ext Count])</f>
        <v>1</v>
      </c>
      <c r="C6">
        <f>SUMPRODUCT(Table181217[Potion], Table181217[1F Count])</f>
        <v>1</v>
      </c>
      <c r="D6">
        <f>SUMPRODUCT(Table181217[Potion], Table181217[1B Count])</f>
        <v>2</v>
      </c>
      <c r="E6">
        <f>SUMPRODUCT(Table181217[Potion], Table181217[SEC])</f>
        <v>0</v>
      </c>
      <c r="F6">
        <f>SUMPRODUCT(Table181217[Potion], Table181217[2F Count])</f>
        <v>0</v>
      </c>
    </row>
    <row r="7" spans="1:17" x14ac:dyDescent="0.25">
      <c r="A7" t="s">
        <v>28</v>
      </c>
      <c r="B7" s="1">
        <f>SUMPRODUCT(Table181217[Mana Potion], Table181217[Ext Count])</f>
        <v>1</v>
      </c>
      <c r="C7">
        <f>SUMPRODUCT(Table181217[Mana Potion], Table181217[1F Count])</f>
        <v>1.2</v>
      </c>
      <c r="D7">
        <f>SUMPRODUCT(Table181217[Mana Potion], Table181217[1B Count])</f>
        <v>2.7</v>
      </c>
      <c r="E7">
        <f>SUMPRODUCT(Table181217[Mana Potion], Table181217[SEC])</f>
        <v>1</v>
      </c>
      <c r="F7">
        <f>SUMPRODUCT(Table181217[Mana Potion], Table181217[2F Count])</f>
        <v>0</v>
      </c>
    </row>
    <row r="8" spans="1:17" x14ac:dyDescent="0.25">
      <c r="A8" t="s">
        <v>29</v>
      </c>
      <c r="B8" s="1">
        <f>SUMPRODUCT(Table181217[Restorative], Table181217[Ext Count])</f>
        <v>0</v>
      </c>
      <c r="C8">
        <f>SUMPRODUCT(Table181217[Restorative], Table181217[1F Count])</f>
        <v>0</v>
      </c>
      <c r="D8">
        <f>SUMPRODUCT(Table181217[Restorative], Table181217[1B Count])</f>
        <v>1</v>
      </c>
      <c r="E8">
        <f>SUMPRODUCT(Table181217[Restorative], Table181217[SEC])</f>
        <v>2.1</v>
      </c>
      <c r="F8">
        <f>SUMPRODUCT(Table181217[Restorative], Table181217[2F Count])</f>
        <v>0.5</v>
      </c>
    </row>
    <row r="11" spans="1:17" x14ac:dyDescent="0.25">
      <c r="A11" t="s">
        <v>0</v>
      </c>
      <c r="B11" t="s">
        <v>1</v>
      </c>
      <c r="C11" t="s">
        <v>5</v>
      </c>
      <c r="D11" t="s">
        <v>8</v>
      </c>
      <c r="E11" t="s">
        <v>9</v>
      </c>
      <c r="F11" t="s">
        <v>17</v>
      </c>
      <c r="G11" t="s">
        <v>28</v>
      </c>
      <c r="H11" t="s">
        <v>29</v>
      </c>
      <c r="I11" t="s">
        <v>32</v>
      </c>
      <c r="J11" t="s">
        <v>35</v>
      </c>
      <c r="K11" t="s">
        <v>33</v>
      </c>
      <c r="L11" t="s">
        <v>34</v>
      </c>
      <c r="M11" t="s">
        <v>37</v>
      </c>
      <c r="N11" t="s">
        <v>38</v>
      </c>
      <c r="O11" t="s">
        <v>50</v>
      </c>
      <c r="P11" t="s">
        <v>41</v>
      </c>
      <c r="Q11" t="s">
        <v>45</v>
      </c>
    </row>
    <row r="12" spans="1:17" x14ac:dyDescent="0.25">
      <c r="A12" t="s">
        <v>10</v>
      </c>
      <c r="B12">
        <v>70</v>
      </c>
      <c r="C12">
        <v>15</v>
      </c>
      <c r="D12">
        <f>1/5+1/10</f>
        <v>0.30000000000000004</v>
      </c>
      <c r="E12">
        <f>1/5</f>
        <v>0.2</v>
      </c>
      <c r="F12">
        <v>0</v>
      </c>
      <c r="G12">
        <v>0</v>
      </c>
      <c r="H12">
        <v>0</v>
      </c>
      <c r="I12">
        <v>7</v>
      </c>
      <c r="J12">
        <v>7</v>
      </c>
      <c r="K12">
        <v>7</v>
      </c>
      <c r="M12">
        <v>8</v>
      </c>
      <c r="O12">
        <v>6</v>
      </c>
    </row>
    <row r="13" spans="1:17" x14ac:dyDescent="0.25">
      <c r="A13" t="s">
        <v>14</v>
      </c>
      <c r="B13">
        <v>80</v>
      </c>
      <c r="C13">
        <v>15</v>
      </c>
      <c r="D13">
        <v>0</v>
      </c>
      <c r="E13">
        <f>1/5</f>
        <v>0.2</v>
      </c>
      <c r="F13">
        <v>0</v>
      </c>
      <c r="G13">
        <v>0</v>
      </c>
      <c r="H13">
        <v>0</v>
      </c>
      <c r="I13">
        <v>2</v>
      </c>
      <c r="J13">
        <v>2</v>
      </c>
      <c r="K13">
        <v>0</v>
      </c>
      <c r="L13">
        <v>4</v>
      </c>
      <c r="M13">
        <v>0</v>
      </c>
    </row>
    <row r="14" spans="1:17" x14ac:dyDescent="0.25">
      <c r="A14" t="s">
        <v>15</v>
      </c>
      <c r="B14">
        <v>120</v>
      </c>
      <c r="C14">
        <v>25</v>
      </c>
      <c r="D14">
        <f>1/5+1/5</f>
        <v>0.4</v>
      </c>
      <c r="E14">
        <f>1/5+0</f>
        <v>0.2</v>
      </c>
      <c r="F14">
        <v>0</v>
      </c>
      <c r="G14">
        <v>0</v>
      </c>
      <c r="H14">
        <v>0</v>
      </c>
      <c r="I14">
        <v>8</v>
      </c>
      <c r="J14">
        <v>8</v>
      </c>
      <c r="K14">
        <v>5</v>
      </c>
      <c r="L14">
        <v>9</v>
      </c>
      <c r="M14">
        <v>22</v>
      </c>
      <c r="O14">
        <v>14</v>
      </c>
    </row>
    <row r="15" spans="1:17" x14ac:dyDescent="0.25">
      <c r="A15" t="s">
        <v>16</v>
      </c>
      <c r="B15">
        <v>180</v>
      </c>
      <c r="C15">
        <v>35</v>
      </c>
      <c r="D15">
        <v>1</v>
      </c>
      <c r="E15">
        <f>1/2 + 0</f>
        <v>0.5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2</v>
      </c>
      <c r="M15">
        <v>2</v>
      </c>
    </row>
    <row r="16" spans="1:17" x14ac:dyDescent="0.25">
      <c r="A16" t="s">
        <v>27</v>
      </c>
      <c r="B16">
        <v>180</v>
      </c>
      <c r="C16">
        <v>35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1</v>
      </c>
      <c r="K16">
        <v>1</v>
      </c>
      <c r="L16">
        <v>2</v>
      </c>
      <c r="M16">
        <v>2</v>
      </c>
    </row>
    <row r="17" spans="1:17" x14ac:dyDescent="0.25">
      <c r="A17" t="s">
        <v>36</v>
      </c>
      <c r="B17">
        <v>120</v>
      </c>
      <c r="C17">
        <v>25</v>
      </c>
      <c r="D17">
        <v>0</v>
      </c>
      <c r="E17">
        <f>1/2 + 0</f>
        <v>0.5</v>
      </c>
      <c r="F17">
        <v>0</v>
      </c>
      <c r="G17">
        <f>1/10 + 0</f>
        <v>0.1</v>
      </c>
      <c r="H17">
        <v>0</v>
      </c>
      <c r="I17">
        <v>0</v>
      </c>
      <c r="K17">
        <v>2</v>
      </c>
      <c r="M17">
        <v>7</v>
      </c>
    </row>
    <row r="18" spans="1:17" x14ac:dyDescent="0.25">
      <c r="A18" t="s">
        <v>39</v>
      </c>
      <c r="B18">
        <v>1000</v>
      </c>
      <c r="C18">
        <v>250</v>
      </c>
      <c r="D18">
        <v>2</v>
      </c>
      <c r="E18">
        <v>0</v>
      </c>
      <c r="M18">
        <v>1</v>
      </c>
      <c r="O18">
        <v>2</v>
      </c>
    </row>
    <row r="19" spans="1:17" x14ac:dyDescent="0.25">
      <c r="A19" t="s">
        <v>40</v>
      </c>
      <c r="B19">
        <v>180</v>
      </c>
      <c r="C19">
        <v>35</v>
      </c>
      <c r="D19">
        <v>0</v>
      </c>
      <c r="E19">
        <v>1</v>
      </c>
      <c r="H19">
        <f>1/2 + 0</f>
        <v>0.5</v>
      </c>
      <c r="M19">
        <v>2</v>
      </c>
      <c r="Q19">
        <v>1</v>
      </c>
    </row>
    <row r="20" spans="1:17" x14ac:dyDescent="0.25">
      <c r="A20" t="s">
        <v>42</v>
      </c>
      <c r="B20">
        <v>150</v>
      </c>
      <c r="C20">
        <v>0</v>
      </c>
      <c r="D20">
        <v>0</v>
      </c>
      <c r="E20">
        <v>0</v>
      </c>
      <c r="H20">
        <f>1/10 + 0</f>
        <v>0.1</v>
      </c>
      <c r="O20">
        <v>9</v>
      </c>
    </row>
    <row r="21" spans="1:17" x14ac:dyDescent="0.25">
      <c r="A21" t="s">
        <v>43</v>
      </c>
      <c r="B21">
        <v>500</v>
      </c>
      <c r="C21">
        <v>0</v>
      </c>
      <c r="D21">
        <v>0</v>
      </c>
      <c r="E21">
        <v>0</v>
      </c>
      <c r="H21">
        <v>1</v>
      </c>
      <c r="O21">
        <v>1</v>
      </c>
    </row>
    <row r="22" spans="1:17" x14ac:dyDescent="0.25">
      <c r="A22" t="s">
        <v>44</v>
      </c>
      <c r="B22">
        <v>300</v>
      </c>
      <c r="C22">
        <v>50</v>
      </c>
      <c r="G22">
        <v>1</v>
      </c>
      <c r="H22">
        <f>1/5 + 0</f>
        <v>0.2</v>
      </c>
      <c r="O22">
        <v>1</v>
      </c>
    </row>
    <row r="23" spans="1:17" x14ac:dyDescent="0.25">
      <c r="A23" t="s">
        <v>12</v>
      </c>
      <c r="B23">
        <v>1500</v>
      </c>
      <c r="C23">
        <v>250</v>
      </c>
      <c r="Q23">
        <v>1</v>
      </c>
    </row>
    <row r="24" spans="1:17" x14ac:dyDescent="0.25">
      <c r="A24" t="s">
        <v>46</v>
      </c>
      <c r="B24">
        <v>120</v>
      </c>
      <c r="C24">
        <v>25</v>
      </c>
      <c r="D24">
        <f>1/5+1/5</f>
        <v>0.4</v>
      </c>
      <c r="Q24">
        <v>4</v>
      </c>
    </row>
    <row r="25" spans="1:17" x14ac:dyDescent="0.25">
      <c r="A25" t="s">
        <v>47</v>
      </c>
      <c r="B25">
        <v>1500</v>
      </c>
      <c r="C25">
        <v>500</v>
      </c>
      <c r="Q25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Z1 Beginning</vt:lpstr>
      <vt:lpstr>Z2 Iston Forest</vt:lpstr>
      <vt:lpstr>Z3 Deep Forest</vt:lpstr>
      <vt:lpstr>Z4 Fort Reon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2017-12-07T07:43:21Z</dcterms:created>
  <dcterms:modified xsi:type="dcterms:W3CDTF">2017-12-09T07:18:03Z</dcterms:modified>
</cp:coreProperties>
</file>