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6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Chelsea" sheetId="21" r:id="rId18"/>
    <sheet name="Behemoth" sheetId="2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9" l="1"/>
  <c r="Q19" i="19"/>
  <c r="Q20" i="19"/>
  <c r="Q21" i="19"/>
  <c r="Q22" i="19"/>
  <c r="V18" i="19"/>
  <c r="V19" i="19"/>
  <c r="V20" i="19"/>
  <c r="V21" i="19"/>
  <c r="V22" i="19"/>
  <c r="T18" i="19"/>
  <c r="T19" i="19"/>
  <c r="T20" i="19"/>
  <c r="T21" i="19"/>
  <c r="T22" i="19"/>
  <c r="X22" i="19" l="1"/>
  <c r="W22" i="19"/>
  <c r="U22" i="19"/>
  <c r="S22" i="19"/>
  <c r="R22" i="19"/>
  <c r="X21" i="19"/>
  <c r="W21" i="19"/>
  <c r="U21" i="19"/>
  <c r="S21" i="19"/>
  <c r="R21" i="19"/>
  <c r="X20" i="19"/>
  <c r="W20" i="19"/>
  <c r="U20" i="19"/>
  <c r="S20" i="19"/>
  <c r="R20" i="19"/>
  <c r="X19" i="19"/>
  <c r="W19" i="19"/>
  <c r="U19" i="19"/>
  <c r="S19" i="19"/>
  <c r="R19" i="19"/>
  <c r="X18" i="19"/>
  <c r="W18" i="19"/>
  <c r="U18" i="19"/>
  <c r="S18" i="19"/>
  <c r="R18" i="19"/>
  <c r="V5" i="19" l="1"/>
  <c r="V6" i="19"/>
  <c r="V7" i="19"/>
  <c r="V8" i="19"/>
  <c r="V9" i="19"/>
  <c r="T5" i="19"/>
  <c r="T6" i="19"/>
  <c r="T7" i="19"/>
  <c r="T8" i="19"/>
  <c r="T9" i="19"/>
  <c r="X5" i="19"/>
  <c r="X6" i="19"/>
  <c r="X7" i="19"/>
  <c r="X8" i="19"/>
  <c r="X9" i="19"/>
  <c r="W5" i="19"/>
  <c r="W6" i="19"/>
  <c r="W7" i="19"/>
  <c r="W8" i="19"/>
  <c r="W9" i="19"/>
  <c r="S5" i="19"/>
  <c r="S6" i="19"/>
  <c r="S7" i="19"/>
  <c r="S8" i="19"/>
  <c r="S9" i="19"/>
  <c r="Q5" i="19"/>
  <c r="Q6" i="19"/>
  <c r="Q7" i="19"/>
  <c r="Q8" i="19"/>
  <c r="Q9" i="19"/>
  <c r="Y12" i="19"/>
  <c r="U9" i="19"/>
  <c r="R9" i="19"/>
  <c r="U8" i="19"/>
  <c r="R8" i="19"/>
  <c r="U7" i="19"/>
  <c r="R7" i="19"/>
  <c r="U6" i="19"/>
  <c r="R6" i="19"/>
  <c r="U5" i="19"/>
  <c r="R5" i="19"/>
  <c r="I7" i="21" l="1"/>
  <c r="H7" i="21"/>
  <c r="G7" i="21"/>
  <c r="F7" i="21"/>
  <c r="E7" i="21"/>
  <c r="D7" i="21"/>
  <c r="C7" i="21"/>
  <c r="B7" i="21"/>
  <c r="I6" i="21"/>
  <c r="H6" i="21"/>
  <c r="G6" i="21"/>
  <c r="F6" i="21"/>
  <c r="E6" i="21"/>
  <c r="D6" i="21"/>
  <c r="C6" i="21"/>
  <c r="B6" i="21"/>
  <c r="I5" i="21"/>
  <c r="H5" i="21"/>
  <c r="G5" i="21"/>
  <c r="F5" i="21"/>
  <c r="E5" i="21"/>
  <c r="D5" i="21"/>
  <c r="C5" i="21"/>
  <c r="B5" i="21"/>
  <c r="I4" i="21"/>
  <c r="H4" i="21"/>
  <c r="G4" i="21"/>
  <c r="F4" i="21"/>
  <c r="E4" i="21"/>
  <c r="D4" i="21"/>
  <c r="C4" i="21"/>
  <c r="B4" i="21"/>
  <c r="B9" i="19" l="1"/>
  <c r="C9" i="19"/>
  <c r="D9" i="19"/>
  <c r="E9" i="19"/>
  <c r="F9" i="19"/>
  <c r="G9" i="19"/>
  <c r="H9" i="19"/>
  <c r="I9" i="19"/>
  <c r="B16" i="19"/>
  <c r="C16" i="19"/>
  <c r="D16" i="19"/>
  <c r="E16" i="19"/>
  <c r="F16" i="19"/>
  <c r="G16" i="19"/>
  <c r="H16" i="19"/>
  <c r="I16" i="19"/>
  <c r="B24" i="19"/>
  <c r="C24" i="19"/>
  <c r="D24" i="19"/>
  <c r="E24" i="19"/>
  <c r="F24" i="19"/>
  <c r="G24" i="19"/>
  <c r="H24" i="19"/>
  <c r="I24" i="19"/>
  <c r="E28" i="19"/>
  <c r="E29" i="19"/>
  <c r="E30" i="19"/>
  <c r="G28" i="19"/>
  <c r="G29" i="19"/>
  <c r="G30" i="19"/>
  <c r="I28" i="19"/>
  <c r="I29" i="19"/>
  <c r="I30" i="19"/>
  <c r="H30" i="19"/>
  <c r="F30" i="19"/>
  <c r="D30" i="19"/>
  <c r="C30" i="19"/>
  <c r="B30" i="19"/>
  <c r="H29" i="19"/>
  <c r="F29" i="19"/>
  <c r="D29" i="19"/>
  <c r="C29" i="19"/>
  <c r="B29" i="19"/>
  <c r="H28" i="19"/>
  <c r="F28" i="19"/>
  <c r="D28" i="19"/>
  <c r="C28" i="19"/>
  <c r="B28" i="19"/>
  <c r="B8" i="19" l="1"/>
  <c r="C8" i="19"/>
  <c r="D8" i="19"/>
  <c r="E8" i="19"/>
  <c r="F8" i="19"/>
  <c r="G8" i="19"/>
  <c r="H8" i="19"/>
  <c r="I8" i="19"/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D9" i="20"/>
  <c r="D10" i="20"/>
  <c r="D11" i="20"/>
  <c r="D12" i="20"/>
  <c r="D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6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<sst xmlns="http://schemas.openxmlformats.org/spreadsheetml/2006/main" count="507" uniqueCount="75">
  <si>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</si>
  <si>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</si>
  <si>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</si>
  <si>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</si>
  <si>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</si>
  <si>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</si>
  <si>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</si>
  <si>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</si>
  <si>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</si>
  <si>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</si>
  <si>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</si>
  <si>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</si>
  <si>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</si>
  <si>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</si>
  <si>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</si>
  <si>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</si>
  <si>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</si>
  <si>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</si>
  <si>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</si>
  <si>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</si>
  <si>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</si>
  <si>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</si>
  <si>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</si>
  <si>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</si>
  <si>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</si>
  <si>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</si>
  <si>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</si>
  <si>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</si>
  <si>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</si>
  <si>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</si>
  <si>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</si>
  <si>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</si>
  <si>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</si>
  <si>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</si>
  <si>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</si>
  <si>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</si>
  <si>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</si>
  <si>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</si>
  <si>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</si>
  <si>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</si>
  <si>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</si>
  <si>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</si>
  <si>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</si>
  <si>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</si>
  <si>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</si>
  <si>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</si>
  <si>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</si>
  <si>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</si>
  <si>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</si>
  <si>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</si>
  <si>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</si>
  <si>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</si>
  <si>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</si>
  <si>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</si>
  <si>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</si>
  <si>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</si>
  <si>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</si>
  <si>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</si>
  <si>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</si>
  <si>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</si>
  <si>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</si>
  <si>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</si>
  <si>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</si>
  <si>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</si>
  <si>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</si>
  <si>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</si>
  <si>
    <t>Mercenary Priest, hammer -&gt; 40, 19/5</t>
  </si>
  <si>
    <t>Mercenary Mage. Same equips</t>
  </si>
  <si>
    <t>Chelsea, light phys armor, dual equipped daggers -&gt; 40, 10/8 + 8 + 8</t>
  </si>
  <si>
    <t>Golem</t>
  </si>
  <si>
    <t>Mercenary Golem, -&gt; 40 Attack, 20 Def, 40 MDF</t>
  </si>
  <si>
    <t>Lv 20 with Iron equipment, single class, single path? Bandit Warrior, Medium Iron Armor, Two handed weapon -&gt; 40, 19/5</t>
  </si>
  <si>
    <t>Lv 25 with Iron equipment, single class, single path? Bandit Warrior, Medium Iron Armor, Two handed weapon -&gt; 40, 19/5</t>
  </si>
  <si>
    <t>Lv 28 with Iron equipment, Swords master, Brawler</t>
  </si>
  <si>
    <t>Mercenary Boss, Heavy Iron Armor, Two handed weapon, 2 Iron Ring -&gt; 40, 21/7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</si>
</sst>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2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71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227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226">
      <calculatedColumnFormula>Table131610[[#This Row],[Level]]*63-100</calculatedColumnFormula>
    </tableColumn>
    <tableColumn id="3" xr3:uid="{C682D862-74D7-4A71-B58F-60B479692D97}" name="MP" dataDxfId="225">
      <calculatedColumnFormula>Table131610[[#This Row],[Level]]*10</calculatedColumnFormula>
    </tableColumn>
    <tableColumn id="4" xr3:uid="{A92CB1B9-B5DB-4C6F-9840-9A9CF6F3908F}" name="ATK" dataDxfId="224">
      <calculatedColumnFormula>Table131610[[#This Row],[Level]]*1.375+ 15</calculatedColumnFormula>
    </tableColumn>
    <tableColumn id="5" xr3:uid="{524C1F64-C076-4632-9637-C2B7F145A708}" name="DEF" dataDxfId="223">
      <calculatedColumnFormula>Table131610[[#This Row],[Level]]*1 + 15</calculatedColumnFormula>
    </tableColumn>
    <tableColumn id="6" xr3:uid="{0885B50D-EAEE-4742-B39A-A6FB8EB1237E}" name="MAT" dataDxfId="222">
      <calculatedColumnFormula>Table131610[[#This Row],[Level]]*1</calculatedColumnFormula>
    </tableColumn>
    <tableColumn id="7" xr3:uid="{61AC7716-759F-498C-8E8C-B5F398D64504}" name="MDF" dataDxfId="221">
      <calculatedColumnFormula>Table131610[[#This Row],[Level]]*1</calculatedColumnFormula>
    </tableColumn>
    <tableColumn id="8" xr3:uid="{C3006388-05CF-47C5-AB9E-F1B6224F179B}" name="AGI" dataDxfId="220">
      <calculatedColumnFormula>Table131610[[#This Row],[Level]]*1 + 15</calculatedColumnFormula>
    </tableColumn>
    <tableColumn id="9" xr3:uid="{8DBB4D25-C72A-496C-9204-90CC99BD5D11}" name="LUK" dataDxfId="219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218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217">
      <calculatedColumnFormula>Table13161013[[#This Row],[Level]]*56.25-100</calculatedColumnFormula>
    </tableColumn>
    <tableColumn id="3" xr3:uid="{0AFD181E-F6A3-4256-8D2D-5F1DAB2B2427}" name="MP" dataDxfId="216">
      <calculatedColumnFormula>Table13161013[[#This Row],[Level]]*10+20</calculatedColumnFormula>
    </tableColumn>
    <tableColumn id="4" xr3:uid="{57DE769C-A92E-467B-97E6-0164FBEBC66A}" name="ATK" dataDxfId="215">
      <calculatedColumnFormula>Table13161013[[#This Row],[Level]]*1+ 15</calculatedColumnFormula>
    </tableColumn>
    <tableColumn id="5" xr3:uid="{BF337D43-5142-431D-B5AC-7335DB8B1181}" name="DEF" dataDxfId="214">
      <calculatedColumnFormula>Table13161013[[#This Row],[Level]]*1 + 15</calculatedColumnFormula>
    </tableColumn>
    <tableColumn id="6" xr3:uid="{DC999929-3C77-4EB9-B113-30A73FEEEF46}" name="MAT" dataDxfId="213">
      <calculatedColumnFormula>Table13161013[[#This Row],[Level]]*1.375+15</calculatedColumnFormula>
    </tableColumn>
    <tableColumn id="7" xr3:uid="{19E03B32-9762-40A5-ABB9-71E539F12A4D}" name="MDF" dataDxfId="212">
      <calculatedColumnFormula>Table13161013[[#This Row],[Level]]*1.5+15</calculatedColumnFormula>
    </tableColumn>
    <tableColumn id="8" xr3:uid="{340B798D-7289-415A-863E-5B75541B1826}" name="AGI" dataDxfId="211">
      <calculatedColumnFormula>Table13161013[[#This Row],[Level]]*1.125 + 15</calculatedColumnFormula>
    </tableColumn>
    <tableColumn id="9" xr3:uid="{A95C61CD-FC66-44AB-B31A-915976135796}" name="LUK" dataDxfId="210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209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208">
      <calculatedColumnFormula>Table1316101328[[#This Row],[Level]]*50 + 100</calculatedColumnFormula>
    </tableColumn>
    <tableColumn id="3" xr3:uid="{EC859C53-0BA5-45D1-868B-F22DC8CE7D25}" name="MP" dataDxfId="207">
      <calculatedColumnFormula>Table1316101328[[#This Row],[Level]]*10+20</calculatedColumnFormula>
    </tableColumn>
    <tableColumn id="4" xr3:uid="{DED33AB9-A2BB-4F9E-AA6D-02F8D1D65CD1}" name="ATK" dataDxfId="206">
      <calculatedColumnFormula>Table1316101328[[#This Row],[Level]]*1.375+ 15+20</calculatedColumnFormula>
    </tableColumn>
    <tableColumn id="5" xr3:uid="{329B716D-9CA6-4546-AB13-92D88BE40F5F}" name="DEF" dataDxfId="205">
      <calculatedColumnFormula>Table1316101328[[#This Row],[Level]]*1 + 15+12</calculatedColumnFormula>
    </tableColumn>
    <tableColumn id="6" xr3:uid="{67F8198A-5FC2-4C6D-9558-68B3141EA756}" name="MAT" dataDxfId="204">
      <calculatedColumnFormula>Table1316101328[[#This Row],[Level]]*1+15</calculatedColumnFormula>
    </tableColumn>
    <tableColumn id="7" xr3:uid="{C70F5BF6-63B0-44C1-862D-25E3FB55320F}" name="MDF" dataDxfId="203">
      <calculatedColumnFormula>Table1316101328[[#This Row],[Level]]*1.5+15+11</calculatedColumnFormula>
    </tableColumn>
    <tableColumn id="8" xr3:uid="{AB20AF53-453C-4266-A46B-40E693C91985}" name="AGI" dataDxfId="202">
      <calculatedColumnFormula>Table1316101328[[#This Row],[Level]]*1.25 + 15</calculatedColumnFormula>
    </tableColumn>
    <tableColumn id="9" xr3:uid="{7FC46A31-F9F1-432E-B399-0823E198FE0A}" name="LUK" dataDxfId="201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200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99">
      <calculatedColumnFormula>Table131610132831[[#This Row],[Level]]*63+ 300</calculatedColumnFormula>
    </tableColumn>
    <tableColumn id="3" xr3:uid="{E7BA3C7A-2677-415F-BA47-A4E88679B948}" name="MP" dataDxfId="198">
      <calculatedColumnFormula>Table131610132831[[#This Row],[Level]]*10+20</calculatedColumnFormula>
    </tableColumn>
    <tableColumn id="4" xr3:uid="{AE7BE678-2229-44F6-8732-71214FB69DD7}" name="ATK" dataDxfId="197">
      <calculatedColumnFormula>Table131610132831[[#This Row],[Level]]*1.5+ 15+20</calculatedColumnFormula>
    </tableColumn>
    <tableColumn id="5" xr3:uid="{4715E3DB-8817-43D5-9074-9FB5F0BEF5B4}" name="DEF" dataDxfId="196">
      <calculatedColumnFormula>Table131610132831[[#This Row],[Level]]*1 + 15+12</calculatedColumnFormula>
    </tableColumn>
    <tableColumn id="6" xr3:uid="{9CE76933-D045-418B-A975-378EEA51D856}" name="MAT" dataDxfId="195">
      <calculatedColumnFormula>Table131610132831[[#This Row],[Level]]*1+15</calculatedColumnFormula>
    </tableColumn>
    <tableColumn id="7" xr3:uid="{244B9611-6CB0-4946-B5CD-7D42311C7D7E}" name="MDF" dataDxfId="194">
      <calculatedColumnFormula>Table131610132831[[#This Row],[Level]]*1.5+15+11</calculatedColumnFormula>
    </tableColumn>
    <tableColumn id="8" xr3:uid="{32550C13-49BB-41D2-BA0A-26798830A0FD}" name="AGI" dataDxfId="193">
      <calculatedColumnFormula>Table131610132831[[#This Row],[Level]]*1.5 + 15</calculatedColumnFormula>
    </tableColumn>
    <tableColumn id="9" xr3:uid="{BB22F289-8AF5-4DD6-877B-F09520710555}" name="LUK" dataDxfId="192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91">
      <calculatedColumnFormula>Table13162015[[#This Row],[Level]]*50 + 100</calculatedColumnFormula>
    </tableColumn>
    <tableColumn id="3" xr3:uid="{1DE5110F-EC07-4DF5-A7D5-34F082598910}" name="MP" dataDxfId="190">
      <calculatedColumnFormula>Table13162015[[#This Row],[Level]]*15+100</calculatedColumnFormula>
    </tableColumn>
    <tableColumn id="4" xr3:uid="{F18C8760-61ED-4B62-BAF2-B14B62B7D248}" name="ATK" dataDxfId="189">
      <calculatedColumnFormula>Table13162015[[#This Row],[Level]]*1+ 15</calculatedColumnFormula>
    </tableColumn>
    <tableColumn id="5" xr3:uid="{C1595AD9-E387-4A22-BCB6-4CBFA719F9D0}" name="DEF" dataDxfId="188">
      <calculatedColumnFormula>Table13162015[[#This Row],[Level]]*1 + 15 + 7</calculatedColumnFormula>
    </tableColumn>
    <tableColumn id="6" xr3:uid="{F489FA67-46F6-43D1-B73B-47D83B34338A}" name="MAT" dataDxfId="187">
      <calculatedColumnFormula>Table13162015[[#This Row],[Level]]*1.5 + 15 + 30</calculatedColumnFormula>
    </tableColumn>
    <tableColumn id="7" xr3:uid="{3F79394A-4124-4984-9D31-828E25A56C45}" name="MDF" dataDxfId="186">
      <calculatedColumnFormula>Table13162015[[#This Row],[Level]]*1.5 + 15 + 21</calculatedColumnFormula>
    </tableColumn>
    <tableColumn id="8" xr3:uid="{C07D4BAA-1701-41F8-AFCA-9DA08523E4CB}" name="AGI" dataDxfId="185">
      <calculatedColumnFormula>Table13162015[[#This Row],[Level]]*1.25 + 15</calculatedColumnFormula>
    </tableColumn>
    <tableColumn id="9" xr3:uid="{4A2DA70C-A82A-443D-8342-5AD49EBB4B2C}" name="LUK" dataDxfId="184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83">
      <calculatedColumnFormula>Table131618[[#This Row],[Level]]*75 + 500</calculatedColumnFormula>
    </tableColumn>
    <tableColumn id="3" xr3:uid="{4AC299E1-6D4E-4976-B070-B7CE6420FFAE}" name="MP" dataDxfId="182">
      <calculatedColumnFormula>Table131618[[#This Row],[Level]]*10+20</calculatedColumnFormula>
    </tableColumn>
    <tableColumn id="4" xr3:uid="{BAB284EC-09DE-422F-ABFC-8F534405AF61}" name="ATK" dataDxfId="181">
      <calculatedColumnFormula>Table131618[[#This Row],[Level]]*1.5+ 15</calculatedColumnFormula>
    </tableColumn>
    <tableColumn id="5" xr3:uid="{769BCE66-0870-41ED-9C9B-5AD056584176}" name="DEF" dataDxfId="180">
      <calculatedColumnFormula>Table131618[[#This Row],[Level]]*1.5 + 15</calculatedColumnFormula>
    </tableColumn>
    <tableColumn id="6" xr3:uid="{27956CE0-AAC2-4888-96D5-4FA26667ECE7}" name="MAT" dataDxfId="179">
      <calculatedColumnFormula>Table131618[[#This Row],[Level]]*1 + 15</calculatedColumnFormula>
    </tableColumn>
    <tableColumn id="7" xr3:uid="{6C0E582B-8B24-49CA-B28B-FF3306829EEC}" name="MDF" dataDxfId="178">
      <calculatedColumnFormula>Table131618[[#This Row],[Level]]*1.5 + 15</calculatedColumnFormula>
    </tableColumn>
    <tableColumn id="8" xr3:uid="{B3895228-D7EB-4A37-A986-C2AC48A359C6}" name="AGI" dataDxfId="177">
      <calculatedColumnFormula>Table131618[[#This Row],[Level]]*1.375 + 15</calculatedColumnFormula>
    </tableColumn>
    <tableColumn id="9" xr3:uid="{9583BDED-512B-459B-98FC-273F1975BCB9}" name="LUK" dataDxfId="176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70">
      <calculatedColumnFormula>Table1316[[#This Row],[Level]]*56.25-100</calculatedColumnFormula>
    </tableColumn>
    <tableColumn id="3" xr3:uid="{AC26381C-1E8B-4282-BA32-FAB013C92F8A}" name="MP" dataDxfId="269">
      <calculatedColumnFormula>Table1316[[#This Row],[Level]]*10</calculatedColumnFormula>
    </tableColumn>
    <tableColumn id="4" xr3:uid="{77F74EFD-F91C-4967-9511-B8BF5E4B6952}" name="ATK" dataDxfId="268">
      <calculatedColumnFormula>Table1316[[#This Row],[Level]]*1.25+ 15</calculatedColumnFormula>
    </tableColumn>
    <tableColumn id="5" xr3:uid="{C5099C7E-FF2C-413F-B479-06A4BBC781C4}" name="DEF" dataDxfId="267">
      <calculatedColumnFormula>Table1316[[#This Row],[Level]]*1.25 + 15</calculatedColumnFormula>
    </tableColumn>
    <tableColumn id="6" xr3:uid="{55F7F6C7-C6E6-49D1-9C4C-6F3D4A44FC15}" name="MAT" dataDxfId="266">
      <calculatedColumnFormula>Table1316[[#This Row],[Level]]*1</calculatedColumnFormula>
    </tableColumn>
    <tableColumn id="7" xr3:uid="{D37B7B5E-6DF3-40C9-BC2C-99DE88C4F88F}" name="MDF" dataDxfId="265">
      <calculatedColumnFormula>Table1316[[#This Row],[Level]]*1</calculatedColumnFormula>
    </tableColumn>
    <tableColumn id="8" xr3:uid="{4DAA9289-D312-4509-B000-CD43744E2CED}" name="AGI" dataDxfId="264">
      <calculatedColumnFormula>Table1316[[#This Row],[Level]]*1 + 5</calculatedColumnFormula>
    </tableColumn>
    <tableColumn id="9" xr3:uid="{D9656154-EFE0-498B-896F-CDEF92F7DC51}" name="LUK" dataDxfId="263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75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74" tableBorderDxfId="173">
  <autoFilter ref="A15:I16" xr:uid="{434CBBE2-2F8D-4EEB-895C-68FC850EF1FD}"/>
  <tableColumns count="9">
    <tableColumn id="1" xr3:uid="{08FAD429-66B9-4C8A-8EDB-B8DA8C26C675}" name="Level" dataDxfId="172"/>
    <tableColumn id="2" xr3:uid="{CA74597C-BA22-42F0-BB05-90DCD7E1CDDE}" name="HP" dataDxfId="171">
      <calculatedColumnFormula>Table1922[Level]*75 + 500</calculatedColumnFormula>
    </tableColumn>
    <tableColumn id="3" xr3:uid="{993D070B-C7B7-45D4-93E5-17EE44EED7D3}" name="MP" dataDxfId="170">
      <calculatedColumnFormula>Table1922[[#This Row],[Level]]*10 + 20</calculatedColumnFormula>
    </tableColumn>
    <tableColumn id="4" xr3:uid="{C4545271-63AB-4362-AFD0-75163CCB58EF}" name="ATK" dataDxfId="169"/>
    <tableColumn id="5" xr3:uid="{86A4D6B9-AD17-49DD-8DA2-FFA5E1524EBD}" name="DEF" dataDxfId="168"/>
    <tableColumn id="6" xr3:uid="{E7353087-15C2-4F04-A487-D3F31754ABD6}" name="MAT" dataDxfId="167"/>
    <tableColumn id="7" xr3:uid="{ED5F6DB9-0B11-4EFF-A230-1A55AF879970}" name="MDF" dataDxfId="166"/>
    <tableColumn id="8" xr3:uid="{58B92910-71F9-41E1-9754-359D180D0AAC}" name="AGI" dataDxfId="165"/>
    <tableColumn id="9" xr3:uid="{75D84CD3-53A0-4336-93D8-A352C50C03CA}" name="LUK" dataDxfId="16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63">
      <calculatedColumnFormula>Table131620[[#This Row],[Level]]*50 + 100</calculatedColumnFormula>
    </tableColumn>
    <tableColumn id="3" xr3:uid="{59EABEF7-2BEF-47B5-8F65-5CA01989879E}" name="MP" dataDxfId="162">
      <calculatedColumnFormula>Table131620[[#This Row],[Level]]*15+100</calculatedColumnFormula>
    </tableColumn>
    <tableColumn id="4" xr3:uid="{1126F36B-2E1E-425F-9D79-2C33533A233C}" name="ATK" dataDxfId="161">
      <calculatedColumnFormula>Table131620[[#This Row],[Level]]*1+ 15</calculatedColumnFormula>
    </tableColumn>
    <tableColumn id="5" xr3:uid="{4235BC6B-708C-4D42-BF8A-BB1DFF8F3B48}" name="DEF" dataDxfId="160">
      <calculatedColumnFormula>Table131620[[#This Row],[Level]]*1 + 15</calculatedColumnFormula>
    </tableColumn>
    <tableColumn id="6" xr3:uid="{5089908A-1F1A-4ABC-83C5-4AB9A3F6939C}" name="MAT" dataDxfId="159">
      <calculatedColumnFormula>Table131620[[#This Row],[Level]]*1.5 + 15</calculatedColumnFormula>
    </tableColumn>
    <tableColumn id="7" xr3:uid="{244F2331-26E8-40D3-9798-7F332C488BA2}" name="MDF" dataDxfId="158">
      <calculatedColumnFormula>Table131620[[#This Row],[Level]]*1.5 + 15</calculatedColumnFormula>
    </tableColumn>
    <tableColumn id="8" xr3:uid="{2AD0FECD-797E-4EEA-B5DD-FEB78C15117F}" name="AGI" dataDxfId="157">
      <calculatedColumnFormula>Table131620[[#This Row],[Level]]*1.25 + 15</calculatedColumnFormula>
    </tableColumn>
    <tableColumn id="9" xr3:uid="{D4231BEE-7DAE-438E-B727-BC57B8F57597}" name="LUK" dataDxfId="156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55" tableBorderDxfId="154">
  <autoFilter ref="L3:T4" xr:uid="{5D2C3EA8-1297-4C77-AF32-84E50F8232C5}"/>
  <tableColumns count="9">
    <tableColumn id="1" xr3:uid="{0B061316-6B56-404F-BD50-AEA8EEBE29C7}" name="Level" dataDxfId="153"/>
    <tableColumn id="2" xr3:uid="{DD7F3A71-5685-4158-906B-EF22B1AE9AF0}" name="HP" dataDxfId="152">
      <calculatedColumnFormula>Table19[Level]*50 + 100</calculatedColumnFormula>
    </tableColumn>
    <tableColumn id="3" xr3:uid="{370CE45A-8A0C-43B6-91A5-13ED6B69FE90}" name="MP" dataDxfId="151">
      <calculatedColumnFormula>Table19[[#This Row],[Level]]*15+100</calculatedColumnFormula>
    </tableColumn>
    <tableColumn id="4" xr3:uid="{A67BA9CE-5223-45EC-A3F0-5AD854A4F789}" name="ATK" dataDxfId="150">
      <calculatedColumnFormula>Table19[[#This Row],[Level]]*1+ 15</calculatedColumnFormula>
    </tableColumn>
    <tableColumn id="5" xr3:uid="{C7704809-03E7-437C-B85B-D24236A90152}" name="DEF" dataDxfId="149">
      <calculatedColumnFormula>Table19[[#This Row],[Level]]*1 + 15 + 6</calculatedColumnFormula>
    </tableColumn>
    <tableColumn id="6" xr3:uid="{5A5291DB-ED22-43A9-9E32-0F7D8E2DF605}" name="MAT" dataDxfId="148">
      <calculatedColumnFormula>Table19[[#This Row],[Level]]*1.5 + 15 + 40</calculatedColumnFormula>
    </tableColumn>
    <tableColumn id="7" xr3:uid="{F6AEAE89-9D01-4371-80C5-75F4295522CF}" name="MDF" dataDxfId="147">
      <calculatedColumnFormula>Table19[[#This Row],[Level]]*1.5 + 15 + 12</calculatedColumnFormula>
    </tableColumn>
    <tableColumn id="8" xr3:uid="{27FAFF51-670F-4383-AE3D-7774533FB52E}" name="AGI" dataDxfId="146">
      <calculatedColumnFormula>Table19[[#This Row],[Level]]*1.25 + 15</calculatedColumnFormula>
    </tableColumn>
    <tableColumn id="9" xr3:uid="{1BFA026A-DC3F-4B70-9D2A-1628D758B39D}" name="LUK" dataDxfId="145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44">
      <calculatedColumnFormula>Table13161833[[#This Row],[Level]]*75 + 500</calculatedColumnFormula>
    </tableColumn>
    <tableColumn id="3" xr3:uid="{0004B47B-3968-4C5A-BE6C-B822A307D7C5}" name="MP" dataDxfId="143">
      <calculatedColumnFormula>Table13161833[[#This Row],[Level]]*10+20</calculatedColumnFormula>
    </tableColumn>
    <tableColumn id="4" xr3:uid="{67EC8D91-0122-40D7-87D0-A3AB6788CE9D}" name="ATK" dataDxfId="142">
      <calculatedColumnFormula>Table13161833[[#This Row],[Level]]*1.5+ 15</calculatedColumnFormula>
    </tableColumn>
    <tableColumn id="5" xr3:uid="{E9988E54-33D6-41EB-B6BE-6E832544E18C}" name="DEF" dataDxfId="141">
      <calculatedColumnFormula>Table13161833[[#This Row],[Level]]*1.5 + 15</calculatedColumnFormula>
    </tableColumn>
    <tableColumn id="6" xr3:uid="{16D71A55-372C-4029-A831-ECF2325E46C4}" name="MAT" dataDxfId="140">
      <calculatedColumnFormula>Table13161833[[#This Row],[Level]]*1 + 15</calculatedColumnFormula>
    </tableColumn>
    <tableColumn id="7" xr3:uid="{1802FB48-B110-4DBF-A8F2-64CD4890E741}" name="MDF" dataDxfId="139">
      <calculatedColumnFormula>Table13161833[[#This Row],[Level]]*1.5 + 15</calculatedColumnFormula>
    </tableColumn>
    <tableColumn id="8" xr3:uid="{350CA8CC-761C-4994-9D80-14685787EF3D}" name="AGI" dataDxfId="138">
      <calculatedColumnFormula>Table13161833[[#This Row],[Level]]*1.375 + 15</calculatedColumnFormula>
    </tableColumn>
    <tableColumn id="9" xr3:uid="{B578CF58-136A-41B9-800E-D75836A4CDD1}" name="LUK" dataDxfId="137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36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35" tableBorderDxfId="134">
  <autoFilter ref="A15:I16" xr:uid="{D0DF3ED4-9A21-493B-88F4-CE5814AF31C9}"/>
  <tableColumns count="9">
    <tableColumn id="1" xr3:uid="{A78A876E-6C8B-4FC8-BFD4-A9BC80EA3FC2}" name="Level" dataDxfId="133"/>
    <tableColumn id="2" xr3:uid="{4B423FFC-D037-484D-A927-2F66E15D422A}" name="HP" dataDxfId="132">
      <calculatedColumnFormula>(Table192235[Level]*75 + 500)*2</calculatedColumnFormula>
    </tableColumn>
    <tableColumn id="3" xr3:uid="{B695FEDE-EC59-44D8-AE99-CBF568DE5C93}" name="MP" dataDxfId="131">
      <calculatedColumnFormula>Table192235[[#This Row],[Level]]*14 + 80</calculatedColumnFormula>
    </tableColumn>
    <tableColumn id="4" xr3:uid="{160D5D77-34E8-44F3-B51D-7CC0736DDCB1}" name="ATK" dataDxfId="130">
      <calculatedColumnFormula>Table192235[[#This Row],[Level]]*1.5+ 15 + 50</calculatedColumnFormula>
    </tableColumn>
    <tableColumn id="5" xr3:uid="{559DAC37-CD6A-449F-AFF0-355ADE7CED80}" name="DEF" dataDxfId="129"/>
    <tableColumn id="6" xr3:uid="{EEC344A5-27A5-450E-B795-04D237DD063F}" name="MAT" dataDxfId="128">
      <calculatedColumnFormula>Table192235[Level]*1.5+15+50</calculatedColumnFormula>
    </tableColumn>
    <tableColumn id="7" xr3:uid="{54363CA4-9EE5-495F-8323-6C0C1261453C}" name="MDF" dataDxfId="127"/>
    <tableColumn id="8" xr3:uid="{26B56E9D-2FCD-4476-A6CF-8F2EDC965246}" name="AGI" dataDxfId="126"/>
    <tableColumn id="9" xr3:uid="{95814D66-3343-4190-9BF4-F4E45AB27D95}" name="LUK" dataDxfId="1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124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123">
      <calculatedColumnFormula>Table13167[[#This Row],[Level]]*63-100</calculatedColumnFormula>
    </tableColumn>
    <tableColumn id="3" xr3:uid="{E9621569-56FF-47E7-9862-FC92FAC1C576}" name="MP" dataDxfId="122">
      <calculatedColumnFormula>Table13167[[#This Row],[Level]]*10</calculatedColumnFormula>
    </tableColumn>
    <tableColumn id="4" xr3:uid="{28BC25CB-DFDA-4486-9929-9CA07015ACEC}" name="ATK" dataDxfId="121">
      <calculatedColumnFormula>Table13167[[#This Row],[Level]]*1.375+ 15</calculatedColumnFormula>
    </tableColumn>
    <tableColumn id="5" xr3:uid="{4F19BC44-4A9A-447E-BCFE-EBCA7F73E27C}" name="DEF" dataDxfId="120">
      <calculatedColumnFormula>Table13167[[#This Row],[Level]]*1.375 + 15</calculatedColumnFormula>
    </tableColumn>
    <tableColumn id="6" xr3:uid="{585C622F-EDFD-478A-B7AC-2300F7EC40B6}" name="MAT" dataDxfId="119">
      <calculatedColumnFormula>Table13167[[#This Row],[Level]]*1 + 15</calculatedColumnFormula>
    </tableColumn>
    <tableColumn id="7" xr3:uid="{4D664A3B-F840-4064-982E-516959FFFE80}" name="MDF" dataDxfId="118">
      <calculatedColumnFormula>Table13167[[#This Row],[Level]]*1.25+ 15</calculatedColumnFormula>
    </tableColumn>
    <tableColumn id="8" xr3:uid="{6A83289D-4D2C-4B86-8288-8E0D88EEFF85}" name="AGI" dataDxfId="117">
      <calculatedColumnFormula>Table13167[[#This Row],[Level]]*1.25 + 15</calculatedColumnFormula>
    </tableColumn>
    <tableColumn id="9" xr3:uid="{4C33EB48-74C2-47D6-870F-35D2D49D3558}" name="LUK" dataDxfId="116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115">
      <calculatedColumnFormula>Table131679[[#This Row],[Level]]*56.25+100</calculatedColumnFormula>
    </tableColumn>
    <tableColumn id="3" xr3:uid="{8EEC9751-28E7-41A4-A78F-6EA9934C1A52}" name="MP" dataDxfId="114">
      <calculatedColumnFormula>Table131679[[#This Row],[Level]]*10</calculatedColumnFormula>
    </tableColumn>
    <tableColumn id="4" xr3:uid="{551DBC8D-C1F9-431E-BE65-6008C6C634D8}" name="ATK" dataDxfId="113">
      <calculatedColumnFormula>Table131679[[#This Row],[Level]]*1.375+ 15 + 25</calculatedColumnFormula>
    </tableColumn>
    <tableColumn id="5" xr3:uid="{C9773950-14BB-4E0D-A68A-C952715F9420}" name="DEF" dataDxfId="112">
      <calculatedColumnFormula>Table131679[[#This Row],[Level]]*1.25 + 15 + 10</calculatedColumnFormula>
    </tableColumn>
    <tableColumn id="6" xr3:uid="{C9030533-FE21-4603-9B7F-56E1EA202112}" name="MAT" dataDxfId="111">
      <calculatedColumnFormula>Table131679[[#This Row],[Level]]*1 + 15</calculatedColumnFormula>
    </tableColumn>
    <tableColumn id="7" xr3:uid="{9AEE6B8F-A581-4136-83A2-A40D27A19079}" name="MDF" dataDxfId="110">
      <calculatedColumnFormula>Table131679[[#This Row],[Level]]*1.25+ 15 + 8</calculatedColumnFormula>
    </tableColumn>
    <tableColumn id="8" xr3:uid="{30C1EA69-009B-4C45-B758-5A4E2869B8E0}" name="AGI" dataDxfId="109">
      <calculatedColumnFormula>Table131679[[#This Row],[Level]]*1.5 + 15 + 5</calculatedColumnFormula>
    </tableColumn>
    <tableColumn id="9" xr3:uid="{0C309EA8-7C68-414C-9AEF-19A3079055BC}" name="LUK" dataDxfId="108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62">
      <calculatedColumnFormula>Table131611[[#This Row],[Level]]*56.25+200</calculatedColumnFormula>
    </tableColumn>
    <tableColumn id="3" xr3:uid="{562074CC-9FA5-4DCD-9CD7-0BF99E403D1D}" name="MP" dataDxfId="261">
      <calculatedColumnFormula>Table131611[[#This Row],[Level]]*10</calculatedColumnFormula>
    </tableColumn>
    <tableColumn id="4" xr3:uid="{CA308242-617E-4D28-8842-309A46576513}" name="ATK" dataDxfId="260">
      <calculatedColumnFormula>Table131611[[#This Row],[Level]]*1.25+ 15+30</calculatedColumnFormula>
    </tableColumn>
    <tableColumn id="5" xr3:uid="{8DEFEC48-72A2-4000-BBAC-49E6AAC4CFA7}" name="DEF" dataDxfId="259">
      <calculatedColumnFormula>Table131611[[#This Row],[Level]]*1.25 + 15+33</calculatedColumnFormula>
    </tableColumn>
    <tableColumn id="6" xr3:uid="{B08936F6-A9CF-4FDB-88B5-260CD2AB0EC9}" name="MAT" dataDxfId="258">
      <calculatedColumnFormula>Table131611[[#This Row],[Level]]*1</calculatedColumnFormula>
    </tableColumn>
    <tableColumn id="7" xr3:uid="{BFBA5362-FC90-4144-922B-553D2C152D05}" name="MDF" dataDxfId="257">
      <calculatedColumnFormula>Table131611[[#This Row],[Level]]*1+15</calculatedColumnFormula>
    </tableColumn>
    <tableColumn id="8" xr3:uid="{AC746062-EE21-4939-ACAD-9BB491959CF0}" name="AGI" dataDxfId="256">
      <calculatedColumnFormula>Table131611[[#This Row],[Level]]*1 + 15</calculatedColumnFormula>
    </tableColumn>
    <tableColumn id="9" xr3:uid="{2F766C3C-A331-48B3-8271-4C32811B2BB3}" name="LUK" dataDxfId="255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107">
      <calculatedColumnFormula>Table1316717[[#This Row],[Level]]*63+100</calculatedColumnFormula>
    </tableColumn>
    <tableColumn id="3" xr3:uid="{BAA0998C-C9BA-4131-BCFC-05790596DB78}" name="MP" dataDxfId="106">
      <calculatedColumnFormula>Table1316717[[#This Row],[Level]]*10</calculatedColumnFormula>
    </tableColumn>
    <tableColumn id="4" xr3:uid="{01F6813D-3052-455F-8D17-6AAE233215C4}" name="ATK" dataDxfId="105">
      <calculatedColumnFormula>Table1316717[[#This Row],[Level]]*1.375+ 15</calculatedColumnFormula>
    </tableColumn>
    <tableColumn id="5" xr3:uid="{B48E24B7-D7BD-4C2D-A60C-0393FF7535C3}" name="DEF" dataDxfId="104">
      <calculatedColumnFormula>Table1316717[[#This Row],[Level]]*1.375 + 15</calculatedColumnFormula>
    </tableColumn>
    <tableColumn id="6" xr3:uid="{13BA118E-6B00-4F41-9AFE-6F1E4548C218}" name="MAT" dataDxfId="103">
      <calculatedColumnFormula>Table1316717[[#This Row],[Level]]*1 + 15</calculatedColumnFormula>
    </tableColumn>
    <tableColumn id="7" xr3:uid="{2ED3B673-EB80-40C4-80C0-583E0B6370DB}" name="MDF" dataDxfId="102">
      <calculatedColumnFormula>Table1316717[[#This Row],[Level]]*1.25+ 15</calculatedColumnFormula>
    </tableColumn>
    <tableColumn id="8" xr3:uid="{5AD00210-9BCE-4AF3-9075-1C6B934E686C}" name="AGI" dataDxfId="101">
      <calculatedColumnFormula>Table1316717[[#This Row],[Level]]*1.25 + 15</calculatedColumnFormula>
    </tableColumn>
    <tableColumn id="9" xr3:uid="{02B9C036-A321-4EBE-90DF-CF68CB6FB35E}" name="LUK" dataDxfId="100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99">
      <calculatedColumnFormula>Table13167173[[#This Row],[Level]]*56.5+200</calculatedColumnFormula>
    </tableColumn>
    <tableColumn id="3" xr3:uid="{48184CEA-2CA3-4CEA-8AE5-71C005FA24C9}" name="MP" dataDxfId="98">
      <calculatedColumnFormula>Table13167173[[#This Row],[Level]]*12.5</calculatedColumnFormula>
    </tableColumn>
    <tableColumn id="4" xr3:uid="{3B46ED9A-2E4B-401C-B83E-32CE8A74CB32}" name="ATK" dataDxfId="97">
      <calculatedColumnFormula>Table13167173[[#This Row],[Level]]*1+ 15</calculatedColumnFormula>
    </tableColumn>
    <tableColumn id="5" xr3:uid="{E3091C6D-70B6-453C-B493-8D9CC0DD5C37}" name="DEF" dataDxfId="96">
      <calculatedColumnFormula>Table13167173[[#This Row],[Level]]*1 + 15+14</calculatedColumnFormula>
    </tableColumn>
    <tableColumn id="6" xr3:uid="{C2E89F50-3D99-49B9-8E98-20EFA4CBA8EB}" name="MAT" dataDxfId="95">
      <calculatedColumnFormula>Table13167173[[#This Row],[Level]]*1.125 + 15</calculatedColumnFormula>
    </tableColumn>
    <tableColumn id="7" xr3:uid="{51AF53BA-4D3D-4ABA-A3CC-2F9EF73D34CB}" name="MDF" dataDxfId="94">
      <calculatedColumnFormula>Table13167173[[#This Row],[Level]]*1.5+ 15+13</calculatedColumnFormula>
    </tableColumn>
    <tableColumn id="8" xr3:uid="{285CB6EF-4E49-4066-90AB-68B42C1B2989}" name="AGI" dataDxfId="93">
      <calculatedColumnFormula>Table13167173[[#This Row],[Level]]*1.25 + 15</calculatedColumnFormula>
    </tableColumn>
    <tableColumn id="9" xr3:uid="{34BE8683-723F-43E8-AE99-E2D525D32717}" name="LUK" dataDxfId="92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91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90">
      <calculatedColumnFormula>Table1316183336[[#This Row],[Level]]*125</calculatedColumnFormula>
    </tableColumn>
    <tableColumn id="3" xr3:uid="{F4B06187-BE28-4283-9518-F773FE75C2BF}" name="MP" dataDxfId="89">
      <calculatedColumnFormula>Table1316183336[[#This Row],[Level]]*10</calculatedColumnFormula>
    </tableColumn>
    <tableColumn id="4" xr3:uid="{91A68FC7-5F16-4880-AE82-97341814BB95}" name="ATK" dataDxfId="88">
      <calculatedColumnFormula>Table1316183336[[#This Row],[Level]]*4.5</calculatedColumnFormula>
    </tableColumn>
    <tableColumn id="5" xr3:uid="{2BCD0E58-85DE-4C10-BFBC-AF77BC569C92}" name="DEF" dataDxfId="87">
      <calculatedColumnFormula>Table1316183336[[#This Row],[Level]]*6</calculatedColumnFormula>
    </tableColumn>
    <tableColumn id="6" xr3:uid="{7C48A1FC-CE8F-4CDD-9A3D-308B46D78A48}" name="MAT" dataDxfId="86">
      <calculatedColumnFormula>Table1316183336[[#This Row],[Level]]*1</calculatedColumnFormula>
    </tableColumn>
    <tableColumn id="7" xr3:uid="{474D8178-EA8C-4322-93C3-B7F6EBA88102}" name="MDF" dataDxfId="85">
      <calculatedColumnFormula>Table1316183336[[#This Row],[Level]]*6</calculatedColumnFormula>
    </tableColumn>
    <tableColumn id="8" xr3:uid="{257B31D9-5838-45E0-A56E-9B1566E1A34A}" name="AGI" dataDxfId="84">
      <calculatedColumnFormula>Table1316183336[[#This Row],[Level]]*1.5</calculatedColumnFormula>
    </tableColumn>
    <tableColumn id="9" xr3:uid="{17960EB4-4250-49DB-9A6B-455B9913B04B}" name="LUK" dataDxfId="83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82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81">
      <calculatedColumnFormula>Table131618333637[[#This Row],[Level]]*100</calculatedColumnFormula>
    </tableColumn>
    <tableColumn id="3" xr3:uid="{DE5141FB-3B4E-46D4-9E0D-AF1DEE998B4A}" name="MP" dataDxfId="80">
      <calculatedColumnFormula>Table131618333637[[#This Row],[Level]]*10</calculatedColumnFormula>
    </tableColumn>
    <tableColumn id="4" xr3:uid="{404B3E88-DF62-4AA0-82D6-C21C2BCA762B}" name="ATK" dataDxfId="79">
      <calculatedColumnFormula>Table131618333637[[#This Row],[Level]]*4.5</calculatedColumnFormula>
    </tableColumn>
    <tableColumn id="5" xr3:uid="{342B3F39-F7A2-45D8-9CD4-39B5ABC72D2F}" name="DEF" dataDxfId="78">
      <calculatedColumnFormula>Table131618333637[[#This Row],[Level]]*3</calculatedColumnFormula>
    </tableColumn>
    <tableColumn id="6" xr3:uid="{CD819DB3-9F2E-4428-AAFC-72776ECB8EAF}" name="MAT" dataDxfId="77">
      <calculatedColumnFormula>Table131618333637[[#This Row],[Level]]*3</calculatedColumnFormula>
    </tableColumn>
    <tableColumn id="7" xr3:uid="{270DF964-8095-43FD-B050-DD4A2A138F32}" name="MDF" dataDxfId="76">
      <calculatedColumnFormula>Table131618333637[[#This Row],[Level]]*3</calculatedColumnFormula>
    </tableColumn>
    <tableColumn id="8" xr3:uid="{4F4D3B2A-5B86-4AB7-A97E-18E2868266B8}" name="AGI" dataDxfId="75">
      <calculatedColumnFormula>Table131618333637[[#This Row],[Level]]*6</calculatedColumnFormula>
    </tableColumn>
    <tableColumn id="9" xr3:uid="{0178CE2D-63C5-426A-A081-D62E62FF91AC}" name="LUK" dataDxfId="74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73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72">
      <calculatedColumnFormula>Table13161833363738[[#This Row],[Level]]*87.5</calculatedColumnFormula>
    </tableColumn>
    <tableColumn id="3" xr3:uid="{D29F5CDE-1200-4C77-A4BA-0DE4F7C46627}" name="MP" dataDxfId="71">
      <calculatedColumnFormula>Table13161833363738[[#This Row],[Level]]*10</calculatedColumnFormula>
    </tableColumn>
    <tableColumn id="4" xr3:uid="{9701140A-64F9-4967-9DEE-3460411D91C1}" name="ATK" dataDxfId="70">
      <calculatedColumnFormula>Table13161833363738[[#This Row],[Level]]*6</calculatedColumnFormula>
    </tableColumn>
    <tableColumn id="5" xr3:uid="{F90A425E-E031-4255-8AF9-DAD672F8DD7D}" name="DEF" dataDxfId="69">
      <calculatedColumnFormula>Table13161833363738[[#This Row],[Level]]*4.5</calculatedColumnFormula>
    </tableColumn>
    <tableColumn id="6" xr3:uid="{255210A0-6EB8-4CFB-84DD-42C88AEAF7AA}" name="MAT" dataDxfId="68">
      <calculatedColumnFormula>Table13161833363738[[#This Row],[Level]]*1</calculatedColumnFormula>
    </tableColumn>
    <tableColumn id="7" xr3:uid="{91177FDD-F316-4D6B-A547-FC5FA6DAC266}" name="MDF" dataDxfId="67">
      <calculatedColumnFormula>Table13161833363738[[#This Row],[Level]]*3</calculatedColumnFormula>
    </tableColumn>
    <tableColumn id="8" xr3:uid="{ADA902F7-B7D7-4B1B-A144-E5252296AB61}" name="AGI" dataDxfId="66">
      <calculatedColumnFormula>Table13161833363738[[#This Row],[Level]]*6</calculatedColumnFormula>
    </tableColumn>
    <tableColumn id="9" xr3:uid="{78273DA6-F2CA-4999-B4EA-F6C044BC41AB}" name="LUK" dataDxfId="65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9" totalsRowShown="0">
  <autoFilter ref="A4:I9" xr:uid="{DD778A26-93EC-4B14-A9D1-160AE03B48D3}"/>
  <tableColumns count="9">
    <tableColumn id="1" xr3:uid="{F0A3DB96-38E4-4CD0-BAF6-C8BB768B1256}" name="Level"/>
    <tableColumn id="2" xr3:uid="{07B77441-F84C-41C6-A00C-B69369FBF0F1}" name="HP" dataDxfId="64">
      <calculatedColumnFormula>Table131639[[#This Row],[Level]]*75 + 500</calculatedColumnFormula>
    </tableColumn>
    <tableColumn id="3" xr3:uid="{2DBE06DE-38E0-4433-B590-3850C554BB8E}" name="MP" dataDxfId="63">
      <calculatedColumnFormula>Table131639[[#This Row],[Level]]*10+20</calculatedColumnFormula>
    </tableColumn>
    <tableColumn id="4" xr3:uid="{DE8CC9D0-45D8-4F85-9317-09844C8D4DD7}" name="ATK" dataDxfId="62">
      <calculatedColumnFormula>Table131639[[#This Row],[Level]]*1.375+ 15 + 40</calculatedColumnFormula>
    </tableColumn>
    <tableColumn id="5" xr3:uid="{9D33BCF5-CDB6-4BB0-8603-810E71EE1C47}" name="DEF" dataDxfId="61">
      <calculatedColumnFormula>Table131639[[#This Row],[Level]]*1.375 + 15 + 19</calculatedColumnFormula>
    </tableColumn>
    <tableColumn id="6" xr3:uid="{1693AB2F-85DB-4286-A43C-82A15CDDA173}" name="MAT" dataDxfId="60">
      <calculatedColumnFormula>Table131639[[#This Row],[Level]]*1 + 15</calculatedColumnFormula>
    </tableColumn>
    <tableColumn id="7" xr3:uid="{DCA68233-62C9-4E66-9306-24AE49EE344C}" name="MDF" dataDxfId="59">
      <calculatedColumnFormula>Table131639[[#This Row],[Level]]*1 + 15 + 5</calculatedColumnFormula>
    </tableColumn>
    <tableColumn id="8" xr3:uid="{60943D8A-0008-4FFE-AE90-4DDEB0149A21}" name="AGI" dataDxfId="58">
      <calculatedColumnFormula>Table131639[[#This Row],[Level]]*1.25 + 15</calculatedColumnFormula>
    </tableColumn>
    <tableColumn id="9" xr3:uid="{E7EC6C93-3486-414B-87DB-F4D38BB2A0DC}" name="LUK" dataDxfId="57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6" totalsRowShown="0">
  <autoFilter ref="A12:I16" xr:uid="{2A794F38-5DB8-40A3-A8E2-90B5A0A4A192}"/>
  <tableColumns count="9">
    <tableColumn id="1" xr3:uid="{C5A2CF3A-0965-428C-AD05-883EDB0D400F}" name="Level"/>
    <tableColumn id="2" xr3:uid="{C8840580-F723-4CA3-A107-42FCC677D424}" name="HP" dataDxfId="56">
      <calculatedColumnFormula>Table13182227[[#This Row],[Level]]*62.5+ 300</calculatedColumnFormula>
    </tableColumn>
    <tableColumn id="3" xr3:uid="{5D9241C6-74A5-4C1F-A8F7-69DB1BDA83FE}" name="MP" dataDxfId="55">
      <calculatedColumnFormula>Table13182227[[#This Row],[Level]]*12.5+60</calculatedColumnFormula>
    </tableColumn>
    <tableColumn id="4" xr3:uid="{D98F9CCD-2FEF-4FB2-B5AD-D2A6B610781B}" name="ATK" dataDxfId="54">
      <calculatedColumnFormula>Table13182227[[#This Row],[Level]]*1.25 + 15</calculatedColumnFormula>
    </tableColumn>
    <tableColumn id="5" xr3:uid="{CF1AF448-2207-48D1-8FE3-0A6B5DE3511C}" name="DEF" dataDxfId="53">
      <calculatedColumnFormula>Table13182227[[#This Row],[Level]]*1 + 15 + 10</calculatedColumnFormula>
    </tableColumn>
    <tableColumn id="6" xr3:uid="{A632BAA7-E71C-41F8-B5B0-90891BB5BA9B}" name="MAT" dataDxfId="52">
      <calculatedColumnFormula>Table13182227[[#This Row],[Level]]*1.25 + 15</calculatedColumnFormula>
    </tableColumn>
    <tableColumn id="7" xr3:uid="{E76132BC-BC67-4915-8112-E0B292C65C91}" name="MDF" dataDxfId="51">
      <calculatedColumnFormula>Table13182227[[#This Row],[Level]]*1 + 15 + 8</calculatedColumnFormula>
    </tableColumn>
    <tableColumn id="8" xr3:uid="{B25B7E33-B3CF-4D3D-9A14-3CE5B75535E8}" name="AGI" dataDxfId="50">
      <calculatedColumnFormula>Table13182227[[#This Row],[Level]]*1.5 + 15 + 40</calculatedColumnFormula>
    </tableColumn>
    <tableColumn id="9" xr3:uid="{40820F61-4B4C-4B23-95CF-AD5CDE975F4A}" name="LUK" dataDxfId="49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54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4" totalsRowShown="0">
  <autoFilter ref="A20:I24" xr:uid="{6015D08B-C4A1-43B9-B8BF-6F441CC08DCA}"/>
  <tableColumns count="9">
    <tableColumn id="1" xr3:uid="{D4205A68-390A-4750-8556-3B4847E58D16}" name="Level"/>
    <tableColumn id="2" xr3:uid="{D7D1DEBE-6CE0-4976-A401-D4F35A038AA9}" name="HP" dataDxfId="48">
      <calculatedColumnFormula>Table13162044[[#This Row],[Level]]*50 + 100</calculatedColumnFormula>
    </tableColumn>
    <tableColumn id="3" xr3:uid="{3CB0ED8A-F14B-4E5F-8474-F3034EA78A85}" name="MP" dataDxfId="47">
      <calculatedColumnFormula>Table13162044[[#This Row],[Level]]*15+100</calculatedColumnFormula>
    </tableColumn>
    <tableColumn id="4" xr3:uid="{F3186E07-87BD-4E53-8F85-AB4798362B0C}" name="ATK" dataDxfId="46">
      <calculatedColumnFormula>Table13162044[[#This Row],[Level]]*1+ 15</calculatedColumnFormula>
    </tableColumn>
    <tableColumn id="5" xr3:uid="{22ED75D6-B85C-4DF9-BC39-4154BAF3990E}" name="DEF" dataDxfId="45">
      <calculatedColumnFormula>Table13162044[[#This Row],[Level]]*1 + 15 + 4</calculatedColumnFormula>
    </tableColumn>
    <tableColumn id="6" xr3:uid="{B2DFC87A-2BEE-4B5A-AF53-4E18078ABC1B}" name="MAT" dataDxfId="44">
      <calculatedColumnFormula>Table13162044[[#This Row],[Level]]*1.375 + 15 + 40</calculatedColumnFormula>
    </tableColumn>
    <tableColumn id="7" xr3:uid="{8FF82542-4129-4E67-AA7B-7CB38D8FB051}" name="MDF" dataDxfId="43">
      <calculatedColumnFormula>Table13162044[[#This Row],[Level]]*1.375 + 15 + 14</calculatedColumnFormula>
    </tableColumn>
    <tableColumn id="8" xr3:uid="{85F4097E-90A5-4A7C-B184-42B110E62300}" name="AGI" dataDxfId="42">
      <calculatedColumnFormula>Table13162044[[#This Row],[Level]]*1.25 + 15</calculatedColumnFormula>
    </tableColumn>
    <tableColumn id="9" xr3:uid="{E1A21F56-D819-4CE3-9122-F47B8A4039A9}" name="LUK" dataDxfId="41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A1F9CE0-57B7-46D3-A438-8752A6EBC657}" name="Table131822" displayName="Table131822" ref="A27:I30" totalsRowShown="0">
  <autoFilter ref="A27:I30" xr:uid="{4506A984-1EE8-4D0B-9AFB-6DE5576F3317}"/>
  <tableColumns count="9">
    <tableColumn id="1" xr3:uid="{97BB3945-930E-41A9-B479-678FD9D8EE85}" name="Level"/>
    <tableColumn id="2" xr3:uid="{2197951B-D7A2-413F-8152-C8BB282E3498}" name="HP" dataDxfId="40">
      <calculatedColumnFormula>Table131822[[#This Row],[Level]]*62.5+ 300</calculatedColumnFormula>
    </tableColumn>
    <tableColumn id="3" xr3:uid="{54D89380-BDA0-4B18-8B8B-482E9AA62AD3}" name="MP" dataDxfId="39">
      <calculatedColumnFormula>Table131822[[#This Row],[Level]]*12.5+60</calculatedColumnFormula>
    </tableColumn>
    <tableColumn id="4" xr3:uid="{DCD1A325-B7AE-4283-89E4-85446F157A12}" name="ATK" dataDxfId="38">
      <calculatedColumnFormula>Table131822[[#This Row],[Level]]*1.125 + 15</calculatedColumnFormula>
    </tableColumn>
    <tableColumn id="5" xr3:uid="{1CD051D4-B531-4706-95A8-BBF452C5188D}" name="DEF" dataDxfId="37">
      <calculatedColumnFormula>Table131822[[#This Row],[Level]]*1.25 + 15 + 19</calculatedColumnFormula>
    </tableColumn>
    <tableColumn id="6" xr3:uid="{E17A43F1-7669-40E6-BD8C-8623B203A60F}" name="MAT" dataDxfId="36">
      <calculatedColumnFormula>Table131822[[#This Row],[Level]]*1.125 + 15</calculatedColumnFormula>
    </tableColumn>
    <tableColumn id="7" xr3:uid="{04F7D6BA-3673-4BE0-97CA-65C8DD4612E3}" name="MDF" dataDxfId="35">
      <calculatedColumnFormula>Table131822[[#This Row],[Level]]*1.25 + 15 + 5</calculatedColumnFormula>
    </tableColumn>
    <tableColumn id="8" xr3:uid="{7AA9AD24-2AFF-4204-AAEF-0CC3265C40FA}" name="AGI" dataDxfId="34">
      <calculatedColumnFormula>Table131822[[#This Row],[Level]]*1 + 15</calculatedColumnFormula>
    </tableColumn>
    <tableColumn id="9" xr3:uid="{ABFCE932-20B6-4AEE-A261-B747D2EC6FA8}" name="LUK" dataDxfId="33">
      <calculatedColumnFormula>Table131822[[#This Row],[Level]]*1.5 + 15 + 40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9200053-35AC-4923-AC77-58FBB0806D21}" name="Table13163946" displayName="Table13163946" ref="P4:X9" totalsRowShown="0">
  <autoFilter ref="P4:X9" xr:uid="{7E10C2C1-D4A2-4595-8F68-D39C5EF91F11}"/>
  <tableColumns count="9">
    <tableColumn id="1" xr3:uid="{0DA2010E-5B86-4EB0-A1CB-2F1DA2E20D55}" name="Level"/>
    <tableColumn id="2" xr3:uid="{18F550C2-BA99-442C-BEF0-F2A727225321}" name="HP" dataDxfId="32">
      <calculatedColumnFormula>Table13163946[[#This Row],[Level]]*106.25 + 500</calculatedColumnFormula>
    </tableColumn>
    <tableColumn id="3" xr3:uid="{AF6041D8-0897-4671-9A81-6EE8816F6BBE}" name="MP" dataDxfId="31">
      <calculatedColumnFormula>Table13163946[[#This Row],[Level]]*10+20</calculatedColumnFormula>
    </tableColumn>
    <tableColumn id="4" xr3:uid="{E65D65BD-05C4-4A9B-ABA0-B601294BE295}" name="ATK" dataDxfId="30">
      <calculatedColumnFormula>Table13163946[[#This Row],[Level]]*2.125+ 15 + 40</calculatedColumnFormula>
    </tableColumn>
    <tableColumn id="5" xr3:uid="{778501FE-4E31-4734-A31A-EEEE7EF05B63}" name="DEF" dataDxfId="29">
      <calculatedColumnFormula>Table13163946[[#This Row],[Level]]*2.125 + 15 + 20</calculatedColumnFormula>
    </tableColumn>
    <tableColumn id="6" xr3:uid="{B5B2244A-14A8-46D8-BF8F-67AC8D3241DA}" name="MAT" dataDxfId="28">
      <calculatedColumnFormula>Table13163946[[#This Row],[Level]]*1 + 15</calculatedColumnFormula>
    </tableColumn>
    <tableColumn id="7" xr3:uid="{9A962E99-0281-41D8-9287-E65CD6E131FB}" name="MDF" dataDxfId="27">
      <calculatedColumnFormula>Table13163946[[#This Row],[Level]]*2.125 + 15 + 40</calculatedColumnFormula>
    </tableColumn>
    <tableColumn id="8" xr3:uid="{1AEB996E-4494-401F-BBA6-260C80317786}" name="AGI" dataDxfId="26">
      <calculatedColumnFormula>Table13163946[[#This Row],[Level]]*1.5 + 15</calculatedColumnFormula>
    </tableColumn>
    <tableColumn id="9" xr3:uid="{9670DFBA-0FF6-4756-ACBC-24B43785B711}" name="LUK" dataDxfId="25">
      <calculatedColumnFormula>Table13163946[[#This Row],[Level]]*1 + 15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94EF299-00E0-43B9-883C-EE42B8F651D8}" name="Table13163948" displayName="Table13163948" ref="P17:X22" totalsRowShown="0">
  <autoFilter ref="P17:X22" xr:uid="{34DCA2BD-7E90-4BA9-882D-4A0B5CA055A2}"/>
  <tableColumns count="9">
    <tableColumn id="1" xr3:uid="{2AC3EA1B-ED8B-468F-B2A6-478A7888C995}" name="Level"/>
    <tableColumn id="2" xr3:uid="{11C9D480-A783-4641-BBCD-983BB72FDE5E}" name="HP" dataDxfId="0">
      <calculatedColumnFormula>Table13163948[[#This Row],[Level]]*75 + 500 + 800</calculatedColumnFormula>
    </tableColumn>
    <tableColumn id="3" xr3:uid="{03905492-344D-488D-BA0A-796528D82C7E}" name="MP" dataDxfId="7">
      <calculatedColumnFormula>Table13163948[[#This Row],[Level]]*10+20</calculatedColumnFormula>
    </tableColumn>
    <tableColumn id="4" xr3:uid="{F7DA4593-8DF4-45AC-B00B-B64FDCC5B736}" name="ATK" dataDxfId="6">
      <calculatedColumnFormula>Table13163948[[#This Row],[Level]]*1.375+ 15 + 40</calculatedColumnFormula>
    </tableColumn>
    <tableColumn id="5" xr3:uid="{53D3990A-7FA7-46A4-830F-4FB19D3D6B6B}" name="DEF" dataDxfId="2">
      <calculatedColumnFormula>Table13163948[[#This Row],[Level]]*1.375 + 15 + 21</calculatedColumnFormula>
    </tableColumn>
    <tableColumn id="6" xr3:uid="{6DF255D1-55F9-4368-A244-C7F30A95F80B}" name="MAT" dataDxfId="5">
      <calculatedColumnFormula>Table13163948[[#This Row],[Level]]*1 + 15</calculatedColumnFormula>
    </tableColumn>
    <tableColumn id="7" xr3:uid="{3FCEFA1B-B764-42CB-BA1A-3C45F9507B46}" name="MDF" dataDxfId="1">
      <calculatedColumnFormula>Table13163948[[#This Row],[Level]]*1 + 15 + 7</calculatedColumnFormula>
    </tableColumn>
    <tableColumn id="8" xr3:uid="{3774B5F6-1896-4C00-9EB2-5E37E70AFBEA}" name="AGI" dataDxfId="4">
      <calculatedColumnFormula>Table13163948[[#This Row],[Level]]*1.25 + 15</calculatedColumnFormula>
    </tableColumn>
    <tableColumn id="9" xr3:uid="{8F366B0D-3C62-4955-826F-672B2C04A72E}" name="LUK" dataDxfId="3">
      <calculatedColumnFormula>Table13163948[[#This Row],[Level]]*1.25 + 15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11B1E6C-19A5-42E4-847D-0CD22EB4A103}" name="Table1318222743" displayName="Table1318222743" ref="A3:I7" totalsRowShown="0">
  <autoFilter ref="A3:I7" xr:uid="{7F8360B3-D323-4505-8E52-764F2EEFEF08}"/>
  <tableColumns count="9">
    <tableColumn id="1" xr3:uid="{2DA75379-E191-41C6-A461-F7A952576C54}" name="Level"/>
    <tableColumn id="2" xr3:uid="{0E110670-3AC7-427B-B6F4-6865DC721C3B}" name="HP" dataDxfId="24">
      <calculatedColumnFormula>Table1318222743[[#This Row],[Level]]*62.5+ 300</calculatedColumnFormula>
    </tableColumn>
    <tableColumn id="3" xr3:uid="{DD071379-690C-45AA-9EB0-1452F203E78A}" name="MP" dataDxfId="23">
      <calculatedColumnFormula>Table1318222743[[#This Row],[Level]]*12.5+60</calculatedColumnFormula>
    </tableColumn>
    <tableColumn id="4" xr3:uid="{16C4CC92-9435-4196-8A09-D27E77854475}" name="ATK" dataDxfId="22">
      <calculatedColumnFormula>Table1318222743[[#This Row],[Level]]*1.25 + 15</calculatedColumnFormula>
    </tableColumn>
    <tableColumn id="5" xr3:uid="{ACFF3F1F-0DEB-4962-A30C-E7A1BD1814C4}" name="DEF" dataDxfId="21">
      <calculatedColumnFormula>Table1318222743[[#This Row],[Level]]*1 + 15 + 10</calculatedColumnFormula>
    </tableColumn>
    <tableColumn id="6" xr3:uid="{AF9BE2E5-89EE-468C-B0ED-D05B0FFE3880}" name="MAT" dataDxfId="20">
      <calculatedColumnFormula>Table1318222743[[#This Row],[Level]]*1.25 + 15</calculatedColumnFormula>
    </tableColumn>
    <tableColumn id="7" xr3:uid="{BF26333D-F5E1-471D-8EB4-69106E629333}" name="MDF" dataDxfId="19">
      <calculatedColumnFormula>Table1318222743[[#This Row],[Level]]*1 + 15 + 8</calculatedColumnFormula>
    </tableColumn>
    <tableColumn id="8" xr3:uid="{419D6271-6B9C-434E-BF38-4DE7848F9419}" name="AGI" dataDxfId="18">
      <calculatedColumnFormula>Table1318222743[[#This Row],[Level]]*1.5 + 15 + 40</calculatedColumnFormula>
    </tableColumn>
    <tableColumn id="9" xr3:uid="{CB85A19D-24B4-428F-A77F-481DA3FAACF8}" name="LUK" dataDxfId="17">
      <calculatedColumnFormula>Table1318222743[[#This Row],[Level]]*1.25 + 15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16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15">
      <calculatedColumnFormula>Table1316183336373847[[#This Row],[Level]]*168.75</calculatedColumnFormula>
    </tableColumn>
    <tableColumn id="3" xr3:uid="{052B9451-309F-4C84-8FC4-08AD4866120D}" name="MP" dataDxfId="14">
      <calculatedColumnFormula>Table1316183336373847[[#This Row],[Level]]*10</calculatedColumnFormula>
    </tableColumn>
    <tableColumn id="4" xr3:uid="{B73769F3-1F79-45AE-998C-FF1A9A557091}" name="ATK" dataDxfId="13">
      <calculatedColumnFormula>Table1316183336373847[[#This Row],[Level]]*3.5</calculatedColumnFormula>
    </tableColumn>
    <tableColumn id="5" xr3:uid="{B5E81D1B-B382-4DF5-92BA-F92F12A23A07}" name="DEF" dataDxfId="12">
      <calculatedColumnFormula>Table1316183336373847[[#This Row],[Level]]*4.75</calculatedColumnFormula>
    </tableColumn>
    <tableColumn id="6" xr3:uid="{A815FA03-2618-4DC9-9734-50DCE6DA615F}" name="MAT" dataDxfId="11">
      <calculatedColumnFormula>Table1316183336373847[[#This Row],[Level]]*1</calculatedColumnFormula>
    </tableColumn>
    <tableColumn id="7" xr3:uid="{D8263081-7D11-47BB-9AEC-CE559647F35D}" name="MDF" dataDxfId="10">
      <calculatedColumnFormula>Table1316183336373847[[#This Row],[Level]]*4.75</calculatedColumnFormula>
    </tableColumn>
    <tableColumn id="8" xr3:uid="{C838F145-4059-4C8C-8152-B8F66431FFE1}" name="AGI" dataDxfId="9">
      <calculatedColumnFormula>Table1316183336373847[[#This Row],[Level]]*3.5</calculatedColumnFormula>
    </tableColumn>
    <tableColumn id="9" xr3:uid="{431AC55C-A81C-4BB0-B544-6631F8331D55}" name="LUK" dataDxfId="8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53">
      <calculatedColumnFormula>Table13161123[[#This Row],[Level]]*63+300</calculatedColumnFormula>
    </tableColumn>
    <tableColumn id="3" xr3:uid="{7BCF83B8-7492-4991-A008-F212725940B9}" name="MP" dataDxfId="252">
      <calculatedColumnFormula>Table13161123[[#This Row],[Level]]*10</calculatedColumnFormula>
    </tableColumn>
    <tableColumn id="4" xr3:uid="{33220A80-38D8-4480-ACC7-DF484072C96B}" name="ATK" dataDxfId="251">
      <calculatedColumnFormula>Table13161123[[#This Row],[Level]]*1.5+ 15+40</calculatedColumnFormula>
    </tableColumn>
    <tableColumn id="5" xr3:uid="{36708515-5004-4705-A558-44B59D0CE676}" name="DEF" dataDxfId="250">
      <calculatedColumnFormula>Table13161123[[#This Row],[Level]]*1.25 + 15+21</calculatedColumnFormula>
    </tableColumn>
    <tableColumn id="6" xr3:uid="{11729EA3-08C4-4E0B-B5EE-5B3C08A31A9C}" name="MAT" dataDxfId="249">
      <calculatedColumnFormula>Table13161123[[#This Row],[Level]]*1</calculatedColumnFormula>
    </tableColumn>
    <tableColumn id="7" xr3:uid="{B179D090-E484-4663-937A-480D1164D655}" name="MDF" dataDxfId="248">
      <calculatedColumnFormula>Table13161123[[#This Row],[Level]]*1.25+15 + 7</calculatedColumnFormula>
    </tableColumn>
    <tableColumn id="8" xr3:uid="{28323AD0-B3BD-401F-A237-92C8B8D70FEA}" name="AGI" dataDxfId="247">
      <calculatedColumnFormula>Table13161123[[#This Row],[Level]]*1.25 + 15</calculatedColumnFormula>
    </tableColumn>
    <tableColumn id="9" xr3:uid="{657BED8B-4C8A-42DC-BECD-5EEF9D1B7F37}" name="LUK" dataDxfId="246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45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44">
      <calculatedColumnFormula>Table1316112324[[#This Row],[Level]]*50 + 100</calculatedColumnFormula>
    </tableColumn>
    <tableColumn id="3" xr3:uid="{0D914B89-2678-453F-BC18-571DCD45E628}" name="MP" dataDxfId="243">
      <calculatedColumnFormula>Table1316112324[[#This Row],[Level]]*13.75 + 80</calculatedColumnFormula>
    </tableColumn>
    <tableColumn id="4" xr3:uid="{6FBD2F64-5B1C-4035-BB1A-AFB092DB60C3}" name="ATK" dataDxfId="242">
      <calculatedColumnFormula>Table1316112324[[#This Row],[Level]]*1 + 15</calculatedColumnFormula>
    </tableColumn>
    <tableColumn id="5" xr3:uid="{7E0AF3FC-CC5D-4A6A-A4A2-DE278DEC4062}" name="DEF" dataDxfId="241">
      <calculatedColumnFormula>Table1316112324[[#This Row],[Level]]*1 + 15 + 4</calculatedColumnFormula>
    </tableColumn>
    <tableColumn id="6" xr3:uid="{3AF4D559-893B-4D50-BCB4-A1BD1FAF2F23}" name="MAT" dataDxfId="240">
      <calculatedColumnFormula>Table1316112324[[#This Row],[Level]]*1.5 + 15 + 40</calculatedColumnFormula>
    </tableColumn>
    <tableColumn id="7" xr3:uid="{6E9418A6-75AC-4541-9029-814EC5C06E70}" name="MDF" dataDxfId="239">
      <calculatedColumnFormula>Table1316112324[[#This Row],[Level]]*1.375+15 + 14</calculatedColumnFormula>
    </tableColumn>
    <tableColumn id="8" xr3:uid="{CD605BEE-D561-4A2C-8D06-8E9AD70C32AC}" name="AGI" dataDxfId="238">
      <calculatedColumnFormula>Table1316112324[[#This Row],[Level]]*1.25 + 15</calculatedColumnFormula>
    </tableColumn>
    <tableColumn id="9" xr3:uid="{E26506B2-F488-4AA4-AC87-819A22964609}" name="LUK" dataDxfId="237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36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35">
      <calculatedColumnFormula>Table131611232425[[#This Row],[Level]]*63 + 300</calculatedColumnFormula>
    </tableColumn>
    <tableColumn id="3" xr3:uid="{42935B44-C727-42B0-B48E-0369818BF78A}" name="MP" dataDxfId="234">
      <calculatedColumnFormula>Table131611232425[[#This Row],[Level]]*10 + 20</calculatedColumnFormula>
    </tableColumn>
    <tableColumn id="4" xr3:uid="{FC4572C7-88EC-4981-A6ED-43397844845B}" name="ATK" dataDxfId="233">
      <calculatedColumnFormula>Table131611232425[[#This Row],[Level]]*1 + 15</calculatedColumnFormula>
    </tableColumn>
    <tableColumn id="5" xr3:uid="{C8D61CEB-FFEC-42C3-9123-5140E65C1A2C}" name="DEF" dataDxfId="232">
      <calculatedColumnFormula>Table131611232425[[#This Row],[Level]]*1.375 + 15 + 19</calculatedColumnFormula>
    </tableColumn>
    <tableColumn id="6" xr3:uid="{8C971683-28D2-4474-83CA-936F352F1324}" name="MAT" dataDxfId="231">
      <calculatedColumnFormula>Table131611232425[[#This Row],[Level]]*1 + 15</calculatedColumnFormula>
    </tableColumn>
    <tableColumn id="7" xr3:uid="{3371862A-9CF2-47CA-A149-4921E3B33162}" name="MDF" dataDxfId="230">
      <calculatedColumnFormula>Table131611232425[[#This Row],[Level]]*1.375+15 + 5</calculatedColumnFormula>
    </tableColumn>
    <tableColumn id="8" xr3:uid="{AC6AC739-B4C9-47A6-9472-439C60B629A0}" name="AGI" dataDxfId="229">
      <calculatedColumnFormula>Table131611232425[[#This Row],[Level]]*1 + 15</calculatedColumnFormula>
    </tableColumn>
    <tableColumn id="9" xr3:uid="{E727A271-B479-47C0-A557-227ABD8EC0AC}" name="LUK" dataDxfId="228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Y30"/>
  <sheetViews>
    <sheetView tabSelected="1" topLeftCell="F6" workbookViewId="0">
      <selection activeCell="Q23" sqref="Q23"/>
    </sheetView>
  </sheetViews>
  <sheetFormatPr defaultRowHeight="15" x14ac:dyDescent="0.25"/>
  <sheetData>
    <row r="2" spans="1:25" x14ac:dyDescent="0.25">
      <c r="A2" t="s">
        <v>71</v>
      </c>
    </row>
    <row r="3" spans="1:25" x14ac:dyDescent="0.25">
      <c r="A3" t="s">
        <v>72</v>
      </c>
      <c r="P3" t="s">
        <v>70</v>
      </c>
    </row>
    <row r="4" spans="1:25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P4" t="s">
        <v>12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</row>
    <row r="5" spans="1:25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  <c r="P5">
        <v>1</v>
      </c>
      <c r="Q5">
        <f>Table13163946[[#This Row],[Level]]*106.25 + 500</f>
        <v>606.25</v>
      </c>
      <c r="R5">
        <f>Table13163946[[#This Row],[Level]]*10+20</f>
        <v>30</v>
      </c>
      <c r="S5">
        <f>Table13163946[[#This Row],[Level]]*2.125+ 15 + 40</f>
        <v>57.125</v>
      </c>
      <c r="T5">
        <f>Table13163946[[#This Row],[Level]]*2.125 + 15 + 20</f>
        <v>37.125</v>
      </c>
      <c r="U5">
        <f>Table13163946[[#This Row],[Level]]*1 + 15</f>
        <v>16</v>
      </c>
      <c r="V5">
        <f>Table13163946[[#This Row],[Level]]*2.125 + 15 + 40</f>
        <v>57.125</v>
      </c>
      <c r="W5">
        <f>Table13163946[[#This Row],[Level]]*1.5 + 15</f>
        <v>16.5</v>
      </c>
      <c r="X5">
        <f>Table13163946[[#This Row],[Level]]*1 + 15</f>
        <v>16</v>
      </c>
    </row>
    <row r="6" spans="1:25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  <c r="P6">
        <v>10</v>
      </c>
      <c r="Q6">
        <f>Table13163946[[#This Row],[Level]]*106.25 + 500</f>
        <v>1562.5</v>
      </c>
      <c r="R6">
        <f>Table13163946[[#This Row],[Level]]*10+20</f>
        <v>120</v>
      </c>
      <c r="S6">
        <f>Table13163946[[#This Row],[Level]]*2.125+ 15 + 40</f>
        <v>76.25</v>
      </c>
      <c r="T6">
        <f>Table13163946[[#This Row],[Level]]*2.125 + 15 + 20</f>
        <v>56.25</v>
      </c>
      <c r="U6">
        <f>Table13163946[[#This Row],[Level]]*1 + 15</f>
        <v>25</v>
      </c>
      <c r="V6">
        <f>Table13163946[[#This Row],[Level]]*2.125 + 15 + 40</f>
        <v>76.25</v>
      </c>
      <c r="W6">
        <f>Table13163946[[#This Row],[Level]]*1.5 + 15</f>
        <v>30</v>
      </c>
      <c r="X6">
        <f>Table13163946[[#This Row],[Level]]*1 + 15</f>
        <v>25</v>
      </c>
    </row>
    <row r="7" spans="1:25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  <c r="P7">
        <v>20</v>
      </c>
      <c r="Q7">
        <f>Table13163946[[#This Row],[Level]]*106.25 + 500</f>
        <v>2625</v>
      </c>
      <c r="R7">
        <f>Table13163946[[#This Row],[Level]]*10+20</f>
        <v>220</v>
      </c>
      <c r="S7">
        <f>Table13163946[[#This Row],[Level]]*2.125+ 15 + 40</f>
        <v>97.5</v>
      </c>
      <c r="T7">
        <f>Table13163946[[#This Row],[Level]]*2.125 + 15 + 20</f>
        <v>77.5</v>
      </c>
      <c r="U7">
        <f>Table13163946[[#This Row],[Level]]*1 + 15</f>
        <v>35</v>
      </c>
      <c r="V7">
        <f>Table13163946[[#This Row],[Level]]*2.125 + 15 + 40</f>
        <v>97.5</v>
      </c>
      <c r="W7">
        <f>Table13163946[[#This Row],[Level]]*1.5 + 15</f>
        <v>45</v>
      </c>
      <c r="X7">
        <f>Table13163946[[#This Row],[Level]]*1 + 15</f>
        <v>35</v>
      </c>
    </row>
    <row r="8" spans="1:25" x14ac:dyDescent="0.25">
      <c r="A8">
        <v>22</v>
      </c>
      <c r="B8" s="1">
        <f>Table131639[[#This Row],[Level]]*75 + 500</f>
        <v>2150</v>
      </c>
      <c r="C8" s="1">
        <f>Table131639[[#This Row],[Level]]*10+20</f>
        <v>240</v>
      </c>
      <c r="D8" s="1">
        <f>Table131639[[#This Row],[Level]]*1.375+ 15 + 40</f>
        <v>85.25</v>
      </c>
      <c r="E8" s="1">
        <f>Table131639[[#This Row],[Level]]*1.375 + 15 + 19</f>
        <v>64.25</v>
      </c>
      <c r="F8" s="1">
        <f>Table131639[[#This Row],[Level]]*1 + 15</f>
        <v>37</v>
      </c>
      <c r="G8" s="1">
        <f>Table131639[[#This Row],[Level]]*1 + 15 + 5</f>
        <v>42</v>
      </c>
      <c r="H8" s="1">
        <f>Table131639[[#This Row],[Level]]*1.25 + 15</f>
        <v>42.5</v>
      </c>
      <c r="I8" s="1">
        <f>Table131639[[#This Row],[Level]]*1.25 + 15</f>
        <v>42.5</v>
      </c>
      <c r="P8">
        <v>22</v>
      </c>
      <c r="Q8" s="1">
        <f>Table13163946[[#This Row],[Level]]*106.25 + 500</f>
        <v>2837.5</v>
      </c>
      <c r="R8" s="1">
        <f>Table13163946[[#This Row],[Level]]*10+20</f>
        <v>240</v>
      </c>
      <c r="S8" s="1">
        <f>Table13163946[[#This Row],[Level]]*2.125+ 15 + 40</f>
        <v>101.75</v>
      </c>
      <c r="T8" s="1">
        <f>Table13163946[[#This Row],[Level]]*2.125 + 15 + 20</f>
        <v>81.75</v>
      </c>
      <c r="U8" s="1">
        <f>Table13163946[[#This Row],[Level]]*1 + 15</f>
        <v>37</v>
      </c>
      <c r="V8" s="1">
        <f>Table13163946[[#This Row],[Level]]*2.125 + 15 + 40</f>
        <v>101.75</v>
      </c>
      <c r="W8" s="1">
        <f>Table13163946[[#This Row],[Level]]*1.5 + 15</f>
        <v>48</v>
      </c>
      <c r="X8" s="1">
        <f>Table13163946[[#This Row],[Level]]*1 + 15</f>
        <v>37</v>
      </c>
    </row>
    <row r="9" spans="1:25" x14ac:dyDescent="0.25">
      <c r="A9">
        <v>25</v>
      </c>
      <c r="B9" s="1">
        <f>Table131639[[#This Row],[Level]]*75 + 500</f>
        <v>2375</v>
      </c>
      <c r="C9" s="1">
        <f>Table131639[[#This Row],[Level]]*10+20</f>
        <v>270</v>
      </c>
      <c r="D9" s="1">
        <f>Table131639[[#This Row],[Level]]*1.375+ 15 + 40</f>
        <v>89.375</v>
      </c>
      <c r="E9" s="1">
        <f>Table131639[[#This Row],[Level]]*1.375 + 15 + 19</f>
        <v>68.375</v>
      </c>
      <c r="F9" s="1">
        <f>Table131639[[#This Row],[Level]]*1 + 15</f>
        <v>40</v>
      </c>
      <c r="G9" s="1">
        <f>Table131639[[#This Row],[Level]]*1 + 15 + 5</f>
        <v>45</v>
      </c>
      <c r="H9" s="1">
        <f>Table131639[[#This Row],[Level]]*1.25 + 15</f>
        <v>46.25</v>
      </c>
      <c r="I9" s="1">
        <f>Table131639[[#This Row],[Level]]*1.25 + 15</f>
        <v>46.25</v>
      </c>
      <c r="P9">
        <v>25</v>
      </c>
      <c r="Q9" s="1">
        <f>Table13163946[[#This Row],[Level]]*106.25 + 500</f>
        <v>3156.25</v>
      </c>
      <c r="R9" s="1">
        <f>Table13163946[[#This Row],[Level]]*10+20</f>
        <v>270</v>
      </c>
      <c r="S9" s="1">
        <f>Table13163946[[#This Row],[Level]]*2.125+ 15 + 40</f>
        <v>108.125</v>
      </c>
      <c r="T9" s="1">
        <f>Table13163946[[#This Row],[Level]]*2.125 + 15 + 20</f>
        <v>88.125</v>
      </c>
      <c r="U9" s="1">
        <f>Table13163946[[#This Row],[Level]]*1 + 15</f>
        <v>40</v>
      </c>
      <c r="V9" s="1">
        <f>Table13163946[[#This Row],[Level]]*2.125 + 15 + 40</f>
        <v>108.125</v>
      </c>
      <c r="W9" s="1">
        <f>Table13163946[[#This Row],[Level]]*1.5 + 15</f>
        <v>52.5</v>
      </c>
      <c r="X9" s="1">
        <f>Table13163946[[#This Row],[Level]]*1 + 15</f>
        <v>40</v>
      </c>
    </row>
    <row r="11" spans="1:25" x14ac:dyDescent="0.25">
      <c r="A11" t="s">
        <v>60</v>
      </c>
      <c r="P11" s="5" t="s">
        <v>1</v>
      </c>
      <c r="Q11" s="6" t="s">
        <v>2</v>
      </c>
      <c r="R11" s="6" t="s">
        <v>3</v>
      </c>
      <c r="S11" s="6" t="s">
        <v>4</v>
      </c>
      <c r="T11" s="6" t="s">
        <v>5</v>
      </c>
      <c r="U11" s="6" t="s">
        <v>6</v>
      </c>
      <c r="V11" s="6" t="s">
        <v>7</v>
      </c>
      <c r="W11" s="6" t="s">
        <v>8</v>
      </c>
      <c r="X11" s="6" t="s">
        <v>9</v>
      </c>
      <c r="Y11" s="7" t="s">
        <v>10</v>
      </c>
    </row>
    <row r="12" spans="1:25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P12" s="8" t="s">
        <v>69</v>
      </c>
      <c r="Q12" s="9">
        <v>10</v>
      </c>
      <c r="R12" s="9">
        <v>1</v>
      </c>
      <c r="S12" s="9">
        <v>10</v>
      </c>
      <c r="T12" s="9">
        <v>10</v>
      </c>
      <c r="U12" s="9">
        <v>1</v>
      </c>
      <c r="V12" s="9">
        <v>10</v>
      </c>
      <c r="W12" s="9">
        <v>5</v>
      </c>
      <c r="X12" s="9">
        <v>1</v>
      </c>
      <c r="Y12" s="10">
        <f>SUM(Q12:X12)</f>
        <v>48</v>
      </c>
    </row>
    <row r="13" spans="1:25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25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25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  <c r="P15" t="s">
        <v>73</v>
      </c>
    </row>
    <row r="16" spans="1:25" x14ac:dyDescent="0.25">
      <c r="A16">
        <v>25</v>
      </c>
      <c r="B16" s="1">
        <f>Table13182227[[#This Row],[Level]]*62.5+ 300</f>
        <v>1862.5</v>
      </c>
      <c r="C16" s="1">
        <f>Table13182227[[#This Row],[Level]]*12.5+60</f>
        <v>372.5</v>
      </c>
      <c r="D16" s="1">
        <f>Table13182227[[#This Row],[Level]]*1.25 + 15</f>
        <v>46.25</v>
      </c>
      <c r="E16" s="1">
        <f>Table13182227[[#This Row],[Level]]*1 + 15 + 10</f>
        <v>50</v>
      </c>
      <c r="F16" s="1">
        <f>Table13182227[[#This Row],[Level]]*1.25 + 15</f>
        <v>46.25</v>
      </c>
      <c r="G16" s="1">
        <f>Table13182227[[#This Row],[Level]]*1 + 15 + 8</f>
        <v>48</v>
      </c>
      <c r="H16" s="1">
        <f>Table13182227[[#This Row],[Level]]*1.5 + 15 + 40</f>
        <v>92.5</v>
      </c>
      <c r="I16" s="1">
        <f>Table13182227[[#This Row],[Level]]*1.25 + 15</f>
        <v>46.25</v>
      </c>
      <c r="P16" t="s">
        <v>74</v>
      </c>
    </row>
    <row r="17" spans="1:24" x14ac:dyDescent="0.25">
      <c r="P17" t="s">
        <v>12</v>
      </c>
      <c r="Q17" t="s">
        <v>2</v>
      </c>
      <c r="R17" t="s">
        <v>3</v>
      </c>
      <c r="S17" t="s">
        <v>4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</row>
    <row r="18" spans="1:24" x14ac:dyDescent="0.25">
      <c r="A18" t="s">
        <v>61</v>
      </c>
      <c r="P18">
        <v>1</v>
      </c>
      <c r="Q18">
        <f>Table13163948[[#This Row],[Level]]*75 + 500 + 800</f>
        <v>1375</v>
      </c>
      <c r="R18">
        <f>Table13163948[[#This Row],[Level]]*10+20</f>
        <v>30</v>
      </c>
      <c r="S18">
        <f>Table13163948[[#This Row],[Level]]*1.375+ 15 + 40</f>
        <v>56.375</v>
      </c>
      <c r="T18">
        <f>Table13163948[[#This Row],[Level]]*1.375 + 15 + 21</f>
        <v>37.375</v>
      </c>
      <c r="U18">
        <f>Table13163948[[#This Row],[Level]]*1 + 15</f>
        <v>16</v>
      </c>
      <c r="V18">
        <f>Table13163948[[#This Row],[Level]]*1 + 15 + 7</f>
        <v>23</v>
      </c>
      <c r="W18">
        <f>Table13163948[[#This Row],[Level]]*1.25 + 15</f>
        <v>16.25</v>
      </c>
      <c r="X18">
        <f>Table13163948[[#This Row],[Level]]*1.25 + 15</f>
        <v>16.25</v>
      </c>
    </row>
    <row r="19" spans="1:24" x14ac:dyDescent="0.25">
      <c r="A19" t="s">
        <v>67</v>
      </c>
      <c r="P19">
        <v>10</v>
      </c>
      <c r="Q19">
        <f>Table13163948[[#This Row],[Level]]*75 + 500 + 800</f>
        <v>2050</v>
      </c>
      <c r="R19">
        <f>Table13163948[[#This Row],[Level]]*10+20</f>
        <v>120</v>
      </c>
      <c r="S19">
        <f>Table13163948[[#This Row],[Level]]*1.375+ 15 + 40</f>
        <v>68.75</v>
      </c>
      <c r="T19">
        <f>Table13163948[[#This Row],[Level]]*1.375 + 15 + 21</f>
        <v>49.75</v>
      </c>
      <c r="U19">
        <f>Table13163948[[#This Row],[Level]]*1 + 15</f>
        <v>25</v>
      </c>
      <c r="V19">
        <f>Table13163948[[#This Row],[Level]]*1 + 15 + 7</f>
        <v>32</v>
      </c>
      <c r="W19">
        <f>Table13163948[[#This Row],[Level]]*1.25 + 15</f>
        <v>27.5</v>
      </c>
      <c r="X19">
        <f>Table13163948[[#This Row],[Level]]*1.25 + 15</f>
        <v>27.5</v>
      </c>
    </row>
    <row r="20" spans="1:24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P20">
        <v>20</v>
      </c>
      <c r="Q20">
        <f>Table13163948[[#This Row],[Level]]*75 + 500 + 800</f>
        <v>2800</v>
      </c>
      <c r="R20">
        <f>Table13163948[[#This Row],[Level]]*10+20</f>
        <v>220</v>
      </c>
      <c r="S20">
        <f>Table13163948[[#This Row],[Level]]*1.375+ 15 + 40</f>
        <v>82.5</v>
      </c>
      <c r="T20">
        <f>Table13163948[[#This Row],[Level]]*1.375 + 15 + 21</f>
        <v>63.5</v>
      </c>
      <c r="U20">
        <f>Table13163948[[#This Row],[Level]]*1 + 15</f>
        <v>35</v>
      </c>
      <c r="V20">
        <f>Table13163948[[#This Row],[Level]]*1 + 15 + 7</f>
        <v>42</v>
      </c>
      <c r="W20">
        <f>Table13163948[[#This Row],[Level]]*1.25 + 15</f>
        <v>40</v>
      </c>
      <c r="X20">
        <f>Table13163948[[#This Row],[Level]]*1.25 + 15</f>
        <v>40</v>
      </c>
    </row>
    <row r="21" spans="1:24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  <c r="P21">
        <v>22</v>
      </c>
      <c r="Q21" s="1">
        <f>Table13163948[[#This Row],[Level]]*75 + 500 + 800</f>
        <v>2950</v>
      </c>
      <c r="R21" s="1">
        <f>Table13163948[[#This Row],[Level]]*10+20</f>
        <v>240</v>
      </c>
      <c r="S21" s="1">
        <f>Table13163948[[#This Row],[Level]]*1.375+ 15 + 40</f>
        <v>85.25</v>
      </c>
      <c r="T21" s="1">
        <f>Table13163948[[#This Row],[Level]]*1.375 + 15 + 21</f>
        <v>66.25</v>
      </c>
      <c r="U21" s="1">
        <f>Table13163948[[#This Row],[Level]]*1 + 15</f>
        <v>37</v>
      </c>
      <c r="V21" s="1">
        <f>Table13163948[[#This Row],[Level]]*1 + 15 + 7</f>
        <v>44</v>
      </c>
      <c r="W21" s="1">
        <f>Table13163948[[#This Row],[Level]]*1.25 + 15</f>
        <v>42.5</v>
      </c>
      <c r="X21" s="1">
        <f>Table13163948[[#This Row],[Level]]*1.25 + 15</f>
        <v>42.5</v>
      </c>
    </row>
    <row r="22" spans="1:24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  <c r="P22">
        <v>28</v>
      </c>
      <c r="Q22" s="1">
        <f>Table13163948[[#This Row],[Level]]*75 + 500 + 800</f>
        <v>3400</v>
      </c>
      <c r="R22" s="1">
        <f>Table13163948[[#This Row],[Level]]*10+20</f>
        <v>300</v>
      </c>
      <c r="S22" s="1">
        <f>Table13163948[[#This Row],[Level]]*1.375+ 15 + 40</f>
        <v>93.5</v>
      </c>
      <c r="T22" s="1">
        <f>Table13163948[[#This Row],[Level]]*1.375 + 15 + 21</f>
        <v>74.5</v>
      </c>
      <c r="U22" s="1">
        <f>Table13163948[[#This Row],[Level]]*1 + 15</f>
        <v>43</v>
      </c>
      <c r="V22" s="1">
        <f>Table13163948[[#This Row],[Level]]*1 + 15 + 7</f>
        <v>50</v>
      </c>
      <c r="W22" s="1">
        <f>Table13163948[[#This Row],[Level]]*1.25 + 15</f>
        <v>50</v>
      </c>
      <c r="X22" s="1">
        <f>Table13163948[[#This Row],[Level]]*1.25 + 15</f>
        <v>50</v>
      </c>
    </row>
    <row r="23" spans="1:24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  <row r="24" spans="1:24" x14ac:dyDescent="0.25">
      <c r="A24">
        <v>25</v>
      </c>
      <c r="B24" s="1">
        <f>Table13162044[[#This Row],[Level]]*50 + 100</f>
        <v>1350</v>
      </c>
      <c r="C24" s="1">
        <f>Table13162044[[#This Row],[Level]]*15+100</f>
        <v>475</v>
      </c>
      <c r="D24" s="1">
        <f>Table13162044[[#This Row],[Level]]*1+ 15</f>
        <v>40</v>
      </c>
      <c r="E24" s="1">
        <f>Table13162044[[#This Row],[Level]]*1 + 15 + 4</f>
        <v>44</v>
      </c>
      <c r="F24" s="1">
        <f>Table13162044[[#This Row],[Level]]*1.375 + 15 + 40</f>
        <v>89.375</v>
      </c>
      <c r="G24" s="1">
        <f>Table13162044[[#This Row],[Level]]*1.375 + 15 + 14</f>
        <v>63.375</v>
      </c>
      <c r="H24" s="1">
        <f>Table13162044[[#This Row],[Level]]*1.25 + 15</f>
        <v>46.25</v>
      </c>
      <c r="I24" s="1">
        <f>Table13162044[[#This Row],[Level]]*1.25 + 15</f>
        <v>46.25</v>
      </c>
    </row>
    <row r="26" spans="1:24" x14ac:dyDescent="0.25">
      <c r="A26" t="s">
        <v>66</v>
      </c>
    </row>
    <row r="27" spans="1:24" x14ac:dyDescent="0.25">
      <c r="A27" t="s">
        <v>12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24" x14ac:dyDescent="0.25">
      <c r="A28">
        <v>1</v>
      </c>
      <c r="B28">
        <f>Table131822[[#This Row],[Level]]*62.5+ 300</f>
        <v>362.5</v>
      </c>
      <c r="C28">
        <f>Table131822[[#This Row],[Level]]*12.5+60</f>
        <v>72.5</v>
      </c>
      <c r="D28">
        <f>Table131822[[#This Row],[Level]]*1.125 + 15</f>
        <v>16.125</v>
      </c>
      <c r="E28">
        <f>Table131822[[#This Row],[Level]]*1.25 + 15 + 19</f>
        <v>35.25</v>
      </c>
      <c r="F28">
        <f>Table131822[[#This Row],[Level]]*1.125 + 15</f>
        <v>16.125</v>
      </c>
      <c r="G28">
        <f>Table131822[[#This Row],[Level]]*1.25 + 15 + 5</f>
        <v>21.25</v>
      </c>
      <c r="H28">
        <f>Table131822[[#This Row],[Level]]*1 + 15</f>
        <v>16</v>
      </c>
      <c r="I28">
        <f>Table131822[[#This Row],[Level]]*1.5 + 15 + 40</f>
        <v>56.5</v>
      </c>
    </row>
    <row r="29" spans="1:24" x14ac:dyDescent="0.25">
      <c r="A29">
        <v>20</v>
      </c>
      <c r="B29">
        <f>Table131822[[#This Row],[Level]]*62.5+ 300</f>
        <v>1550</v>
      </c>
      <c r="C29">
        <f>Table131822[[#This Row],[Level]]*12.5+60</f>
        <v>310</v>
      </c>
      <c r="D29">
        <f>Table131822[[#This Row],[Level]]*1.125 + 15</f>
        <v>37.5</v>
      </c>
      <c r="E29">
        <f>Table131822[[#This Row],[Level]]*1.25 + 15 + 19</f>
        <v>59</v>
      </c>
      <c r="F29">
        <f>Table131822[[#This Row],[Level]]*1.125 + 15</f>
        <v>37.5</v>
      </c>
      <c r="G29">
        <f>Table131822[[#This Row],[Level]]*1.25 + 15 + 5</f>
        <v>45</v>
      </c>
      <c r="H29">
        <f>Table131822[[#This Row],[Level]]*1 + 15</f>
        <v>35</v>
      </c>
      <c r="I29">
        <f>Table131822[[#This Row],[Level]]*1.5 + 15 + 40</f>
        <v>85</v>
      </c>
    </row>
    <row r="30" spans="1:24" x14ac:dyDescent="0.25">
      <c r="A30">
        <v>25</v>
      </c>
      <c r="B30">
        <f>Table131822[[#This Row],[Level]]*62.5+ 300</f>
        <v>1862.5</v>
      </c>
      <c r="C30">
        <f>Table131822[[#This Row],[Level]]*12.5+60</f>
        <v>372.5</v>
      </c>
      <c r="D30">
        <f>Table131822[[#This Row],[Level]]*1.125 + 15</f>
        <v>43.125</v>
      </c>
      <c r="E30">
        <f>Table131822[[#This Row],[Level]]*1.25 + 15 + 19</f>
        <v>65.25</v>
      </c>
      <c r="F30">
        <f>Table131822[[#This Row],[Level]]*1.125 + 15</f>
        <v>43.125</v>
      </c>
      <c r="G30">
        <f>Table131822[[#This Row],[Level]]*1.25 + 15 + 5</f>
        <v>51.25</v>
      </c>
      <c r="H30">
        <f>Table131822[[#This Row],[Level]]*1 + 15</f>
        <v>40</v>
      </c>
      <c r="I30">
        <f>Table131822[[#This Row],[Level]]*1.5 + 15 + 40</f>
        <v>92.5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DF8A-A837-40AC-945B-5DCD3F792613}">
  <dimension ref="A2:I7"/>
  <sheetViews>
    <sheetView workbookViewId="0">
      <selection activeCell="F10" sqref="F10"/>
    </sheetView>
  </sheetViews>
  <sheetFormatPr defaultRowHeight="15" x14ac:dyDescent="0.25"/>
  <sheetData>
    <row r="2" spans="1:9" x14ac:dyDescent="0.25">
      <c r="A2" t="s">
        <v>68</v>
      </c>
    </row>
    <row r="3" spans="1:9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1</v>
      </c>
      <c r="B4">
        <f>Table1318222743[[#This Row],[Level]]*62.5+ 300</f>
        <v>362.5</v>
      </c>
      <c r="C4">
        <f>Table1318222743[[#This Row],[Level]]*12.5+60</f>
        <v>72.5</v>
      </c>
      <c r="D4">
        <f>Table1318222743[[#This Row],[Level]]*1.25 + 15</f>
        <v>16.25</v>
      </c>
      <c r="E4">
        <f>Table1318222743[[#This Row],[Level]]*1 + 15 + 10</f>
        <v>26</v>
      </c>
      <c r="F4">
        <f>Table1318222743[[#This Row],[Level]]*1.25 + 15</f>
        <v>16.25</v>
      </c>
      <c r="G4">
        <f>Table1318222743[[#This Row],[Level]]*1 + 15 + 8</f>
        <v>24</v>
      </c>
      <c r="H4">
        <f>Table1318222743[[#This Row],[Level]]*1.5 + 15 + 40</f>
        <v>56.5</v>
      </c>
      <c r="I4">
        <f>Table1318222743[[#This Row],[Level]]*1.25 + 15</f>
        <v>16.25</v>
      </c>
    </row>
    <row r="5" spans="1:9" x14ac:dyDescent="0.25">
      <c r="A5">
        <v>15</v>
      </c>
      <c r="B5">
        <f>Table1318222743[[#This Row],[Level]]*62.5+ 300</f>
        <v>1237.5</v>
      </c>
      <c r="C5">
        <f>Table1318222743[[#This Row],[Level]]*12.5+60</f>
        <v>247.5</v>
      </c>
      <c r="D5">
        <f>Table1318222743[[#This Row],[Level]]*1.25 + 15</f>
        <v>33.75</v>
      </c>
      <c r="E5">
        <f>Table1318222743[[#This Row],[Level]]*1 + 15 + 10</f>
        <v>40</v>
      </c>
      <c r="F5">
        <f>Table1318222743[[#This Row],[Level]]*1.25 + 15</f>
        <v>33.75</v>
      </c>
      <c r="G5">
        <f>Table1318222743[[#This Row],[Level]]*1 + 15 + 8</f>
        <v>38</v>
      </c>
      <c r="H5">
        <f>Table1318222743[[#This Row],[Level]]*1.5 + 15 + 40</f>
        <v>77.5</v>
      </c>
      <c r="I5">
        <f>Table1318222743[[#This Row],[Level]]*1.25 + 15</f>
        <v>33.75</v>
      </c>
    </row>
    <row r="6" spans="1:9" x14ac:dyDescent="0.25">
      <c r="A6">
        <v>22</v>
      </c>
      <c r="B6">
        <f>Table1318222743[[#This Row],[Level]]*62.5+ 300</f>
        <v>1675</v>
      </c>
      <c r="C6">
        <f>Table1318222743[[#This Row],[Level]]*12.5+60</f>
        <v>335</v>
      </c>
      <c r="D6">
        <f>Table1318222743[[#This Row],[Level]]*1.25 + 15</f>
        <v>42.5</v>
      </c>
      <c r="E6">
        <f>Table1318222743[[#This Row],[Level]]*1 + 15 + 10</f>
        <v>47</v>
      </c>
      <c r="F6">
        <f>Table1318222743[[#This Row],[Level]]*1.25 + 15</f>
        <v>42.5</v>
      </c>
      <c r="G6">
        <f>Table1318222743[[#This Row],[Level]]*1 + 15 + 8</f>
        <v>45</v>
      </c>
      <c r="H6">
        <f>Table1318222743[[#This Row],[Level]]*1.5 + 15 + 40</f>
        <v>88</v>
      </c>
      <c r="I6">
        <f>Table1318222743[[#This Row],[Level]]*1.25 + 15</f>
        <v>42.5</v>
      </c>
    </row>
    <row r="7" spans="1:9" x14ac:dyDescent="0.25">
      <c r="A7">
        <v>25</v>
      </c>
      <c r="B7" s="1">
        <f>Table1318222743[[#This Row],[Level]]*62.5+ 300</f>
        <v>1862.5</v>
      </c>
      <c r="C7" s="1">
        <f>Table1318222743[[#This Row],[Level]]*12.5+60</f>
        <v>372.5</v>
      </c>
      <c r="D7" s="1">
        <f>Table1318222743[[#This Row],[Level]]*1.25 + 15</f>
        <v>46.25</v>
      </c>
      <c r="E7" s="1">
        <f>Table1318222743[[#This Row],[Level]]*1 + 15 + 10</f>
        <v>50</v>
      </c>
      <c r="F7" s="1">
        <f>Table1318222743[[#This Row],[Level]]*1.25 + 15</f>
        <v>46.25</v>
      </c>
      <c r="G7" s="1">
        <f>Table1318222743[[#This Row],[Level]]*1 + 15 + 8</f>
        <v>48</v>
      </c>
      <c r="H7" s="1">
        <f>Table1318222743[[#This Row],[Level]]*1.5 + 15 + 40</f>
        <v>92.5</v>
      </c>
      <c r="I7" s="1">
        <f>Table1318222743[[#This Row],[Level]]*1.25 + 15</f>
        <v>46.25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workbookViewId="0">
      <selection activeCell="A4" sqref="A4:J5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62</v>
      </c>
    </row>
    <row r="2" spans="1:10" x14ac:dyDescent="0.25">
      <c r="A2" t="s">
        <v>63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64</v>
      </c>
      <c r="B5">
        <v>20</v>
      </c>
      <c r="C5">
        <v>1</v>
      </c>
      <c r="D5">
        <v>20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132</v>
      </c>
    </row>
    <row r="6" spans="1:10" x14ac:dyDescent="0.25">
      <c r="A6" t="s">
        <v>65</v>
      </c>
      <c r="J6" s="1">
        <f>SUM(Table168213429322745[[#This Row],[HP]:[LUK]])</f>
        <v>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Row],[Level]]*3.5</f>
        <v>3.5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Row],[Level]]*3.5</f>
        <v>52.5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Row],[Level]]*3.5</f>
        <v>87.5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Row],[Level]]*3.5</f>
        <v>105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Row],[Level]]*3.5</f>
        <v>70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Chelsea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2017-11-23T07:52:21Z</dcterms:modified>
</cp:coreProperties>
</file>