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RPGVXAce\Adventure\"/>
    </mc:Choice>
  </mc:AlternateContent>
  <bookViews>
    <workbookView xWindow="0" yWindow="0" windowWidth="20490" windowHeight="7530" activeTab="2" xr2:uid="{D5030FAB-5119-49EA-A44B-FED5D2E13C22}"/>
  </bookViews>
  <sheets>
    <sheet name="Undead" sheetId="1" r:id="rId1"/>
    <sheet name="Goblin" sheetId="2" r:id="rId2"/>
    <sheet name="VillianCanson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4" l="1"/>
  <c r="R4" i="4"/>
  <c r="Q4" i="4"/>
  <c r="T4" i="4"/>
  <c r="S4" i="4"/>
  <c r="O4" i="4"/>
  <c r="N4" i="4"/>
  <c r="M4" i="4"/>
  <c r="B9" i="4"/>
  <c r="C9" i="4"/>
  <c r="D9" i="4"/>
  <c r="E9" i="4"/>
  <c r="F9" i="4"/>
  <c r="G9" i="4"/>
  <c r="H9" i="4"/>
  <c r="I9" i="4"/>
  <c r="F4" i="4"/>
  <c r="F5" i="4"/>
  <c r="F6" i="4"/>
  <c r="F7" i="4"/>
  <c r="F8" i="4"/>
  <c r="G4" i="4"/>
  <c r="G5" i="4"/>
  <c r="G6" i="4"/>
  <c r="G7" i="4"/>
  <c r="G8" i="4"/>
  <c r="I4" i="4"/>
  <c r="I5" i="4"/>
  <c r="I6" i="4"/>
  <c r="I7" i="4"/>
  <c r="I8" i="4"/>
  <c r="H8" i="4"/>
  <c r="E8" i="4"/>
  <c r="D8" i="4"/>
  <c r="C8" i="4"/>
  <c r="B8" i="4"/>
  <c r="H7" i="4"/>
  <c r="E7" i="4"/>
  <c r="D7" i="4"/>
  <c r="C7" i="4"/>
  <c r="B7" i="4"/>
  <c r="H6" i="4"/>
  <c r="E6" i="4"/>
  <c r="D6" i="4"/>
  <c r="C6" i="4"/>
  <c r="B6" i="4"/>
  <c r="H5" i="4"/>
  <c r="E5" i="4"/>
  <c r="D5" i="4"/>
  <c r="C5" i="4"/>
  <c r="B5" i="4"/>
  <c r="H4" i="4"/>
  <c r="E4" i="4"/>
  <c r="D4" i="4"/>
  <c r="C4" i="4"/>
  <c r="B4" i="4"/>
  <c r="R9" i="1"/>
  <c r="R10" i="1"/>
  <c r="R11" i="1"/>
  <c r="R12" i="1"/>
  <c r="R13" i="1"/>
  <c r="P9" i="1"/>
  <c r="O9" i="1"/>
  <c r="O10" i="1"/>
  <c r="O11" i="1"/>
  <c r="O12" i="1"/>
  <c r="O13" i="1"/>
  <c r="N9" i="1"/>
  <c r="N10" i="1"/>
  <c r="N11" i="1"/>
  <c r="N12" i="1"/>
  <c r="N13" i="1"/>
  <c r="L9" i="1"/>
  <c r="L10" i="1"/>
  <c r="L11" i="1"/>
  <c r="L12" i="1"/>
  <c r="L13" i="1"/>
  <c r="S13" i="1"/>
  <c r="Q13" i="1"/>
  <c r="P13" i="1"/>
  <c r="M13" i="1"/>
  <c r="S12" i="1"/>
  <c r="Q12" i="1"/>
  <c r="P12" i="1"/>
  <c r="M12" i="1"/>
  <c r="S11" i="1"/>
  <c r="Q11" i="1"/>
  <c r="P11" i="1"/>
  <c r="M11" i="1"/>
  <c r="S10" i="1"/>
  <c r="Q10" i="1"/>
  <c r="P10" i="1"/>
  <c r="M10" i="1"/>
  <c r="S9" i="1"/>
  <c r="Q9" i="1"/>
  <c r="M9" i="1"/>
  <c r="L12" i="2"/>
  <c r="L13" i="2"/>
  <c r="L14" i="2"/>
  <c r="L15" i="2"/>
  <c r="L16" i="2"/>
  <c r="L17" i="2"/>
  <c r="M17" i="2"/>
  <c r="N17" i="2"/>
  <c r="O17" i="2"/>
  <c r="P17" i="2"/>
  <c r="Q17" i="2"/>
  <c r="R17" i="2"/>
  <c r="S17" i="2"/>
  <c r="R12" i="2"/>
  <c r="R13" i="2"/>
  <c r="R14" i="2"/>
  <c r="R15" i="2"/>
  <c r="R16" i="2"/>
  <c r="Q12" i="2"/>
  <c r="Q13" i="2"/>
  <c r="Q14" i="2"/>
  <c r="Q15" i="2"/>
  <c r="Q16" i="2"/>
  <c r="O12" i="2"/>
  <c r="O13" i="2"/>
  <c r="O14" i="2"/>
  <c r="O15" i="2"/>
  <c r="O16" i="2"/>
  <c r="N12" i="2"/>
  <c r="N13" i="2"/>
  <c r="N14" i="2"/>
  <c r="N15" i="2"/>
  <c r="N16" i="2"/>
  <c r="S16" i="2"/>
  <c r="P16" i="2"/>
  <c r="M16" i="2"/>
  <c r="S15" i="2"/>
  <c r="P15" i="2"/>
  <c r="M15" i="2"/>
  <c r="S14" i="2"/>
  <c r="P14" i="2"/>
  <c r="M14" i="2"/>
  <c r="S13" i="2"/>
  <c r="P13" i="2"/>
  <c r="M13" i="2"/>
  <c r="S12" i="2"/>
  <c r="P12" i="2"/>
  <c r="M12" i="2"/>
  <c r="I12" i="2"/>
  <c r="I13" i="2"/>
  <c r="I14" i="2"/>
  <c r="I15" i="2"/>
  <c r="I16" i="2"/>
  <c r="H12" i="2"/>
  <c r="H13" i="2"/>
  <c r="H14" i="2"/>
  <c r="H15" i="2"/>
  <c r="H16" i="2"/>
  <c r="G12" i="2"/>
  <c r="G13" i="2"/>
  <c r="G14" i="2"/>
  <c r="G15" i="2"/>
  <c r="G16" i="2"/>
  <c r="F12" i="2"/>
  <c r="F13" i="2"/>
  <c r="F14" i="2"/>
  <c r="F15" i="2"/>
  <c r="F16" i="2"/>
  <c r="D12" i="2"/>
  <c r="D13" i="2"/>
  <c r="D14" i="2"/>
  <c r="D15" i="2"/>
  <c r="D16" i="2"/>
  <c r="B12" i="2"/>
  <c r="E16" i="2"/>
  <c r="C16" i="2"/>
  <c r="B16" i="2"/>
  <c r="E15" i="2"/>
  <c r="C15" i="2"/>
  <c r="B15" i="2"/>
  <c r="E14" i="2"/>
  <c r="C14" i="2"/>
  <c r="B14" i="2"/>
  <c r="E13" i="2"/>
  <c r="C13" i="2"/>
  <c r="B13" i="2"/>
  <c r="E12" i="2"/>
  <c r="C12" i="2"/>
  <c r="J7" i="2"/>
  <c r="J6" i="2"/>
  <c r="J5" i="2"/>
  <c r="H9" i="1" l="1"/>
  <c r="H10" i="1"/>
  <c r="H11" i="1"/>
  <c r="H12" i="1"/>
  <c r="H13" i="1"/>
  <c r="B9" i="1"/>
  <c r="B10" i="1"/>
  <c r="B11" i="1"/>
  <c r="B12" i="1"/>
  <c r="B13" i="1"/>
  <c r="F9" i="1"/>
  <c r="F10" i="1"/>
  <c r="F11" i="1"/>
  <c r="F12" i="1"/>
  <c r="F13" i="1"/>
  <c r="G9" i="1"/>
  <c r="G10" i="1"/>
  <c r="G11" i="1"/>
  <c r="G12" i="1"/>
  <c r="G13" i="1"/>
  <c r="I9" i="1"/>
  <c r="I10" i="1"/>
  <c r="I11" i="1"/>
  <c r="I12" i="1"/>
  <c r="I13" i="1"/>
  <c r="E9" i="1"/>
  <c r="E10" i="1"/>
  <c r="E11" i="1"/>
  <c r="E12" i="1"/>
  <c r="E13" i="1"/>
  <c r="D9" i="1"/>
  <c r="D10" i="1"/>
  <c r="D11" i="1"/>
  <c r="D12" i="1"/>
  <c r="D13" i="1"/>
  <c r="C10" i="1"/>
  <c r="C13" i="1"/>
  <c r="C12" i="1"/>
  <c r="C11" i="1"/>
  <c r="C9" i="1"/>
  <c r="J5" i="1"/>
</calcChain>
</file>

<file path=xl/sharedStrings.xml><?xml version="1.0" encoding="utf-8"?>
<sst xmlns="http://schemas.openxmlformats.org/spreadsheetml/2006/main" count="85" uniqueCount="22">
  <si>
    <t>Skeletons are the most basic undead, they have low magical attributes, agility, and luck.</t>
  </si>
  <si>
    <t>Name</t>
  </si>
  <si>
    <t>HP</t>
  </si>
  <si>
    <t>MP</t>
  </si>
  <si>
    <t>ATK</t>
  </si>
  <si>
    <t>DEF</t>
  </si>
  <si>
    <t>MAT</t>
  </si>
  <si>
    <t>MDF</t>
  </si>
  <si>
    <t>AGI</t>
  </si>
  <si>
    <t>LUK</t>
  </si>
  <si>
    <t>Total</t>
  </si>
  <si>
    <t>Skeleton Soldier</t>
  </si>
  <si>
    <t>Level</t>
  </si>
  <si>
    <t>The Skeleton Soldier is a common undead, its armor and weapons are usually rusted.</t>
  </si>
  <si>
    <t>Goblins are a type of demihuman with short lifespans. They have a baselevel of 1</t>
  </si>
  <si>
    <t>Goblin Scout</t>
  </si>
  <si>
    <t>Goblin</t>
  </si>
  <si>
    <t>Goblin Shaman</t>
  </si>
  <si>
    <t>If they aren't add: 33 def, 30 attack</t>
  </si>
  <si>
    <t>Goblin Scouts use crude iron daggers, studded leather armor, and studded leather helmets</t>
  </si>
  <si>
    <t>Iron daggers should be weaker than iron sword -&gt; 25 attack 5 agility, 10 def, 8 mdf</t>
  </si>
  <si>
    <t>First Encounter. Has tech 2 gear. 40 MAT from staff, 3/10 from engraved robe, 3/2 from studded leather helmet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</si>
</sst>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1" xfId="0" applyFont="1" applyBorder="1"/>
    <xf numFmtId="0" fontId="0" fillId="0" borderId="2" xfId="0" applyNumberFormat="1" applyFont="1" applyBorder="1"/>
    <xf numFmtId="0" fontId="0" fillId="0" borderId="3" xfId="0" applyNumberFormat="1" applyFont="1" applyBorder="1"/>
  </cellXfs>
  <cellStyles count="1">
    <cellStyle name="Normal" xfId="0" builtinId="0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61DD08-92F9-4821-84C5-84F68B225D94}" name="Table1" displayName="Table1" ref="A4:J5" totalsRowShown="0">
  <autoFilter ref="A4:J5" xr:uid="{634C2810-B5E1-4DB3-A486-F7F8D8DC6C73}"/>
  <tableColumns count="10">
    <tableColumn id="1" xr3:uid="{117C7306-80A7-4222-9DFB-71039A554839}" name="Name"/>
    <tableColumn id="2" xr3:uid="{18C02B4B-873F-49A2-AD1E-C8DCBB95D8A6}" name="HP"/>
    <tableColumn id="3" xr3:uid="{0F8CA6AD-5E78-4028-82FC-354C8EA076AE}" name="MP"/>
    <tableColumn id="4" xr3:uid="{F5D72956-4175-4769-9F90-091125477626}" name="ATK"/>
    <tableColumn id="5" xr3:uid="{823ACEF5-1140-4182-9A79-2E4E3AB4A17E}" name="DEF"/>
    <tableColumn id="6" xr3:uid="{3BB0D53A-D277-42B8-A6E4-31FED8BF8A80}" name="MAT"/>
    <tableColumn id="7" xr3:uid="{F9852B29-E77D-4E17-A56E-5F0C649FA862}" name="MDF"/>
    <tableColumn id="8" xr3:uid="{9A914BFF-1060-46E4-B8F9-412BD9293C3D}" name="AGI"/>
    <tableColumn id="9" xr3:uid="{2F83B650-811D-4FEE-92D5-03D4DC4376E5}" name="LUK"/>
    <tableColumn id="10" xr3:uid="{A7ECC22A-E541-4FF1-905A-C7CFAFD30F4C}" name="Total" dataDxfId="52">
      <calculatedColumnFormula>SUM(Table1[[#This Row],[HP]:[LUK]])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33AB34-7466-42C0-850C-3337B9BEB6B5}" name="Table1316" displayName="Table1316" ref="A8:I13" totalsRowShown="0">
  <autoFilter ref="A8:I13" xr:uid="{67385006-CBB9-4472-99D4-7881E042769D}"/>
  <tableColumns count="9">
    <tableColumn id="1" xr3:uid="{FD96F8F7-CCAB-44FA-B525-A5081670706A}" name="Level"/>
    <tableColumn id="2" xr3:uid="{3B6C33F1-A23B-494D-9E01-1F3B92B01ACB}" name="HP" dataDxfId="51">
      <calculatedColumnFormula>Table1316[[#This Row],[Level]]*56.25-100</calculatedColumnFormula>
    </tableColumn>
    <tableColumn id="3" xr3:uid="{AC26381C-1E8B-4282-BA32-FAB013C92F8A}" name="MP" dataDxfId="50">
      <calculatedColumnFormula>Table1316[[#This Row],[Level]]*10</calculatedColumnFormula>
    </tableColumn>
    <tableColumn id="4" xr3:uid="{77F74EFD-F91C-4967-9511-B8BF5E4B6952}" name="ATK" dataDxfId="49">
      <calculatedColumnFormula>Table1316[[#This Row],[Level]]*1.25+ 15</calculatedColumnFormula>
    </tableColumn>
    <tableColumn id="5" xr3:uid="{C5099C7E-FF2C-413F-B479-06A4BBC781C4}" name="DEF" dataDxfId="48">
      <calculatedColumnFormula>Table1316[[#This Row],[Level]]*1.25 + 15</calculatedColumnFormula>
    </tableColumn>
    <tableColumn id="6" xr3:uid="{55F7F6C7-C6E6-49D1-9C4C-6F3D4A44FC15}" name="MAT" dataDxfId="47">
      <calculatedColumnFormula>Table1316[[#This Row],[Level]]*1</calculatedColumnFormula>
    </tableColumn>
    <tableColumn id="7" xr3:uid="{D37B7B5E-6DF3-40C9-BC2C-99DE88C4F88F}" name="MDF" dataDxfId="46">
      <calculatedColumnFormula>Table1316[[#This Row],[Level]]*1</calculatedColumnFormula>
    </tableColumn>
    <tableColumn id="8" xr3:uid="{4DAA9289-D312-4509-B000-CD43744E2CED}" name="AGI" dataDxfId="45">
      <calculatedColumnFormula>Table1316[[#This Row],[Level]]*1 + 5</calculatedColumnFormula>
    </tableColumn>
    <tableColumn id="9" xr3:uid="{D9656154-EFE0-498B-896F-CDEF92F7DC51}" name="LUK" dataDxfId="44">
      <calculatedColumnFormula>Table1316[[#This Row],[Level]]*1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268DD6D-84F4-43D7-A05F-EB56AE11DFF7}" name="Table131611" displayName="Table131611" ref="K8:S13" totalsRowShown="0">
  <autoFilter ref="K8:S13" xr:uid="{AB7E938D-7ACC-4BFB-A6B9-682B8B29CEF2}"/>
  <tableColumns count="9">
    <tableColumn id="1" xr3:uid="{66EB8EF1-BCF4-44F7-B8A6-3C3B425F8FF5}" name="Level"/>
    <tableColumn id="2" xr3:uid="{EADBE3A7-BA36-40E2-AAFD-C66683EE9BBF}" name="HP" dataDxfId="22">
      <calculatedColumnFormula>Table131611[[#This Row],[Level]]*56.25+200</calculatedColumnFormula>
    </tableColumn>
    <tableColumn id="3" xr3:uid="{562074CC-9FA5-4DCD-9CD7-0BF99E403D1D}" name="MP" dataDxfId="26">
      <calculatedColumnFormula>Table131611[[#This Row],[Level]]*10</calculatedColumnFormula>
    </tableColumn>
    <tableColumn id="4" xr3:uid="{CA308242-617E-4D28-8842-309A46576513}" name="ATK" dataDxfId="21">
      <calculatedColumnFormula>Table131611[[#This Row],[Level]]*1.25+ 15+30</calculatedColumnFormula>
    </tableColumn>
    <tableColumn id="5" xr3:uid="{8DEFEC48-72A2-4000-BBAC-49E6AAC4CFA7}" name="DEF" dataDxfId="20">
      <calculatedColumnFormula>Table131611[[#This Row],[Level]]*1.25 + 15+33</calculatedColumnFormula>
    </tableColumn>
    <tableColumn id="6" xr3:uid="{B08936F6-A9CF-4FDB-88B5-260CD2AB0EC9}" name="MAT" dataDxfId="25">
      <calculatedColumnFormula>Table131611[[#This Row],[Level]]*1</calculatedColumnFormula>
    </tableColumn>
    <tableColumn id="7" xr3:uid="{BFBA5362-FC90-4144-922B-553D2C152D05}" name="MDF" dataDxfId="24">
      <calculatedColumnFormula>Table131611[[#This Row],[Level]]*1</calculatedColumnFormula>
    </tableColumn>
    <tableColumn id="8" xr3:uid="{AC746062-EE21-4939-ACAD-9BB491959CF0}" name="AGI" dataDxfId="19">
      <calculatedColumnFormula>Table131611[[#This Row],[Level]]*1 + 15</calculatedColumnFormula>
    </tableColumn>
    <tableColumn id="9" xr3:uid="{2F766C3C-A331-48B3-8271-4C32811B2BB3}" name="LUK" dataDxfId="23">
      <calculatedColumnFormula>Table131611[[#This Row],[Level]]*1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335D90-A9BD-40A2-B9C7-73CA6E6CAB11}" name="Table15" displayName="Table15" ref="A4:J7" totalsRowShown="0">
  <autoFilter ref="A4:J7" xr:uid="{CE759384-ADAA-40BA-B9E0-40CE462A16EC}"/>
  <tableColumns count="10">
    <tableColumn id="1" xr3:uid="{DAE2EC63-1D40-4ED3-8C7B-1C8C0375CA6B}" name="Name"/>
    <tableColumn id="2" xr3:uid="{0BF5F099-BE0D-4349-90FC-65863CB0E17C}" name="HP"/>
    <tableColumn id="3" xr3:uid="{CCC1BCC5-CFE4-4B8A-8323-673868BD95EF}" name="MP"/>
    <tableColumn id="4" xr3:uid="{FE1FBFE1-8412-412B-A359-6E322B02EF8B}" name="ATK"/>
    <tableColumn id="5" xr3:uid="{8DA4C046-05AD-4DAC-A5E6-0889B4BA4F65}" name="DEF"/>
    <tableColumn id="6" xr3:uid="{90827F4E-7CAE-4259-B6F9-E364498748A0}" name="MAT"/>
    <tableColumn id="7" xr3:uid="{22216E02-260E-4471-8BB1-4E6E1250BAC9}" name="MDF"/>
    <tableColumn id="8" xr3:uid="{DC2670AC-8DF2-47F7-A3F6-EE7896309BC9}" name="AGI"/>
    <tableColumn id="9" xr3:uid="{749652E2-F6CF-428C-B67C-FD0B1EFCCBBF}" name="LUK"/>
    <tableColumn id="10" xr3:uid="{A073A2A7-93B1-4F9E-9D91-2F78C352794F}" name="Total" dataDxfId="43">
      <calculatedColumnFormula>SUM(Table15[[#This Row],[HP]:[LUK]])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1E951F1-5D13-41C6-A7E5-8F4298DA5463}" name="Table13167" displayName="Table13167" ref="A11:I16" totalsRowShown="0">
  <autoFilter ref="A11:I16" xr:uid="{A1CF627F-8D28-44AD-9A35-411103976FCA}"/>
  <tableColumns count="9">
    <tableColumn id="1" xr3:uid="{F14CC326-DE44-48D8-856F-8DCDCFC89CAD}" name="Level"/>
    <tableColumn id="2" xr3:uid="{92BF3802-59D2-4399-9FE0-AA0C8E30CE98}" name="HP" dataDxfId="42">
      <calculatedColumnFormula>Table13167[[#This Row],[Level]]*56.25-100</calculatedColumnFormula>
    </tableColumn>
    <tableColumn id="3" xr3:uid="{E9621569-56FF-47E7-9862-FC92FAC1C576}" name="MP" dataDxfId="41">
      <calculatedColumnFormula>Table13167[[#This Row],[Level]]*10</calculatedColumnFormula>
    </tableColumn>
    <tableColumn id="4" xr3:uid="{28BC25CB-DFDA-4486-9929-9CA07015ACEC}" name="ATK" dataDxfId="39">
      <calculatedColumnFormula>Table13167[[#This Row],[Level]]*1.375+ 15</calculatedColumnFormula>
    </tableColumn>
    <tableColumn id="5" xr3:uid="{4F19BC44-4A9A-447E-BCFE-EBCA7F73E27C}" name="DEF" dataDxfId="40">
      <calculatedColumnFormula>Table13167[[#This Row],[Level]]*1.25 + 15</calculatedColumnFormula>
    </tableColumn>
    <tableColumn id="6" xr3:uid="{585C622F-EDFD-478A-B7AC-2300F7EC40B6}" name="MAT" dataDxfId="38">
      <calculatedColumnFormula>Table13167[[#This Row],[Level]]*1 + 15</calculatedColumnFormula>
    </tableColumn>
    <tableColumn id="7" xr3:uid="{4D664A3B-F840-4064-982E-516959FFFE80}" name="MDF" dataDxfId="37">
      <calculatedColumnFormula>Table13167[[#This Row],[Level]]*1.25+ 15</calculatedColumnFormula>
    </tableColumn>
    <tableColumn id="8" xr3:uid="{6A83289D-4D2C-4B86-8288-8E0D88EEFF85}" name="AGI" dataDxfId="36">
      <calculatedColumnFormula>Table13167[[#This Row],[Level]]*1.5 + 15</calculatedColumnFormula>
    </tableColumn>
    <tableColumn id="9" xr3:uid="{4C33EB48-74C2-47D6-870F-35D2D49D3558}" name="LUK" dataDxfId="35">
      <calculatedColumnFormula>Table13167[[#This Row],[Level]]*1.125 + 15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0D4A7A8-82BF-4B58-A912-589523D22F05}" name="Table131679" displayName="Table131679" ref="K11:S17" totalsRowShown="0">
  <autoFilter ref="K11:S17" xr:uid="{EAF9FB6A-F011-40E3-AB2F-E53826722AFB}"/>
  <tableColumns count="9">
    <tableColumn id="1" xr3:uid="{DF3E0800-6EE4-4E1B-BA6F-0194351D6E7C}" name="Level"/>
    <tableColumn id="2" xr3:uid="{C6F6C58B-0423-443B-ADB0-8D76D9074DCF}" name="HP" dataDxfId="27">
      <calculatedColumnFormula>Table131679[[#This Row],[Level]]*56.25+100</calculatedColumnFormula>
    </tableColumn>
    <tableColumn id="3" xr3:uid="{8EEC9751-28E7-41A4-A78F-6EA9934C1A52}" name="MP" dataDxfId="34">
      <calculatedColumnFormula>Table131679[[#This Row],[Level]]*10</calculatedColumnFormula>
    </tableColumn>
    <tableColumn id="4" xr3:uid="{551DBC8D-C1F9-431E-BE65-6008C6C634D8}" name="ATK" dataDxfId="31">
      <calculatedColumnFormula>Table131679[[#This Row],[Level]]*1.375+ 15 + 25</calculatedColumnFormula>
    </tableColumn>
    <tableColumn id="5" xr3:uid="{C9773950-14BB-4E0D-A68A-C952715F9420}" name="DEF" dataDxfId="30">
      <calculatedColumnFormula>Table131679[[#This Row],[Level]]*1.25 + 15 + 10</calculatedColumnFormula>
    </tableColumn>
    <tableColumn id="6" xr3:uid="{C9030533-FE21-4603-9B7F-56E1EA202112}" name="MAT" dataDxfId="33">
      <calculatedColumnFormula>Table131679[[#This Row],[Level]]*1 + 15</calculatedColumnFormula>
    </tableColumn>
    <tableColumn id="7" xr3:uid="{9AEE6B8F-A581-4136-83A2-A40D27A19079}" name="MDF" dataDxfId="29">
      <calculatedColumnFormula>Table131679[[#This Row],[Level]]*1.25+ 15 + 8</calculatedColumnFormula>
    </tableColumn>
    <tableColumn id="8" xr3:uid="{30C1EA69-009B-4C45-B758-5A4E2869B8E0}" name="AGI" dataDxfId="28">
      <calculatedColumnFormula>Table131679[[#This Row],[Level]]*1.5 + 15 + 5</calculatedColumnFormula>
    </tableColumn>
    <tableColumn id="9" xr3:uid="{0C309EA8-7C68-414C-9AEF-19A3079055BC}" name="LUK" dataDxfId="32">
      <calculatedColumnFormula>Table131679[[#This Row],[Level]]*1.125 + 15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ACB03CE-1DAD-4E5F-8D00-25D6D07FC945}" name="Table131620" displayName="Table131620" ref="A3:I9" totalsRowShown="0">
  <autoFilter ref="A3:I9" xr:uid="{A90D1C2A-DBF9-4EEF-ACC2-3DC17C207301}"/>
  <tableColumns count="9">
    <tableColumn id="1" xr3:uid="{BD3505AC-AE6D-4947-A74E-A6C2D68658F1}" name="Level"/>
    <tableColumn id="2" xr3:uid="{A1294F9F-EBC1-4296-B011-01C603344440}" name="HP" dataDxfId="18">
      <calculatedColumnFormula>Table131620[[#This Row],[Level]]*50 + 100</calculatedColumnFormula>
    </tableColumn>
    <tableColumn id="3" xr3:uid="{59EABEF7-2BEF-47B5-8F65-5CA01989879E}" name="MP" dataDxfId="17">
      <calculatedColumnFormula>Table131620[[#This Row],[Level]]*15+100</calculatedColumnFormula>
    </tableColumn>
    <tableColumn id="4" xr3:uid="{1126F36B-2E1E-425F-9D79-2C33533A233C}" name="ATK" dataDxfId="16">
      <calculatedColumnFormula>Table131620[[#This Row],[Level]]*1+ 15</calculatedColumnFormula>
    </tableColumn>
    <tableColumn id="5" xr3:uid="{4235BC6B-708C-4D42-BF8A-BB1DFF8F3B48}" name="DEF" dataDxfId="15">
      <calculatedColumnFormula>Table131620[[#This Row],[Level]]*1 + 15</calculatedColumnFormula>
    </tableColumn>
    <tableColumn id="6" xr3:uid="{5089908A-1F1A-4ABC-83C5-4AB9A3F6939C}" name="MAT" dataDxfId="11">
      <calculatedColumnFormula>Table131620[[#This Row],[Level]]*1.5 + 15</calculatedColumnFormula>
    </tableColumn>
    <tableColumn id="7" xr3:uid="{244F2331-26E8-40D3-9798-7F332C488BA2}" name="MDF" dataDxfId="12">
      <calculatedColumnFormula>Table131620[[#This Row],[Level]]*1.5 + 15</calculatedColumnFormula>
    </tableColumn>
    <tableColumn id="8" xr3:uid="{2AD0FECD-797E-4EEA-B5DD-FEB78C15117F}" name="AGI" dataDxfId="14">
      <calculatedColumnFormula>Table131620[[#This Row],[Level]]*1.25 + 15</calculatedColumnFormula>
    </tableColumn>
    <tableColumn id="9" xr3:uid="{D4231BEE-7DAE-438E-B727-BC57B8F57597}" name="LUK" dataDxfId="13">
      <calculatedColumnFormula>Table131620[[#This Row],[Level]]*1 + 15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B5E87D9-7176-4EDF-A213-1F2F1812D046}" name="Table19" displayName="Table19" ref="L3:T4" totalsRowShown="0" dataDxfId="0" tableBorderDxfId="10">
  <autoFilter ref="L3:T4" xr:uid="{5D2C3EA8-1297-4C77-AF32-84E50F8232C5}"/>
  <tableColumns count="9">
    <tableColumn id="1" xr3:uid="{0B061316-6B56-404F-BD50-AEA8EEBE29C7}" name="Level" dataDxfId="9"/>
    <tableColumn id="2" xr3:uid="{DD7F3A71-5685-4158-906B-EF22B1AE9AF0}" name="HP" dataDxfId="8">
      <calculatedColumnFormula>Table19[Level]*50 + 100</calculatedColumnFormula>
    </tableColumn>
    <tableColumn id="3" xr3:uid="{370CE45A-8A0C-43B6-91A5-13ED6B69FE90}" name="MP" dataDxfId="7">
      <calculatedColumnFormula>Table19[[#This Row],[Level]]*15+100</calculatedColumnFormula>
    </tableColumn>
    <tableColumn id="4" xr3:uid="{A67BA9CE-5223-45EC-A3F0-5AD854A4F789}" name="ATK" dataDxfId="6">
      <calculatedColumnFormula>Table19[[#This Row],[Level]]*1+ 15</calculatedColumnFormula>
    </tableColumn>
    <tableColumn id="5" xr3:uid="{C7704809-03E7-437C-B85B-D24236A90152}" name="DEF" dataDxfId="5">
      <calculatedColumnFormula>Table19[[#This Row],[Level]]*1 + 15 + 6</calculatedColumnFormula>
    </tableColumn>
    <tableColumn id="6" xr3:uid="{5A5291DB-ED22-43A9-9E32-0F7D8E2DF605}" name="MAT" dataDxfId="4">
      <calculatedColumnFormula>Table19[[#This Row],[Level]]*1.5 + 15 + 40</calculatedColumnFormula>
    </tableColumn>
    <tableColumn id="7" xr3:uid="{F6AEAE89-9D01-4371-80C5-75F4295522CF}" name="MDF" dataDxfId="3">
      <calculatedColumnFormula>Table19[[#This Row],[Level]]*1.5 + 15 + 12</calculatedColumnFormula>
    </tableColumn>
    <tableColumn id="8" xr3:uid="{27FAFF51-670F-4383-AE3D-7774533FB52E}" name="AGI" dataDxfId="2">
      <calculatedColumnFormula>Table19[[#This Row],[Level]]*1.25 + 15</calculatedColumnFormula>
    </tableColumn>
    <tableColumn id="9" xr3:uid="{1BFA026A-DC3F-4B70-9D2A-1628D758B39D}" name="LUK" dataDxfId="1">
      <calculatedColumnFormula>Table19[Level] + 15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7AABB-3532-4A29-877B-ED130C7A9042}">
  <dimension ref="A2:S13"/>
  <sheetViews>
    <sheetView workbookViewId="0">
      <selection activeCell="A4" sqref="A4:J5"/>
    </sheetView>
  </sheetViews>
  <sheetFormatPr defaultRowHeight="15" x14ac:dyDescent="0.25"/>
  <cols>
    <col min="1" max="9" width="11" customWidth="1"/>
    <col min="10" max="10" width="12" customWidth="1"/>
  </cols>
  <sheetData>
    <row r="2" spans="1:19" x14ac:dyDescent="0.25">
      <c r="A2" t="s">
        <v>0</v>
      </c>
    </row>
    <row r="4" spans="1:19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9" x14ac:dyDescent="0.25">
      <c r="A5" t="s">
        <v>11</v>
      </c>
      <c r="B5">
        <v>2</v>
      </c>
      <c r="C5">
        <v>1</v>
      </c>
      <c r="D5">
        <v>3</v>
      </c>
      <c r="E5">
        <v>3</v>
      </c>
      <c r="F5">
        <v>1</v>
      </c>
      <c r="G5">
        <v>1</v>
      </c>
      <c r="H5">
        <v>1</v>
      </c>
      <c r="I5">
        <v>1</v>
      </c>
      <c r="J5">
        <f>SUM(Table1[[#This Row],[HP]:[LUK]])</f>
        <v>13</v>
      </c>
    </row>
    <row r="6" spans="1:19" x14ac:dyDescent="0.25">
      <c r="A6" t="s">
        <v>13</v>
      </c>
      <c r="J6" s="1"/>
    </row>
    <row r="7" spans="1:19" x14ac:dyDescent="0.25">
      <c r="A7" t="s">
        <v>18</v>
      </c>
    </row>
    <row r="8" spans="1:19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  <c r="K8" t="s">
        <v>12</v>
      </c>
      <c r="L8" t="s">
        <v>2</v>
      </c>
      <c r="M8" t="s">
        <v>3</v>
      </c>
      <c r="N8" t="s">
        <v>4</v>
      </c>
      <c r="O8" t="s">
        <v>5</v>
      </c>
      <c r="P8" t="s">
        <v>6</v>
      </c>
      <c r="Q8" t="s">
        <v>7</v>
      </c>
      <c r="R8" t="s">
        <v>8</v>
      </c>
      <c r="S8" t="s">
        <v>9</v>
      </c>
    </row>
    <row r="9" spans="1:19" x14ac:dyDescent="0.25">
      <c r="A9">
        <v>1</v>
      </c>
      <c r="B9">
        <f>Table1316[[#This Row],[Level]]*56.25-100</f>
        <v>-43.75</v>
      </c>
      <c r="C9">
        <f>Table1316[[#This Row],[Level]]*10</f>
        <v>10</v>
      </c>
      <c r="D9">
        <f>Table1316[[#This Row],[Level]]*1.25+ 15</f>
        <v>16.25</v>
      </c>
      <c r="E9">
        <f>Table1316[[#This Row],[Level]]*1.25 + 15</f>
        <v>16.25</v>
      </c>
      <c r="F9">
        <f>Table1316[[#This Row],[Level]]*1</f>
        <v>1</v>
      </c>
      <c r="G9">
        <f>Table1316[[#This Row],[Level]]*1</f>
        <v>1</v>
      </c>
      <c r="H9">
        <f>Table1316[[#This Row],[Level]]*1 + 5</f>
        <v>6</v>
      </c>
      <c r="I9">
        <f>Table1316[[#This Row],[Level]]*1</f>
        <v>1</v>
      </c>
      <c r="K9">
        <v>1</v>
      </c>
      <c r="L9">
        <f>Table131611[[#This Row],[Level]]*56.25+200</f>
        <v>256.25</v>
      </c>
      <c r="M9">
        <f>Table131611[[#This Row],[Level]]*10</f>
        <v>10</v>
      </c>
      <c r="N9">
        <f>Table131611[[#This Row],[Level]]*1.25+ 15+30</f>
        <v>46.25</v>
      </c>
      <c r="O9">
        <f>Table131611[[#This Row],[Level]]*1.25 + 15+33</f>
        <v>49.25</v>
      </c>
      <c r="P9">
        <f>Table131611[[#This Row],[Level]]*1</f>
        <v>1</v>
      </c>
      <c r="Q9">
        <f>Table131611[[#This Row],[Level]]*1</f>
        <v>1</v>
      </c>
      <c r="R9">
        <f>Table131611[[#This Row],[Level]]*1 + 15</f>
        <v>16</v>
      </c>
      <c r="S9">
        <f>Table131611[[#This Row],[Level]]*1</f>
        <v>1</v>
      </c>
    </row>
    <row r="10" spans="1:19" x14ac:dyDescent="0.25">
      <c r="A10">
        <v>10</v>
      </c>
      <c r="B10">
        <f>Table1316[[#This Row],[Level]]*56.25-100</f>
        <v>462.5</v>
      </c>
      <c r="C10">
        <f>Table1316[[#This Row],[Level]]*10</f>
        <v>100</v>
      </c>
      <c r="D10">
        <f>Table1316[[#This Row],[Level]]*1.25+ 15</f>
        <v>27.5</v>
      </c>
      <c r="E10">
        <f>Table1316[[#This Row],[Level]]*1.25 + 15</f>
        <v>27.5</v>
      </c>
      <c r="F10">
        <f>Table1316[[#This Row],[Level]]*1</f>
        <v>10</v>
      </c>
      <c r="G10">
        <f>Table1316[[#This Row],[Level]]*1</f>
        <v>10</v>
      </c>
      <c r="H10">
        <f>Table1316[[#This Row],[Level]]*1 + 5</f>
        <v>15</v>
      </c>
      <c r="I10">
        <f>Table1316[[#This Row],[Level]]*1</f>
        <v>10</v>
      </c>
      <c r="K10">
        <v>10</v>
      </c>
      <c r="L10">
        <f>Table131611[[#This Row],[Level]]*56.25+200</f>
        <v>762.5</v>
      </c>
      <c r="M10">
        <f>Table131611[[#This Row],[Level]]*10</f>
        <v>100</v>
      </c>
      <c r="N10">
        <f>Table131611[[#This Row],[Level]]*1.25+ 15+30</f>
        <v>57.5</v>
      </c>
      <c r="O10">
        <f>Table131611[[#This Row],[Level]]*1.25 + 15+33</f>
        <v>60.5</v>
      </c>
      <c r="P10">
        <f>Table131611[[#This Row],[Level]]*1</f>
        <v>10</v>
      </c>
      <c r="Q10">
        <f>Table131611[[#This Row],[Level]]*1</f>
        <v>10</v>
      </c>
      <c r="R10">
        <f>Table131611[[#This Row],[Level]]*1 + 15</f>
        <v>25</v>
      </c>
      <c r="S10">
        <f>Table131611[[#This Row],[Level]]*1</f>
        <v>10</v>
      </c>
    </row>
    <row r="11" spans="1:19" x14ac:dyDescent="0.25">
      <c r="A11">
        <v>25</v>
      </c>
      <c r="B11">
        <f>Table1316[[#This Row],[Level]]*56.25-100</f>
        <v>1306.25</v>
      </c>
      <c r="C11">
        <f>Table1316[[#This Row],[Level]]*10</f>
        <v>250</v>
      </c>
      <c r="D11">
        <f>Table1316[[#This Row],[Level]]*1.25+ 15</f>
        <v>46.25</v>
      </c>
      <c r="E11">
        <f>Table1316[[#This Row],[Level]]*1.25 + 15</f>
        <v>46.25</v>
      </c>
      <c r="F11">
        <f>Table1316[[#This Row],[Level]]*1</f>
        <v>25</v>
      </c>
      <c r="G11">
        <f>Table1316[[#This Row],[Level]]*1</f>
        <v>25</v>
      </c>
      <c r="H11">
        <f>Table1316[[#This Row],[Level]]*1 + 5</f>
        <v>30</v>
      </c>
      <c r="I11">
        <f>Table1316[[#This Row],[Level]]*1</f>
        <v>25</v>
      </c>
      <c r="K11">
        <v>25</v>
      </c>
      <c r="L11">
        <f>Table131611[[#This Row],[Level]]*56.25+200</f>
        <v>1606.25</v>
      </c>
      <c r="M11">
        <f>Table131611[[#This Row],[Level]]*10</f>
        <v>250</v>
      </c>
      <c r="N11">
        <f>Table131611[[#This Row],[Level]]*1.25+ 15+30</f>
        <v>76.25</v>
      </c>
      <c r="O11">
        <f>Table131611[[#This Row],[Level]]*1.25 + 15+33</f>
        <v>79.25</v>
      </c>
      <c r="P11">
        <f>Table131611[[#This Row],[Level]]*1</f>
        <v>25</v>
      </c>
      <c r="Q11">
        <f>Table131611[[#This Row],[Level]]*1</f>
        <v>25</v>
      </c>
      <c r="R11">
        <f>Table131611[[#This Row],[Level]]*1 + 15</f>
        <v>40</v>
      </c>
      <c r="S11">
        <f>Table131611[[#This Row],[Level]]*1</f>
        <v>25</v>
      </c>
    </row>
    <row r="12" spans="1:19" x14ac:dyDescent="0.25">
      <c r="A12">
        <v>35</v>
      </c>
      <c r="B12">
        <f>Table1316[[#This Row],[Level]]*56.25-100</f>
        <v>1868.75</v>
      </c>
      <c r="C12">
        <f>Table1316[[#This Row],[Level]]*10</f>
        <v>350</v>
      </c>
      <c r="D12">
        <f>Table1316[[#This Row],[Level]]*1.25+ 15</f>
        <v>58.75</v>
      </c>
      <c r="E12">
        <f>Table1316[[#This Row],[Level]]*1.25 + 15</f>
        <v>58.75</v>
      </c>
      <c r="F12">
        <f>Table1316[[#This Row],[Level]]*1</f>
        <v>35</v>
      </c>
      <c r="G12">
        <f>Table1316[[#This Row],[Level]]*1</f>
        <v>35</v>
      </c>
      <c r="H12">
        <f>Table1316[[#This Row],[Level]]*1 + 5</f>
        <v>40</v>
      </c>
      <c r="I12">
        <f>Table1316[[#This Row],[Level]]*1</f>
        <v>35</v>
      </c>
      <c r="K12">
        <v>35</v>
      </c>
      <c r="L12">
        <f>Table131611[[#This Row],[Level]]*56.25+200</f>
        <v>2168.75</v>
      </c>
      <c r="M12">
        <f>Table131611[[#This Row],[Level]]*10</f>
        <v>350</v>
      </c>
      <c r="N12">
        <f>Table131611[[#This Row],[Level]]*1.25+ 15+30</f>
        <v>88.75</v>
      </c>
      <c r="O12">
        <f>Table131611[[#This Row],[Level]]*1.25 + 15+33</f>
        <v>91.75</v>
      </c>
      <c r="P12">
        <f>Table131611[[#This Row],[Level]]*1</f>
        <v>35</v>
      </c>
      <c r="Q12">
        <f>Table131611[[#This Row],[Level]]*1</f>
        <v>35</v>
      </c>
      <c r="R12">
        <f>Table131611[[#This Row],[Level]]*1 + 15</f>
        <v>50</v>
      </c>
      <c r="S12">
        <f>Table131611[[#This Row],[Level]]*1</f>
        <v>35</v>
      </c>
    </row>
    <row r="13" spans="1:19" x14ac:dyDescent="0.25">
      <c r="A13">
        <v>99</v>
      </c>
      <c r="B13">
        <f>Table1316[[#This Row],[Level]]*56.25-100</f>
        <v>5468.75</v>
      </c>
      <c r="C13">
        <f>Table1316[[#This Row],[Level]]*10</f>
        <v>990</v>
      </c>
      <c r="D13">
        <f>Table1316[[#This Row],[Level]]*1.25+ 15</f>
        <v>138.75</v>
      </c>
      <c r="E13">
        <f>Table1316[[#This Row],[Level]]*1.25 + 15</f>
        <v>138.75</v>
      </c>
      <c r="F13">
        <f>Table1316[[#This Row],[Level]]*1</f>
        <v>99</v>
      </c>
      <c r="G13">
        <f>Table1316[[#This Row],[Level]]*1</f>
        <v>99</v>
      </c>
      <c r="H13">
        <f>Table1316[[#This Row],[Level]]*1 + 5</f>
        <v>104</v>
      </c>
      <c r="I13">
        <f>Table1316[[#This Row],[Level]]*1</f>
        <v>99</v>
      </c>
      <c r="K13">
        <v>99</v>
      </c>
      <c r="L13">
        <f>Table131611[[#This Row],[Level]]*56.25+200</f>
        <v>5768.75</v>
      </c>
      <c r="M13">
        <f>Table131611[[#This Row],[Level]]*10</f>
        <v>990</v>
      </c>
      <c r="N13">
        <f>Table131611[[#This Row],[Level]]*1.25+ 15+30</f>
        <v>168.75</v>
      </c>
      <c r="O13">
        <f>Table131611[[#This Row],[Level]]*1.25 + 15+33</f>
        <v>171.75</v>
      </c>
      <c r="P13">
        <f>Table131611[[#This Row],[Level]]*1</f>
        <v>99</v>
      </c>
      <c r="Q13">
        <f>Table131611[[#This Row],[Level]]*1</f>
        <v>99</v>
      </c>
      <c r="R13">
        <f>Table131611[[#This Row],[Level]]*1 + 15</f>
        <v>114</v>
      </c>
      <c r="S13">
        <f>Table131611[[#This Row],[Level]]*1</f>
        <v>99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5E475-9F10-4DD8-82F0-E47D9A595A6E}">
  <dimension ref="A2:S17"/>
  <sheetViews>
    <sheetView topLeftCell="J7" workbookViewId="0">
      <selection activeCell="M18" sqref="M18"/>
    </sheetView>
  </sheetViews>
  <sheetFormatPr defaultRowHeight="15" x14ac:dyDescent="0.25"/>
  <sheetData>
    <row r="2" spans="1:19" x14ac:dyDescent="0.25">
      <c r="A2" t="s">
        <v>14</v>
      </c>
    </row>
    <row r="4" spans="1:19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9" x14ac:dyDescent="0.25">
      <c r="A5" t="s">
        <v>15</v>
      </c>
      <c r="B5">
        <v>2</v>
      </c>
      <c r="C5">
        <v>1</v>
      </c>
      <c r="D5">
        <v>4</v>
      </c>
      <c r="E5">
        <v>3</v>
      </c>
      <c r="F5">
        <v>1</v>
      </c>
      <c r="G5">
        <v>3</v>
      </c>
      <c r="H5">
        <v>5</v>
      </c>
      <c r="I5">
        <v>2</v>
      </c>
      <c r="J5">
        <f>SUM(Table15[[#This Row],[HP]:[LUK]])</f>
        <v>21</v>
      </c>
    </row>
    <row r="6" spans="1:19" x14ac:dyDescent="0.25">
      <c r="A6" t="s">
        <v>16</v>
      </c>
      <c r="B6">
        <v>2</v>
      </c>
      <c r="C6">
        <v>1</v>
      </c>
      <c r="D6">
        <v>3</v>
      </c>
      <c r="E6">
        <v>3</v>
      </c>
      <c r="F6">
        <v>1</v>
      </c>
      <c r="G6">
        <v>3</v>
      </c>
      <c r="H6">
        <v>4</v>
      </c>
      <c r="I6">
        <v>2</v>
      </c>
      <c r="J6" s="1">
        <f>SUM(Table15[[#This Row],[HP]:[LUK]])</f>
        <v>19</v>
      </c>
    </row>
    <row r="7" spans="1:19" x14ac:dyDescent="0.25">
      <c r="A7" t="s">
        <v>17</v>
      </c>
      <c r="B7">
        <v>2</v>
      </c>
      <c r="C7">
        <v>4</v>
      </c>
      <c r="D7">
        <v>2</v>
      </c>
      <c r="E7">
        <v>2</v>
      </c>
      <c r="F7">
        <v>4</v>
      </c>
      <c r="G7">
        <v>2</v>
      </c>
      <c r="H7">
        <v>3</v>
      </c>
      <c r="I7">
        <v>2</v>
      </c>
      <c r="J7" s="1">
        <f>SUM(Table15[[#This Row],[HP]:[LUK]])</f>
        <v>21</v>
      </c>
    </row>
    <row r="9" spans="1:19" x14ac:dyDescent="0.25">
      <c r="A9" t="s">
        <v>19</v>
      </c>
    </row>
    <row r="10" spans="1:19" x14ac:dyDescent="0.25">
      <c r="A10" t="s">
        <v>20</v>
      </c>
    </row>
    <row r="11" spans="1:19" x14ac:dyDescent="0.25">
      <c r="A11" t="s">
        <v>12</v>
      </c>
      <c r="B11" t="s">
        <v>2</v>
      </c>
      <c r="C11" t="s">
        <v>3</v>
      </c>
      <c r="D11" t="s">
        <v>4</v>
      </c>
      <c r="E11" t="s">
        <v>5</v>
      </c>
      <c r="F11" t="s">
        <v>6</v>
      </c>
      <c r="G11" t="s">
        <v>7</v>
      </c>
      <c r="H11" t="s">
        <v>8</v>
      </c>
      <c r="I11" t="s">
        <v>9</v>
      </c>
      <c r="K11" t="s">
        <v>12</v>
      </c>
      <c r="L11" t="s">
        <v>2</v>
      </c>
      <c r="M11" t="s">
        <v>3</v>
      </c>
      <c r="N11" t="s">
        <v>4</v>
      </c>
      <c r="O11" t="s">
        <v>5</v>
      </c>
      <c r="P11" t="s">
        <v>6</v>
      </c>
      <c r="Q11" t="s">
        <v>7</v>
      </c>
      <c r="R11" t="s">
        <v>8</v>
      </c>
      <c r="S11" t="s">
        <v>9</v>
      </c>
    </row>
    <row r="12" spans="1:19" x14ac:dyDescent="0.25">
      <c r="A12">
        <v>1</v>
      </c>
      <c r="B12">
        <f>Table13167[[#This Row],[Level]]*56.25-100</f>
        <v>-43.75</v>
      </c>
      <c r="C12">
        <f>Table13167[[#This Row],[Level]]*10</f>
        <v>10</v>
      </c>
      <c r="D12">
        <f>Table13167[[#This Row],[Level]]*1.375+ 15</f>
        <v>16.375</v>
      </c>
      <c r="E12">
        <f>Table13167[[#This Row],[Level]]*1.25 + 15</f>
        <v>16.25</v>
      </c>
      <c r="F12">
        <f>Table13167[[#This Row],[Level]]*1 + 15</f>
        <v>16</v>
      </c>
      <c r="G12">
        <f>Table13167[[#This Row],[Level]]*1.25+ 15</f>
        <v>16.25</v>
      </c>
      <c r="H12">
        <f>Table13167[[#This Row],[Level]]*1.5 + 15</f>
        <v>16.5</v>
      </c>
      <c r="I12">
        <f>Table13167[[#This Row],[Level]]*1.125 + 15</f>
        <v>16.125</v>
      </c>
      <c r="K12">
        <v>1</v>
      </c>
      <c r="L12">
        <f>Table131679[[#This Row],[Level]]*56.25+100</f>
        <v>156.25</v>
      </c>
      <c r="M12">
        <f>Table131679[[#This Row],[Level]]*10</f>
        <v>10</v>
      </c>
      <c r="N12">
        <f>Table131679[[#This Row],[Level]]*1.375+ 15 + 25</f>
        <v>41.375</v>
      </c>
      <c r="O12">
        <f>Table131679[[#This Row],[Level]]*1.25 + 15 + 10</f>
        <v>26.25</v>
      </c>
      <c r="P12">
        <f>Table131679[[#This Row],[Level]]*1 + 15</f>
        <v>16</v>
      </c>
      <c r="Q12">
        <f>Table131679[[#This Row],[Level]]*1.25+ 15 + 8</f>
        <v>24.25</v>
      </c>
      <c r="R12">
        <f>Table131679[[#This Row],[Level]]*1.5 + 15 + 5</f>
        <v>21.5</v>
      </c>
      <c r="S12">
        <f>Table131679[[#This Row],[Level]]*1.125 + 15</f>
        <v>16.125</v>
      </c>
    </row>
    <row r="13" spans="1:19" x14ac:dyDescent="0.25">
      <c r="A13">
        <v>10</v>
      </c>
      <c r="B13">
        <f>Table13167[[#This Row],[Level]]*56.25-100</f>
        <v>462.5</v>
      </c>
      <c r="C13">
        <f>Table13167[[#This Row],[Level]]*10</f>
        <v>100</v>
      </c>
      <c r="D13">
        <f>Table13167[[#This Row],[Level]]*1.375+ 15</f>
        <v>28.75</v>
      </c>
      <c r="E13">
        <f>Table13167[[#This Row],[Level]]*1.25 + 15</f>
        <v>27.5</v>
      </c>
      <c r="F13">
        <f>Table13167[[#This Row],[Level]]*1 + 15</f>
        <v>25</v>
      </c>
      <c r="G13">
        <f>Table13167[[#This Row],[Level]]*1.25+ 15</f>
        <v>27.5</v>
      </c>
      <c r="H13">
        <f>Table13167[[#This Row],[Level]]*1.5 + 15</f>
        <v>30</v>
      </c>
      <c r="I13">
        <f>Table13167[[#This Row],[Level]]*1.125 + 15</f>
        <v>26.25</v>
      </c>
      <c r="K13">
        <v>10</v>
      </c>
      <c r="L13">
        <f>Table131679[[#This Row],[Level]]*56.25+100</f>
        <v>662.5</v>
      </c>
      <c r="M13">
        <f>Table131679[[#This Row],[Level]]*10</f>
        <v>100</v>
      </c>
      <c r="N13">
        <f>Table131679[[#This Row],[Level]]*1.375+ 15 + 25</f>
        <v>53.75</v>
      </c>
      <c r="O13">
        <f>Table131679[[#This Row],[Level]]*1.25 + 15 + 10</f>
        <v>37.5</v>
      </c>
      <c r="P13">
        <f>Table131679[[#This Row],[Level]]*1 + 15</f>
        <v>25</v>
      </c>
      <c r="Q13">
        <f>Table131679[[#This Row],[Level]]*1.25+ 15 + 8</f>
        <v>35.5</v>
      </c>
      <c r="R13">
        <f>Table131679[[#This Row],[Level]]*1.5 + 15 + 5</f>
        <v>35</v>
      </c>
      <c r="S13">
        <f>Table131679[[#This Row],[Level]]*1.125 + 15</f>
        <v>26.25</v>
      </c>
    </row>
    <row r="14" spans="1:19" x14ac:dyDescent="0.25">
      <c r="A14">
        <v>25</v>
      </c>
      <c r="B14">
        <f>Table13167[[#This Row],[Level]]*56.25-100</f>
        <v>1306.25</v>
      </c>
      <c r="C14">
        <f>Table13167[[#This Row],[Level]]*10</f>
        <v>250</v>
      </c>
      <c r="D14">
        <f>Table13167[[#This Row],[Level]]*1.375+ 15</f>
        <v>49.375</v>
      </c>
      <c r="E14">
        <f>Table13167[[#This Row],[Level]]*1.25 + 15</f>
        <v>46.25</v>
      </c>
      <c r="F14">
        <f>Table13167[[#This Row],[Level]]*1 + 15</f>
        <v>40</v>
      </c>
      <c r="G14">
        <f>Table13167[[#This Row],[Level]]*1.25+ 15</f>
        <v>46.25</v>
      </c>
      <c r="H14">
        <f>Table13167[[#This Row],[Level]]*1.5 + 15</f>
        <v>52.5</v>
      </c>
      <c r="I14">
        <f>Table13167[[#This Row],[Level]]*1.125 + 15</f>
        <v>43.125</v>
      </c>
      <c r="K14">
        <v>25</v>
      </c>
      <c r="L14">
        <f>Table131679[[#This Row],[Level]]*56.25+100</f>
        <v>1506.25</v>
      </c>
      <c r="M14">
        <f>Table131679[[#This Row],[Level]]*10</f>
        <v>250</v>
      </c>
      <c r="N14">
        <f>Table131679[[#This Row],[Level]]*1.375+ 15 + 25</f>
        <v>74.375</v>
      </c>
      <c r="O14">
        <f>Table131679[[#This Row],[Level]]*1.25 + 15 + 10</f>
        <v>56.25</v>
      </c>
      <c r="P14">
        <f>Table131679[[#This Row],[Level]]*1 + 15</f>
        <v>40</v>
      </c>
      <c r="Q14">
        <f>Table131679[[#This Row],[Level]]*1.25+ 15 + 8</f>
        <v>54.25</v>
      </c>
      <c r="R14">
        <f>Table131679[[#This Row],[Level]]*1.5 + 15 + 5</f>
        <v>57.5</v>
      </c>
      <c r="S14">
        <f>Table131679[[#This Row],[Level]]*1.125 + 15</f>
        <v>43.125</v>
      </c>
    </row>
    <row r="15" spans="1:19" x14ac:dyDescent="0.25">
      <c r="A15">
        <v>35</v>
      </c>
      <c r="B15">
        <f>Table13167[[#This Row],[Level]]*56.25-100</f>
        <v>1868.75</v>
      </c>
      <c r="C15">
        <f>Table13167[[#This Row],[Level]]*10</f>
        <v>350</v>
      </c>
      <c r="D15">
        <f>Table13167[[#This Row],[Level]]*1.375+ 15</f>
        <v>63.125</v>
      </c>
      <c r="E15">
        <f>Table13167[[#This Row],[Level]]*1.25 + 15</f>
        <v>58.75</v>
      </c>
      <c r="F15">
        <f>Table13167[[#This Row],[Level]]*1 + 15</f>
        <v>50</v>
      </c>
      <c r="G15">
        <f>Table13167[[#This Row],[Level]]*1.25+ 15</f>
        <v>58.75</v>
      </c>
      <c r="H15">
        <f>Table13167[[#This Row],[Level]]*1.5 + 15</f>
        <v>67.5</v>
      </c>
      <c r="I15">
        <f>Table13167[[#This Row],[Level]]*1.125 + 15</f>
        <v>54.375</v>
      </c>
      <c r="K15">
        <v>35</v>
      </c>
      <c r="L15">
        <f>Table131679[[#This Row],[Level]]*56.25+100</f>
        <v>2068.75</v>
      </c>
      <c r="M15">
        <f>Table131679[[#This Row],[Level]]*10</f>
        <v>350</v>
      </c>
      <c r="N15">
        <f>Table131679[[#This Row],[Level]]*1.375+ 15 + 25</f>
        <v>88.125</v>
      </c>
      <c r="O15">
        <f>Table131679[[#This Row],[Level]]*1.25 + 15 + 10</f>
        <v>68.75</v>
      </c>
      <c r="P15">
        <f>Table131679[[#This Row],[Level]]*1 + 15</f>
        <v>50</v>
      </c>
      <c r="Q15">
        <f>Table131679[[#This Row],[Level]]*1.25+ 15 + 8</f>
        <v>66.75</v>
      </c>
      <c r="R15">
        <f>Table131679[[#This Row],[Level]]*1.5 + 15 + 5</f>
        <v>72.5</v>
      </c>
      <c r="S15">
        <f>Table131679[[#This Row],[Level]]*1.125 + 15</f>
        <v>54.375</v>
      </c>
    </row>
    <row r="16" spans="1:19" x14ac:dyDescent="0.25">
      <c r="A16">
        <v>99</v>
      </c>
      <c r="B16">
        <f>Table13167[[#This Row],[Level]]*56.25-100</f>
        <v>5468.75</v>
      </c>
      <c r="C16">
        <f>Table13167[[#This Row],[Level]]*10</f>
        <v>990</v>
      </c>
      <c r="D16">
        <f>Table13167[[#This Row],[Level]]*1.375+ 15</f>
        <v>151.125</v>
      </c>
      <c r="E16">
        <f>Table13167[[#This Row],[Level]]*1.25 + 15</f>
        <v>138.75</v>
      </c>
      <c r="F16">
        <f>Table13167[[#This Row],[Level]]*1 + 15</f>
        <v>114</v>
      </c>
      <c r="G16">
        <f>Table13167[[#This Row],[Level]]*1.25+ 15</f>
        <v>138.75</v>
      </c>
      <c r="H16">
        <f>Table13167[[#This Row],[Level]]*1.5 + 15</f>
        <v>163.5</v>
      </c>
      <c r="I16">
        <f>Table13167[[#This Row],[Level]]*1.125 + 15</f>
        <v>126.375</v>
      </c>
      <c r="K16">
        <v>99</v>
      </c>
      <c r="L16">
        <f>Table131679[[#This Row],[Level]]*56.25+100</f>
        <v>5668.75</v>
      </c>
      <c r="M16">
        <f>Table131679[[#This Row],[Level]]*10</f>
        <v>990</v>
      </c>
      <c r="N16">
        <f>Table131679[[#This Row],[Level]]*1.375+ 15 + 25</f>
        <v>176.125</v>
      </c>
      <c r="O16">
        <f>Table131679[[#This Row],[Level]]*1.25 + 15 + 10</f>
        <v>148.75</v>
      </c>
      <c r="P16">
        <f>Table131679[[#This Row],[Level]]*1 + 15</f>
        <v>114</v>
      </c>
      <c r="Q16">
        <f>Table131679[[#This Row],[Level]]*1.25+ 15 + 8</f>
        <v>146.75</v>
      </c>
      <c r="R16">
        <f>Table131679[[#This Row],[Level]]*1.5 + 15 + 5</f>
        <v>168.5</v>
      </c>
      <c r="S16">
        <f>Table131679[[#This Row],[Level]]*1.125 + 15</f>
        <v>126.375</v>
      </c>
    </row>
    <row r="17" spans="11:19" x14ac:dyDescent="0.25">
      <c r="K17">
        <v>3</v>
      </c>
      <c r="L17" s="1">
        <f>Table131679[[#This Row],[Level]]*56.25+100</f>
        <v>268.75</v>
      </c>
      <c r="M17" s="1">
        <f>Table131679[[#This Row],[Level]]*10</f>
        <v>30</v>
      </c>
      <c r="N17" s="1">
        <f>Table131679[[#This Row],[Level]]*1.375+ 15 + 25</f>
        <v>44.125</v>
      </c>
      <c r="O17" s="1">
        <f>Table131679[[#This Row],[Level]]*1.25 + 15 + 10</f>
        <v>28.75</v>
      </c>
      <c r="P17" s="1">
        <f>Table131679[[#This Row],[Level]]*1 + 15</f>
        <v>18</v>
      </c>
      <c r="Q17" s="1">
        <f>Table131679[[#This Row],[Level]]*1.25+ 15 + 8</f>
        <v>26.75</v>
      </c>
      <c r="R17" s="1">
        <f>Table131679[[#This Row],[Level]]*1.5 + 15 + 5</f>
        <v>24.5</v>
      </c>
      <c r="S17" s="1">
        <f>Table131679[[#This Row],[Level]]*1.125 + 15</f>
        <v>18.375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6686-A238-4174-849F-9F6770BD1F9B}">
  <dimension ref="A1:T9"/>
  <sheetViews>
    <sheetView tabSelected="1" topLeftCell="B1" workbookViewId="0">
      <selection activeCell="O14" sqref="O14"/>
    </sheetView>
  </sheetViews>
  <sheetFormatPr defaultRowHeight="15" x14ac:dyDescent="0.25"/>
  <sheetData>
    <row r="1" spans="1:20" x14ac:dyDescent="0.25">
      <c r="F1">
        <v>5</v>
      </c>
      <c r="G1">
        <v>5</v>
      </c>
      <c r="I1">
        <v>1</v>
      </c>
    </row>
    <row r="3" spans="1:20" x14ac:dyDescent="0.25">
      <c r="A3" t="s">
        <v>12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L3" t="s">
        <v>12</v>
      </c>
      <c r="M3" t="s">
        <v>2</v>
      </c>
      <c r="N3" t="s">
        <v>3</v>
      </c>
      <c r="O3" t="s">
        <v>4</v>
      </c>
      <c r="P3" t="s">
        <v>5</v>
      </c>
      <c r="Q3" t="s">
        <v>6</v>
      </c>
      <c r="R3" t="s">
        <v>7</v>
      </c>
      <c r="S3" t="s">
        <v>8</v>
      </c>
      <c r="T3" t="s">
        <v>9</v>
      </c>
    </row>
    <row r="4" spans="1:20" x14ac:dyDescent="0.25">
      <c r="A4">
        <v>1</v>
      </c>
      <c r="B4">
        <f>Table131620[[#This Row],[Level]]*50 + 100</f>
        <v>150</v>
      </c>
      <c r="C4">
        <f>Table131620[[#This Row],[Level]]*15+100</f>
        <v>115</v>
      </c>
      <c r="D4">
        <f>Table131620[[#This Row],[Level]]*1+ 15</f>
        <v>16</v>
      </c>
      <c r="E4">
        <f>Table131620[[#This Row],[Level]]*1 + 15</f>
        <v>16</v>
      </c>
      <c r="F4">
        <f>Table131620[[#This Row],[Level]]*1.5 + 15</f>
        <v>16.5</v>
      </c>
      <c r="G4">
        <f>Table131620[[#This Row],[Level]]*1.5 + 15</f>
        <v>16.5</v>
      </c>
      <c r="H4">
        <f>Table131620[[#This Row],[Level]]*1.25 + 15</f>
        <v>16.25</v>
      </c>
      <c r="I4">
        <f>Table131620[[#This Row],[Level]]*1 + 15</f>
        <v>16</v>
      </c>
      <c r="L4" s="2">
        <v>20</v>
      </c>
      <c r="M4" s="3">
        <f>Table19[Level]*50 + 100</f>
        <v>1100</v>
      </c>
      <c r="N4" s="3">
        <f>Table19[[#This Row],[Level]]*15+100</f>
        <v>400</v>
      </c>
      <c r="O4" s="3">
        <f>Table19[[#This Row],[Level]]*1+ 15</f>
        <v>35</v>
      </c>
      <c r="P4" s="3">
        <f>Table19[[#This Row],[Level]]*1 + 15 + 6</f>
        <v>41</v>
      </c>
      <c r="Q4" s="3">
        <f>Table19[[#This Row],[Level]]*1.5 + 15 + 40</f>
        <v>85</v>
      </c>
      <c r="R4" s="3">
        <f>Table19[[#This Row],[Level]]*1.5 + 15 + 12</f>
        <v>57</v>
      </c>
      <c r="S4" s="3">
        <f>Table19[[#This Row],[Level]]*1.25 + 15</f>
        <v>40</v>
      </c>
      <c r="T4" s="4">
        <f>Table19[Level] + 15</f>
        <v>35</v>
      </c>
    </row>
    <row r="5" spans="1:20" x14ac:dyDescent="0.25">
      <c r="A5">
        <v>15</v>
      </c>
      <c r="B5">
        <f>Table131620[[#This Row],[Level]]*50 + 100</f>
        <v>850</v>
      </c>
      <c r="C5">
        <f>Table131620[[#This Row],[Level]]*15+100</f>
        <v>325</v>
      </c>
      <c r="D5">
        <f>Table131620[[#This Row],[Level]]*1+ 15</f>
        <v>30</v>
      </c>
      <c r="E5">
        <f>Table131620[[#This Row],[Level]]*1 + 15</f>
        <v>30</v>
      </c>
      <c r="F5">
        <f>Table131620[[#This Row],[Level]]*1.5 + 15</f>
        <v>37.5</v>
      </c>
      <c r="G5">
        <f>Table131620[[#This Row],[Level]]*1.5 + 15</f>
        <v>37.5</v>
      </c>
      <c r="H5">
        <f>Table131620[[#This Row],[Level]]*1.25 + 15</f>
        <v>33.75</v>
      </c>
      <c r="I5">
        <f>Table131620[[#This Row],[Level]]*1 + 15</f>
        <v>30</v>
      </c>
    </row>
    <row r="6" spans="1:20" x14ac:dyDescent="0.25">
      <c r="A6">
        <v>25</v>
      </c>
      <c r="B6">
        <f>Table131620[[#This Row],[Level]]*50 + 100</f>
        <v>1350</v>
      </c>
      <c r="C6">
        <f>Table131620[[#This Row],[Level]]*15+100</f>
        <v>475</v>
      </c>
      <c r="D6">
        <f>Table131620[[#This Row],[Level]]*1+ 15</f>
        <v>40</v>
      </c>
      <c r="E6">
        <f>Table131620[[#This Row],[Level]]*1 + 15</f>
        <v>40</v>
      </c>
      <c r="F6">
        <f>Table131620[[#This Row],[Level]]*1.5 + 15</f>
        <v>52.5</v>
      </c>
      <c r="G6">
        <f>Table131620[[#This Row],[Level]]*1.5 + 15</f>
        <v>52.5</v>
      </c>
      <c r="H6">
        <f>Table131620[[#This Row],[Level]]*1.25 + 15</f>
        <v>46.25</v>
      </c>
      <c r="I6">
        <f>Table131620[[#This Row],[Level]]*1 + 15</f>
        <v>40</v>
      </c>
    </row>
    <row r="7" spans="1:20" x14ac:dyDescent="0.25">
      <c r="A7">
        <v>35</v>
      </c>
      <c r="B7">
        <f>Table131620[[#This Row],[Level]]*50 + 100</f>
        <v>1850</v>
      </c>
      <c r="C7">
        <f>Table131620[[#This Row],[Level]]*15+100</f>
        <v>625</v>
      </c>
      <c r="D7">
        <f>Table131620[[#This Row],[Level]]*1+ 15</f>
        <v>50</v>
      </c>
      <c r="E7">
        <f>Table131620[[#This Row],[Level]]*1 + 15</f>
        <v>50</v>
      </c>
      <c r="F7">
        <f>Table131620[[#This Row],[Level]]*1.5 + 15</f>
        <v>67.5</v>
      </c>
      <c r="G7">
        <f>Table131620[[#This Row],[Level]]*1.5 + 15</f>
        <v>67.5</v>
      </c>
      <c r="H7">
        <f>Table131620[[#This Row],[Level]]*1.25 + 15</f>
        <v>58.75</v>
      </c>
      <c r="I7">
        <f>Table131620[[#This Row],[Level]]*1 + 15</f>
        <v>50</v>
      </c>
    </row>
    <row r="8" spans="1:20" x14ac:dyDescent="0.25">
      <c r="A8">
        <v>99</v>
      </c>
      <c r="B8">
        <f>Table131620[[#This Row],[Level]]*50 + 100</f>
        <v>5050</v>
      </c>
      <c r="C8">
        <f>Table131620[[#This Row],[Level]]*15+100</f>
        <v>1585</v>
      </c>
      <c r="D8">
        <f>Table131620[[#This Row],[Level]]*1+ 15</f>
        <v>114</v>
      </c>
      <c r="E8">
        <f>Table131620[[#This Row],[Level]]*1 + 15</f>
        <v>114</v>
      </c>
      <c r="F8">
        <f>Table131620[[#This Row],[Level]]*1.5 + 15</f>
        <v>163.5</v>
      </c>
      <c r="G8">
        <f>Table131620[[#This Row],[Level]]*1.5 + 15</f>
        <v>163.5</v>
      </c>
      <c r="H8">
        <f>Table131620[[#This Row],[Level]]*1.25 + 15</f>
        <v>138.75</v>
      </c>
      <c r="I8">
        <f>Table131620[[#This Row],[Level]]*1 + 15</f>
        <v>114</v>
      </c>
    </row>
    <row r="9" spans="1:20" x14ac:dyDescent="0.25">
      <c r="A9">
        <v>20</v>
      </c>
      <c r="B9" s="1">
        <f>Table131620[[#This Row],[Level]]*50 + 100</f>
        <v>1100</v>
      </c>
      <c r="C9" s="1">
        <f>Table131620[[#This Row],[Level]]*15+100</f>
        <v>400</v>
      </c>
      <c r="D9" s="1">
        <f>Table131620[[#This Row],[Level]]*1+ 15</f>
        <v>35</v>
      </c>
      <c r="E9" s="1">
        <f>Table131620[[#This Row],[Level]]*1 + 15</f>
        <v>35</v>
      </c>
      <c r="F9" s="1">
        <f>Table131620[[#This Row],[Level]]*1.5 + 15</f>
        <v>45</v>
      </c>
      <c r="G9" s="1">
        <f>Table131620[[#This Row],[Level]]*1.5 + 15</f>
        <v>45</v>
      </c>
      <c r="H9" s="1">
        <f>Table131620[[#This Row],[Level]]*1.25 + 15</f>
        <v>40</v>
      </c>
      <c r="I9" s="1">
        <f>Table131620[[#This Row],[Level]]*1 + 15</f>
        <v>35</v>
      </c>
      <c r="K9" t="s">
        <v>21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Undead</vt:lpstr>
      <vt:lpstr>Goblin</vt:lpstr>
      <vt:lpstr>VillianCanson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ly</dc:creator>
  <cp:lastModifiedBy>Michael ly</cp:lastModifiedBy>
  <dcterms:created xsi:type="dcterms:W3CDTF">2017-10-06T22:06:18Z</dcterms:created>
  <dcterms:modified xsi:type="dcterms:W3CDTF">2017-10-08T06:40:44Z</dcterms:modified>
</cp:coreProperties>
</file>