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felipe/Library/Containers/com.microsoft.Excel/Data/"/>
    </mc:Choice>
  </mc:AlternateContent>
  <xr:revisionPtr revIDLastSave="0" documentId="8_{28DDE6BA-5AB5-384F-A15D-CCB85148FA02}" xr6:coauthVersionLast="47" xr6:coauthVersionMax="47" xr10:uidLastSave="{00000000-0000-0000-0000-000000000000}"/>
  <bookViews>
    <workbookView xWindow="0" yWindow="780" windowWidth="36000" windowHeight="22600" tabRatio="817" activeTab="1" xr2:uid="{6C9A7733-A4AB-9D42-A707-D95534C2D2C8}"/>
  </bookViews>
  <sheets>
    <sheet name="EL MÉTODO REBA" sheetId="5" r:id="rId1"/>
    <sheet name="HOJA DE DATOS" sheetId="1" r:id="rId2"/>
    <sheet name="NIVEL DE RIESGO Y ACCIÓN" sheetId="4" r:id="rId3"/>
    <sheet name="EJEMPLO DE APLICACIÓN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I34" i="1"/>
  <c r="I47" i="1"/>
  <c r="I54" i="1"/>
  <c r="I57" i="1"/>
  <c r="J57" i="1" s="1"/>
  <c r="I56" i="1" s="1"/>
  <c r="I71" i="1"/>
  <c r="I81" i="1"/>
  <c r="I97" i="1"/>
  <c r="I106" i="1"/>
  <c r="I109" i="1"/>
  <c r="J109" i="1"/>
  <c r="I108" i="1" s="1"/>
  <c r="I112" i="1"/>
  <c r="I116" i="1"/>
  <c r="K116" i="1"/>
  <c r="L116" i="1" s="1"/>
  <c r="I120" i="1"/>
  <c r="K120" i="1"/>
  <c r="L120" i="1" s="1"/>
  <c r="I18" i="1" l="1"/>
  <c r="J17" i="1"/>
  <c r="J34" i="1"/>
  <c r="I35" i="1"/>
  <c r="I48" i="1"/>
  <c r="J47" i="1"/>
  <c r="I55" i="1"/>
  <c r="J54" i="1"/>
  <c r="J71" i="1"/>
  <c r="I72" i="1"/>
  <c r="J81" i="1"/>
  <c r="I82" i="1"/>
  <c r="I98" i="1"/>
  <c r="J97" i="1"/>
  <c r="I107" i="1"/>
  <c r="J106" i="1"/>
  <c r="J112" i="1"/>
  <c r="I113" i="1"/>
  <c r="J116" i="1"/>
  <c r="I117" i="1"/>
  <c r="J120" i="1"/>
  <c r="I121" i="1"/>
  <c r="N13" i="1" l="1"/>
  <c r="O13" i="1" s="1"/>
  <c r="N12" i="1"/>
  <c r="O12" i="1" s="1"/>
  <c r="N11" i="1"/>
  <c r="O11" i="1" s="1"/>
  <c r="N10" i="1"/>
  <c r="O10" i="1" s="1"/>
  <c r="N53" i="1"/>
  <c r="O53" i="1" s="1"/>
  <c r="N52" i="1"/>
  <c r="O52" i="1" s="1"/>
  <c r="N51" i="1"/>
  <c r="O51" i="1" s="1"/>
  <c r="N50" i="1"/>
  <c r="O50" i="1" s="1"/>
  <c r="N44" i="1"/>
  <c r="O44" i="1" s="1"/>
  <c r="N43" i="1"/>
  <c r="O43" i="1" s="1"/>
  <c r="N42" i="1"/>
  <c r="O42" i="1" s="1"/>
  <c r="N41" i="1"/>
  <c r="O41" i="1" s="1"/>
  <c r="N40" i="1"/>
  <c r="O40" i="1" s="1"/>
  <c r="N39" i="1"/>
  <c r="O39" i="1" s="1"/>
  <c r="N38" i="1"/>
  <c r="O38" i="1" s="1"/>
  <c r="N37" i="1"/>
  <c r="O37" i="1" s="1"/>
  <c r="N33" i="1"/>
  <c r="O33" i="1" s="1"/>
  <c r="N69" i="1"/>
  <c r="O69" i="1" s="1"/>
  <c r="N68" i="1"/>
  <c r="O68" i="1" s="1"/>
  <c r="N67" i="1"/>
  <c r="O67" i="1" s="1"/>
  <c r="N66" i="1"/>
  <c r="O66" i="1" s="1"/>
  <c r="N65" i="1"/>
  <c r="O65" i="1" s="1"/>
  <c r="N64" i="1"/>
  <c r="O64" i="1" s="1"/>
  <c r="N63" i="1"/>
  <c r="O63" i="1" s="1"/>
  <c r="N62" i="1"/>
  <c r="O62" i="1" s="1"/>
  <c r="N61" i="1"/>
  <c r="O61" i="1" s="1"/>
  <c r="N60" i="1"/>
  <c r="O60" i="1" s="1"/>
  <c r="N59" i="1"/>
  <c r="O59" i="1" s="1"/>
  <c r="N58" i="1"/>
  <c r="O58" i="1" s="1"/>
  <c r="N57" i="1"/>
  <c r="O57" i="1" s="1"/>
  <c r="N34" i="1"/>
  <c r="O34" i="1" s="1"/>
  <c r="N32" i="1"/>
  <c r="O32" i="1" s="1"/>
  <c r="N31" i="1"/>
  <c r="O31" i="1" s="1"/>
  <c r="N30" i="1"/>
  <c r="O30" i="1" s="1"/>
  <c r="N29" i="1"/>
  <c r="O29" i="1" s="1"/>
  <c r="N56" i="1"/>
  <c r="O56" i="1" s="1"/>
  <c r="N55" i="1"/>
  <c r="O55" i="1" s="1"/>
  <c r="N54" i="1"/>
  <c r="O54" i="1" s="1"/>
  <c r="N49" i="1"/>
  <c r="O49" i="1" s="1"/>
  <c r="N48" i="1"/>
  <c r="O48" i="1" s="1"/>
  <c r="N47" i="1"/>
  <c r="O47" i="1" s="1"/>
  <c r="N36" i="1"/>
  <c r="O36" i="1" s="1"/>
  <c r="N35" i="1"/>
  <c r="O35" i="1" s="1"/>
  <c r="N28" i="1"/>
  <c r="O28" i="1" s="1"/>
  <c r="N27" i="1"/>
  <c r="O27" i="1" s="1"/>
  <c r="N26" i="1"/>
  <c r="O26" i="1" s="1"/>
  <c r="N25" i="1"/>
  <c r="O25" i="1" s="1"/>
  <c r="N24" i="1"/>
  <c r="O24" i="1" s="1"/>
  <c r="N23" i="1"/>
  <c r="O23" i="1" s="1"/>
  <c r="N22" i="1"/>
  <c r="O22" i="1" s="1"/>
  <c r="N46" i="1"/>
  <c r="O46" i="1" s="1"/>
  <c r="N45" i="1"/>
  <c r="O45" i="1" s="1"/>
  <c r="N21" i="1"/>
  <c r="O21" i="1" s="1"/>
  <c r="N20" i="1"/>
  <c r="O20" i="1" s="1"/>
  <c r="N19" i="1"/>
  <c r="O19" i="1" s="1"/>
  <c r="N18" i="1"/>
  <c r="O18" i="1" s="1"/>
  <c r="N16" i="1"/>
  <c r="O16" i="1" s="1"/>
  <c r="N15" i="1"/>
  <c r="O15" i="1" s="1"/>
  <c r="N14" i="1"/>
  <c r="O14" i="1" s="1"/>
  <c r="N17" i="1"/>
  <c r="O17" i="1" s="1"/>
  <c r="N110" i="1"/>
  <c r="O110" i="1" s="1"/>
  <c r="N109" i="1"/>
  <c r="O109" i="1" s="1"/>
  <c r="N108" i="1"/>
  <c r="O108" i="1" s="1"/>
  <c r="N107" i="1"/>
  <c r="O107" i="1" s="1"/>
  <c r="N106" i="1"/>
  <c r="O106" i="1" s="1"/>
  <c r="N104" i="1"/>
  <c r="O104" i="1" s="1"/>
  <c r="N103" i="1"/>
  <c r="O103" i="1" s="1"/>
  <c r="N102" i="1"/>
  <c r="O102" i="1" s="1"/>
  <c r="N101" i="1"/>
  <c r="O101" i="1" s="1"/>
  <c r="N100" i="1"/>
  <c r="O100" i="1" s="1"/>
  <c r="N99" i="1"/>
  <c r="O99" i="1" s="1"/>
  <c r="N98" i="1"/>
  <c r="O98" i="1" s="1"/>
  <c r="N97" i="1"/>
  <c r="O97" i="1" s="1"/>
  <c r="N96" i="1"/>
  <c r="O96" i="1" s="1"/>
  <c r="N90" i="1"/>
  <c r="O90" i="1" s="1"/>
  <c r="N89" i="1"/>
  <c r="O89" i="1" s="1"/>
  <c r="N105" i="1"/>
  <c r="O105" i="1" s="1"/>
  <c r="N111" i="1"/>
  <c r="O111" i="1" s="1"/>
  <c r="N80" i="1"/>
  <c r="O80" i="1" s="1"/>
  <c r="N95" i="1"/>
  <c r="O95" i="1" s="1"/>
  <c r="N94" i="1"/>
  <c r="O94" i="1" s="1"/>
  <c r="N93" i="1"/>
  <c r="O93" i="1" s="1"/>
  <c r="N92" i="1"/>
  <c r="O92" i="1" s="1"/>
  <c r="N91" i="1"/>
  <c r="O91" i="1" s="1"/>
  <c r="N88" i="1"/>
  <c r="O88" i="1" s="1"/>
  <c r="N87" i="1"/>
  <c r="O87" i="1" s="1"/>
  <c r="N86" i="1"/>
  <c r="O86" i="1" s="1"/>
  <c r="N85" i="1"/>
  <c r="O85" i="1" s="1"/>
  <c r="N84" i="1"/>
  <c r="O84" i="1" s="1"/>
  <c r="N83" i="1"/>
  <c r="O83" i="1" s="1"/>
  <c r="N82" i="1"/>
  <c r="O82" i="1" s="1"/>
  <c r="N81" i="1"/>
  <c r="O81" i="1" s="1"/>
  <c r="N79" i="1"/>
  <c r="O79" i="1" s="1"/>
  <c r="N78" i="1"/>
  <c r="O78" i="1" s="1"/>
  <c r="N77" i="1"/>
  <c r="O77" i="1" s="1"/>
  <c r="N76" i="1"/>
  <c r="O76" i="1" s="1"/>
  <c r="M116" i="1"/>
  <c r="K112" i="1" l="1"/>
  <c r="L112" i="1" s="1"/>
  <c r="Q117" i="1"/>
  <c r="P9" i="1"/>
  <c r="Q3" i="1" s="1"/>
  <c r="P75" i="1"/>
  <c r="Q4" i="1" s="1"/>
  <c r="S12" i="1" l="1"/>
  <c r="S27" i="1" s="1"/>
  <c r="T12" i="1"/>
  <c r="T27" i="1" s="1"/>
  <c r="U12" i="1"/>
  <c r="U27" i="1" s="1"/>
  <c r="V12" i="1"/>
  <c r="V27" i="1" s="1"/>
  <c r="W12" i="1"/>
  <c r="W27" i="1" s="1"/>
  <c r="X12" i="1"/>
  <c r="X27" i="1" s="1"/>
  <c r="Y12" i="1"/>
  <c r="Y27" i="1" s="1"/>
  <c r="Z12" i="1"/>
  <c r="Z27" i="1" s="1"/>
  <c r="AA12" i="1"/>
  <c r="AA27" i="1" s="1"/>
  <c r="AB12" i="1"/>
  <c r="AB27" i="1" s="1"/>
  <c r="AC12" i="1"/>
  <c r="AC27" i="1" s="1"/>
  <c r="AD12" i="1"/>
  <c r="AD27" i="1" s="1"/>
  <c r="S13" i="1"/>
  <c r="S28" i="1" s="1"/>
  <c r="T13" i="1"/>
  <c r="T28" i="1" s="1"/>
  <c r="U13" i="1"/>
  <c r="U28" i="1" s="1"/>
  <c r="V13" i="1"/>
  <c r="V28" i="1" s="1"/>
  <c r="W13" i="1"/>
  <c r="W28" i="1" s="1"/>
  <c r="X13" i="1"/>
  <c r="X28" i="1" s="1"/>
  <c r="Y13" i="1"/>
  <c r="Y28" i="1" s="1"/>
  <c r="Z13" i="1"/>
  <c r="Z28" i="1" s="1"/>
  <c r="AA13" i="1"/>
  <c r="AA28" i="1" s="1"/>
  <c r="AB13" i="1"/>
  <c r="AB28" i="1" s="1"/>
  <c r="AC13" i="1"/>
  <c r="AC28" i="1" s="1"/>
  <c r="AD13" i="1"/>
  <c r="AD28" i="1" s="1"/>
  <c r="S17" i="1"/>
  <c r="S32" i="1" s="1"/>
  <c r="T17" i="1"/>
  <c r="T32" i="1" s="1"/>
  <c r="U17" i="1"/>
  <c r="U32" i="1" s="1"/>
  <c r="V17" i="1"/>
  <c r="V32" i="1" s="1"/>
  <c r="W17" i="1"/>
  <c r="W32" i="1" s="1"/>
  <c r="X17" i="1"/>
  <c r="X32" i="1" s="1"/>
  <c r="Y17" i="1"/>
  <c r="Y32" i="1" s="1"/>
  <c r="Z17" i="1"/>
  <c r="Z32" i="1" s="1"/>
  <c r="AA17" i="1"/>
  <c r="AA32" i="1" s="1"/>
  <c r="AB17" i="1"/>
  <c r="AB32" i="1" s="1"/>
  <c r="AC17" i="1"/>
  <c r="AC32" i="1" s="1"/>
  <c r="S14" i="1"/>
  <c r="S29" i="1" s="1"/>
  <c r="T14" i="1"/>
  <c r="T29" i="1" s="1"/>
  <c r="U14" i="1"/>
  <c r="U29" i="1" s="1"/>
  <c r="V14" i="1"/>
  <c r="V29" i="1" s="1"/>
  <c r="W14" i="1"/>
  <c r="W29" i="1" s="1"/>
  <c r="X14" i="1"/>
  <c r="X29" i="1" s="1"/>
  <c r="Y14" i="1"/>
  <c r="Y29" i="1" s="1"/>
  <c r="Z14" i="1"/>
  <c r="Z29" i="1" s="1"/>
  <c r="AA14" i="1"/>
  <c r="AA29" i="1" s="1"/>
  <c r="AB14" i="1"/>
  <c r="AB29" i="1" s="1"/>
  <c r="AC14" i="1"/>
  <c r="AC29" i="1" s="1"/>
  <c r="AD14" i="1"/>
  <c r="AD29" i="1" s="1"/>
  <c r="S15" i="1"/>
  <c r="S30" i="1" s="1"/>
  <c r="T15" i="1"/>
  <c r="T30" i="1" s="1"/>
  <c r="U15" i="1"/>
  <c r="U30" i="1" s="1"/>
  <c r="V15" i="1"/>
  <c r="V30" i="1" s="1"/>
  <c r="W15" i="1"/>
  <c r="W30" i="1" s="1"/>
  <c r="X15" i="1"/>
  <c r="X30" i="1" s="1"/>
  <c r="Y15" i="1"/>
  <c r="Y30" i="1" s="1"/>
  <c r="Z15" i="1"/>
  <c r="Z30" i="1" s="1"/>
  <c r="AA15" i="1"/>
  <c r="AA30" i="1" s="1"/>
  <c r="AB15" i="1"/>
  <c r="AB30" i="1" s="1"/>
  <c r="AC15" i="1"/>
  <c r="AC30" i="1" s="1"/>
  <c r="AD15" i="1"/>
  <c r="AD30" i="1" s="1"/>
  <c r="S16" i="1"/>
  <c r="S31" i="1" s="1"/>
  <c r="T16" i="1"/>
  <c r="T31" i="1" s="1"/>
  <c r="U16" i="1"/>
  <c r="U31" i="1" s="1"/>
  <c r="V16" i="1"/>
  <c r="V31" i="1" s="1"/>
  <c r="W16" i="1"/>
  <c r="W31" i="1" s="1"/>
  <c r="X16" i="1"/>
  <c r="X31" i="1" s="1"/>
  <c r="Y16" i="1"/>
  <c r="Y31" i="1" s="1"/>
  <c r="Z16" i="1"/>
  <c r="Z31" i="1" s="1"/>
  <c r="AA16" i="1"/>
  <c r="AA31" i="1" s="1"/>
  <c r="AB16" i="1"/>
  <c r="AB31" i="1" s="1"/>
  <c r="AC16" i="1"/>
  <c r="AC31" i="1" s="1"/>
  <c r="AD16" i="1"/>
  <c r="AD31" i="1" s="1"/>
  <c r="AD17" i="1"/>
  <c r="AD32" i="1" s="1"/>
  <c r="S18" i="1"/>
  <c r="S33" i="1" s="1"/>
  <c r="T18" i="1"/>
  <c r="T33" i="1" s="1"/>
  <c r="U18" i="1"/>
  <c r="U33" i="1" s="1"/>
  <c r="V18" i="1"/>
  <c r="V33" i="1" s="1"/>
  <c r="W18" i="1"/>
  <c r="W33" i="1" s="1"/>
  <c r="X18" i="1"/>
  <c r="X33" i="1" s="1"/>
  <c r="Y18" i="1"/>
  <c r="Y33" i="1" s="1"/>
  <c r="Z18" i="1"/>
  <c r="Z33" i="1" s="1"/>
  <c r="AA18" i="1"/>
  <c r="AA33" i="1" s="1"/>
  <c r="AB18" i="1"/>
  <c r="AB33" i="1" s="1"/>
  <c r="AC18" i="1"/>
  <c r="AC33" i="1" s="1"/>
  <c r="AD18" i="1"/>
  <c r="AD33" i="1" s="1"/>
  <c r="S19" i="1"/>
  <c r="S34" i="1" s="1"/>
  <c r="T19" i="1"/>
  <c r="T34" i="1" s="1"/>
  <c r="U19" i="1"/>
  <c r="U34" i="1" s="1"/>
  <c r="V19" i="1"/>
  <c r="V34" i="1" s="1"/>
  <c r="W19" i="1"/>
  <c r="W34" i="1" s="1"/>
  <c r="X19" i="1"/>
  <c r="X34" i="1" s="1"/>
  <c r="Y19" i="1"/>
  <c r="Y34" i="1" s="1"/>
  <c r="Z19" i="1"/>
  <c r="Z34" i="1" s="1"/>
  <c r="AA19" i="1"/>
  <c r="AA34" i="1" s="1"/>
  <c r="AB19" i="1"/>
  <c r="AB34" i="1" s="1"/>
  <c r="AC19" i="1"/>
  <c r="AC34" i="1" s="1"/>
  <c r="AD19" i="1"/>
  <c r="AD34" i="1" s="1"/>
  <c r="S20" i="1"/>
  <c r="S35" i="1" s="1"/>
  <c r="T20" i="1"/>
  <c r="T35" i="1" s="1"/>
  <c r="U20" i="1"/>
  <c r="U35" i="1" s="1"/>
  <c r="V20" i="1"/>
  <c r="V35" i="1" s="1"/>
  <c r="W20" i="1"/>
  <c r="W35" i="1" s="1"/>
  <c r="X20" i="1"/>
  <c r="X35" i="1" s="1"/>
  <c r="Y20" i="1"/>
  <c r="Y35" i="1" s="1"/>
  <c r="Z20" i="1"/>
  <c r="Z35" i="1" s="1"/>
  <c r="AA20" i="1"/>
  <c r="AA35" i="1" s="1"/>
  <c r="AB20" i="1"/>
  <c r="AB35" i="1" s="1"/>
  <c r="AC20" i="1"/>
  <c r="AC35" i="1" s="1"/>
  <c r="AD20" i="1"/>
  <c r="AD35" i="1" s="1"/>
  <c r="S21" i="1"/>
  <c r="S36" i="1" s="1"/>
  <c r="T21" i="1"/>
  <c r="T36" i="1" s="1"/>
  <c r="U21" i="1"/>
  <c r="U36" i="1" s="1"/>
  <c r="V21" i="1"/>
  <c r="V36" i="1" s="1"/>
  <c r="W21" i="1"/>
  <c r="W36" i="1" s="1"/>
  <c r="X21" i="1"/>
  <c r="X36" i="1" s="1"/>
  <c r="Y21" i="1"/>
  <c r="Y36" i="1" s="1"/>
  <c r="Z21" i="1"/>
  <c r="Z36" i="1" s="1"/>
  <c r="AA21" i="1"/>
  <c r="AA36" i="1" s="1"/>
  <c r="AB21" i="1"/>
  <c r="AB36" i="1" s="1"/>
  <c r="AC21" i="1"/>
  <c r="AC36" i="1" s="1"/>
  <c r="AD21" i="1"/>
  <c r="AD36" i="1" s="1"/>
  <c r="S22" i="1"/>
  <c r="S37" i="1" s="1"/>
  <c r="T22" i="1"/>
  <c r="T37" i="1" s="1"/>
  <c r="U22" i="1"/>
  <c r="U37" i="1" s="1"/>
  <c r="V22" i="1"/>
  <c r="V37" i="1" s="1"/>
  <c r="W22" i="1"/>
  <c r="W37" i="1" s="1"/>
  <c r="X22" i="1"/>
  <c r="X37" i="1" s="1"/>
  <c r="Y22" i="1"/>
  <c r="Y37" i="1" s="1"/>
  <c r="Z22" i="1"/>
  <c r="Z37" i="1" s="1"/>
  <c r="AA22" i="1"/>
  <c r="AA37" i="1" s="1"/>
  <c r="AB22" i="1"/>
  <c r="AB37" i="1" s="1"/>
  <c r="AC22" i="1"/>
  <c r="AC37" i="1" s="1"/>
  <c r="AD22" i="1"/>
  <c r="AD37" i="1" s="1"/>
  <c r="S23" i="1"/>
  <c r="S38" i="1" s="1"/>
  <c r="T23" i="1"/>
  <c r="T38" i="1" s="1"/>
  <c r="U23" i="1"/>
  <c r="U38" i="1" s="1"/>
  <c r="V23" i="1"/>
  <c r="V38" i="1" s="1"/>
  <c r="W23" i="1"/>
  <c r="W38" i="1" s="1"/>
  <c r="X23" i="1"/>
  <c r="X38" i="1" s="1"/>
  <c r="Y23" i="1"/>
  <c r="Y38" i="1" s="1"/>
  <c r="Z23" i="1"/>
  <c r="Z38" i="1" s="1"/>
  <c r="AA23" i="1"/>
  <c r="AA38" i="1" s="1"/>
  <c r="AB23" i="1"/>
  <c r="AB38" i="1" s="1"/>
  <c r="AC23" i="1"/>
  <c r="AC38" i="1" s="1"/>
  <c r="AD23" i="1"/>
  <c r="AD38" i="1" s="1"/>
  <c r="Q5" i="1" l="1"/>
  <c r="Q6" i="1" s="1"/>
  <c r="B2" i="4" l="1"/>
  <c r="F9" i="4"/>
  <c r="F10" i="4"/>
  <c r="F11" i="4"/>
  <c r="F12" i="4"/>
  <c r="F16" i="4"/>
  <c r="F17" i="4"/>
  <c r="F18" i="4"/>
  <c r="F19" i="4"/>
  <c r="B26" i="4"/>
  <c r="E32" i="4"/>
  <c r="E34" i="4" s="1"/>
  <c r="H25" i="4"/>
  <c r="B25" i="4" s="1"/>
  <c r="H23" i="4"/>
  <c r="B23" i="4" s="1"/>
  <c r="H24" i="4"/>
  <c r="B24" i="4" s="1"/>
  <c r="E38" i="4" l="1"/>
  <c r="E3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amg33v</author>
  </authors>
  <commentList>
    <comment ref="B5" authorId="0" shapeId="0" xr:uid="{F9727649-3414-6040-BDC8-155B684FD7B9}">
      <text>
        <r>
          <rPr>
            <b/>
            <sz val="11"/>
            <color indexed="81"/>
            <rFont val="Tahoma"/>
            <family val="2"/>
          </rPr>
          <t>Introduzca las puntuaciones en las casillas amarillas.</t>
        </r>
      </text>
    </comment>
    <comment ref="H17" authorId="0" shapeId="0" xr:uid="{33390FDC-15C0-8945-A20B-256874C532A5}">
      <text>
        <r>
          <rPr>
            <b/>
            <sz val="10"/>
            <color indexed="81"/>
            <rFont val="Tahoma"/>
            <family val="2"/>
          </rPr>
          <t>Introduzca un valor entre 1 y 3.</t>
        </r>
      </text>
    </comment>
    <comment ref="H34" authorId="0" shapeId="0" xr:uid="{EB4E13F8-2DF5-644B-BBF7-C542D029D0A9}">
      <text>
        <r>
          <rPr>
            <b/>
            <sz val="10"/>
            <color indexed="81"/>
            <rFont val="Tahoma"/>
            <family val="2"/>
          </rPr>
          <t>Introduzca un valor entre 1 y 4.</t>
        </r>
      </text>
    </comment>
    <comment ref="H47" authorId="0" shapeId="0" xr:uid="{71BE641C-8BCD-A24B-802C-EB1DC480A1A4}">
      <text>
        <r>
          <rPr>
            <b/>
            <sz val="10"/>
            <color indexed="81"/>
            <rFont val="Tahoma"/>
            <family val="2"/>
          </rPr>
          <t>Introduzca un valor entre 1 y 5.</t>
        </r>
      </text>
    </comment>
    <comment ref="H54" authorId="0" shapeId="0" xr:uid="{E1F7C9E4-CA45-0E42-A93A-F21472D01D21}">
      <text>
        <r>
          <rPr>
            <b/>
            <sz val="10"/>
            <color indexed="81"/>
            <rFont val="Tahoma"/>
            <family val="2"/>
          </rPr>
          <t>Introduzca un valor entre 0 y 3.</t>
        </r>
      </text>
    </comment>
    <comment ref="H71" authorId="0" shapeId="0" xr:uid="{EF378BC4-7C49-EA4D-A668-D727648CED50}">
      <text>
        <r>
          <rPr>
            <b/>
            <sz val="10"/>
            <color indexed="81"/>
            <rFont val="Tahoma"/>
            <family val="2"/>
          </rPr>
          <t>Introduzca un valor entre 1 y 2.</t>
        </r>
      </text>
    </comment>
    <comment ref="H81" authorId="0" shapeId="0" xr:uid="{1B99EBEE-1331-4441-8215-CD0846FDF48A}">
      <text>
        <r>
          <rPr>
            <b/>
            <sz val="10"/>
            <color indexed="81"/>
            <rFont val="Tahoma"/>
            <family val="2"/>
          </rPr>
          <t>Introduzca un valor entre 1 y 3.</t>
        </r>
      </text>
    </comment>
    <comment ref="H97" authorId="0" shapeId="0" xr:uid="{57650008-FEA5-3649-8619-4D5977B2F7C1}">
      <text>
        <r>
          <rPr>
            <b/>
            <sz val="10"/>
            <color indexed="81"/>
            <rFont val="Tahoma"/>
            <family val="2"/>
          </rPr>
          <t>Introduzca un valor entre 1 y 6.</t>
        </r>
      </text>
    </comment>
    <comment ref="H106" authorId="0" shapeId="0" xr:uid="{94AA2BA7-D176-8E43-B3E8-A601A6DAF37E}">
      <text>
        <r>
          <rPr>
            <b/>
            <sz val="10"/>
            <color indexed="81"/>
            <rFont val="Tahoma"/>
            <family val="2"/>
          </rPr>
          <t>Introduzca un valor entre 0 y 3.</t>
        </r>
      </text>
    </comment>
  </commentList>
</comments>
</file>

<file path=xl/sharedStrings.xml><?xml version="1.0" encoding="utf-8"?>
<sst xmlns="http://schemas.openxmlformats.org/spreadsheetml/2006/main" count="139" uniqueCount="106">
  <si>
    <t>¿Una o más partes del cuerpo permanecen estáticas, por ej. aguantadas más de 1 min. (S/N)?</t>
  </si>
  <si>
    <t>¿Existen movimientos repetitivos, por ej. repetición superior a 4 veces/min. (S/N)?</t>
  </si>
  <si>
    <t>Grupo A: Análisis de cuello, piernas y tronco</t>
  </si>
  <si>
    <t>CUELLO</t>
  </si>
  <si>
    <t>PIERNAS</t>
  </si>
  <si>
    <t>TRONCO</t>
  </si>
  <si>
    <t>CARGA / FUERZA</t>
  </si>
  <si>
    <t>Grupo B: Análisis de brazos, antebrazos y muñecas</t>
  </si>
  <si>
    <t>ANTEBRAZOS</t>
  </si>
  <si>
    <t>MUÑECAS</t>
  </si>
  <si>
    <t>BRAZOS</t>
  </si>
  <si>
    <t>AGARRE</t>
  </si>
  <si>
    <t>TABLA A</t>
  </si>
  <si>
    <t>1_1_1</t>
  </si>
  <si>
    <t>1_1_2</t>
  </si>
  <si>
    <t>1_1_3</t>
  </si>
  <si>
    <t>1_1_4</t>
  </si>
  <si>
    <t>1_1_5</t>
  </si>
  <si>
    <t>1_2_1</t>
  </si>
  <si>
    <t>1_2_3</t>
  </si>
  <si>
    <t>1_2_5</t>
  </si>
  <si>
    <t>1_2_2</t>
  </si>
  <si>
    <t>1_2_4</t>
  </si>
  <si>
    <t>1_3_1</t>
  </si>
  <si>
    <t>1_3_2</t>
  </si>
  <si>
    <t>1_3_3</t>
  </si>
  <si>
    <t>1_3_4</t>
  </si>
  <si>
    <t>1_3_5</t>
  </si>
  <si>
    <t>1_4_1</t>
  </si>
  <si>
    <t>1_4_2</t>
  </si>
  <si>
    <t>1_4_3</t>
  </si>
  <si>
    <t>1_4_4</t>
  </si>
  <si>
    <t>1_4_5</t>
  </si>
  <si>
    <t>2_1_1</t>
  </si>
  <si>
    <t>2_1_2</t>
  </si>
  <si>
    <t>2_1_3</t>
  </si>
  <si>
    <t>2_1_4</t>
  </si>
  <si>
    <t>2_1_5</t>
  </si>
  <si>
    <t>2_2_1</t>
  </si>
  <si>
    <t>2_2_2</t>
  </si>
  <si>
    <t>2_2_3</t>
  </si>
  <si>
    <t>2_2_4</t>
  </si>
  <si>
    <t>2_2_5</t>
  </si>
  <si>
    <t>2_3_1</t>
  </si>
  <si>
    <t>2_3_2</t>
  </si>
  <si>
    <t>2_3_3</t>
  </si>
  <si>
    <t>2_3_4</t>
  </si>
  <si>
    <t>2_3_5</t>
  </si>
  <si>
    <t>2_4_1</t>
  </si>
  <si>
    <t>2_4_2</t>
  </si>
  <si>
    <t>1_1_6</t>
  </si>
  <si>
    <t>1_2_6</t>
  </si>
  <si>
    <t>1_3_6</t>
  </si>
  <si>
    <t>2_1_6</t>
  </si>
  <si>
    <t>2_4_3</t>
  </si>
  <si>
    <t>2_4_4</t>
  </si>
  <si>
    <t>2_4_5</t>
  </si>
  <si>
    <t>3_1_1</t>
  </si>
  <si>
    <t>3_1_2</t>
  </si>
  <si>
    <t>3_1_3</t>
  </si>
  <si>
    <t>3_1_4</t>
  </si>
  <si>
    <t>3_1_5</t>
  </si>
  <si>
    <t>3_2_1</t>
  </si>
  <si>
    <t>3_2_2</t>
  </si>
  <si>
    <t>3_2_3</t>
  </si>
  <si>
    <t>3_2_4</t>
  </si>
  <si>
    <t>3_2_5</t>
  </si>
  <si>
    <t>3_3_1</t>
  </si>
  <si>
    <t>3_3_2</t>
  </si>
  <si>
    <t>3_3_3</t>
  </si>
  <si>
    <t>3_3_4</t>
  </si>
  <si>
    <t>3_3_5</t>
  </si>
  <si>
    <t>3_4_1</t>
  </si>
  <si>
    <t>3_4_2</t>
  </si>
  <si>
    <t>3_4_3</t>
  </si>
  <si>
    <t>3_4_4</t>
  </si>
  <si>
    <t>3_4_5</t>
  </si>
  <si>
    <t xml:space="preserve">PUNTUACIÓN A </t>
  </si>
  <si>
    <t>PUNTUACIÓN B</t>
  </si>
  <si>
    <t>TABLA B</t>
  </si>
  <si>
    <t>2_2_6</t>
  </si>
  <si>
    <t>2_3_6</t>
  </si>
  <si>
    <t>PUNTUACIÓN ACTIVIDAD MUSCULAR</t>
  </si>
  <si>
    <t>PUNTUACIÓN C</t>
  </si>
  <si>
    <t>PUNTUACIÓN FINAL</t>
  </si>
  <si>
    <t>¿Se producen cambios posturales importantes o se adoptan posturas inestables (S/N)?</t>
  </si>
  <si>
    <t>RESUMEN DE DATOS:</t>
  </si>
  <si>
    <t>ACTIVIDAD MUSCULAR</t>
  </si>
  <si>
    <t>Actividad muscular:</t>
  </si>
  <si>
    <t>NIVELES DE RIESGO Y ACCIÓN:</t>
  </si>
  <si>
    <t>Nivel de riesgo</t>
  </si>
  <si>
    <t>Actuación</t>
  </si>
  <si>
    <t>MÉTODO R.E.B.A. (HOJA DE DATOS):</t>
  </si>
  <si>
    <t>HAGA CLIC EN LA HOJA "NIVEL DE RIESGO Y ACCIÓN" CUANDO TERMINE DE RELLENAR LOS DATOS.</t>
  </si>
  <si>
    <r>
      <t>PUNTUACIÓN CUELLO</t>
    </r>
    <r>
      <rPr>
        <b/>
        <vertAlign val="superscript"/>
        <sz val="14"/>
        <color indexed="18"/>
        <rFont val="Arial"/>
        <family val="2"/>
      </rPr>
      <t>(1-3)</t>
    </r>
    <r>
      <rPr>
        <b/>
        <sz val="14"/>
        <rFont val="Arial"/>
        <family val="2"/>
      </rPr>
      <t>:</t>
    </r>
  </si>
  <si>
    <r>
      <t>PUNTUACIÓN PIERNAS</t>
    </r>
    <r>
      <rPr>
        <b/>
        <vertAlign val="superscript"/>
        <sz val="14"/>
        <color indexed="18"/>
        <rFont val="Arial"/>
        <family val="2"/>
      </rPr>
      <t>(1-4)</t>
    </r>
    <r>
      <rPr>
        <b/>
        <sz val="14"/>
        <rFont val="Arial"/>
        <family val="2"/>
      </rPr>
      <t>:</t>
    </r>
  </si>
  <si>
    <r>
      <t>PUNTUACIÓN TRONCO</t>
    </r>
    <r>
      <rPr>
        <b/>
        <vertAlign val="superscript"/>
        <sz val="14"/>
        <color indexed="18"/>
        <rFont val="Arial"/>
        <family val="2"/>
      </rPr>
      <t>(1-5)</t>
    </r>
    <r>
      <rPr>
        <b/>
        <sz val="14"/>
        <rFont val="Arial"/>
        <family val="2"/>
      </rPr>
      <t>:</t>
    </r>
  </si>
  <si>
    <r>
      <t>PUNTUACIÓN CARGA/FUERZA</t>
    </r>
    <r>
      <rPr>
        <b/>
        <vertAlign val="superscript"/>
        <sz val="14"/>
        <color indexed="18"/>
        <rFont val="Arial"/>
        <family val="2"/>
      </rPr>
      <t>(0-3)</t>
    </r>
    <r>
      <rPr>
        <b/>
        <sz val="14"/>
        <rFont val="Arial"/>
        <family val="2"/>
      </rPr>
      <t>:</t>
    </r>
  </si>
  <si>
    <r>
      <t>PUNTUACIÓN ANTEBRAZOS</t>
    </r>
    <r>
      <rPr>
        <b/>
        <vertAlign val="superscript"/>
        <sz val="14"/>
        <color indexed="18"/>
        <rFont val="Arial"/>
        <family val="2"/>
      </rPr>
      <t>(1-2)</t>
    </r>
    <r>
      <rPr>
        <b/>
        <sz val="14"/>
        <rFont val="Arial"/>
        <family val="2"/>
      </rPr>
      <t>:</t>
    </r>
  </si>
  <si>
    <r>
      <t>PUNTUACIÓN MUÑECAS</t>
    </r>
    <r>
      <rPr>
        <b/>
        <vertAlign val="superscript"/>
        <sz val="14"/>
        <color indexed="18"/>
        <rFont val="Arial"/>
        <family val="2"/>
      </rPr>
      <t>(1-3)</t>
    </r>
    <r>
      <rPr>
        <b/>
        <sz val="14"/>
        <rFont val="Arial"/>
        <family val="2"/>
      </rPr>
      <t>:</t>
    </r>
  </si>
  <si>
    <r>
      <t>PUNTUACIÓN BRAZOS</t>
    </r>
    <r>
      <rPr>
        <b/>
        <vertAlign val="superscript"/>
        <sz val="14"/>
        <color indexed="18"/>
        <rFont val="Arial"/>
        <family val="2"/>
      </rPr>
      <t>(1-6)</t>
    </r>
    <r>
      <rPr>
        <b/>
        <sz val="14"/>
        <rFont val="Arial"/>
        <family val="2"/>
      </rPr>
      <t>:</t>
    </r>
  </si>
  <si>
    <r>
      <t>PUNTUACIÓN AGARRE</t>
    </r>
    <r>
      <rPr>
        <b/>
        <vertAlign val="superscript"/>
        <sz val="14"/>
        <color indexed="18"/>
        <rFont val="Arial"/>
        <family val="2"/>
      </rPr>
      <t>(0-3)</t>
    </r>
    <r>
      <rPr>
        <b/>
        <sz val="14"/>
        <rFont val="Arial"/>
        <family val="2"/>
      </rPr>
      <t>:</t>
    </r>
  </si>
  <si>
    <r>
      <t>Nivel de acción</t>
    </r>
    <r>
      <rPr>
        <b/>
        <vertAlign val="superscript"/>
        <sz val="14"/>
        <color indexed="18"/>
        <rFont val="Arial"/>
        <family val="2"/>
      </rPr>
      <t>(0-4)</t>
    </r>
  </si>
  <si>
    <r>
      <t>Puntuación final REBA</t>
    </r>
    <r>
      <rPr>
        <b/>
        <vertAlign val="superscript"/>
        <sz val="14"/>
        <color indexed="18"/>
        <rFont val="Arial"/>
        <family val="2"/>
      </rPr>
      <t>(1-15)</t>
    </r>
  </si>
  <si>
    <t>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</si>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</sst>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sz val="24"/>
      <name val="Comic Sans MS"/>
      <family val="4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color indexed="17"/>
      <name val="Arial"/>
      <family val="2"/>
    </font>
    <font>
      <b/>
      <sz val="10"/>
      <color indexed="10"/>
      <name val="Arial"/>
      <family val="2"/>
    </font>
    <font>
      <b/>
      <sz val="12"/>
      <color indexed="60"/>
      <name val="Arial"/>
      <family val="2"/>
    </font>
    <font>
      <b/>
      <sz val="12"/>
      <color indexed="18"/>
      <name val="Arial"/>
      <family val="2"/>
    </font>
    <font>
      <sz val="12"/>
      <name val="Arial"/>
      <family val="2"/>
    </font>
    <font>
      <b/>
      <sz val="12"/>
      <color indexed="10"/>
      <name val="Arial"/>
      <family val="2"/>
    </font>
    <font>
      <b/>
      <sz val="14"/>
      <color indexed="16"/>
      <name val="Comic Sans MS"/>
      <family val="4"/>
    </font>
    <font>
      <b/>
      <sz val="14"/>
      <color indexed="18"/>
      <name val="Arial"/>
      <family val="2"/>
    </font>
    <font>
      <sz val="14"/>
      <name val="Arial"/>
      <family val="2"/>
    </font>
    <font>
      <b/>
      <sz val="14"/>
      <color indexed="17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9"/>
      <name val="Arial"/>
      <family val="2"/>
    </font>
    <font>
      <b/>
      <sz val="11"/>
      <color indexed="81"/>
      <name val="Tahoma"/>
      <family val="2"/>
    </font>
    <font>
      <b/>
      <sz val="14"/>
      <name val="Arial"/>
      <family val="2"/>
    </font>
    <font>
      <b/>
      <sz val="16"/>
      <color indexed="16"/>
      <name val="Comic Sans MS"/>
      <family val="4"/>
    </font>
    <font>
      <b/>
      <vertAlign val="superscript"/>
      <sz val="14"/>
      <color indexed="1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indexed="81"/>
      <name val="Tahoma"/>
      <family val="2"/>
    </font>
    <font>
      <b/>
      <sz val="10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justify" vertical="top"/>
    </xf>
    <xf numFmtId="0" fontId="0" fillId="0" borderId="0" xfId="0" applyAlignment="1"/>
    <xf numFmtId="14" fontId="0" fillId="0" borderId="0" xfId="0" applyNumberFormat="1"/>
    <xf numFmtId="0" fontId="8" fillId="0" borderId="0" xfId="0" applyFont="1" applyAlignment="1"/>
    <xf numFmtId="0" fontId="9" fillId="0" borderId="0" xfId="0" applyFont="1" applyAlignment="1"/>
    <xf numFmtId="0" fontId="9" fillId="0" borderId="0" xfId="0" applyFont="1"/>
    <xf numFmtId="0" fontId="10" fillId="0" borderId="0" xfId="0" applyFont="1" applyAlignment="1">
      <alignment horizontal="justify" vertical="justify" wrapText="1"/>
    </xf>
    <xf numFmtId="0" fontId="13" fillId="0" borderId="0" xfId="0" applyFont="1" applyAlignment="1"/>
    <xf numFmtId="0" fontId="14" fillId="0" borderId="0" xfId="0" applyFont="1" applyAlignment="1"/>
    <xf numFmtId="0" fontId="0" fillId="0" borderId="0" xfId="0" applyAlignment="1">
      <alignment wrapText="1"/>
    </xf>
    <xf numFmtId="0" fontId="15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justify" vertical="top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7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/>
    <xf numFmtId="0" fontId="0" fillId="0" borderId="0" xfId="0" applyAlignment="1"/>
    <xf numFmtId="0" fontId="6" fillId="0" borderId="0" xfId="0" applyFont="1" applyAlignment="1">
      <alignment horizontal="justify" vertical="top"/>
    </xf>
    <xf numFmtId="0" fontId="0" fillId="0" borderId="0" xfId="0" applyAlignment="1">
      <alignment horizontal="justify" vertical="top"/>
    </xf>
    <xf numFmtId="0" fontId="6" fillId="0" borderId="7" xfId="0" applyFont="1" applyBorder="1" applyAlignment="1">
      <alignment horizontal="justify" vertical="top"/>
    </xf>
    <xf numFmtId="0" fontId="3" fillId="3" borderId="4" xfId="0" applyFont="1" applyFill="1" applyBorder="1" applyAlignment="1">
      <alignment horizontal="justify" vertical="center" wrapText="1"/>
    </xf>
    <xf numFmtId="0" fontId="4" fillId="3" borderId="5" xfId="0" applyFont="1" applyFill="1" applyBorder="1" applyAlignment="1">
      <alignment horizontal="justify" vertical="center" wrapText="1"/>
    </xf>
    <xf numFmtId="0" fontId="4" fillId="3" borderId="7" xfId="0" applyFont="1" applyFill="1" applyBorder="1" applyAlignment="1">
      <alignment horizontal="justify" vertical="center" wrapText="1"/>
    </xf>
    <xf numFmtId="0" fontId="4" fillId="3" borderId="0" xfId="0" applyFont="1" applyFill="1" applyBorder="1" applyAlignment="1">
      <alignment horizontal="justify" vertical="center" wrapText="1"/>
    </xf>
    <xf numFmtId="0" fontId="4" fillId="3" borderId="9" xfId="0" applyFont="1" applyFill="1" applyBorder="1" applyAlignment="1">
      <alignment horizontal="justify" vertical="center" wrapText="1"/>
    </xf>
    <xf numFmtId="0" fontId="4" fillId="3" borderId="10" xfId="0" applyFont="1" applyFill="1" applyBorder="1" applyAlignment="1">
      <alignment horizontal="justify" vertical="center" wrapText="1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17" xfId="0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2" borderId="14" xfId="0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1" fontId="1" fillId="2" borderId="1" xfId="0" applyNumberFormat="1" applyFont="1" applyFill="1" applyBorder="1" applyAlignment="1" applyProtection="1">
      <alignment horizontal="center" vertical="center"/>
      <protection locked="0"/>
    </xf>
    <xf numFmtId="1" fontId="0" fillId="2" borderId="2" xfId="0" applyNumberFormat="1" applyFill="1" applyBorder="1" applyAlignment="1" applyProtection="1">
      <alignment horizontal="center" vertical="center"/>
      <protection locked="0"/>
    </xf>
    <xf numFmtId="1" fontId="0" fillId="2" borderId="3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 wrapText="1"/>
    </xf>
    <xf numFmtId="0" fontId="4" fillId="3" borderId="6" xfId="0" applyFont="1" applyFill="1" applyBorder="1" applyAlignment="1">
      <alignment horizontal="justify" vertical="center" wrapText="1"/>
    </xf>
    <xf numFmtId="0" fontId="4" fillId="3" borderId="8" xfId="0" applyFont="1" applyFill="1" applyBorder="1" applyAlignment="1">
      <alignment horizontal="justify" vertical="center" wrapText="1"/>
    </xf>
    <xf numFmtId="0" fontId="4" fillId="3" borderId="11" xfId="0" applyFont="1" applyFill="1" applyBorder="1" applyAlignment="1">
      <alignment horizontal="justify" vertical="center" wrapText="1"/>
    </xf>
    <xf numFmtId="0" fontId="19" fillId="0" borderId="0" xfId="0" applyFont="1" applyAlignment="1">
      <alignment horizontal="right"/>
    </xf>
    <xf numFmtId="0" fontId="14" fillId="0" borderId="0" xfId="0" applyFont="1" applyAlignment="1"/>
    <xf numFmtId="0" fontId="13" fillId="0" borderId="0" xfId="0" applyFont="1" applyAlignment="1"/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justify" vertical="justify" wrapText="1"/>
    </xf>
    <xf numFmtId="0" fontId="12" fillId="0" borderId="0" xfId="0" applyFont="1" applyAlignment="1"/>
    <xf numFmtId="0" fontId="11" fillId="0" borderId="0" xfId="0" applyFont="1" applyAlignment="1">
      <alignment horizontal="left"/>
    </xf>
    <xf numFmtId="0" fontId="0" fillId="0" borderId="0" xfId="0" applyAlignment="1">
      <alignment horizontal="justify" vertical="justify" wrapText="1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png"/><Relationship Id="rId3" Type="http://schemas.openxmlformats.org/officeDocument/2006/relationships/image" Target="../media/image34.png"/><Relationship Id="rId7" Type="http://schemas.openxmlformats.org/officeDocument/2006/relationships/image" Target="../media/image38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4" Type="http://schemas.openxmlformats.org/officeDocument/2006/relationships/image" Target="../media/image35.png"/><Relationship Id="rId9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203200</xdr:colOff>
      <xdr:row>33</xdr:row>
      <xdr:rowOff>0</xdr:rowOff>
    </xdr:from>
    <xdr:to>
      <xdr:col>9</xdr:col>
      <xdr:colOff>546100</xdr:colOff>
      <xdr:row>49</xdr:row>
      <xdr:rowOff>63500</xdr:rowOff>
    </xdr:to>
    <xdr:pic>
      <xdr:nvPicPr>
        <xdr:cNvPr id="3324" name="Picture 14">
          <a:extLst>
            <a:ext uri="{FF2B5EF4-FFF2-40B4-BE49-F238E27FC236}">
              <a16:creationId xmlns:a16="http://schemas.microsoft.com/office/drawing/2014/main" id="{C1F16F62-28DB-461D-8FD6-5CA13CDCF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5448300"/>
          <a:ext cx="6946900" cy="2705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406400</xdr:colOff>
      <xdr:row>93</xdr:row>
      <xdr:rowOff>25400</xdr:rowOff>
    </xdr:from>
    <xdr:to>
      <xdr:col>9</xdr:col>
      <xdr:colOff>165100</xdr:colOff>
      <xdr:row>128</xdr:row>
      <xdr:rowOff>25400</xdr:rowOff>
    </xdr:to>
    <xdr:pic>
      <xdr:nvPicPr>
        <xdr:cNvPr id="3325" name="Picture 16">
          <a:extLst>
            <a:ext uri="{FF2B5EF4-FFF2-40B4-BE49-F238E27FC236}">
              <a16:creationId xmlns:a16="http://schemas.microsoft.com/office/drawing/2014/main" id="{7CA3658F-3C8C-F089-FB91-856012C10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900" y="15379700"/>
          <a:ext cx="6362700" cy="577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10</xdr:col>
      <xdr:colOff>215900</xdr:colOff>
      <xdr:row>92</xdr:row>
      <xdr:rowOff>50800</xdr:rowOff>
    </xdr:to>
    <xdr:pic>
      <xdr:nvPicPr>
        <xdr:cNvPr id="3326" name="Picture 18">
          <a:extLst>
            <a:ext uri="{FF2B5EF4-FFF2-40B4-BE49-F238E27FC236}">
              <a16:creationId xmlns:a16="http://schemas.microsoft.com/office/drawing/2014/main" id="{EF3D4758-1290-0D4A-683C-976368322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255000"/>
          <a:ext cx="7645400" cy="6985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76200</xdr:rowOff>
    </xdr:from>
    <xdr:to>
      <xdr:col>9</xdr:col>
      <xdr:colOff>381000</xdr:colOff>
      <xdr:row>155</xdr:row>
      <xdr:rowOff>63500</xdr:rowOff>
    </xdr:to>
    <xdr:pic>
      <xdr:nvPicPr>
        <xdr:cNvPr id="3327" name="Picture 19">
          <a:extLst>
            <a:ext uri="{FF2B5EF4-FFF2-40B4-BE49-F238E27FC236}">
              <a16:creationId xmlns:a16="http://schemas.microsoft.com/office/drawing/2014/main" id="{9240011E-AFBE-6B9E-5EB8-C61EB64DB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539200"/>
          <a:ext cx="6985000" cy="411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9</xdr:col>
      <xdr:colOff>266700</xdr:colOff>
      <xdr:row>174</xdr:row>
      <xdr:rowOff>63500</xdr:rowOff>
    </xdr:to>
    <xdr:pic>
      <xdr:nvPicPr>
        <xdr:cNvPr id="3328" name="Picture 20">
          <a:extLst>
            <a:ext uri="{FF2B5EF4-FFF2-40B4-BE49-F238E27FC236}">
              <a16:creationId xmlns:a16="http://schemas.microsoft.com/office/drawing/2014/main" id="{41D8379B-B634-037D-F8C1-085E0DBE5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5755600"/>
          <a:ext cx="6870700" cy="3035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0</xdr:colOff>
      <xdr:row>175</xdr:row>
      <xdr:rowOff>101600</xdr:rowOff>
    </xdr:from>
    <xdr:to>
      <xdr:col>9</xdr:col>
      <xdr:colOff>673100</xdr:colOff>
      <xdr:row>206</xdr:row>
      <xdr:rowOff>101600</xdr:rowOff>
    </xdr:to>
    <xdr:pic>
      <xdr:nvPicPr>
        <xdr:cNvPr id="3329" name="Picture 21">
          <a:extLst>
            <a:ext uri="{FF2B5EF4-FFF2-40B4-BE49-F238E27FC236}">
              <a16:creationId xmlns:a16="http://schemas.microsoft.com/office/drawing/2014/main" id="{F154E2BD-CEBC-E7D4-9312-FE483923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8994100"/>
          <a:ext cx="7277100" cy="511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208</xdr:row>
      <xdr:rowOff>0</xdr:rowOff>
    </xdr:from>
    <xdr:to>
      <xdr:col>10</xdr:col>
      <xdr:colOff>431800</xdr:colOff>
      <xdr:row>217</xdr:row>
      <xdr:rowOff>101600</xdr:rowOff>
    </xdr:to>
    <xdr:pic>
      <xdr:nvPicPr>
        <xdr:cNvPr id="3330" name="Picture 26">
          <a:extLst>
            <a:ext uri="{FF2B5EF4-FFF2-40B4-BE49-F238E27FC236}">
              <a16:creationId xmlns:a16="http://schemas.microsoft.com/office/drawing/2014/main" id="{2D827153-3A9F-C4C3-BF34-EB5678F96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4340800"/>
          <a:ext cx="7035800" cy="1587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219</xdr:row>
      <xdr:rowOff>0</xdr:rowOff>
    </xdr:from>
    <xdr:to>
      <xdr:col>9</xdr:col>
      <xdr:colOff>749300</xdr:colOff>
      <xdr:row>242</xdr:row>
      <xdr:rowOff>38100</xdr:rowOff>
    </xdr:to>
    <xdr:pic>
      <xdr:nvPicPr>
        <xdr:cNvPr id="3331" name="Picture 27">
          <a:extLst>
            <a:ext uri="{FF2B5EF4-FFF2-40B4-BE49-F238E27FC236}">
              <a16:creationId xmlns:a16="http://schemas.microsoft.com/office/drawing/2014/main" id="{8B6D336C-C0FF-6E19-22E5-ED8BA47C4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6156900"/>
          <a:ext cx="6527800" cy="383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244</xdr:row>
      <xdr:rowOff>139700</xdr:rowOff>
    </xdr:from>
    <xdr:to>
      <xdr:col>9</xdr:col>
      <xdr:colOff>723900</xdr:colOff>
      <xdr:row>267</xdr:row>
      <xdr:rowOff>152400</xdr:rowOff>
    </xdr:to>
    <xdr:pic>
      <xdr:nvPicPr>
        <xdr:cNvPr id="3332" name="Picture 28">
          <a:extLst>
            <a:ext uri="{FF2B5EF4-FFF2-40B4-BE49-F238E27FC236}">
              <a16:creationId xmlns:a16="http://schemas.microsoft.com/office/drawing/2014/main" id="{8AEDA7CF-8B7E-989B-F842-4CBA729A8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0424100"/>
          <a:ext cx="6502400" cy="381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12700</xdr:colOff>
      <xdr:row>270</xdr:row>
      <xdr:rowOff>139700</xdr:rowOff>
    </xdr:from>
    <xdr:to>
      <xdr:col>9</xdr:col>
      <xdr:colOff>698500</xdr:colOff>
      <xdr:row>295</xdr:row>
      <xdr:rowOff>50800</xdr:rowOff>
    </xdr:to>
    <xdr:pic>
      <xdr:nvPicPr>
        <xdr:cNvPr id="3333" name="Picture 29">
          <a:extLst>
            <a:ext uri="{FF2B5EF4-FFF2-40B4-BE49-F238E27FC236}">
              <a16:creationId xmlns:a16="http://schemas.microsoft.com/office/drawing/2014/main" id="{AC1B5C98-9D5A-21DC-2A67-3AB307F54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3700" y="44716700"/>
          <a:ext cx="6464300" cy="403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298</xdr:row>
      <xdr:rowOff>25400</xdr:rowOff>
    </xdr:from>
    <xdr:to>
      <xdr:col>10</xdr:col>
      <xdr:colOff>25400</xdr:colOff>
      <xdr:row>332</xdr:row>
      <xdr:rowOff>101600</xdr:rowOff>
    </xdr:to>
    <xdr:pic>
      <xdr:nvPicPr>
        <xdr:cNvPr id="3334" name="Picture 30">
          <a:extLst>
            <a:ext uri="{FF2B5EF4-FFF2-40B4-BE49-F238E27FC236}">
              <a16:creationId xmlns:a16="http://schemas.microsoft.com/office/drawing/2014/main" id="{D358CF8C-AFBF-B4A1-5329-2109EEA8F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9225200"/>
          <a:ext cx="6629400" cy="5689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</xdr:col>
      <xdr:colOff>0</xdr:colOff>
      <xdr:row>333</xdr:row>
      <xdr:rowOff>0</xdr:rowOff>
    </xdr:from>
    <xdr:to>
      <xdr:col>10</xdr:col>
      <xdr:colOff>114300</xdr:colOff>
      <xdr:row>353</xdr:row>
      <xdr:rowOff>139700</xdr:rowOff>
    </xdr:to>
    <xdr:pic>
      <xdr:nvPicPr>
        <xdr:cNvPr id="3335" name="Picture 31">
          <a:extLst>
            <a:ext uri="{FF2B5EF4-FFF2-40B4-BE49-F238E27FC236}">
              <a16:creationId xmlns:a16="http://schemas.microsoft.com/office/drawing/2014/main" id="{E0459556-3686-7210-6295-D129DAC7E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4978300"/>
          <a:ext cx="6718300" cy="3441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355</xdr:row>
      <xdr:rowOff>0</xdr:rowOff>
    </xdr:from>
    <xdr:to>
      <xdr:col>10</xdr:col>
      <xdr:colOff>165100</xdr:colOff>
      <xdr:row>379</xdr:row>
      <xdr:rowOff>139700</xdr:rowOff>
    </xdr:to>
    <xdr:pic>
      <xdr:nvPicPr>
        <xdr:cNvPr id="3336" name="Picture 32">
          <a:extLst>
            <a:ext uri="{FF2B5EF4-FFF2-40B4-BE49-F238E27FC236}">
              <a16:creationId xmlns:a16="http://schemas.microsoft.com/office/drawing/2014/main" id="{4923205A-543D-2C27-FEAC-ECACC2DC9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8610500"/>
          <a:ext cx="6769100" cy="410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383</xdr:row>
      <xdr:rowOff>0</xdr:rowOff>
    </xdr:from>
    <xdr:to>
      <xdr:col>9</xdr:col>
      <xdr:colOff>673100</xdr:colOff>
      <xdr:row>407</xdr:row>
      <xdr:rowOff>101600</xdr:rowOff>
    </xdr:to>
    <xdr:pic>
      <xdr:nvPicPr>
        <xdr:cNvPr id="3337" name="Picture 33">
          <a:extLst>
            <a:ext uri="{FF2B5EF4-FFF2-40B4-BE49-F238E27FC236}">
              <a16:creationId xmlns:a16="http://schemas.microsoft.com/office/drawing/2014/main" id="{5AE1FCC3-E75D-FA32-43F2-18F9B01E6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3233300"/>
          <a:ext cx="6451600" cy="406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409</xdr:row>
      <xdr:rowOff>0</xdr:rowOff>
    </xdr:from>
    <xdr:to>
      <xdr:col>9</xdr:col>
      <xdr:colOff>685800</xdr:colOff>
      <xdr:row>429</xdr:row>
      <xdr:rowOff>25400</xdr:rowOff>
    </xdr:to>
    <xdr:pic>
      <xdr:nvPicPr>
        <xdr:cNvPr id="3338" name="Picture 34">
          <a:extLst>
            <a:ext uri="{FF2B5EF4-FFF2-40B4-BE49-F238E27FC236}">
              <a16:creationId xmlns:a16="http://schemas.microsoft.com/office/drawing/2014/main" id="{18E2D412-A265-209A-AD50-BDAE1571F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7525900"/>
          <a:ext cx="6464300" cy="332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431</xdr:row>
      <xdr:rowOff>0</xdr:rowOff>
    </xdr:from>
    <xdr:to>
      <xdr:col>10</xdr:col>
      <xdr:colOff>368300</xdr:colOff>
      <xdr:row>436</xdr:row>
      <xdr:rowOff>139700</xdr:rowOff>
    </xdr:to>
    <xdr:pic>
      <xdr:nvPicPr>
        <xdr:cNvPr id="3339" name="Picture 35">
          <a:extLst>
            <a:ext uri="{FF2B5EF4-FFF2-40B4-BE49-F238E27FC236}">
              <a16:creationId xmlns:a16="http://schemas.microsoft.com/office/drawing/2014/main" id="{74D49F50-D6D8-4161-EDDE-F83804C52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71158100"/>
          <a:ext cx="6972300" cy="965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438</xdr:row>
      <xdr:rowOff>0</xdr:rowOff>
    </xdr:from>
    <xdr:to>
      <xdr:col>10</xdr:col>
      <xdr:colOff>279400</xdr:colOff>
      <xdr:row>460</xdr:row>
      <xdr:rowOff>12700</xdr:rowOff>
    </xdr:to>
    <xdr:pic>
      <xdr:nvPicPr>
        <xdr:cNvPr id="3340" name="Picture 36">
          <a:extLst>
            <a:ext uri="{FF2B5EF4-FFF2-40B4-BE49-F238E27FC236}">
              <a16:creationId xmlns:a16="http://schemas.microsoft.com/office/drawing/2014/main" id="{B36B6117-5DF1-29B7-CA3B-F07E3C1DD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72313800"/>
          <a:ext cx="6883400" cy="364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461</xdr:row>
      <xdr:rowOff>0</xdr:rowOff>
    </xdr:from>
    <xdr:to>
      <xdr:col>10</xdr:col>
      <xdr:colOff>482600</xdr:colOff>
      <xdr:row>495</xdr:row>
      <xdr:rowOff>152400</xdr:rowOff>
    </xdr:to>
    <xdr:pic>
      <xdr:nvPicPr>
        <xdr:cNvPr id="3341" name="Picture 37">
          <a:extLst>
            <a:ext uri="{FF2B5EF4-FFF2-40B4-BE49-F238E27FC236}">
              <a16:creationId xmlns:a16="http://schemas.microsoft.com/office/drawing/2014/main" id="{B27376A6-A3D2-A63A-2B82-3366B2613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76111100"/>
          <a:ext cx="7086600" cy="5765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496</xdr:row>
      <xdr:rowOff>0</xdr:rowOff>
    </xdr:from>
    <xdr:to>
      <xdr:col>10</xdr:col>
      <xdr:colOff>381000</xdr:colOff>
      <xdr:row>515</xdr:row>
      <xdr:rowOff>139700</xdr:rowOff>
    </xdr:to>
    <xdr:pic>
      <xdr:nvPicPr>
        <xdr:cNvPr id="3342" name="Picture 38">
          <a:extLst>
            <a:ext uri="{FF2B5EF4-FFF2-40B4-BE49-F238E27FC236}">
              <a16:creationId xmlns:a16="http://schemas.microsoft.com/office/drawing/2014/main" id="{4955F5C6-6DD4-E068-CCB9-5C9B9785D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81889600"/>
          <a:ext cx="6985000" cy="327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517</xdr:row>
      <xdr:rowOff>0</xdr:rowOff>
    </xdr:from>
    <xdr:to>
      <xdr:col>10</xdr:col>
      <xdr:colOff>419100</xdr:colOff>
      <xdr:row>555</xdr:row>
      <xdr:rowOff>101600</xdr:rowOff>
    </xdr:to>
    <xdr:pic>
      <xdr:nvPicPr>
        <xdr:cNvPr id="3343" name="Picture 39">
          <a:extLst>
            <a:ext uri="{FF2B5EF4-FFF2-40B4-BE49-F238E27FC236}">
              <a16:creationId xmlns:a16="http://schemas.microsoft.com/office/drawing/2014/main" id="{89176F76-08C7-9192-4AE7-21553BFA3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85356700"/>
          <a:ext cx="7023100" cy="6375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0</xdr:colOff>
      <xdr:row>557</xdr:row>
      <xdr:rowOff>0</xdr:rowOff>
    </xdr:from>
    <xdr:to>
      <xdr:col>10</xdr:col>
      <xdr:colOff>381000</xdr:colOff>
      <xdr:row>573</xdr:row>
      <xdr:rowOff>114300</xdr:rowOff>
    </xdr:to>
    <xdr:pic>
      <xdr:nvPicPr>
        <xdr:cNvPr id="3344" name="Picture 40">
          <a:extLst>
            <a:ext uri="{FF2B5EF4-FFF2-40B4-BE49-F238E27FC236}">
              <a16:creationId xmlns:a16="http://schemas.microsoft.com/office/drawing/2014/main" id="{43243C59-0AA2-C429-674B-6DFF75627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1960700"/>
          <a:ext cx="6985000" cy="275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576</xdr:row>
      <xdr:rowOff>25400</xdr:rowOff>
    </xdr:from>
    <xdr:to>
      <xdr:col>10</xdr:col>
      <xdr:colOff>368300</xdr:colOff>
      <xdr:row>599</xdr:row>
      <xdr:rowOff>50800</xdr:rowOff>
    </xdr:to>
    <xdr:pic>
      <xdr:nvPicPr>
        <xdr:cNvPr id="3345" name="Picture 41">
          <a:extLst>
            <a:ext uri="{FF2B5EF4-FFF2-40B4-BE49-F238E27FC236}">
              <a16:creationId xmlns:a16="http://schemas.microsoft.com/office/drawing/2014/main" id="{5C55037E-BD97-B7B4-8613-CF563DB7E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5123000"/>
          <a:ext cx="6972300" cy="382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203200</xdr:colOff>
      <xdr:row>2</xdr:row>
      <xdr:rowOff>25400</xdr:rowOff>
    </xdr:from>
    <xdr:to>
      <xdr:col>9</xdr:col>
      <xdr:colOff>584200</xdr:colOff>
      <xdr:row>32</xdr:row>
      <xdr:rowOff>127000</xdr:rowOff>
    </xdr:to>
    <xdr:pic>
      <xdr:nvPicPr>
        <xdr:cNvPr id="3346" name="Picture 44">
          <a:extLst>
            <a:ext uri="{FF2B5EF4-FFF2-40B4-BE49-F238E27FC236}">
              <a16:creationId xmlns:a16="http://schemas.microsoft.com/office/drawing/2014/main" id="{489F2C53-D1E4-4A38-4221-9CBF5646D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355600"/>
          <a:ext cx="6985000" cy="5054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711200</xdr:colOff>
      <xdr:row>12</xdr:row>
      <xdr:rowOff>63500</xdr:rowOff>
    </xdr:from>
    <xdr:to>
      <xdr:col>6</xdr:col>
      <xdr:colOff>812800</xdr:colOff>
      <xdr:row>19</xdr:row>
      <xdr:rowOff>12700</xdr:rowOff>
    </xdr:to>
    <xdr:pic>
      <xdr:nvPicPr>
        <xdr:cNvPr id="1126" name="Picture 10">
          <a:extLst>
            <a:ext uri="{FF2B5EF4-FFF2-40B4-BE49-F238E27FC236}">
              <a16:creationId xmlns:a16="http://schemas.microsoft.com/office/drawing/2014/main" id="{8847AD1A-ED42-BD00-8F78-24810D883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00" y="2184400"/>
          <a:ext cx="5054600" cy="1130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711200</xdr:colOff>
      <xdr:row>21</xdr:row>
      <xdr:rowOff>50800</xdr:rowOff>
    </xdr:from>
    <xdr:to>
      <xdr:col>7</xdr:col>
      <xdr:colOff>0</xdr:colOff>
      <xdr:row>36</xdr:row>
      <xdr:rowOff>25400</xdr:rowOff>
    </xdr:to>
    <xdr:pic>
      <xdr:nvPicPr>
        <xdr:cNvPr id="1127" name="Picture 12">
          <a:extLst>
            <a:ext uri="{FF2B5EF4-FFF2-40B4-BE49-F238E27FC236}">
              <a16:creationId xmlns:a16="http://schemas.microsoft.com/office/drawing/2014/main" id="{E6E1AA3D-6EBF-2505-1B32-7B21A816E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00" y="3721100"/>
          <a:ext cx="5067300" cy="2476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711200</xdr:colOff>
      <xdr:row>38</xdr:row>
      <xdr:rowOff>50800</xdr:rowOff>
    </xdr:from>
    <xdr:to>
      <xdr:col>7</xdr:col>
      <xdr:colOff>0</xdr:colOff>
      <xdr:row>49</xdr:row>
      <xdr:rowOff>0</xdr:rowOff>
    </xdr:to>
    <xdr:pic>
      <xdr:nvPicPr>
        <xdr:cNvPr id="1128" name="Picture 13">
          <a:extLst>
            <a:ext uri="{FF2B5EF4-FFF2-40B4-BE49-F238E27FC236}">
              <a16:creationId xmlns:a16="http://schemas.microsoft.com/office/drawing/2014/main" id="{C8766D76-D009-5B80-D8EB-55E06C0A1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200" y="6591300"/>
          <a:ext cx="5067300" cy="1790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647700</xdr:colOff>
      <xdr:row>52</xdr:row>
      <xdr:rowOff>38100</xdr:rowOff>
    </xdr:from>
    <xdr:to>
      <xdr:col>6</xdr:col>
      <xdr:colOff>812800</xdr:colOff>
      <xdr:row>56</xdr:row>
      <xdr:rowOff>0</xdr:rowOff>
    </xdr:to>
    <xdr:pic>
      <xdr:nvPicPr>
        <xdr:cNvPr id="1129" name="Picture 14">
          <a:extLst>
            <a:ext uri="{FF2B5EF4-FFF2-40B4-BE49-F238E27FC236}">
              <a16:creationId xmlns:a16="http://schemas.microsoft.com/office/drawing/2014/main" id="{B2D26F2A-490C-58DE-B061-F3E8E639B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8953500"/>
          <a:ext cx="5118100" cy="660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0</xdr:colOff>
      <xdr:row>63</xdr:row>
      <xdr:rowOff>76200</xdr:rowOff>
    </xdr:from>
    <xdr:to>
      <xdr:col>7</xdr:col>
      <xdr:colOff>0</xdr:colOff>
      <xdr:row>73</xdr:row>
      <xdr:rowOff>12700</xdr:rowOff>
    </xdr:to>
    <xdr:pic>
      <xdr:nvPicPr>
        <xdr:cNvPr id="1130" name="Picture 15">
          <a:extLst>
            <a:ext uri="{FF2B5EF4-FFF2-40B4-BE49-F238E27FC236}">
              <a16:creationId xmlns:a16="http://schemas.microsoft.com/office/drawing/2014/main" id="{DC67BA86-8D65-0582-4CCE-3EA0D119D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922000"/>
          <a:ext cx="4953000" cy="1600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800100</xdr:colOff>
      <xdr:row>75</xdr:row>
      <xdr:rowOff>50800</xdr:rowOff>
    </xdr:from>
    <xdr:to>
      <xdr:col>6</xdr:col>
      <xdr:colOff>800100</xdr:colOff>
      <xdr:row>83</xdr:row>
      <xdr:rowOff>0</xdr:rowOff>
    </xdr:to>
    <xdr:pic>
      <xdr:nvPicPr>
        <xdr:cNvPr id="1131" name="Picture 16">
          <a:extLst>
            <a:ext uri="{FF2B5EF4-FFF2-40B4-BE49-F238E27FC236}">
              <a16:creationId xmlns:a16="http://schemas.microsoft.com/office/drawing/2014/main" id="{D8650C3B-957D-196C-9C27-CEC29636D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928600"/>
          <a:ext cx="4953000" cy="1295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812800</xdr:colOff>
      <xdr:row>85</xdr:row>
      <xdr:rowOff>63500</xdr:rowOff>
    </xdr:from>
    <xdr:to>
      <xdr:col>6</xdr:col>
      <xdr:colOff>812800</xdr:colOff>
      <xdr:row>99</xdr:row>
      <xdr:rowOff>12700</xdr:rowOff>
    </xdr:to>
    <xdr:pic>
      <xdr:nvPicPr>
        <xdr:cNvPr id="1132" name="Picture 17">
          <a:extLst>
            <a:ext uri="{FF2B5EF4-FFF2-40B4-BE49-F238E27FC236}">
              <a16:creationId xmlns:a16="http://schemas.microsoft.com/office/drawing/2014/main" id="{5639D87A-E24E-FD13-6607-6A8592AC1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800" y="14655800"/>
          <a:ext cx="4953000" cy="2286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812800</xdr:colOff>
      <xdr:row>102</xdr:row>
      <xdr:rowOff>63500</xdr:rowOff>
    </xdr:from>
    <xdr:to>
      <xdr:col>6</xdr:col>
      <xdr:colOff>812800</xdr:colOff>
      <xdr:row>108</xdr:row>
      <xdr:rowOff>0</xdr:rowOff>
    </xdr:to>
    <xdr:pic>
      <xdr:nvPicPr>
        <xdr:cNvPr id="1133" name="Picture 18">
          <a:extLst>
            <a:ext uri="{FF2B5EF4-FFF2-40B4-BE49-F238E27FC236}">
              <a16:creationId xmlns:a16="http://schemas.microsoft.com/office/drawing/2014/main" id="{60F366F7-A610-953A-67F6-AE8EEAB6A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800" y="17526000"/>
          <a:ext cx="4953000" cy="939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28</xdr:row>
      <xdr:rowOff>25400</xdr:rowOff>
    </xdr:from>
    <xdr:to>
      <xdr:col>8</xdr:col>
      <xdr:colOff>368300</xdr:colOff>
      <xdr:row>39</xdr:row>
      <xdr:rowOff>88900</xdr:rowOff>
    </xdr:to>
    <xdr:sp macro="" textlink="">
      <xdr:nvSpPr>
        <xdr:cNvPr id="2060" name="Rectangle 2">
          <a:extLst>
            <a:ext uri="{FF2B5EF4-FFF2-40B4-BE49-F238E27FC236}">
              <a16:creationId xmlns:a16="http://schemas.microsoft.com/office/drawing/2014/main" id="{83FCD316-A2BF-3106-14EE-61B56BA1ED16}"/>
            </a:ext>
          </a:extLst>
        </xdr:cNvPr>
        <xdr:cNvSpPr>
          <a:spLocks noChangeArrowheads="1"/>
        </xdr:cNvSpPr>
      </xdr:nvSpPr>
      <xdr:spPr bwMode="auto">
        <a:xfrm>
          <a:off x="800100" y="6832600"/>
          <a:ext cx="8166100" cy="2628900"/>
        </a:xfrm>
        <a:prstGeom prst="rect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800000" mc:Ignorable="a14" a14:legacySpreadsheetColorIndex="16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0</xdr:rowOff>
    </xdr:from>
    <xdr:to>
      <xdr:col>6</xdr:col>
      <xdr:colOff>812800</xdr:colOff>
      <xdr:row>68</xdr:row>
      <xdr:rowOff>127000</xdr:rowOff>
    </xdr:to>
    <xdr:pic>
      <xdr:nvPicPr>
        <xdr:cNvPr id="4190" name="Picture 2">
          <a:extLst>
            <a:ext uri="{FF2B5EF4-FFF2-40B4-BE49-F238E27FC236}">
              <a16:creationId xmlns:a16="http://schemas.microsoft.com/office/drawing/2014/main" id="{14909197-303D-65E5-47D0-EB7C22EB1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8500"/>
          <a:ext cx="5765800" cy="557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6</xdr:col>
      <xdr:colOff>787400</xdr:colOff>
      <xdr:row>82</xdr:row>
      <xdr:rowOff>88900</xdr:rowOff>
    </xdr:to>
    <xdr:pic>
      <xdr:nvPicPr>
        <xdr:cNvPr id="4191" name="Picture 3">
          <a:extLst>
            <a:ext uri="{FF2B5EF4-FFF2-40B4-BE49-F238E27FC236}">
              <a16:creationId xmlns:a16="http://schemas.microsoft.com/office/drawing/2014/main" id="{31E8AA7B-D93E-70F3-C10D-03CFE828B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57000"/>
          <a:ext cx="5740400" cy="207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6</xdr:col>
      <xdr:colOff>774700</xdr:colOff>
      <xdr:row>89</xdr:row>
      <xdr:rowOff>101600</xdr:rowOff>
    </xdr:to>
    <xdr:pic>
      <xdr:nvPicPr>
        <xdr:cNvPr id="4192" name="Picture 4">
          <a:extLst>
            <a:ext uri="{FF2B5EF4-FFF2-40B4-BE49-F238E27FC236}">
              <a16:creationId xmlns:a16="http://schemas.microsoft.com/office/drawing/2014/main" id="{C8001143-06FA-48C8-03EF-66CC81CD9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68400"/>
          <a:ext cx="57277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6</xdr:col>
      <xdr:colOff>698500</xdr:colOff>
      <xdr:row>118</xdr:row>
      <xdr:rowOff>25400</xdr:rowOff>
    </xdr:to>
    <xdr:pic>
      <xdr:nvPicPr>
        <xdr:cNvPr id="4193" name="Picture 6">
          <a:extLst>
            <a:ext uri="{FF2B5EF4-FFF2-40B4-BE49-F238E27FC236}">
              <a16:creationId xmlns:a16="http://schemas.microsoft.com/office/drawing/2014/main" id="{6648B094-0FBC-A90B-DF9F-3106E950B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19400"/>
          <a:ext cx="5651500" cy="398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6</xdr:col>
      <xdr:colOff>685800</xdr:colOff>
      <xdr:row>144</xdr:row>
      <xdr:rowOff>139700</xdr:rowOff>
    </xdr:to>
    <xdr:pic>
      <xdr:nvPicPr>
        <xdr:cNvPr id="4194" name="Picture 7">
          <a:extLst>
            <a:ext uri="{FF2B5EF4-FFF2-40B4-BE49-F238E27FC236}">
              <a16:creationId xmlns:a16="http://schemas.microsoft.com/office/drawing/2014/main" id="{1702F18B-E91F-09E0-BFB3-D1DB42BCD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12000"/>
          <a:ext cx="5638800" cy="410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6</xdr:col>
      <xdr:colOff>723900</xdr:colOff>
      <xdr:row>161</xdr:row>
      <xdr:rowOff>127000</xdr:rowOff>
    </xdr:to>
    <xdr:pic>
      <xdr:nvPicPr>
        <xdr:cNvPr id="4195" name="Picture 8">
          <a:extLst>
            <a:ext uri="{FF2B5EF4-FFF2-40B4-BE49-F238E27FC236}">
              <a16:creationId xmlns:a16="http://schemas.microsoft.com/office/drawing/2014/main" id="{87FF8D38-C420-1569-4056-C95F3D2A2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34800"/>
          <a:ext cx="5676900" cy="227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7</xdr:col>
      <xdr:colOff>622300</xdr:colOff>
      <xdr:row>198</xdr:row>
      <xdr:rowOff>63500</xdr:rowOff>
    </xdr:to>
    <xdr:pic>
      <xdr:nvPicPr>
        <xdr:cNvPr id="4196" name="Picture 9">
          <a:extLst>
            <a:ext uri="{FF2B5EF4-FFF2-40B4-BE49-F238E27FC236}">
              <a16:creationId xmlns:a16="http://schemas.microsoft.com/office/drawing/2014/main" id="{C32BFF22-B7E3-F5CB-BAD7-988265A9B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406600"/>
          <a:ext cx="6400800" cy="534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88900</xdr:colOff>
      <xdr:row>200</xdr:row>
      <xdr:rowOff>152400</xdr:rowOff>
    </xdr:from>
    <xdr:to>
      <xdr:col>9</xdr:col>
      <xdr:colOff>203200</xdr:colOff>
      <xdr:row>216</xdr:row>
      <xdr:rowOff>76200</xdr:rowOff>
    </xdr:to>
    <xdr:pic>
      <xdr:nvPicPr>
        <xdr:cNvPr id="4197" name="Picture 11">
          <a:extLst>
            <a:ext uri="{FF2B5EF4-FFF2-40B4-BE49-F238E27FC236}">
              <a16:creationId xmlns:a16="http://schemas.microsoft.com/office/drawing/2014/main" id="{DC73EF96-A5EA-2870-B943-36947B30E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33172400"/>
          <a:ext cx="7543800" cy="256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8</xdr:col>
      <xdr:colOff>266700</xdr:colOff>
      <xdr:row>33</xdr:row>
      <xdr:rowOff>25400</xdr:rowOff>
    </xdr:to>
    <xdr:pic>
      <xdr:nvPicPr>
        <xdr:cNvPr id="4198" name="Picture 12">
          <a:extLst>
            <a:ext uri="{FF2B5EF4-FFF2-40B4-BE49-F238E27FC236}">
              <a16:creationId xmlns:a16="http://schemas.microsoft.com/office/drawing/2014/main" id="{D863A87D-57AB-3B07-A286-393FB2C33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100"/>
          <a:ext cx="6870700" cy="5308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5FDF4-D22D-BC4A-A8B0-E336C7D99D73}">
  <sheetPr>
    <tabColor indexed="10"/>
  </sheetPr>
  <dimension ref="A1"/>
  <sheetViews>
    <sheetView showGridLines="0" showRowColHeaders="0" topLeftCell="A349" workbookViewId="0">
      <selection activeCell="L18" sqref="L18"/>
    </sheetView>
  </sheetViews>
  <sheetFormatPr baseColWidth="10" defaultRowHeight="13" x14ac:dyDescent="0.15"/>
  <sheetData/>
  <sheetProtection password="C776" sheet="1" objects="1" scenarios="1" selectLockedCells="1" selectUnlockedCells="1"/>
  <phoneticPr fontId="2" type="noConversion"/>
  <pageMargins left="0.75" right="0.75" top="1" bottom="1" header="0" footer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9617-3D66-3B4C-A3D6-CD20E5676535}">
  <sheetPr>
    <tabColor indexed="13"/>
  </sheetPr>
  <dimension ref="A3:AD128"/>
  <sheetViews>
    <sheetView showGridLines="0" showRowColHeaders="0" tabSelected="1" view="pageBreakPreview" topLeftCell="A104" zoomScaleNormal="100" zoomScaleSheetLayoutView="100" workbookViewId="0">
      <selection activeCell="H17" sqref="H17:H19"/>
    </sheetView>
  </sheetViews>
  <sheetFormatPr baseColWidth="10" defaultRowHeight="13" x14ac:dyDescent="0.15"/>
  <cols>
    <col min="8" max="8" width="8.33203125" customWidth="1"/>
    <col min="9" max="9" width="12.6640625" bestFit="1" customWidth="1"/>
    <col min="11" max="11" width="12.6640625" bestFit="1" customWidth="1"/>
    <col min="12" max="12" width="40.1640625" customWidth="1"/>
    <col min="13" max="14" width="12.6640625" hidden="1" customWidth="1"/>
    <col min="15" max="15" width="0" hidden="1" customWidth="1"/>
    <col min="16" max="16" width="19.6640625" hidden="1" customWidth="1"/>
    <col min="17" max="17" width="0" hidden="1" customWidth="1"/>
    <col min="18" max="18" width="14.5" hidden="1" customWidth="1"/>
    <col min="19" max="30" width="14" hidden="1" customWidth="1"/>
  </cols>
  <sheetData>
    <row r="3" spans="2:30" x14ac:dyDescent="0.15">
      <c r="P3" s="1" t="s">
        <v>77</v>
      </c>
      <c r="Q3">
        <f>IF((J17+J34+J47+J54+J57)=4,P9+H54,0)</f>
        <v>3</v>
      </c>
    </row>
    <row r="4" spans="2:30" x14ac:dyDescent="0.15">
      <c r="P4" s="1" t="s">
        <v>78</v>
      </c>
      <c r="Q4">
        <f>IF((J71+J81+J97+J106+J109)=4,P75+H106,0)</f>
        <v>1</v>
      </c>
    </row>
    <row r="5" spans="2:30" ht="18" x14ac:dyDescent="0.2">
      <c r="B5" s="21" t="s">
        <v>92</v>
      </c>
      <c r="C5" s="20"/>
      <c r="D5" s="20"/>
      <c r="E5" s="20"/>
      <c r="F5" s="20"/>
      <c r="G5" s="9"/>
      <c r="H5" s="9"/>
      <c r="P5" s="1" t="s">
        <v>83</v>
      </c>
      <c r="Q5">
        <f>SUM(S27:AD38)</f>
        <v>2</v>
      </c>
    </row>
    <row r="6" spans="2:30" x14ac:dyDescent="0.15">
      <c r="P6" s="1" t="s">
        <v>84</v>
      </c>
      <c r="Q6">
        <f>IF(Q5*M116&lt;&gt;0,Q5+Q117,0)</f>
        <v>3</v>
      </c>
    </row>
    <row r="9" spans="2:30" x14ac:dyDescent="0.15">
      <c r="O9" s="1" t="s">
        <v>12</v>
      </c>
      <c r="P9">
        <f>SUM(O10:O69)</f>
        <v>3</v>
      </c>
    </row>
    <row r="10" spans="2:30" ht="16" x14ac:dyDescent="0.2">
      <c r="B10" s="22" t="s">
        <v>2</v>
      </c>
      <c r="C10" s="23"/>
      <c r="D10" s="23"/>
      <c r="E10" s="23"/>
      <c r="F10" s="23"/>
      <c r="G10" s="23"/>
      <c r="M10" s="4" t="s">
        <v>13</v>
      </c>
      <c r="N10" t="b">
        <f>AND((J17+J34+J47=3),H17=1,H34=1,H47=1)</f>
        <v>0</v>
      </c>
      <c r="O10">
        <f>IF(N10,1,0)</f>
        <v>0</v>
      </c>
    </row>
    <row r="11" spans="2:30" x14ac:dyDescent="0.15">
      <c r="M11" t="s">
        <v>14</v>
      </c>
      <c r="N11" t="b">
        <f>AND((J17+J34+J47=3),H17=1,H34=1,H47=2)</f>
        <v>0</v>
      </c>
      <c r="O11">
        <f>IF(N11,2,0)</f>
        <v>0</v>
      </c>
      <c r="S11">
        <v>1</v>
      </c>
      <c r="T11">
        <v>2</v>
      </c>
      <c r="U11">
        <v>3</v>
      </c>
      <c r="V11">
        <v>4</v>
      </c>
      <c r="W11">
        <v>5</v>
      </c>
      <c r="X11">
        <v>6</v>
      </c>
      <c r="Y11">
        <v>7</v>
      </c>
      <c r="Z11">
        <v>8</v>
      </c>
      <c r="AA11">
        <v>9</v>
      </c>
      <c r="AB11">
        <v>10</v>
      </c>
      <c r="AC11">
        <v>11</v>
      </c>
      <c r="AD11">
        <v>12</v>
      </c>
    </row>
    <row r="12" spans="2:30" ht="16" x14ac:dyDescent="0.2">
      <c r="B12" s="22" t="s">
        <v>3</v>
      </c>
      <c r="C12" s="23"/>
      <c r="M12" t="s">
        <v>15</v>
      </c>
      <c r="N12" t="b">
        <f>AND(($J$17+$J$34+$J$47=3),$H$17=1,$H$34=1,$H$47=3)</f>
        <v>0</v>
      </c>
      <c r="O12">
        <f>IF(N12,2,0)</f>
        <v>0</v>
      </c>
      <c r="R12">
        <v>1</v>
      </c>
      <c r="S12" s="3" t="b">
        <f>AND($Q$3=1,$Q$4=1)</f>
        <v>0</v>
      </c>
      <c r="T12" s="3" t="b">
        <f>AND($Q$3=1,$Q$4=2)</f>
        <v>0</v>
      </c>
      <c r="U12" s="3" t="b">
        <f>AND($Q$3=1,$Q$4=3)</f>
        <v>0</v>
      </c>
      <c r="V12" s="3" t="b">
        <f>AND($Q$3=1,$Q$4=4)</f>
        <v>0</v>
      </c>
      <c r="W12" s="3" t="b">
        <f>AND($Q$3=1,$Q$4=5)</f>
        <v>0</v>
      </c>
      <c r="X12" s="3" t="b">
        <f>AND($Q$3=1,$Q$4=6)</f>
        <v>0</v>
      </c>
      <c r="Y12" s="3" t="b">
        <f>AND($Q$3=1,$Q$4=7)</f>
        <v>0</v>
      </c>
      <c r="Z12" s="3" t="b">
        <f>AND($Q$3=1,$Q$4=8)</f>
        <v>0</v>
      </c>
      <c r="AA12" s="3" t="b">
        <f>AND($Q$3=1,$Q$4=9)</f>
        <v>0</v>
      </c>
      <c r="AB12" s="3" t="b">
        <f>AND($Q$3=1,$Q$4=10)</f>
        <v>0</v>
      </c>
      <c r="AC12" s="3" t="b">
        <f>AND($Q$3=1,$Q$4=11)</f>
        <v>0</v>
      </c>
      <c r="AD12" s="3" t="b">
        <f>AND($Q$3=1,$Q$4=12)</f>
        <v>0</v>
      </c>
    </row>
    <row r="13" spans="2:30" x14ac:dyDescent="0.15">
      <c r="M13" s="4" t="s">
        <v>16</v>
      </c>
      <c r="N13" t="b">
        <f>AND(($J$17+$J$34+$J$47=3),$H$17=1,$H$34=1,$H$47=4)</f>
        <v>0</v>
      </c>
      <c r="O13">
        <f>IF(N13,3,0)</f>
        <v>0</v>
      </c>
      <c r="R13">
        <v>2</v>
      </c>
      <c r="S13" s="3" t="b">
        <f>AND($Q$3=2,$Q$4=1)</f>
        <v>0</v>
      </c>
      <c r="T13" s="3" t="b">
        <f>AND($Q$3=2,$Q$4=2)</f>
        <v>0</v>
      </c>
      <c r="U13" s="3" t="b">
        <f>AND($Q$3=2,$Q$4=3)</f>
        <v>0</v>
      </c>
      <c r="V13" s="3" t="b">
        <f>AND($Q$3=2,$Q$4=4)</f>
        <v>0</v>
      </c>
      <c r="W13" s="3" t="b">
        <f>AND($Q$3=2,$Q$4=5)</f>
        <v>0</v>
      </c>
      <c r="X13" s="3" t="b">
        <f>AND($Q$3=2,$Q$4=6)</f>
        <v>0</v>
      </c>
      <c r="Y13" s="3" t="b">
        <f>AND($Q$3=2,$Q$4=7)</f>
        <v>0</v>
      </c>
      <c r="Z13" s="3" t="b">
        <f>AND($Q$3=2,$Q$4=8)</f>
        <v>0</v>
      </c>
      <c r="AA13" s="3" t="b">
        <f>AND($Q$3=2,$Q$4=9)</f>
        <v>0</v>
      </c>
      <c r="AB13" s="3" t="b">
        <f>AND($Q$3=2,$Q$4=10)</f>
        <v>0</v>
      </c>
      <c r="AC13" s="3" t="b">
        <f>AND($Q$3=2,$Q$4=11)</f>
        <v>0</v>
      </c>
      <c r="AD13" s="3" t="b">
        <f>AND($Q$3=2,$Q$4=12)</f>
        <v>0</v>
      </c>
    </row>
    <row r="14" spans="2:30" x14ac:dyDescent="0.15">
      <c r="M14" t="s">
        <v>17</v>
      </c>
      <c r="N14" t="b">
        <f>AND(($J$17+$J$34+$J$47=3),$H$17=1,$H$34=1,$H$47=5)</f>
        <v>0</v>
      </c>
      <c r="O14">
        <f>IF(N14,4,0)</f>
        <v>0</v>
      </c>
      <c r="R14">
        <v>3</v>
      </c>
      <c r="S14" s="3" t="b">
        <f>AND($Q$3=3,$Q$4=1)</f>
        <v>1</v>
      </c>
      <c r="T14" s="3" t="b">
        <f>AND($Q$3=3,$Q$4=2)</f>
        <v>0</v>
      </c>
      <c r="U14" s="3" t="b">
        <f>AND($Q$3=3,$Q$4=3)</f>
        <v>0</v>
      </c>
      <c r="V14" s="3" t="b">
        <f>AND($Q$3=3,$Q$4=4)</f>
        <v>0</v>
      </c>
      <c r="W14" s="3" t="b">
        <f>AND($Q$3=3,$Q$4=5)</f>
        <v>0</v>
      </c>
      <c r="X14" s="3" t="b">
        <f>AND($Q$3=3,$Q$4=6)</f>
        <v>0</v>
      </c>
      <c r="Y14" s="3" t="b">
        <f>AND($Q$3=3,$Q$4=7)</f>
        <v>0</v>
      </c>
      <c r="Z14" s="3" t="b">
        <f>AND($Q$3=3,$Q$4=8)</f>
        <v>0</v>
      </c>
      <c r="AA14" s="3" t="b">
        <f>AND($Q$3=3,$Q$4=9)</f>
        <v>0</v>
      </c>
      <c r="AB14" s="3" t="b">
        <f>AND($Q$3=3,$Q$4=10)</f>
        <v>0</v>
      </c>
      <c r="AC14" s="3" t="b">
        <f>AND($Q$3=3,$Q$4=11)</f>
        <v>0</v>
      </c>
      <c r="AD14" s="3" t="b">
        <f>AND($Q$3=3,$Q$4=12)</f>
        <v>0</v>
      </c>
    </row>
    <row r="15" spans="2:30" x14ac:dyDescent="0.15">
      <c r="M15" t="s">
        <v>18</v>
      </c>
      <c r="N15" t="b">
        <f>AND(($J$17+$J$34+$J$47=3),$H$17=1,$H$34=2,$H$47=1)</f>
        <v>0</v>
      </c>
      <c r="O15">
        <f>IF(N15,2,0)</f>
        <v>0</v>
      </c>
      <c r="R15">
        <v>4</v>
      </c>
      <c r="S15" s="3" t="b">
        <f>AND($Q$3=4,$Q$4=1)</f>
        <v>0</v>
      </c>
      <c r="T15" s="3" t="b">
        <f>AND($Q$3=4,$Q$4=2)</f>
        <v>0</v>
      </c>
      <c r="U15" s="3" t="b">
        <f>AND($Q$3=4,$Q$4=3)</f>
        <v>0</v>
      </c>
      <c r="V15" s="3" t="b">
        <f>AND($Q$3=4,$Q$4=4)</f>
        <v>0</v>
      </c>
      <c r="W15" s="3" t="b">
        <f>AND($Q$3=4,$Q$4=5)</f>
        <v>0</v>
      </c>
      <c r="X15" s="3" t="b">
        <f>AND($Q$3=4,$Q$4=6)</f>
        <v>0</v>
      </c>
      <c r="Y15" s="3" t="b">
        <f>AND($Q$3=4,$Q$4=7)</f>
        <v>0</v>
      </c>
      <c r="Z15" s="3" t="b">
        <f>AND($Q$3=4,$Q$4=8)</f>
        <v>0</v>
      </c>
      <c r="AA15" s="3" t="b">
        <f>AND($Q$3=4,$Q$4=9)</f>
        <v>0</v>
      </c>
      <c r="AB15" s="3" t="b">
        <f>AND($Q$3=4,$Q$4=10)</f>
        <v>0</v>
      </c>
      <c r="AC15" s="3" t="b">
        <f>AND($Q$3=4,$Q$4=11)</f>
        <v>0</v>
      </c>
      <c r="AD15" s="3" t="b">
        <f>AND($Q$3=4,$Q$4=12)</f>
        <v>0</v>
      </c>
    </row>
    <row r="16" spans="2:30" ht="14" thickBot="1" x14ac:dyDescent="0.2">
      <c r="M16" t="s">
        <v>21</v>
      </c>
      <c r="N16" t="b">
        <f>AND(($J$17+$J$34+$J$47=3),$H$17=1,$H$34=2,$H$47=2)</f>
        <v>0</v>
      </c>
      <c r="O16">
        <f>IF(N16,3,0)</f>
        <v>0</v>
      </c>
      <c r="R16">
        <v>5</v>
      </c>
      <c r="S16" s="3" t="b">
        <f>AND($Q$3=5,$Q$4=1)</f>
        <v>0</v>
      </c>
      <c r="T16" s="3" t="b">
        <f>AND($Q$3=5,$Q$4=2)</f>
        <v>0</v>
      </c>
      <c r="U16" s="3" t="b">
        <f>AND($Q$3=5,$Q$4=3)</f>
        <v>0</v>
      </c>
      <c r="V16" s="3" t="b">
        <f>AND($Q$3=5,$Q$4=4)</f>
        <v>0</v>
      </c>
      <c r="W16" s="3" t="b">
        <f>AND($Q$3=5,$Q$4=5)</f>
        <v>0</v>
      </c>
      <c r="X16" s="3" t="b">
        <f>AND($Q$3=5,$Q$4=6)</f>
        <v>0</v>
      </c>
      <c r="Y16" s="3" t="b">
        <f>AND($Q$3=5,$Q$4=7)</f>
        <v>0</v>
      </c>
      <c r="Z16" s="3" t="b">
        <f>AND($Q$3=5,$Q$4=8)</f>
        <v>0</v>
      </c>
      <c r="AA16" s="3" t="b">
        <f>AND($Q$3=5,$Q$4=9)</f>
        <v>0</v>
      </c>
      <c r="AB16" s="3" t="b">
        <f>AND($Q$3=5,$Q$4=10)</f>
        <v>0</v>
      </c>
      <c r="AC16" s="3" t="b">
        <f>AND($Q$3=5,$Q$4=11)</f>
        <v>0</v>
      </c>
      <c r="AD16" s="3" t="b">
        <f>AND($Q$3=5,$Q$4=12)</f>
        <v>0</v>
      </c>
    </row>
    <row r="17" spans="2:30" x14ac:dyDescent="0.15">
      <c r="H17" s="42">
        <v>3</v>
      </c>
      <c r="I17" s="15" t="b">
        <f>AND(H17&lt;&gt;1,H17&lt;&gt;2,H17&lt;&gt;3)</f>
        <v>0</v>
      </c>
      <c r="J17" s="15">
        <f>IF(I17,0,1)</f>
        <v>1</v>
      </c>
      <c r="M17" t="s">
        <v>19</v>
      </c>
      <c r="N17" t="b">
        <f>AND(($J$17+$J$34+$J$47=3),$H$17=1,$H$34=2,$H$47=3)</f>
        <v>0</v>
      </c>
      <c r="O17">
        <f>IF(N17,4,0)</f>
        <v>0</v>
      </c>
      <c r="R17">
        <v>6</v>
      </c>
      <c r="S17" s="3" t="b">
        <f>AND($Q$3=6,$Q$4=1)</f>
        <v>0</v>
      </c>
      <c r="T17" s="3" t="b">
        <f>AND($Q$3=6,$Q$4=2)</f>
        <v>0</v>
      </c>
      <c r="U17" s="3" t="b">
        <f>AND($Q$3=6,$Q$4=3)</f>
        <v>0</v>
      </c>
      <c r="V17" s="3" t="b">
        <f>AND($Q$3=6,$Q$4=4)</f>
        <v>0</v>
      </c>
      <c r="W17" s="3" t="b">
        <f>AND($Q$3=6,$Q$4=5)</f>
        <v>0</v>
      </c>
      <c r="X17" s="3" t="b">
        <f>AND($Q$3=6,$Q$4=6)</f>
        <v>0</v>
      </c>
      <c r="Y17" s="3" t="b">
        <f>AND($Q$3=6,$Q$4=7)</f>
        <v>0</v>
      </c>
      <c r="Z17" s="3" t="b">
        <f>AND($Q$3=6,$Q$4=8)</f>
        <v>0</v>
      </c>
      <c r="AA17" s="3" t="b">
        <f>AND($Q$3=6,$Q$4=9)</f>
        <v>0</v>
      </c>
      <c r="AB17" s="3" t="b">
        <f>AND($Q$3=6,$Q$4=10)</f>
        <v>0</v>
      </c>
      <c r="AC17" s="3" t="b">
        <f>AND($Q$3=6,$Q$4=11)</f>
        <v>0</v>
      </c>
      <c r="AD17" s="3" t="b">
        <f>AND($Q$3=6,$Q$4=12)</f>
        <v>0</v>
      </c>
    </row>
    <row r="18" spans="2:30" x14ac:dyDescent="0.15">
      <c r="H18" s="43"/>
      <c r="I18" s="24" t="str">
        <f>IF(I17,"   LA PUNTUACIÓN DEL CUELLO DEBE ESTAR EN UN RANGO DE 1 A 3."," ")</f>
        <v xml:space="preserve"> </v>
      </c>
      <c r="J18" s="25"/>
      <c r="K18" s="25"/>
      <c r="L18" s="25"/>
      <c r="M18" t="s">
        <v>22</v>
      </c>
      <c r="N18" t="b">
        <f>AND(($J$17+$J$34+$J$47=3),$H$17=1,$H$34=2,$H$47=4)</f>
        <v>0</v>
      </c>
      <c r="O18">
        <f>IF(N18,5,0)</f>
        <v>0</v>
      </c>
      <c r="R18">
        <v>7</v>
      </c>
      <c r="S18" s="3" t="b">
        <f>AND($Q$3=7,$Q$4=1)</f>
        <v>0</v>
      </c>
      <c r="T18" s="3" t="b">
        <f>AND($Q$3=7,$Q$4=2)</f>
        <v>0</v>
      </c>
      <c r="U18" s="3" t="b">
        <f>AND($Q$3=7,$Q$4=3)</f>
        <v>0</v>
      </c>
      <c r="V18" s="3" t="b">
        <f>AND($Q$3=7,$Q$4=4)</f>
        <v>0</v>
      </c>
      <c r="W18" s="3" t="b">
        <f>AND($Q$3=7,$Q$4=5)</f>
        <v>0</v>
      </c>
      <c r="X18" s="3" t="b">
        <f>AND($Q$3=7,$Q$4=6)</f>
        <v>0</v>
      </c>
      <c r="Y18" s="3" t="b">
        <f>AND($Q$3=7,$Q$4=7)</f>
        <v>0</v>
      </c>
      <c r="Z18" s="3" t="b">
        <f>AND($Q$3=7,$Q$4=8)</f>
        <v>0</v>
      </c>
      <c r="AA18" s="3" t="b">
        <f>AND($Q$3=7,$Q$4=9)</f>
        <v>0</v>
      </c>
      <c r="AB18" s="3" t="b">
        <f>AND($Q$3=7,$Q$4=10)</f>
        <v>0</v>
      </c>
      <c r="AC18" s="3" t="b">
        <f>AND($Q$3=7,$Q$4=11)</f>
        <v>0</v>
      </c>
      <c r="AD18" s="3" t="b">
        <f>AND($Q$3=7,$Q$4=12)</f>
        <v>0</v>
      </c>
    </row>
    <row r="19" spans="2:30" ht="14" thickBot="1" x14ac:dyDescent="0.2">
      <c r="H19" s="44"/>
      <c r="I19" s="25"/>
      <c r="J19" s="25"/>
      <c r="K19" s="25"/>
      <c r="L19" s="25"/>
      <c r="M19" t="s">
        <v>20</v>
      </c>
      <c r="N19" t="b">
        <f>AND(($J$17+$J$34+$J$47=3),$H$17=1,$H$34=2,$H$47=5)</f>
        <v>0</v>
      </c>
      <c r="O19">
        <f>IF(N19,6,0)</f>
        <v>0</v>
      </c>
      <c r="R19">
        <v>8</v>
      </c>
      <c r="S19" s="3" t="b">
        <f>AND($Q$3=8,$Q$4=1)</f>
        <v>0</v>
      </c>
      <c r="T19" s="3" t="b">
        <f>AND($Q$3=8,$Q$4=2)</f>
        <v>0</v>
      </c>
      <c r="U19" s="3" t="b">
        <f>AND($Q$3=8,$Q$4=3)</f>
        <v>0</v>
      </c>
      <c r="V19" s="3" t="b">
        <f>AND($Q$3=8,$Q$4=4)</f>
        <v>0</v>
      </c>
      <c r="W19" s="3" t="b">
        <f>AND($Q$3=8,$Q$4=5)</f>
        <v>0</v>
      </c>
      <c r="X19" s="3" t="b">
        <f>AND($Q$3=8,$Q$4=6)</f>
        <v>0</v>
      </c>
      <c r="Y19" s="3" t="b">
        <f>AND($Q$3=8,$Q$4=7)</f>
        <v>0</v>
      </c>
      <c r="Z19" s="3" t="b">
        <f>AND($Q$3=8,$Q$4=8)</f>
        <v>0</v>
      </c>
      <c r="AA19" s="3" t="b">
        <f>AND($Q$3=8,$Q$4=9)</f>
        <v>0</v>
      </c>
      <c r="AB19" s="3" t="b">
        <f>AND($Q$3=8,$Q$4=10)</f>
        <v>0</v>
      </c>
      <c r="AC19" s="3" t="b">
        <f>AND($Q$3=8,$Q$4=11)</f>
        <v>0</v>
      </c>
      <c r="AD19" s="3" t="b">
        <f>AND($Q$3=8,$Q$4=12)</f>
        <v>0</v>
      </c>
    </row>
    <row r="20" spans="2:30" x14ac:dyDescent="0.15">
      <c r="I20" s="25"/>
      <c r="J20" s="25"/>
      <c r="K20" s="25"/>
      <c r="L20" s="25"/>
      <c r="M20" t="s">
        <v>23</v>
      </c>
      <c r="N20" t="b">
        <f>AND(($J$17+$J$34+$J$47=3),$H$17=1,$H$34=3,$H$47=1)</f>
        <v>0</v>
      </c>
      <c r="O20">
        <f>IF(N20,3,0)</f>
        <v>0</v>
      </c>
      <c r="R20">
        <v>9</v>
      </c>
      <c r="S20" s="3" t="b">
        <f>AND($Q$3=9,$Q$4=1)</f>
        <v>0</v>
      </c>
      <c r="T20" s="3" t="b">
        <f>AND($Q$3=9,$Q$4=2)</f>
        <v>0</v>
      </c>
      <c r="U20" s="3" t="b">
        <f>AND($Q$3=9,$Q$4=3)</f>
        <v>0</v>
      </c>
      <c r="V20" s="3" t="b">
        <f>AND($Q$3=9,$Q$4=4)</f>
        <v>0</v>
      </c>
      <c r="W20" s="3" t="b">
        <f>AND($Q$3=9,$Q$4=5)</f>
        <v>0</v>
      </c>
      <c r="X20" s="3" t="b">
        <f>AND($Q$3=9,$Q$4=6)</f>
        <v>0</v>
      </c>
      <c r="Y20" s="3" t="b">
        <f>AND($Q$3=9,$Q$4=7)</f>
        <v>0</v>
      </c>
      <c r="Z20" s="3" t="b">
        <f>AND($Q$3=9,$Q$4=8)</f>
        <v>0</v>
      </c>
      <c r="AA20" s="3" t="b">
        <f>AND($Q$3=9,$Q$4=9)</f>
        <v>0</v>
      </c>
      <c r="AB20" s="3" t="b">
        <f>AND($Q$3=9,$Q$4=10)</f>
        <v>0</v>
      </c>
      <c r="AC20" s="3" t="b">
        <f>AND($Q$3=9,$Q$4=11)</f>
        <v>0</v>
      </c>
      <c r="AD20" s="3" t="b">
        <f>AND($Q$3=9,$Q$4=12)</f>
        <v>0</v>
      </c>
    </row>
    <row r="21" spans="2:30" ht="16" x14ac:dyDescent="0.2">
      <c r="B21" s="22" t="s">
        <v>4</v>
      </c>
      <c r="C21" s="23"/>
      <c r="M21" t="s">
        <v>24</v>
      </c>
      <c r="N21" t="b">
        <f>AND(($J$17+$J$34+$J$47=3),$H$17=1,$H$34=3,$H$47=2)</f>
        <v>0</v>
      </c>
      <c r="O21">
        <f>IF(N21,4,0)</f>
        <v>0</v>
      </c>
      <c r="R21">
        <v>10</v>
      </c>
      <c r="S21" s="3" t="b">
        <f>AND($Q$3=10,$Q$4=1)</f>
        <v>0</v>
      </c>
      <c r="T21" s="3" t="b">
        <f>AND($Q$3=10,$Q$4=2)</f>
        <v>0</v>
      </c>
      <c r="U21" s="3" t="b">
        <f>AND($Q$3=10,$Q$4=3)</f>
        <v>0</v>
      </c>
      <c r="V21" s="3" t="b">
        <f>AND($Q$3=10,$Q$4=4)</f>
        <v>0</v>
      </c>
      <c r="W21" s="3" t="b">
        <f>AND($Q$3=10,$Q$4=5)</f>
        <v>0</v>
      </c>
      <c r="X21" s="3" t="b">
        <f>AND($Q$3=10,$Q$4=6)</f>
        <v>0</v>
      </c>
      <c r="Y21" s="3" t="b">
        <f>AND($Q$3=10,$Q$4=7)</f>
        <v>0</v>
      </c>
      <c r="Z21" s="3" t="b">
        <f>AND($Q$3=10,$Q$4=8)</f>
        <v>0</v>
      </c>
      <c r="AA21" s="3" t="b">
        <f>AND($Q$3=10,$Q$4=9)</f>
        <v>0</v>
      </c>
      <c r="AB21" s="3" t="b">
        <f>AND($Q$3=10,$Q$4=10)</f>
        <v>0</v>
      </c>
      <c r="AC21" s="3" t="b">
        <f>AND($Q$3=10,$Q$4=11)</f>
        <v>0</v>
      </c>
      <c r="AD21" s="3" t="b">
        <f>AND($Q$3=10,$Q$4=12)</f>
        <v>0</v>
      </c>
    </row>
    <row r="22" spans="2:30" x14ac:dyDescent="0.15">
      <c r="M22" t="s">
        <v>25</v>
      </c>
      <c r="N22" t="b">
        <f>AND(($J$17+$J$34+$J$47=3),$H$17=1,$H$34=3,$H$47=3)</f>
        <v>0</v>
      </c>
      <c r="O22">
        <f>IF(N22,5,0)</f>
        <v>0</v>
      </c>
      <c r="R22">
        <v>11</v>
      </c>
      <c r="S22" s="3" t="b">
        <f>AND($Q$3=11,$Q$4=1)</f>
        <v>0</v>
      </c>
      <c r="T22" s="3" t="b">
        <f>AND($Q$3=11,$Q$4=2)</f>
        <v>0</v>
      </c>
      <c r="U22" s="3" t="b">
        <f>AND($Q$3=11,$Q$4=3)</f>
        <v>0</v>
      </c>
      <c r="V22" s="3" t="b">
        <f>AND($Q$3=11,$Q$4=4)</f>
        <v>0</v>
      </c>
      <c r="W22" s="3" t="b">
        <f>AND($Q$3=11,$Q$4=5)</f>
        <v>0</v>
      </c>
      <c r="X22" s="3" t="b">
        <f>AND($Q$3=11,$Q$4=6)</f>
        <v>0</v>
      </c>
      <c r="Y22" s="3" t="b">
        <f>AND($Q$3=11,$Q$4=7)</f>
        <v>0</v>
      </c>
      <c r="Z22" s="3" t="b">
        <f>AND($Q$3=11,$Q$4=8)</f>
        <v>0</v>
      </c>
      <c r="AA22" s="3" t="b">
        <f>AND($Q$3=11,$Q$4=9)</f>
        <v>0</v>
      </c>
      <c r="AB22" s="3" t="b">
        <f>AND($Q$3=11,$Q$4=10)</f>
        <v>0</v>
      </c>
      <c r="AC22" s="3" t="b">
        <f>AND($Q$3=11,$Q$4=11)</f>
        <v>0</v>
      </c>
      <c r="AD22" s="3" t="b">
        <f>AND($Q$3=11,$Q$4=12)</f>
        <v>0</v>
      </c>
    </row>
    <row r="23" spans="2:30" x14ac:dyDescent="0.15">
      <c r="M23" t="s">
        <v>26</v>
      </c>
      <c r="N23" t="b">
        <f>AND(($J$17+$J$34+$J$47=3),$H$17=1,$H$34=3,$H$47=4)</f>
        <v>0</v>
      </c>
      <c r="O23">
        <f>IF(N23,6,0)</f>
        <v>0</v>
      </c>
      <c r="R23">
        <v>12</v>
      </c>
      <c r="S23" s="3" t="b">
        <f>AND($Q$3=12,$Q$4=1)</f>
        <v>0</v>
      </c>
      <c r="T23" s="3" t="b">
        <f>AND($Q$3=12,$Q$4=2)</f>
        <v>0</v>
      </c>
      <c r="U23" s="3" t="b">
        <f>AND($Q$3=12,$Q$4=3)</f>
        <v>0</v>
      </c>
      <c r="V23" s="3" t="b">
        <f>AND($Q$3=12,$Q$4=4)</f>
        <v>0</v>
      </c>
      <c r="W23" s="3" t="b">
        <f>AND($Q$3=12,$Q$4=5)</f>
        <v>0</v>
      </c>
      <c r="X23" s="3" t="b">
        <f>AND($Q$3=12,$Q$4=6)</f>
        <v>0</v>
      </c>
      <c r="Y23" s="3" t="b">
        <f>AND($Q$3=12,$Q$4=7)</f>
        <v>0</v>
      </c>
      <c r="Z23" s="3" t="b">
        <f>AND($Q$3=12,$Q$4=8)</f>
        <v>0</v>
      </c>
      <c r="AA23" s="3" t="b">
        <f>AND($Q$3=12,$Q$4=9)</f>
        <v>0</v>
      </c>
      <c r="AB23" s="3" t="b">
        <f>AND($Q$3=12,$Q$4=10)</f>
        <v>0</v>
      </c>
      <c r="AC23" s="3" t="b">
        <f>AND($Q$3=12,$Q$4=11)</f>
        <v>0</v>
      </c>
      <c r="AD23" s="3" t="b">
        <f>AND($Q$3=12,$Q$4=12)</f>
        <v>0</v>
      </c>
    </row>
    <row r="24" spans="2:30" x14ac:dyDescent="0.15">
      <c r="M24" t="s">
        <v>27</v>
      </c>
      <c r="N24" t="b">
        <f>AND(($J$17+$J$34+$J$47=3),$H$17=1,$H$34=3,$H$47=5)</f>
        <v>0</v>
      </c>
      <c r="O24">
        <f>IF(N24,7,0)</f>
        <v>0</v>
      </c>
    </row>
    <row r="25" spans="2:30" x14ac:dyDescent="0.15">
      <c r="M25" t="s">
        <v>28</v>
      </c>
      <c r="N25" t="b">
        <f>AND(($J$17+$J$34+$J$47=3),$H$17=1,$H$34=4,$H$47=1)</f>
        <v>0</v>
      </c>
      <c r="O25">
        <f>IF(N25,4,0)</f>
        <v>0</v>
      </c>
    </row>
    <row r="26" spans="2:30" x14ac:dyDescent="0.15">
      <c r="M26" t="s">
        <v>29</v>
      </c>
      <c r="N26" t="b">
        <f>AND(($J$17+$J$34+$J$47=3),$H$17=1,$H$34=4,$H$47=2)</f>
        <v>0</v>
      </c>
      <c r="O26">
        <f>IF(N26,5,0)</f>
        <v>0</v>
      </c>
      <c r="S26">
        <v>1</v>
      </c>
      <c r="T26">
        <v>2</v>
      </c>
      <c r="U26">
        <v>3</v>
      </c>
      <c r="V26">
        <v>4</v>
      </c>
      <c r="W26">
        <v>5</v>
      </c>
      <c r="X26">
        <v>6</v>
      </c>
      <c r="Y26">
        <v>7</v>
      </c>
      <c r="Z26">
        <v>8</v>
      </c>
      <c r="AA26">
        <v>9</v>
      </c>
      <c r="AB26">
        <v>10</v>
      </c>
      <c r="AC26">
        <v>11</v>
      </c>
      <c r="AD26">
        <v>12</v>
      </c>
    </row>
    <row r="27" spans="2:30" x14ac:dyDescent="0.15">
      <c r="M27" t="s">
        <v>30</v>
      </c>
      <c r="N27" t="b">
        <f>AND(($J$17+$J$34+$J$47=3),$H$17=1,$H$34=4,$H$47=3)</f>
        <v>0</v>
      </c>
      <c r="O27">
        <f>IF(N27,6,0)</f>
        <v>0</v>
      </c>
      <c r="R27">
        <v>1</v>
      </c>
      <c r="S27">
        <f>IF(S12,1,0)</f>
        <v>0</v>
      </c>
      <c r="T27">
        <f>IF(T12,1,0)</f>
        <v>0</v>
      </c>
      <c r="U27">
        <f>IF(U12,1,0)</f>
        <v>0</v>
      </c>
      <c r="V27">
        <f>IF(V12,2,0)</f>
        <v>0</v>
      </c>
      <c r="W27">
        <f>IF(W12,3,0)</f>
        <v>0</v>
      </c>
      <c r="X27">
        <f>IF(X12,3,0)</f>
        <v>0</v>
      </c>
      <c r="Y27">
        <f>IF(Y12,4,0)</f>
        <v>0</v>
      </c>
      <c r="Z27">
        <f>IF(Z12,5,0)</f>
        <v>0</v>
      </c>
      <c r="AA27">
        <f>IF(AA12,6,0)</f>
        <v>0</v>
      </c>
      <c r="AB27">
        <f>IF(AB12,7,0)</f>
        <v>0</v>
      </c>
      <c r="AC27">
        <f>IF(AC12,7,0)</f>
        <v>0</v>
      </c>
      <c r="AD27">
        <f>IF(AD12,7,0)</f>
        <v>0</v>
      </c>
    </row>
    <row r="28" spans="2:30" x14ac:dyDescent="0.15">
      <c r="M28" t="s">
        <v>31</v>
      </c>
      <c r="N28" t="b">
        <f>AND(($J$17+$J$34+$J$47=3),$H$17=1,$H$34=4,$H$47=4)</f>
        <v>0</v>
      </c>
      <c r="O28">
        <f>IF(N28,7,0)</f>
        <v>0</v>
      </c>
      <c r="R28">
        <v>2</v>
      </c>
      <c r="S28">
        <f>IF(S13,1,0)</f>
        <v>0</v>
      </c>
      <c r="T28">
        <f>IF(T13,2,0)</f>
        <v>0</v>
      </c>
      <c r="U28">
        <f>IF(U13,2,0)</f>
        <v>0</v>
      </c>
      <c r="V28">
        <f>IF(V13,3,0)</f>
        <v>0</v>
      </c>
      <c r="W28">
        <f>IF(W13,4,0)</f>
        <v>0</v>
      </c>
      <c r="X28">
        <f>IF(X13,4,0)</f>
        <v>0</v>
      </c>
      <c r="Y28">
        <f>IF(Y13,5,0)</f>
        <v>0</v>
      </c>
      <c r="Z28">
        <f>IF(Z13,6,0)</f>
        <v>0</v>
      </c>
      <c r="AA28">
        <f>IF(AA13,6,0)</f>
        <v>0</v>
      </c>
      <c r="AB28">
        <f>IF(AB13,7,0)</f>
        <v>0</v>
      </c>
      <c r="AC28">
        <f>IF(AC13,7,0)</f>
        <v>0</v>
      </c>
      <c r="AD28">
        <f>IF(AD13,8,0)</f>
        <v>0</v>
      </c>
    </row>
    <row r="29" spans="2:30" x14ac:dyDescent="0.15">
      <c r="M29" t="s">
        <v>32</v>
      </c>
      <c r="N29" t="b">
        <f>AND(($J$17+$J$34+$J$47=3),$H$17=1,$H$34=4,$H$47=5)</f>
        <v>0</v>
      </c>
      <c r="O29">
        <f>IF(N29,8,0)</f>
        <v>0</v>
      </c>
      <c r="R29">
        <v>3</v>
      </c>
      <c r="S29">
        <f>IF(S14,2,0)</f>
        <v>2</v>
      </c>
      <c r="T29">
        <f>IF(T14,3,0)</f>
        <v>0</v>
      </c>
      <c r="U29">
        <f>IF(U14,3,0)</f>
        <v>0</v>
      </c>
      <c r="V29">
        <f>IF(V14,3,0)</f>
        <v>0</v>
      </c>
      <c r="W29">
        <f>IF(W14,4,0)</f>
        <v>0</v>
      </c>
      <c r="X29">
        <f>IF(X14,5,0)</f>
        <v>0</v>
      </c>
      <c r="Y29">
        <f>IF(Y14,6,0)</f>
        <v>0</v>
      </c>
      <c r="Z29">
        <f>IF(Z14,7,0)</f>
        <v>0</v>
      </c>
      <c r="AA29">
        <f>IF(AA14,7,0)</f>
        <v>0</v>
      </c>
      <c r="AB29">
        <f>IF(AB14,8,0)</f>
        <v>0</v>
      </c>
      <c r="AC29">
        <f>IF(AC14,8,0)</f>
        <v>0</v>
      </c>
      <c r="AD29">
        <f>IF(AD14,8,0)</f>
        <v>0</v>
      </c>
    </row>
    <row r="30" spans="2:30" x14ac:dyDescent="0.15">
      <c r="M30" t="s">
        <v>33</v>
      </c>
      <c r="N30" t="b">
        <f>AND(($J$17+$J$34+$J$47=3),$H$17=2,$H$34=1,$H$47=1)</f>
        <v>0</v>
      </c>
      <c r="O30">
        <f>IF(N30,1,0)</f>
        <v>0</v>
      </c>
      <c r="R30">
        <v>4</v>
      </c>
      <c r="S30">
        <f>IF(S15,3,0)</f>
        <v>0</v>
      </c>
      <c r="T30">
        <f>IF(T15,4,0)</f>
        <v>0</v>
      </c>
      <c r="U30">
        <f>IF(U15,4,0)</f>
        <v>0</v>
      </c>
      <c r="V30">
        <f>IF(V15,4,0)</f>
        <v>0</v>
      </c>
      <c r="W30">
        <f>IF(W15,5,0)</f>
        <v>0</v>
      </c>
      <c r="X30">
        <f>IF(X15,6,0)</f>
        <v>0</v>
      </c>
      <c r="Y30">
        <f>IF(Y15,7,0)</f>
        <v>0</v>
      </c>
      <c r="Z30">
        <f>IF(Z15,8,0)</f>
        <v>0</v>
      </c>
      <c r="AA30">
        <f>IF(AA15,8,0)</f>
        <v>0</v>
      </c>
      <c r="AB30">
        <f t="shared" ref="AB30:AD31" si="0">IF(AB15,9,0)</f>
        <v>0</v>
      </c>
      <c r="AC30">
        <f t="shared" si="0"/>
        <v>0</v>
      </c>
      <c r="AD30">
        <f t="shared" si="0"/>
        <v>0</v>
      </c>
    </row>
    <row r="31" spans="2:30" x14ac:dyDescent="0.15">
      <c r="M31" t="s">
        <v>34</v>
      </c>
      <c r="N31" t="b">
        <f>AND(($J$17+$J$34+$J$47=3),$H$17=2,$H$34=1,$H$47=2)</f>
        <v>0</v>
      </c>
      <c r="O31">
        <f>IF(N31,3,0)</f>
        <v>0</v>
      </c>
      <c r="R31">
        <v>5</v>
      </c>
      <c r="S31">
        <f>IF(S16,4,0)</f>
        <v>0</v>
      </c>
      <c r="T31">
        <f>IF(T16,4,0)</f>
        <v>0</v>
      </c>
      <c r="U31">
        <f>IF(U16,4,0)</f>
        <v>0</v>
      </c>
      <c r="V31">
        <f>IF(V16,5,0)</f>
        <v>0</v>
      </c>
      <c r="W31">
        <f>IF(W16,6,0)</f>
        <v>0</v>
      </c>
      <c r="X31">
        <f>IF(X16,7,0)</f>
        <v>0</v>
      </c>
      <c r="Y31">
        <f>IF(Y16,8,0)</f>
        <v>0</v>
      </c>
      <c r="Z31">
        <f>IF(Z16,8,0)</f>
        <v>0</v>
      </c>
      <c r="AA31">
        <f>IF(AA16,9,0)</f>
        <v>0</v>
      </c>
      <c r="AB31">
        <f t="shared" si="0"/>
        <v>0</v>
      </c>
      <c r="AC31">
        <f t="shared" si="0"/>
        <v>0</v>
      </c>
      <c r="AD31">
        <f t="shared" si="0"/>
        <v>0</v>
      </c>
    </row>
    <row r="32" spans="2:30" x14ac:dyDescent="0.15">
      <c r="M32" t="s">
        <v>35</v>
      </c>
      <c r="N32" t="b">
        <f>AND(($J$17+$J$34+$J$47=3),$H$17=2,$H$34=1,$H$47=3)</f>
        <v>0</v>
      </c>
      <c r="O32">
        <f>IF(N32,4,0)</f>
        <v>0</v>
      </c>
      <c r="R32">
        <v>6</v>
      </c>
      <c r="S32">
        <f>IF(S17,6,0)</f>
        <v>0</v>
      </c>
      <c r="T32">
        <f>IF(T17,6,0)</f>
        <v>0</v>
      </c>
      <c r="U32">
        <f>IF(U17,6,0)</f>
        <v>0</v>
      </c>
      <c r="V32">
        <f>IF(V17,7,0)</f>
        <v>0</v>
      </c>
      <c r="W32">
        <f>IF(W17,8,0)</f>
        <v>0</v>
      </c>
      <c r="X32">
        <f>IF(X17,8,0)</f>
        <v>0</v>
      </c>
      <c r="Y32">
        <f>IF(Y17,9,0)</f>
        <v>0</v>
      </c>
      <c r="Z32">
        <f>IF(Z17,9,0)</f>
        <v>0</v>
      </c>
      <c r="AA32">
        <f>IF(AA17,10,0)</f>
        <v>0</v>
      </c>
      <c r="AB32">
        <f>IF(AB17,10,0)</f>
        <v>0</v>
      </c>
      <c r="AC32">
        <f>IF(AC17,10,0)</f>
        <v>0</v>
      </c>
      <c r="AD32">
        <f>IF(AD17,10,0)</f>
        <v>0</v>
      </c>
    </row>
    <row r="33" spans="2:30" ht="14" thickBot="1" x14ac:dyDescent="0.2">
      <c r="M33" t="s">
        <v>36</v>
      </c>
      <c r="N33" t="b">
        <f>AND(($J$17+$J$34+$J$47=3),$H$17=2,$H$34=1,$H$47=4)</f>
        <v>0</v>
      </c>
      <c r="O33">
        <f>IF(N33,5,0)</f>
        <v>0</v>
      </c>
      <c r="R33">
        <v>7</v>
      </c>
      <c r="S33">
        <f>IF(S18,7,0)</f>
        <v>0</v>
      </c>
      <c r="T33">
        <f>IF(T18,7,0)</f>
        <v>0</v>
      </c>
      <c r="U33">
        <f>IF(U18,7,0)</f>
        <v>0</v>
      </c>
      <c r="V33">
        <f>IF(V18,8,0)</f>
        <v>0</v>
      </c>
      <c r="W33">
        <f>IF(W18,9,0)</f>
        <v>0</v>
      </c>
      <c r="X33">
        <f>IF(X18,9,0)</f>
        <v>0</v>
      </c>
      <c r="Y33">
        <f>IF(Y18,9,0)</f>
        <v>0</v>
      </c>
      <c r="Z33">
        <f>IF(Z18,10,0)</f>
        <v>0</v>
      </c>
      <c r="AA33">
        <f>IF(AA18,10,0)</f>
        <v>0</v>
      </c>
      <c r="AB33">
        <f t="shared" ref="AB33:AD34" si="1">IF(AB18,11,0)</f>
        <v>0</v>
      </c>
      <c r="AC33">
        <f t="shared" si="1"/>
        <v>0</v>
      </c>
      <c r="AD33">
        <f t="shared" si="1"/>
        <v>0</v>
      </c>
    </row>
    <row r="34" spans="2:30" x14ac:dyDescent="0.15">
      <c r="H34" s="39">
        <v>1</v>
      </c>
      <c r="I34" s="15" t="b">
        <f>AND(H34&lt;&gt;1,H34&lt;&gt;2,H34&lt;&gt;3,H34&lt;&gt;4)</f>
        <v>0</v>
      </c>
      <c r="J34" s="15">
        <f>IF(I34,0,1)</f>
        <v>1</v>
      </c>
      <c r="M34" t="s">
        <v>37</v>
      </c>
      <c r="N34" t="b">
        <f>AND(($J$17+$J$34+$J$47=3),$H$17=2,$H$34=1,$H$47=5)</f>
        <v>0</v>
      </c>
      <c r="O34">
        <f>IF(N34,6,0)</f>
        <v>0</v>
      </c>
      <c r="R34">
        <v>8</v>
      </c>
      <c r="S34">
        <f>IF(S19,8,0)</f>
        <v>0</v>
      </c>
      <c r="T34">
        <f>IF(T19,8,0)</f>
        <v>0</v>
      </c>
      <c r="U34">
        <f>IF(U19,8,0)</f>
        <v>0</v>
      </c>
      <c r="V34">
        <f>IF(V19,9,0)</f>
        <v>0</v>
      </c>
      <c r="W34">
        <f>IF(W19,10,0)</f>
        <v>0</v>
      </c>
      <c r="X34">
        <f>IF(X19,10,0)</f>
        <v>0</v>
      </c>
      <c r="Y34">
        <f>IF(Y19,10,0)</f>
        <v>0</v>
      </c>
      <c r="Z34">
        <f>IF(Z19,10,0)</f>
        <v>0</v>
      </c>
      <c r="AA34">
        <f>IF(AA19,10,0)</f>
        <v>0</v>
      </c>
      <c r="AB34">
        <f t="shared" si="1"/>
        <v>0</v>
      </c>
      <c r="AC34">
        <f t="shared" si="1"/>
        <v>0</v>
      </c>
      <c r="AD34">
        <f t="shared" si="1"/>
        <v>0</v>
      </c>
    </row>
    <row r="35" spans="2:30" x14ac:dyDescent="0.15">
      <c r="H35" s="40"/>
      <c r="I35" s="24" t="str">
        <f>IF(I34,"   LA PUNTUACIÓN DE LAS PIERNAS DEBE ESTAR EN UN RANGO DE 1 A 4."," ")</f>
        <v xml:space="preserve"> </v>
      </c>
      <c r="J35" s="25"/>
      <c r="K35" s="25"/>
      <c r="L35" s="25"/>
      <c r="M35" t="s">
        <v>38</v>
      </c>
      <c r="N35" t="b">
        <f>AND(($J$17+$J$34+$J$47=3),$H$17=2,$H$34=2,$H$47=1)</f>
        <v>0</v>
      </c>
      <c r="O35">
        <f>IF(N35,2,0)</f>
        <v>0</v>
      </c>
      <c r="R35">
        <v>9</v>
      </c>
      <c r="S35">
        <f>IF(S20,9,0)</f>
        <v>0</v>
      </c>
      <c r="T35">
        <f>IF(T20,9,0)</f>
        <v>0</v>
      </c>
      <c r="U35">
        <f>IF(U20,9,0)</f>
        <v>0</v>
      </c>
      <c r="V35">
        <f>IF(V20,10,0)</f>
        <v>0</v>
      </c>
      <c r="W35">
        <f>IF(W20,10,0)</f>
        <v>0</v>
      </c>
      <c r="X35">
        <f>IF(X20,10,0)</f>
        <v>0</v>
      </c>
      <c r="Y35">
        <f>IF(Y20,11,0)</f>
        <v>0</v>
      </c>
      <c r="Z35">
        <f>IF(Z20,11,0)</f>
        <v>0</v>
      </c>
      <c r="AA35">
        <f>IF(AA20,11,0)</f>
        <v>0</v>
      </c>
      <c r="AB35">
        <f t="shared" ref="AB35:AD36" si="2">IF(AB20,12,0)</f>
        <v>0</v>
      </c>
      <c r="AC35">
        <f t="shared" si="2"/>
        <v>0</v>
      </c>
      <c r="AD35">
        <f t="shared" si="2"/>
        <v>0</v>
      </c>
    </row>
    <row r="36" spans="2:30" ht="14" thickBot="1" x14ac:dyDescent="0.2">
      <c r="H36" s="41"/>
      <c r="I36" s="25"/>
      <c r="J36" s="25"/>
      <c r="K36" s="25"/>
      <c r="L36" s="25"/>
      <c r="M36" t="s">
        <v>39</v>
      </c>
      <c r="N36" t="b">
        <f>AND(($J$17+$J$34+$J$47=3),$H$17=2,$H$34=2,$H$47=2)</f>
        <v>0</v>
      </c>
      <c r="O36">
        <f>IF(N36,4,0)</f>
        <v>0</v>
      </c>
      <c r="R36">
        <v>10</v>
      </c>
      <c r="S36">
        <f>IF(S21,10,0)</f>
        <v>0</v>
      </c>
      <c r="T36">
        <f>IF(T21,10,0)</f>
        <v>0</v>
      </c>
      <c r="U36">
        <f>IF(U21,10,0)</f>
        <v>0</v>
      </c>
      <c r="V36">
        <f>IF(V21,11,0)</f>
        <v>0</v>
      </c>
      <c r="W36">
        <f>IF(W21,11,0)</f>
        <v>0</v>
      </c>
      <c r="X36">
        <f>IF(X21,11,0)</f>
        <v>0</v>
      </c>
      <c r="Y36">
        <f>IF(Y21,11,0)</f>
        <v>0</v>
      </c>
      <c r="Z36">
        <f>IF(Z21,12,0)</f>
        <v>0</v>
      </c>
      <c r="AA36">
        <f>IF(AA21,12,0)</f>
        <v>0</v>
      </c>
      <c r="AB36">
        <f t="shared" si="2"/>
        <v>0</v>
      </c>
      <c r="AC36">
        <f t="shared" si="2"/>
        <v>0</v>
      </c>
      <c r="AD36">
        <f t="shared" si="2"/>
        <v>0</v>
      </c>
    </row>
    <row r="37" spans="2:30" x14ac:dyDescent="0.15">
      <c r="I37" s="25"/>
      <c r="J37" s="25"/>
      <c r="K37" s="25"/>
      <c r="L37" s="25"/>
      <c r="M37" t="s">
        <v>40</v>
      </c>
      <c r="N37" t="b">
        <f>AND(($J$17+$J$34+$J$47=3),$H$17=2,$H$34=2,$H$47=3)</f>
        <v>0</v>
      </c>
      <c r="O37">
        <f>IF(N37,5,0)</f>
        <v>0</v>
      </c>
      <c r="R37">
        <v>11</v>
      </c>
      <c r="S37">
        <f>IF(S22,11,0)</f>
        <v>0</v>
      </c>
      <c r="T37">
        <f>IF(T22,11,0)</f>
        <v>0</v>
      </c>
      <c r="U37">
        <f>IF(U22,11,0)</f>
        <v>0</v>
      </c>
      <c r="V37">
        <f>IF(V22,11,0)</f>
        <v>0</v>
      </c>
      <c r="W37">
        <f>IF(W22,12,0)</f>
        <v>0</v>
      </c>
      <c r="X37">
        <f t="shared" ref="X37:AD37" si="3">IF(X22,12,0)</f>
        <v>0</v>
      </c>
      <c r="Y37">
        <f t="shared" si="3"/>
        <v>0</v>
      </c>
      <c r="Z37">
        <f t="shared" si="3"/>
        <v>0</v>
      </c>
      <c r="AA37">
        <f t="shared" si="3"/>
        <v>0</v>
      </c>
      <c r="AB37">
        <f t="shared" si="3"/>
        <v>0</v>
      </c>
      <c r="AC37">
        <f t="shared" si="3"/>
        <v>0</v>
      </c>
      <c r="AD37">
        <f t="shared" si="3"/>
        <v>0</v>
      </c>
    </row>
    <row r="38" spans="2:30" ht="16" x14ac:dyDescent="0.2">
      <c r="B38" s="22" t="s">
        <v>5</v>
      </c>
      <c r="C38" s="23"/>
      <c r="M38" t="s">
        <v>41</v>
      </c>
      <c r="N38" t="b">
        <f>AND(($J$17+$J$34+$J$47=3),$H$17=2,$H$34=2,$H$47=4)</f>
        <v>0</v>
      </c>
      <c r="O38">
        <f>IF(N38,6,0)</f>
        <v>0</v>
      </c>
      <c r="R38">
        <v>12</v>
      </c>
      <c r="S38">
        <f>IF(S23,12,0)</f>
        <v>0</v>
      </c>
      <c r="T38">
        <f t="shared" ref="T38:AD38" si="4">IF(T23,12,0)</f>
        <v>0</v>
      </c>
      <c r="U38">
        <f t="shared" si="4"/>
        <v>0</v>
      </c>
      <c r="V38">
        <f t="shared" si="4"/>
        <v>0</v>
      </c>
      <c r="W38">
        <f t="shared" si="4"/>
        <v>0</v>
      </c>
      <c r="X38">
        <f t="shared" si="4"/>
        <v>0</v>
      </c>
      <c r="Y38">
        <f t="shared" si="4"/>
        <v>0</v>
      </c>
      <c r="Z38">
        <f t="shared" si="4"/>
        <v>0</v>
      </c>
      <c r="AA38">
        <f t="shared" si="4"/>
        <v>0</v>
      </c>
      <c r="AB38">
        <f t="shared" si="4"/>
        <v>0</v>
      </c>
      <c r="AC38">
        <f t="shared" si="4"/>
        <v>0</v>
      </c>
      <c r="AD38">
        <f t="shared" si="4"/>
        <v>0</v>
      </c>
    </row>
    <row r="39" spans="2:30" x14ac:dyDescent="0.15">
      <c r="M39" t="s">
        <v>42</v>
      </c>
      <c r="N39" t="b">
        <f>AND(($J$17+$J$34+$J$47=3),$H$17=2,$H$34=2,$H$47=5)</f>
        <v>0</v>
      </c>
      <c r="O39">
        <f>IF(N39,7,0)</f>
        <v>0</v>
      </c>
    </row>
    <row r="40" spans="2:30" x14ac:dyDescent="0.15">
      <c r="M40" t="s">
        <v>43</v>
      </c>
      <c r="N40" t="b">
        <f>AND(($J$17+$J$34+$J$47=3),$H$17=2,$H$34=3,$H$47=1)</f>
        <v>0</v>
      </c>
      <c r="O40">
        <f>IF(N40,3,0)</f>
        <v>0</v>
      </c>
    </row>
    <row r="41" spans="2:30" x14ac:dyDescent="0.15">
      <c r="M41" t="s">
        <v>44</v>
      </c>
      <c r="N41" t="b">
        <f>AND(($J$17+$J$34+$J$47=3),$H$17=2,$H$34=3,$H$47=2)</f>
        <v>0</v>
      </c>
      <c r="O41">
        <f>IF(N41,5,0)</f>
        <v>0</v>
      </c>
    </row>
    <row r="42" spans="2:30" x14ac:dyDescent="0.15">
      <c r="M42" t="s">
        <v>45</v>
      </c>
      <c r="N42" t="b">
        <f>AND(($J$17+$J$34+$J$47=3),$H$17=2,$H$34=3,$H$47=3)</f>
        <v>0</v>
      </c>
      <c r="O42">
        <f>IF(N42,6,0)</f>
        <v>0</v>
      </c>
    </row>
    <row r="43" spans="2:30" x14ac:dyDescent="0.15">
      <c r="M43" t="s">
        <v>46</v>
      </c>
      <c r="N43" t="b">
        <f>AND(($J$17+$J$34+$J$47=3),$H$17=2,$H$34=3,$H$47=4)</f>
        <v>0</v>
      </c>
      <c r="O43">
        <f>IF(N43,7,0)</f>
        <v>0</v>
      </c>
    </row>
    <row r="44" spans="2:30" x14ac:dyDescent="0.15">
      <c r="M44" t="s">
        <v>47</v>
      </c>
      <c r="N44" t="b">
        <f>AND(($J$17+$J$34+$J$47=3),$H$17=2,$H$34=3,$H$47=5)</f>
        <v>0</v>
      </c>
      <c r="O44">
        <f>IF(N44,8,0)</f>
        <v>0</v>
      </c>
    </row>
    <row r="45" spans="2:30" x14ac:dyDescent="0.15">
      <c r="M45" t="s">
        <v>48</v>
      </c>
      <c r="N45" t="b">
        <f>AND(($J$17+$J$34+$J$47=3),$H$17=2,$H$34=4,$H$47=1)</f>
        <v>0</v>
      </c>
      <c r="O45">
        <f>IF(N45,4,0)</f>
        <v>0</v>
      </c>
    </row>
    <row r="46" spans="2:30" ht="14" thickBot="1" x14ac:dyDescent="0.2">
      <c r="M46" t="s">
        <v>49</v>
      </c>
      <c r="N46" t="b">
        <f>AND(($J$17+$J$34+$J$47=3),$H$17=2,$H$34=4,$H$47=2)</f>
        <v>0</v>
      </c>
      <c r="O46">
        <f>IF(N46,6,0)</f>
        <v>0</v>
      </c>
    </row>
    <row r="47" spans="2:30" x14ac:dyDescent="0.15">
      <c r="H47" s="39">
        <v>1</v>
      </c>
      <c r="I47" s="15" t="b">
        <f>AND(H47&lt;&gt;1,H47&lt;&gt;2,H47&lt;&gt;3,H47&lt;&gt;4,H47&lt;&gt;5)</f>
        <v>0</v>
      </c>
      <c r="J47" s="15">
        <f>IF(I47,0,1)</f>
        <v>1</v>
      </c>
      <c r="M47" t="s">
        <v>54</v>
      </c>
      <c r="N47" t="b">
        <f>AND(($J$17+$J$34+$J$47=3),$H$17=2,$H$34=4,$H$47=3)</f>
        <v>0</v>
      </c>
      <c r="O47">
        <f>IF(N47,7,0)</f>
        <v>0</v>
      </c>
    </row>
    <row r="48" spans="2:30" x14ac:dyDescent="0.15">
      <c r="H48" s="40"/>
      <c r="I48" s="24" t="str">
        <f>IF(I47,"   LA PUNTUACIÓN DEL TRONCO DEBE ESTAR EN UN RANGO DE 1 A 5."," ")</f>
        <v xml:space="preserve"> </v>
      </c>
      <c r="J48" s="25"/>
      <c r="K48" s="25"/>
      <c r="L48" s="25"/>
      <c r="M48" t="s">
        <v>55</v>
      </c>
      <c r="N48" t="b">
        <f>AND(($J$17+$J$34+$J$47=3),$H$17=2,$H$34=4,$H$47=4)</f>
        <v>0</v>
      </c>
      <c r="O48">
        <f>IF(N48,8,0)</f>
        <v>0</v>
      </c>
    </row>
    <row r="49" spans="2:15" ht="14" thickBot="1" x14ac:dyDescent="0.2">
      <c r="H49" s="41"/>
      <c r="I49" s="25"/>
      <c r="J49" s="25"/>
      <c r="K49" s="25"/>
      <c r="L49" s="25"/>
      <c r="M49" t="s">
        <v>56</v>
      </c>
      <c r="N49" t="b">
        <f>AND(($J$17+$J$34+$J$47=3),$H$17=2,$H$34=4,$H$47=5)</f>
        <v>0</v>
      </c>
      <c r="O49">
        <f>IF(N49,9,0)</f>
        <v>0</v>
      </c>
    </row>
    <row r="50" spans="2:15" x14ac:dyDescent="0.15">
      <c r="I50" s="25"/>
      <c r="J50" s="25"/>
      <c r="K50" s="25"/>
      <c r="L50" s="25"/>
      <c r="M50" t="s">
        <v>57</v>
      </c>
      <c r="N50" t="b">
        <f>AND(($J$17+$J$34+$J$47=3),$H$17=3,$H$34=1,$H$47=1)</f>
        <v>1</v>
      </c>
      <c r="O50">
        <f>IF(N50,3,0)</f>
        <v>3</v>
      </c>
    </row>
    <row r="51" spans="2:15" x14ac:dyDescent="0.15">
      <c r="M51" t="s">
        <v>58</v>
      </c>
      <c r="N51" t="b">
        <f>AND(($J$17+$J$34+$J$47=3),$H$17=3,$H$34=1,$H$47=2)</f>
        <v>0</v>
      </c>
      <c r="O51">
        <f>IF(N51,4,0)</f>
        <v>0</v>
      </c>
    </row>
    <row r="52" spans="2:15" ht="16" x14ac:dyDescent="0.2">
      <c r="B52" s="22" t="s">
        <v>6</v>
      </c>
      <c r="C52" s="23"/>
      <c r="M52" t="s">
        <v>59</v>
      </c>
      <c r="N52" t="b">
        <f>AND(($J$17+$J$34+$J$47=3),$H$17=3,$H$34=1,$H$47=3)</f>
        <v>0</v>
      </c>
      <c r="O52">
        <f>IF(N52,5,0)</f>
        <v>0</v>
      </c>
    </row>
    <row r="53" spans="2:15" ht="14" thickBot="1" x14ac:dyDescent="0.2">
      <c r="M53" t="s">
        <v>60</v>
      </c>
      <c r="N53" t="b">
        <f>AND(($J$17+$J$34+$J$47=3),$H$17=3,$H$34=1,$H$47=4)</f>
        <v>0</v>
      </c>
      <c r="O53">
        <f>IF(N53,6,0)</f>
        <v>0</v>
      </c>
    </row>
    <row r="54" spans="2:15" x14ac:dyDescent="0.15">
      <c r="H54" s="39">
        <v>0</v>
      </c>
      <c r="I54" s="15" t="b">
        <f>AND(H54&lt;&gt;1,H54&lt;&gt;2,H54&lt;&gt;3,H54&lt;&gt;0)</f>
        <v>0</v>
      </c>
      <c r="J54" s="15">
        <f>IF(I54,0,1)</f>
        <v>1</v>
      </c>
      <c r="M54" t="s">
        <v>61</v>
      </c>
      <c r="N54" t="b">
        <f>AND(($J$17+$J$34+$J$47=3),$H$17=3,$H$34=1,$H$47=5)</f>
        <v>0</v>
      </c>
      <c r="O54">
        <f>IF(N54,7,0)</f>
        <v>0</v>
      </c>
    </row>
    <row r="55" spans="2:15" ht="14.25" customHeight="1" x14ac:dyDescent="0.15">
      <c r="H55" s="40"/>
      <c r="I55" s="26" t="str">
        <f>IF(I54,"   LA PUNTUACIÓN DE CARGA / FUERZA DEBE ESTAR EN UN RANGO DE 0 A 3."," ")</f>
        <v xml:space="preserve"> </v>
      </c>
      <c r="J55" s="25"/>
      <c r="K55" s="25"/>
      <c r="L55" s="25"/>
      <c r="M55" t="s">
        <v>62</v>
      </c>
      <c r="N55" t="b">
        <f>AND(($J$17+$J$34+$J$47=3),$H$17=3,$H$34=2,$H$47=1)</f>
        <v>0</v>
      </c>
      <c r="O55">
        <f>IF(N55,3,0)</f>
        <v>0</v>
      </c>
    </row>
    <row r="56" spans="2:15" ht="14" thickBot="1" x14ac:dyDescent="0.2">
      <c r="H56" s="41"/>
      <c r="I56" s="26" t="str">
        <f>IF(J57,"   INTRODUZCA EL VALOR PARA CARGA/FUERZA."," ")</f>
        <v xml:space="preserve"> </v>
      </c>
      <c r="J56" s="24"/>
      <c r="K56" s="24"/>
      <c r="L56" s="24"/>
      <c r="M56" t="s">
        <v>63</v>
      </c>
      <c r="N56" t="b">
        <f>AND(($J$17+$J$34+$J$47=3),$H$17=3,$H$34=2,$H$47=2)</f>
        <v>0</v>
      </c>
      <c r="O56">
        <f>IF(N56,5,0)</f>
        <v>0</v>
      </c>
    </row>
    <row r="57" spans="2:15" x14ac:dyDescent="0.15">
      <c r="I57" s="16" t="b">
        <f>AND(H54=0,H54="")</f>
        <v>0</v>
      </c>
      <c r="J57" s="16">
        <f>IF(I57,1,0)</f>
        <v>0</v>
      </c>
      <c r="K57" s="2"/>
      <c r="L57" s="2"/>
      <c r="M57" t="s">
        <v>64</v>
      </c>
      <c r="N57" t="b">
        <f>AND(($J$17+$J$34+$J$47=3),$H$17=3,$H$34=2,$H$47=3)</f>
        <v>0</v>
      </c>
      <c r="O57">
        <f>IF(N57,6,0)</f>
        <v>0</v>
      </c>
    </row>
    <row r="58" spans="2:15" x14ac:dyDescent="0.15">
      <c r="M58" t="s">
        <v>65</v>
      </c>
      <c r="N58" t="b">
        <f>AND(($J$17+$J$34+$J$47=3),$H$17=3,$H$34=2,$H$47=4)</f>
        <v>0</v>
      </c>
      <c r="O58">
        <f>IF(N58,7,0)</f>
        <v>0</v>
      </c>
    </row>
    <row r="59" spans="2:15" x14ac:dyDescent="0.15">
      <c r="M59" t="s">
        <v>66</v>
      </c>
      <c r="N59" t="b">
        <f>AND(($J$17+$J$34+$J$47=3),$H$17=3,$H$34=2,$H$47=5)</f>
        <v>0</v>
      </c>
      <c r="O59">
        <f>IF(N59,8,0)</f>
        <v>0</v>
      </c>
    </row>
    <row r="60" spans="2:15" x14ac:dyDescent="0.15">
      <c r="M60" t="s">
        <v>67</v>
      </c>
      <c r="N60" t="b">
        <f>AND(($J$17+$J$34+$J$47=3),$H$17=3,$H$34=3,$H$47=1)</f>
        <v>0</v>
      </c>
      <c r="O60">
        <f>IF(N60,5,0)</f>
        <v>0</v>
      </c>
    </row>
    <row r="61" spans="2:15" ht="16" x14ac:dyDescent="0.2">
      <c r="B61" s="22" t="s">
        <v>7</v>
      </c>
      <c r="C61" s="23"/>
      <c r="D61" s="23"/>
      <c r="E61" s="23"/>
      <c r="F61" s="23"/>
      <c r="G61" s="23"/>
      <c r="M61" t="s">
        <v>68</v>
      </c>
      <c r="N61" t="b">
        <f>AND(($J$17+$J$34+$J$47=3),$H$17=3,$H$34=3,$H$47=2)</f>
        <v>0</v>
      </c>
      <c r="O61">
        <f>IF(N61,6,0)</f>
        <v>0</v>
      </c>
    </row>
    <row r="62" spans="2:15" x14ac:dyDescent="0.15">
      <c r="M62" t="s">
        <v>69</v>
      </c>
      <c r="N62" t="b">
        <f>AND(($J$17+$J$34+$J$47=3),$H$17=3,$H$34=3,$H$47=3)</f>
        <v>0</v>
      </c>
      <c r="O62">
        <f>IF(N62,7,0)</f>
        <v>0</v>
      </c>
    </row>
    <row r="63" spans="2:15" ht="16" x14ac:dyDescent="0.2">
      <c r="B63" s="22" t="s">
        <v>8</v>
      </c>
      <c r="C63" s="23"/>
      <c r="M63" t="s">
        <v>70</v>
      </c>
      <c r="N63" t="b">
        <f>AND(($J$17+$J$34+$J$47=3),$H$17=3,$H$34=3,$H$47=4)</f>
        <v>0</v>
      </c>
      <c r="O63">
        <f>IF(N63,8,0)</f>
        <v>0</v>
      </c>
    </row>
    <row r="64" spans="2:15" x14ac:dyDescent="0.15">
      <c r="M64" t="s">
        <v>71</v>
      </c>
      <c r="N64" t="b">
        <f>AND(($J$17+$J$34+$J$47=3),$H$17=3,$H$34=3,$H$47=5)</f>
        <v>0</v>
      </c>
      <c r="O64">
        <f>IF(N64,9,0)</f>
        <v>0</v>
      </c>
    </row>
    <row r="65" spans="2:16" x14ac:dyDescent="0.15">
      <c r="M65" t="s">
        <v>72</v>
      </c>
      <c r="N65" t="b">
        <f>AND(($J$17+$J$34+$J$47=3),$H$17=3,$H$34=4,$H$47=1)</f>
        <v>0</v>
      </c>
      <c r="O65">
        <f>IF(N65,6,0)</f>
        <v>0</v>
      </c>
    </row>
    <row r="66" spans="2:16" x14ac:dyDescent="0.15">
      <c r="M66" t="s">
        <v>73</v>
      </c>
      <c r="N66" t="b">
        <f>AND(($J$17+$J$34+$J$47=3),$H$17=3,$H$34=4,$H$47=2)</f>
        <v>0</v>
      </c>
      <c r="O66">
        <f>IF(N66,7,0)</f>
        <v>0</v>
      </c>
    </row>
    <row r="67" spans="2:16" x14ac:dyDescent="0.15">
      <c r="M67" t="s">
        <v>74</v>
      </c>
      <c r="N67" t="b">
        <f>AND(($J$17+$J$34+$J$47=3),$H$17=3,$H$34=4,$H$47=3)</f>
        <v>0</v>
      </c>
      <c r="O67">
        <f>IF(N67,8,0)</f>
        <v>0</v>
      </c>
    </row>
    <row r="68" spans="2:16" x14ac:dyDescent="0.15">
      <c r="M68" t="s">
        <v>75</v>
      </c>
      <c r="N68" t="b">
        <f>AND(($J$17+$J$34+$J$47=3),$H$17=3,$H$34=4,$H$47=4)</f>
        <v>0</v>
      </c>
      <c r="O68">
        <f>IF(N68,9,0)</f>
        <v>0</v>
      </c>
    </row>
    <row r="69" spans="2:16" x14ac:dyDescent="0.15">
      <c r="M69" t="s">
        <v>76</v>
      </c>
      <c r="N69" t="b">
        <f>AND(($J$17+$J$34+$J$47=3),$H$17=3,$H$34=4,$H$47=5)</f>
        <v>0</v>
      </c>
      <c r="O69">
        <f>IF(N69,9,0)</f>
        <v>0</v>
      </c>
    </row>
    <row r="70" spans="2:16" ht="13.5" customHeight="1" thickBot="1" x14ac:dyDescent="0.2"/>
    <row r="71" spans="2:16" x14ac:dyDescent="0.15">
      <c r="H71" s="39">
        <v>1</v>
      </c>
      <c r="I71" s="15" t="b">
        <f>AND(H71&lt;&gt;1,H71&lt;&gt;2)</f>
        <v>0</v>
      </c>
      <c r="J71" s="15">
        <f>IF(I71,0,1)</f>
        <v>1</v>
      </c>
    </row>
    <row r="72" spans="2:16" x14ac:dyDescent="0.15">
      <c r="H72" s="40"/>
      <c r="I72" s="24" t="str">
        <f>IF(I71,"   LA PUNTUACIÓN DEL ANTEBRAZO DEBE ESTAR EN UN RANGO DE 1 A 2."," ")</f>
        <v xml:space="preserve"> </v>
      </c>
      <c r="J72" s="25"/>
      <c r="K72" s="25"/>
      <c r="L72" s="25"/>
    </row>
    <row r="73" spans="2:16" ht="14" thickBot="1" x14ac:dyDescent="0.2">
      <c r="H73" s="41"/>
      <c r="I73" s="25"/>
      <c r="J73" s="25"/>
      <c r="K73" s="25"/>
      <c r="L73" s="25"/>
    </row>
    <row r="74" spans="2:16" x14ac:dyDescent="0.15">
      <c r="I74" s="25"/>
      <c r="J74" s="25"/>
      <c r="K74" s="25"/>
      <c r="L74" s="25"/>
    </row>
    <row r="75" spans="2:16" ht="16" x14ac:dyDescent="0.2">
      <c r="B75" s="22" t="s">
        <v>9</v>
      </c>
      <c r="C75" s="23"/>
      <c r="O75" s="1" t="s">
        <v>79</v>
      </c>
      <c r="P75">
        <f>SUM(O76:O111)</f>
        <v>1</v>
      </c>
    </row>
    <row r="76" spans="2:16" x14ac:dyDescent="0.15">
      <c r="M76" t="s">
        <v>13</v>
      </c>
      <c r="N76" t="b">
        <f>AND(($J$71+$J$81+$J$97)=3,$H$71=1,$H$81=1,$H$97=1)</f>
        <v>1</v>
      </c>
      <c r="O76">
        <f>IF(N76,1,0)</f>
        <v>1</v>
      </c>
    </row>
    <row r="77" spans="2:16" x14ac:dyDescent="0.15">
      <c r="M77" t="s">
        <v>14</v>
      </c>
      <c r="N77" t="b">
        <f>AND(($J$71+$J$81+$J$97)=3,$H$71=1,$H$81=1,$H$97=2)</f>
        <v>0</v>
      </c>
      <c r="O77">
        <f>IF(N77,1,0)</f>
        <v>0</v>
      </c>
    </row>
    <row r="78" spans="2:16" x14ac:dyDescent="0.15">
      <c r="M78" t="s">
        <v>15</v>
      </c>
      <c r="N78" t="b">
        <f>AND(($J$71+$J$81+$J$97)=3,$H$71=1,$H$81=1,$H$97=3)</f>
        <v>0</v>
      </c>
      <c r="O78">
        <f>IF(N78,3,0)</f>
        <v>0</v>
      </c>
    </row>
    <row r="79" spans="2:16" x14ac:dyDescent="0.15">
      <c r="M79" t="s">
        <v>16</v>
      </c>
      <c r="N79" t="b">
        <f>AND(($J$71+$J$81+$J$97)=3,$H$71=1,$H$81=1,$H$97=4)</f>
        <v>0</v>
      </c>
      <c r="O79">
        <f>IF(N79,4,0)</f>
        <v>0</v>
      </c>
    </row>
    <row r="80" spans="2:16" ht="13.5" customHeight="1" thickBot="1" x14ac:dyDescent="0.2">
      <c r="M80" t="s">
        <v>17</v>
      </c>
      <c r="N80" t="b">
        <f>AND(($J$71+$J$81+$J$97)=3,$H$71=1,$H$81=1,$H$97=5)</f>
        <v>0</v>
      </c>
      <c r="O80">
        <f>IF(N80,6,0)</f>
        <v>0</v>
      </c>
    </row>
    <row r="81" spans="2:15" x14ac:dyDescent="0.15">
      <c r="H81" s="39">
        <v>1</v>
      </c>
      <c r="I81" s="15" t="b">
        <f>AND(H81&lt;&gt;1,H81&lt;&gt;2,H81&lt;&gt;3)</f>
        <v>0</v>
      </c>
      <c r="J81" s="15">
        <f>IF(I81,0,1)</f>
        <v>1</v>
      </c>
      <c r="M81" t="s">
        <v>50</v>
      </c>
      <c r="N81" t="b">
        <f>AND(($J$71+$J$81+$J$97)=3,$H$71=1,$H$81=1,$H$97=6)</f>
        <v>0</v>
      </c>
      <c r="O81">
        <f>IF(N81,7,0)</f>
        <v>0</v>
      </c>
    </row>
    <row r="82" spans="2:15" ht="14.25" customHeight="1" x14ac:dyDescent="0.15">
      <c r="H82" s="40"/>
      <c r="I82" s="24" t="str">
        <f>IF(I81,"   LA PUNTUACIÓN DE LA MUÑECA DEBE ESTAR EN UN RANGO DE 1 A 3."," ")</f>
        <v xml:space="preserve"> </v>
      </c>
      <c r="J82" s="25"/>
      <c r="K82" s="25"/>
      <c r="L82" s="25"/>
      <c r="M82" t="s">
        <v>18</v>
      </c>
      <c r="N82" t="b">
        <f>AND(($J$71+$J$81+$J$97)=3,$H$71=1,$H$81=2,$H$97=1)</f>
        <v>0</v>
      </c>
      <c r="O82">
        <f>IF(N82,2,0)</f>
        <v>0</v>
      </c>
    </row>
    <row r="83" spans="2:15" ht="14" thickBot="1" x14ac:dyDescent="0.2">
      <c r="H83" s="41"/>
      <c r="I83" s="25"/>
      <c r="J83" s="25"/>
      <c r="K83" s="25"/>
      <c r="L83" s="25"/>
      <c r="M83" t="s">
        <v>21</v>
      </c>
      <c r="N83" t="b">
        <f>AND(($J$71+$J$81+$J$97)=3,$H$71=1,$H$81=2,$H$97=2)</f>
        <v>0</v>
      </c>
      <c r="O83">
        <f>IF(N83,2,0)</f>
        <v>0</v>
      </c>
    </row>
    <row r="84" spans="2:15" x14ac:dyDescent="0.15">
      <c r="I84" s="25"/>
      <c r="J84" s="25"/>
      <c r="K84" s="25"/>
      <c r="L84" s="25"/>
      <c r="M84" t="s">
        <v>19</v>
      </c>
      <c r="N84" t="b">
        <f>AND(($J$71+$J$81+$J$97)=3,$H$71=1,$H$81=2,$H$97=3)</f>
        <v>0</v>
      </c>
      <c r="O84">
        <f>IF(N84,4,0)</f>
        <v>0</v>
      </c>
    </row>
    <row r="85" spans="2:15" ht="16" x14ac:dyDescent="0.2">
      <c r="B85" s="22" t="s">
        <v>10</v>
      </c>
      <c r="C85" s="23"/>
      <c r="M85" t="s">
        <v>22</v>
      </c>
      <c r="N85" t="b">
        <f>AND(($J$71+$J$81+$J$97)=3,$H$71=1,$H$81=2,$H$97=4)</f>
        <v>0</v>
      </c>
      <c r="O85">
        <f>IF(N85,5,0)</f>
        <v>0</v>
      </c>
    </row>
    <row r="86" spans="2:15" x14ac:dyDescent="0.15">
      <c r="M86" t="s">
        <v>20</v>
      </c>
      <c r="N86" t="b">
        <f>AND(($J$71+$J$81+$J$97)=3,$H$71=1,$H$81=2,$H$97=5)</f>
        <v>0</v>
      </c>
      <c r="O86">
        <f>IF(N86,7,0)</f>
        <v>0</v>
      </c>
    </row>
    <row r="87" spans="2:15" x14ac:dyDescent="0.15">
      <c r="M87" t="s">
        <v>51</v>
      </c>
      <c r="N87" t="b">
        <f>AND(($J$71+$J$81+$J$97)=3,$H$71=1,$H$81=2,$H$97=6)</f>
        <v>0</v>
      </c>
      <c r="O87">
        <f>IF(N87,8,0)</f>
        <v>0</v>
      </c>
    </row>
    <row r="88" spans="2:15" x14ac:dyDescent="0.15">
      <c r="M88" t="s">
        <v>23</v>
      </c>
      <c r="N88" t="b">
        <f>AND(($J$71+$J$81+$J$97)=3,$H$71=1,$H$81=3,$H$97=1)</f>
        <v>0</v>
      </c>
      <c r="O88">
        <f>IF(N88,2,0)</f>
        <v>0</v>
      </c>
    </row>
    <row r="89" spans="2:15" x14ac:dyDescent="0.15">
      <c r="M89" t="s">
        <v>24</v>
      </c>
      <c r="N89" t="b">
        <f>AND(($J$71+$J$81+$J$97)=3,$H$71=1,$H$81=3,$H$97=2)</f>
        <v>0</v>
      </c>
      <c r="O89">
        <f>IF(N89,3,0)</f>
        <v>0</v>
      </c>
    </row>
    <row r="90" spans="2:15" x14ac:dyDescent="0.15">
      <c r="M90" t="s">
        <v>25</v>
      </c>
      <c r="N90" t="b">
        <f>AND(($J$71+$J$81+$J$97)=3,$H$71=1,$H$81=3,$H$97=3)</f>
        <v>0</v>
      </c>
      <c r="O90">
        <f>IF(N90,5,0)</f>
        <v>0</v>
      </c>
    </row>
    <row r="91" spans="2:15" x14ac:dyDescent="0.15">
      <c r="M91" t="s">
        <v>26</v>
      </c>
      <c r="N91" t="b">
        <f>AND(($J$71+$J$81+$J$97)=3,$H$71=1,$H$81=3,$H$97=4)</f>
        <v>0</v>
      </c>
      <c r="O91">
        <f>IF(N91,5,0)</f>
        <v>0</v>
      </c>
    </row>
    <row r="92" spans="2:15" x14ac:dyDescent="0.15">
      <c r="M92" t="s">
        <v>27</v>
      </c>
      <c r="N92" t="b">
        <f>AND(($J$71+$J$81+$J$97)=3,$H$71=1,$H$81=3,$H$97=5)</f>
        <v>0</v>
      </c>
      <c r="O92">
        <f>IF(N92,8,0)</f>
        <v>0</v>
      </c>
    </row>
    <row r="93" spans="2:15" x14ac:dyDescent="0.15">
      <c r="M93" t="s">
        <v>52</v>
      </c>
      <c r="N93" t="b">
        <f>AND(($J$71+$J$81+$J$97)=3,$H$71=1,$H$81=3,$H$97=6)</f>
        <v>0</v>
      </c>
      <c r="O93">
        <f>IF(N93,8,0)</f>
        <v>0</v>
      </c>
    </row>
    <row r="94" spans="2:15" x14ac:dyDescent="0.15">
      <c r="M94" t="s">
        <v>33</v>
      </c>
      <c r="N94" t="b">
        <f>AND(($J$71+$J$81+$J$97)=3,$H$71=2,$H$81=1,$H$97=1)</f>
        <v>0</v>
      </c>
      <c r="O94">
        <f>IF(N94,1,0)</f>
        <v>0</v>
      </c>
    </row>
    <row r="95" spans="2:15" x14ac:dyDescent="0.15">
      <c r="M95" t="s">
        <v>34</v>
      </c>
      <c r="N95" t="b">
        <f>AND(($J$71+$J$81+$J$97)=3,$H$71=2,$H$81=1,$H$97=2)</f>
        <v>0</v>
      </c>
      <c r="O95">
        <f>IF(N95,2,0)</f>
        <v>0</v>
      </c>
    </row>
    <row r="96" spans="2:15" ht="14" thickBot="1" x14ac:dyDescent="0.2">
      <c r="M96" t="s">
        <v>35</v>
      </c>
      <c r="N96" t="b">
        <f>AND(($J$71+$J$81+$J$97)=3,$H$71=2,$H$81=1,$H$97=3)</f>
        <v>0</v>
      </c>
      <c r="O96">
        <f>IF(N96,4,0)</f>
        <v>0</v>
      </c>
    </row>
    <row r="97" spans="2:15" x14ac:dyDescent="0.15">
      <c r="H97" s="39">
        <v>1</v>
      </c>
      <c r="I97" s="15" t="b">
        <f>AND(H97&lt;&gt;1,H97&lt;&gt;2,H97&lt;&gt;3,H97&lt;&gt;4,H97&lt;&gt;5,H97&lt;&gt;6)</f>
        <v>0</v>
      </c>
      <c r="J97" s="15">
        <f>IF(I97,0,1)</f>
        <v>1</v>
      </c>
      <c r="M97" t="s">
        <v>36</v>
      </c>
      <c r="N97" t="b">
        <f>AND(($J$71+$J$81+$J$97)=3,$H$71=2,$H$81=1,$H$97=4)</f>
        <v>0</v>
      </c>
      <c r="O97">
        <f>IF(N97,5,0)</f>
        <v>0</v>
      </c>
    </row>
    <row r="98" spans="2:15" x14ac:dyDescent="0.15">
      <c r="H98" s="40"/>
      <c r="I98" s="24" t="str">
        <f>IF(I97,"   LA PUNTUACIÓN DEL BRAZO DEBE ESTAR EN UN RANGO DE 1 A 6."," ")</f>
        <v xml:space="preserve"> </v>
      </c>
      <c r="J98" s="25"/>
      <c r="K98" s="25"/>
      <c r="L98" s="25"/>
      <c r="M98" t="s">
        <v>37</v>
      </c>
      <c r="N98" t="b">
        <f>AND(($J$71+$J$81+$J$97)=3,$H$71=2,$H$81=1,$H$97=5)</f>
        <v>0</v>
      </c>
      <c r="O98">
        <f>IF(N98,7,0)</f>
        <v>0</v>
      </c>
    </row>
    <row r="99" spans="2:15" ht="14" thickBot="1" x14ac:dyDescent="0.2">
      <c r="H99" s="41"/>
      <c r="I99" s="25"/>
      <c r="J99" s="25"/>
      <c r="K99" s="25"/>
      <c r="L99" s="25"/>
      <c r="M99" t="s">
        <v>53</v>
      </c>
      <c r="N99" t="b">
        <f>AND(($J$71+$J$81+$J$97)=3,$H$71=2,$H$81=1,$H$97=6)</f>
        <v>0</v>
      </c>
      <c r="O99">
        <f>IF(N99,8,0)</f>
        <v>0</v>
      </c>
    </row>
    <row r="100" spans="2:15" x14ac:dyDescent="0.15">
      <c r="I100" s="25"/>
      <c r="J100" s="25"/>
      <c r="K100" s="25"/>
      <c r="L100" s="25"/>
      <c r="M100" t="s">
        <v>38</v>
      </c>
      <c r="N100" t="b">
        <f>AND(($J$71+$J$81+$J$97)=3,$H$71=2,$H$81=2,$H$97=1)</f>
        <v>0</v>
      </c>
      <c r="O100">
        <f>IF(N100,2,0)</f>
        <v>0</v>
      </c>
    </row>
    <row r="101" spans="2:15" x14ac:dyDescent="0.15">
      <c r="M101" t="s">
        <v>39</v>
      </c>
      <c r="N101" t="b">
        <f>AND(($J$71+$J$81+$J$97)=3,$H$71=2,$H$81=2,$H$97=2)</f>
        <v>0</v>
      </c>
      <c r="O101">
        <f>IF(N101,3,0)</f>
        <v>0</v>
      </c>
    </row>
    <row r="102" spans="2:15" ht="16" x14ac:dyDescent="0.2">
      <c r="B102" s="22" t="s">
        <v>11</v>
      </c>
      <c r="C102" s="23"/>
      <c r="M102" t="s">
        <v>40</v>
      </c>
      <c r="N102" t="b">
        <f>AND(($J$71+$J$81+$J$97)=3,$H$71=2,$H$81=2,$H$97=3)</f>
        <v>0</v>
      </c>
      <c r="O102">
        <f>IF(N102,5,0)</f>
        <v>0</v>
      </c>
    </row>
    <row r="103" spans="2:15" x14ac:dyDescent="0.15">
      <c r="M103" t="s">
        <v>41</v>
      </c>
      <c r="N103" t="b">
        <f>AND(($J$71+$J$81+$J$97)=3,$H$71=2,$H$81=2,$H$97=4)</f>
        <v>0</v>
      </c>
      <c r="O103">
        <f>IF(N103,6,0)</f>
        <v>0</v>
      </c>
    </row>
    <row r="104" spans="2:15" x14ac:dyDescent="0.15">
      <c r="M104" t="s">
        <v>42</v>
      </c>
      <c r="N104" t="b">
        <f>AND(($J$71+$J$81+$J$97)=3,$H$71=2,$H$81=2,$H$97=5)</f>
        <v>0</v>
      </c>
      <c r="O104">
        <f>IF(N104,8,0)</f>
        <v>0</v>
      </c>
    </row>
    <row r="105" spans="2:15" ht="14" thickBot="1" x14ac:dyDescent="0.2">
      <c r="M105" t="s">
        <v>80</v>
      </c>
      <c r="N105" t="b">
        <f>AND(($J$71+$J$81+$J$97)=3,$H$71=2,$H$81=2,$H$97=6)</f>
        <v>0</v>
      </c>
      <c r="O105">
        <f>IF(N105,9,0)</f>
        <v>0</v>
      </c>
    </row>
    <row r="106" spans="2:15" x14ac:dyDescent="0.15">
      <c r="H106" s="39">
        <v>0</v>
      </c>
      <c r="I106" s="15" t="b">
        <f>AND(H106&lt;&gt;1,H106&lt;&gt;2,H106&lt;&gt;3,H106&lt;&gt;0)</f>
        <v>0</v>
      </c>
      <c r="J106" s="15">
        <f>IF(I106,0,1)</f>
        <v>1</v>
      </c>
      <c r="M106" t="s">
        <v>43</v>
      </c>
      <c r="N106" t="b">
        <f>AND(($J$71+$J$81+$J$97)=3,$H$71=2,$H$81=3,$H$97=1)</f>
        <v>0</v>
      </c>
      <c r="O106">
        <f>IF(N106,3,0)</f>
        <v>0</v>
      </c>
    </row>
    <row r="107" spans="2:15" ht="12.75" customHeight="1" x14ac:dyDescent="0.15">
      <c r="H107" s="40"/>
      <c r="I107" s="26" t="str">
        <f>IF(I106," LA PUNTUACIÓN PARA TIPO DE AGARRE DEBE ESTAR EN UN RANGO DE 0 A 3."," ")</f>
        <v xml:space="preserve"> </v>
      </c>
      <c r="J107" s="25"/>
      <c r="K107" s="25"/>
      <c r="L107" s="25"/>
      <c r="M107" t="s">
        <v>44</v>
      </c>
      <c r="N107" t="b">
        <f>AND(($J$71+$J$81+$J$97)=3,$H$71=2,$H$81=3,$H$97=2)</f>
        <v>0</v>
      </c>
      <c r="O107">
        <f>IF(N107,4,0)</f>
        <v>0</v>
      </c>
    </row>
    <row r="108" spans="2:15" ht="14" thickBot="1" x14ac:dyDescent="0.2">
      <c r="H108" s="41"/>
      <c r="I108" s="26" t="str">
        <f>IF(J109,"   INTRODUZCA EL VALOR PARA TIPO DE AGARRE."," ")</f>
        <v xml:space="preserve"> </v>
      </c>
      <c r="J108" s="24"/>
      <c r="K108" s="24"/>
      <c r="L108" s="24"/>
      <c r="M108" t="s">
        <v>45</v>
      </c>
      <c r="N108" t="b">
        <f>AND(($J$71+$J$81+$J$97)=3,$H$71=2,$H$81=3,$H$97=3)</f>
        <v>0</v>
      </c>
      <c r="O108">
        <f>IF(N108,5,0)</f>
        <v>0</v>
      </c>
    </row>
    <row r="109" spans="2:15" x14ac:dyDescent="0.15">
      <c r="I109" s="16" t="b">
        <f>AND(H106=0,H106="")</f>
        <v>0</v>
      </c>
      <c r="J109" s="16">
        <f>IF(I109,1,0)</f>
        <v>0</v>
      </c>
      <c r="K109" s="2"/>
      <c r="L109" s="2"/>
      <c r="M109" t="s">
        <v>46</v>
      </c>
      <c r="N109" t="b">
        <f>AND(($J$71+$J$81+$J$97)=3,$H$71=2,$H$81=3,$H$97=4)</f>
        <v>0</v>
      </c>
      <c r="O109">
        <f>IF(N109,7,0)</f>
        <v>0</v>
      </c>
    </row>
    <row r="110" spans="2:15" ht="16" x14ac:dyDescent="0.2">
      <c r="B110" s="22" t="s">
        <v>87</v>
      </c>
      <c r="C110" s="23"/>
      <c r="D110" s="23"/>
      <c r="M110" t="s">
        <v>47</v>
      </c>
      <c r="N110" t="b">
        <f>AND(($J$71+$J$81+$J$97)=3,$H$71=2,$H$81=3,$H$97=5)</f>
        <v>0</v>
      </c>
      <c r="O110">
        <f>IF(N110,8,0)</f>
        <v>0</v>
      </c>
    </row>
    <row r="111" spans="2:15" ht="14" thickBot="1" x14ac:dyDescent="0.2">
      <c r="M111" t="s">
        <v>81</v>
      </c>
      <c r="N111" t="b">
        <f>AND(($J$71+$J$81+$J$97)=3,$H$71=2,$H$81=3,$H$97=6)</f>
        <v>0</v>
      </c>
      <c r="O111">
        <f>IF(N111,9,0)</f>
        <v>0</v>
      </c>
    </row>
    <row r="112" spans="2:15" x14ac:dyDescent="0.15">
      <c r="B112" s="27" t="s">
        <v>0</v>
      </c>
      <c r="C112" s="28"/>
      <c r="D112" s="28"/>
      <c r="E112" s="28"/>
      <c r="F112" s="28"/>
      <c r="G112" s="46"/>
      <c r="H112" s="36" t="s">
        <v>104</v>
      </c>
      <c r="I112" s="15" t="b">
        <f>AND(H112&lt;&gt;"S",H112&lt;&gt;"SI",H112&lt;&gt;"N",H112&lt;&gt;"NO",H112&lt;&gt;"SÍ")</f>
        <v>0</v>
      </c>
      <c r="J112" s="15">
        <f>IF(I112,0,1)</f>
        <v>1</v>
      </c>
      <c r="K112" s="15" t="b">
        <f>AND(M116,H112&lt;&gt;"n",H112&lt;&gt;"N",H112&lt;&gt;"NO",H112&lt;&gt;"no")</f>
        <v>1</v>
      </c>
      <c r="L112" s="15">
        <f>IF(K112,1,0)</f>
        <v>1</v>
      </c>
    </row>
    <row r="113" spans="1:30" x14ac:dyDescent="0.15">
      <c r="B113" s="29"/>
      <c r="C113" s="30"/>
      <c r="D113" s="30"/>
      <c r="E113" s="30"/>
      <c r="F113" s="30"/>
      <c r="G113" s="47"/>
      <c r="H113" s="37"/>
      <c r="I113" s="24" t="str">
        <f>IF(I112,"   CONTESTE SI O NO"," ")</f>
        <v xml:space="preserve"> </v>
      </c>
      <c r="J113" s="25"/>
      <c r="K113" s="25"/>
      <c r="L113" s="25"/>
    </row>
    <row r="114" spans="1:30" ht="14" thickBot="1" x14ac:dyDescent="0.2">
      <c r="B114" s="31"/>
      <c r="C114" s="32"/>
      <c r="D114" s="32"/>
      <c r="E114" s="32"/>
      <c r="F114" s="32"/>
      <c r="G114" s="48"/>
      <c r="H114" s="38"/>
      <c r="I114" s="25"/>
      <c r="J114" s="25"/>
      <c r="K114" s="25"/>
      <c r="L114" s="25"/>
    </row>
    <row r="115" spans="1:30" ht="14" thickBot="1" x14ac:dyDescent="0.2">
      <c r="I115" s="25"/>
      <c r="J115" s="25"/>
      <c r="K115" s="25"/>
      <c r="L115" s="25"/>
    </row>
    <row r="116" spans="1:30" x14ac:dyDescent="0.15">
      <c r="B116" s="27" t="s">
        <v>1</v>
      </c>
      <c r="C116" s="28"/>
      <c r="D116" s="28"/>
      <c r="E116" s="28"/>
      <c r="F116" s="28"/>
      <c r="G116" s="28"/>
      <c r="H116" s="33" t="s">
        <v>105</v>
      </c>
      <c r="I116" s="15" t="b">
        <f>AND(H116&lt;&gt;"S",H116&lt;&gt;"SI",H116&lt;&gt;"N",H116&lt;&gt;"NO",H116&lt;&gt;"SÍ")</f>
        <v>0</v>
      </c>
      <c r="J116" s="15">
        <f>IF(I116,0,1)</f>
        <v>1</v>
      </c>
      <c r="K116" s="15" t="b">
        <f>AND(M120,H116&lt;&gt;"n",H116&lt;&gt;"N",H116&lt;&gt;"NO",H116&lt;&gt;"no")</f>
        <v>0</v>
      </c>
      <c r="L116" s="15">
        <f>IF(K116,1,0)</f>
        <v>0</v>
      </c>
      <c r="M116">
        <f>IF((J112+J116+J120)=3,1,0)</f>
        <v>1</v>
      </c>
      <c r="P116" s="45" t="s">
        <v>82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x14ac:dyDescent="0.15">
      <c r="B117" s="29"/>
      <c r="C117" s="30"/>
      <c r="D117" s="30"/>
      <c r="E117" s="30"/>
      <c r="F117" s="30"/>
      <c r="G117" s="30"/>
      <c r="H117" s="34"/>
      <c r="I117" s="24" t="str">
        <f>IF(I116,"   CONTESTE SI O NO"," ")</f>
        <v xml:space="preserve"> </v>
      </c>
      <c r="J117" s="25"/>
      <c r="K117" s="25"/>
      <c r="L117" s="25"/>
      <c r="P117" s="45"/>
      <c r="Q117">
        <f>IF(M116,L112+L116+L120,0)</f>
        <v>1</v>
      </c>
    </row>
    <row r="118" spans="1:30" ht="14" thickBot="1" x14ac:dyDescent="0.2">
      <c r="B118" s="31"/>
      <c r="C118" s="32"/>
      <c r="D118" s="32"/>
      <c r="E118" s="32"/>
      <c r="F118" s="32"/>
      <c r="G118" s="32"/>
      <c r="H118" s="35"/>
      <c r="I118" s="25"/>
      <c r="J118" s="25"/>
      <c r="K118" s="25"/>
      <c r="L118" s="25"/>
      <c r="P118" s="45"/>
    </row>
    <row r="119" spans="1:30" ht="14" thickBot="1" x14ac:dyDescent="0.2">
      <c r="I119" s="25"/>
      <c r="J119" s="25"/>
      <c r="K119" s="25"/>
      <c r="L119" s="25"/>
    </row>
    <row r="120" spans="1:30" x14ac:dyDescent="0.15">
      <c r="B120" s="27" t="s">
        <v>85</v>
      </c>
      <c r="C120" s="28"/>
      <c r="D120" s="28"/>
      <c r="E120" s="28"/>
      <c r="F120" s="28"/>
      <c r="G120" s="28"/>
      <c r="H120" s="33" t="s">
        <v>105</v>
      </c>
      <c r="I120" s="15" t="b">
        <f>AND(H120&lt;&gt;"S",H120&lt;&gt;"SI",H120&lt;&gt;"N",H120&lt;&gt;"NO",H120&lt;&gt;"SÍ")</f>
        <v>0</v>
      </c>
      <c r="J120" s="15">
        <f>IF(I120,0,1)</f>
        <v>1</v>
      </c>
      <c r="K120" s="15" t="b">
        <f>AND(M124,H120&lt;&gt;"n",H120&lt;&gt;"N",H120&lt;&gt;"NO",H120&lt;&gt;"no")</f>
        <v>0</v>
      </c>
      <c r="L120" s="15">
        <f>IF(K120,1,0)</f>
        <v>0</v>
      </c>
    </row>
    <row r="121" spans="1:30" x14ac:dyDescent="0.15">
      <c r="B121" s="29"/>
      <c r="C121" s="30"/>
      <c r="D121" s="30"/>
      <c r="E121" s="30"/>
      <c r="F121" s="30"/>
      <c r="G121" s="30"/>
      <c r="H121" s="34"/>
      <c r="I121" s="24" t="str">
        <f>IF(I120,"   CONTESTE SI O NO"," ")</f>
        <v xml:space="preserve"> </v>
      </c>
      <c r="J121" s="25"/>
      <c r="K121" s="25"/>
      <c r="L121" s="25"/>
    </row>
    <row r="122" spans="1:30" ht="14" thickBot="1" x14ac:dyDescent="0.2">
      <c r="B122" s="31"/>
      <c r="C122" s="32"/>
      <c r="D122" s="32"/>
      <c r="E122" s="32"/>
      <c r="F122" s="32"/>
      <c r="G122" s="32"/>
      <c r="H122" s="35"/>
      <c r="I122" s="25"/>
      <c r="J122" s="25"/>
      <c r="K122" s="25"/>
      <c r="L122" s="25"/>
    </row>
    <row r="123" spans="1:30" x14ac:dyDescent="0.15">
      <c r="I123" s="25"/>
      <c r="J123" s="25"/>
      <c r="K123" s="25"/>
      <c r="L123" s="25"/>
    </row>
    <row r="127" spans="1:30" ht="16.5" customHeight="1" x14ac:dyDescent="0.2">
      <c r="A127" s="19" t="s">
        <v>93</v>
      </c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30" x14ac:dyDescent="0.15">
      <c r="B128" s="11"/>
      <c r="C128" s="11"/>
      <c r="D128" s="11"/>
      <c r="E128" s="11"/>
      <c r="F128" s="11"/>
      <c r="G128" s="11"/>
      <c r="H128" s="11"/>
      <c r="I128" s="3"/>
      <c r="J128" s="3"/>
      <c r="K128" s="3"/>
    </row>
  </sheetData>
  <sheetProtection password="C776" sheet="1" objects="1" scenarios="1" selectLockedCells="1"/>
  <mergeCells count="41">
    <mergeCell ref="B75:C75"/>
    <mergeCell ref="B10:G10"/>
    <mergeCell ref="B12:C12"/>
    <mergeCell ref="B21:C21"/>
    <mergeCell ref="B38:C38"/>
    <mergeCell ref="H54:H56"/>
    <mergeCell ref="P116:P118"/>
    <mergeCell ref="B63:C63"/>
    <mergeCell ref="B112:G114"/>
    <mergeCell ref="H71:H73"/>
    <mergeCell ref="H81:H83"/>
    <mergeCell ref="B52:C52"/>
    <mergeCell ref="B61:G61"/>
    <mergeCell ref="I55:L55"/>
    <mergeCell ref="I56:L56"/>
    <mergeCell ref="I113:L115"/>
    <mergeCell ref="I18:L20"/>
    <mergeCell ref="H17:H19"/>
    <mergeCell ref="H34:H36"/>
    <mergeCell ref="H47:H49"/>
    <mergeCell ref="I48:L50"/>
    <mergeCell ref="I35:L37"/>
    <mergeCell ref="I117:L119"/>
    <mergeCell ref="I121:L123"/>
    <mergeCell ref="B85:C85"/>
    <mergeCell ref="B102:C102"/>
    <mergeCell ref="B116:G118"/>
    <mergeCell ref="I108:L108"/>
    <mergeCell ref="H112:H114"/>
    <mergeCell ref="H97:H99"/>
    <mergeCell ref="H106:H108"/>
    <mergeCell ref="A127:K127"/>
    <mergeCell ref="B5:F5"/>
    <mergeCell ref="B110:D110"/>
    <mergeCell ref="I72:L74"/>
    <mergeCell ref="I82:L84"/>
    <mergeCell ref="I98:L100"/>
    <mergeCell ref="I107:L107"/>
    <mergeCell ref="B120:G122"/>
    <mergeCell ref="H116:H118"/>
    <mergeCell ref="H120:H122"/>
  </mergeCells>
  <phoneticPr fontId="2" type="noConversion"/>
  <pageMargins left="0.74803149606299213" right="0.74803149606299213" top="0.98425196850393704" bottom="0.98425196850393704" header="0" footer="0"/>
  <pageSetup paperSize="9" scale="93" orientation="portrait"/>
  <headerFooter alignWithMargins="0"/>
  <rowBreaks count="2" manualBreakCount="2">
    <brk id="51" max="16383" man="1"/>
    <brk id="109" max="16383" man="1"/>
  </rowBreaks>
  <colBreaks count="1" manualBreakCount="1">
    <brk id="8" max="1048575" man="1"/>
  </colBreaks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A1D1-A993-1242-9853-AA24D7F1F729}">
  <sheetPr>
    <tabColor indexed="11"/>
  </sheetPr>
  <dimension ref="B2:M38"/>
  <sheetViews>
    <sheetView showGridLines="0" showRowColHeaders="0" view="pageBreakPreview" zoomScale="60" zoomScaleNormal="100" workbookViewId="0">
      <selection activeCell="B35" sqref="B35"/>
    </sheetView>
  </sheetViews>
  <sheetFormatPr baseColWidth="10" defaultRowHeight="13" x14ac:dyDescent="0.15"/>
  <cols>
    <col min="1" max="1" width="12.6640625" bestFit="1" customWidth="1"/>
    <col min="6" max="6" width="12" customWidth="1"/>
    <col min="7" max="7" width="34" customWidth="1"/>
  </cols>
  <sheetData>
    <row r="2" spans="2:8" ht="15" customHeight="1" x14ac:dyDescent="0.15">
      <c r="B2" s="53" t="str">
        <f>IF('HOJA DE DATOS'!Q6=0,"EXISTEN DATOS ERRONEOS O FALTAN DATOS POR RELLENAR. VUELVA A LA HOJA DE DATOS."," ")</f>
        <v xml:space="preserve"> </v>
      </c>
      <c r="C2" s="23"/>
      <c r="D2" s="23"/>
      <c r="E2" s="23"/>
      <c r="F2" s="23"/>
      <c r="G2" s="8"/>
      <c r="H2" s="8"/>
    </row>
    <row r="3" spans="2:8" ht="16" x14ac:dyDescent="0.15">
      <c r="B3" s="23"/>
      <c r="C3" s="23"/>
      <c r="D3" s="23"/>
      <c r="E3" s="23"/>
      <c r="F3" s="23"/>
      <c r="G3" s="8"/>
      <c r="H3" s="8"/>
    </row>
    <row r="4" spans="2:8" x14ac:dyDescent="0.15">
      <c r="B4" s="3"/>
      <c r="C4" s="3"/>
      <c r="D4" s="3"/>
      <c r="E4" s="3"/>
      <c r="F4" s="3"/>
      <c r="G4" s="3"/>
      <c r="H4" s="3"/>
    </row>
    <row r="5" spans="2:8" ht="18" x14ac:dyDescent="0.2">
      <c r="B5" s="54" t="s">
        <v>86</v>
      </c>
      <c r="C5" s="51"/>
      <c r="D5" s="51"/>
      <c r="E5" s="51"/>
      <c r="F5" s="51"/>
      <c r="G5" s="51"/>
      <c r="H5" s="51"/>
    </row>
    <row r="6" spans="2:8" ht="16" x14ac:dyDescent="0.2">
      <c r="B6" s="5"/>
      <c r="C6" s="6"/>
      <c r="D6" s="6"/>
      <c r="E6" s="6"/>
      <c r="F6" s="6"/>
      <c r="G6" s="6"/>
      <c r="H6" s="6"/>
    </row>
    <row r="7" spans="2:8" ht="18" x14ac:dyDescent="0.2">
      <c r="B7" s="50" t="s">
        <v>2</v>
      </c>
      <c r="C7" s="51"/>
      <c r="D7" s="51"/>
      <c r="E7" s="51"/>
      <c r="F7" s="51"/>
      <c r="G7" s="51"/>
      <c r="H7" s="7"/>
    </row>
    <row r="8" spans="2:8" ht="15" customHeight="1" x14ac:dyDescent="0.2">
      <c r="B8" s="10"/>
      <c r="C8" s="9"/>
      <c r="D8" s="9"/>
      <c r="E8" s="9"/>
      <c r="F8" s="9"/>
      <c r="G8" s="9"/>
      <c r="H8" s="7"/>
    </row>
    <row r="9" spans="2:8" ht="26" x14ac:dyDescent="0.4">
      <c r="B9" s="49" t="s">
        <v>94</v>
      </c>
      <c r="C9" s="49"/>
      <c r="D9" s="49"/>
      <c r="E9" s="49"/>
      <c r="F9" s="17">
        <f>IF('HOJA DE DATOS'!Q6&lt;&gt;0,'HOJA DE DATOS'!H17," ")</f>
        <v>3</v>
      </c>
      <c r="G9" s="7"/>
      <c r="H9" s="7"/>
    </row>
    <row r="10" spans="2:8" ht="26" x14ac:dyDescent="0.4">
      <c r="B10" s="49" t="s">
        <v>95</v>
      </c>
      <c r="C10" s="49"/>
      <c r="D10" s="49"/>
      <c r="E10" s="49"/>
      <c r="F10" s="17">
        <f>IF('HOJA DE DATOS'!Q6&lt;&gt;0,'HOJA DE DATOS'!H34," ")</f>
        <v>1</v>
      </c>
      <c r="G10" s="7"/>
      <c r="H10" s="7"/>
    </row>
    <row r="11" spans="2:8" ht="26" x14ac:dyDescent="0.4">
      <c r="B11" s="49" t="s">
        <v>96</v>
      </c>
      <c r="C11" s="49"/>
      <c r="D11" s="49"/>
      <c r="E11" s="49"/>
      <c r="F11" s="17">
        <f>IF('HOJA DE DATOS'!Q6&lt;&gt;0,'HOJA DE DATOS'!H47," ")</f>
        <v>1</v>
      </c>
      <c r="G11" s="7"/>
      <c r="H11" s="7"/>
    </row>
    <row r="12" spans="2:8" ht="26" x14ac:dyDescent="0.4">
      <c r="B12" s="49" t="s">
        <v>97</v>
      </c>
      <c r="C12" s="49"/>
      <c r="D12" s="49"/>
      <c r="E12" s="49"/>
      <c r="F12" s="17">
        <f>IF('HOJA DE DATOS'!Q6&lt;&gt;0,'HOJA DE DATOS'!H54," ")</f>
        <v>0</v>
      </c>
      <c r="G12" s="7"/>
      <c r="H12" s="7"/>
    </row>
    <row r="13" spans="2:8" ht="16" x14ac:dyDescent="0.2">
      <c r="B13" s="7"/>
      <c r="C13" s="7"/>
      <c r="D13" s="7"/>
      <c r="E13" s="7"/>
      <c r="F13" s="7"/>
      <c r="G13" s="7"/>
      <c r="H13" s="7"/>
    </row>
    <row r="14" spans="2:8" ht="18" x14ac:dyDescent="0.2">
      <c r="B14" s="50" t="s">
        <v>7</v>
      </c>
      <c r="C14" s="51"/>
      <c r="D14" s="51"/>
      <c r="E14" s="51"/>
      <c r="F14" s="51"/>
      <c r="G14" s="51"/>
      <c r="H14" s="7"/>
    </row>
    <row r="15" spans="2:8" ht="16" x14ac:dyDescent="0.2">
      <c r="B15" s="7"/>
      <c r="C15" s="7"/>
      <c r="D15" s="7"/>
      <c r="E15" s="7"/>
      <c r="F15" s="7"/>
      <c r="G15" s="7"/>
      <c r="H15" s="7"/>
    </row>
    <row r="16" spans="2:8" ht="26" x14ac:dyDescent="0.4">
      <c r="B16" s="49" t="s">
        <v>98</v>
      </c>
      <c r="C16" s="49"/>
      <c r="D16" s="49"/>
      <c r="E16" s="49"/>
      <c r="F16" s="17">
        <f>IF('HOJA DE DATOS'!Q6&lt;&gt;0,'HOJA DE DATOS'!H71," ")</f>
        <v>1</v>
      </c>
      <c r="G16" s="7"/>
      <c r="H16" s="7"/>
    </row>
    <row r="17" spans="2:13" ht="26" x14ac:dyDescent="0.4">
      <c r="B17" s="49" t="s">
        <v>99</v>
      </c>
      <c r="C17" s="49"/>
      <c r="D17" s="49"/>
      <c r="E17" s="49"/>
      <c r="F17" s="17">
        <f>IF('HOJA DE DATOS'!Q6&lt;&gt;0,'HOJA DE DATOS'!H81," ")</f>
        <v>1</v>
      </c>
      <c r="G17" s="7"/>
      <c r="H17" s="7"/>
    </row>
    <row r="18" spans="2:13" ht="26" x14ac:dyDescent="0.4">
      <c r="B18" s="49" t="s">
        <v>100</v>
      </c>
      <c r="C18" s="49"/>
      <c r="D18" s="49"/>
      <c r="E18" s="49"/>
      <c r="F18" s="17">
        <f>IF('HOJA DE DATOS'!Q6&lt;&gt;0,'HOJA DE DATOS'!H97," ")</f>
        <v>1</v>
      </c>
      <c r="G18" s="7"/>
      <c r="H18" s="7"/>
    </row>
    <row r="19" spans="2:13" ht="26" x14ac:dyDescent="0.4">
      <c r="B19" s="49" t="s">
        <v>101</v>
      </c>
      <c r="C19" s="49"/>
      <c r="D19" s="49"/>
      <c r="E19" s="49"/>
      <c r="F19" s="17">
        <f>IF('HOJA DE DATOS'!Q6&lt;&gt;0,'HOJA DE DATOS'!H106," ")</f>
        <v>0</v>
      </c>
      <c r="G19" s="7"/>
      <c r="H19" s="7"/>
    </row>
    <row r="20" spans="2:13" ht="16" x14ac:dyDescent="0.2">
      <c r="B20" s="7"/>
      <c r="C20" s="7"/>
      <c r="D20" s="7"/>
      <c r="E20" s="7"/>
      <c r="F20" s="7"/>
      <c r="G20" s="7"/>
      <c r="H20" s="7"/>
    </row>
    <row r="21" spans="2:13" ht="23.25" customHeight="1" x14ac:dyDescent="0.2">
      <c r="B21" s="50" t="s">
        <v>88</v>
      </c>
      <c r="C21" s="51"/>
      <c r="D21" s="51"/>
      <c r="E21" s="51"/>
      <c r="F21" s="51"/>
      <c r="G21" s="51"/>
      <c r="H21" s="7"/>
    </row>
    <row r="22" spans="2:13" ht="15" customHeight="1" x14ac:dyDescent="0.2">
      <c r="H22" s="7"/>
    </row>
    <row r="23" spans="2:13" ht="18.75" customHeight="1" x14ac:dyDescent="0.3">
      <c r="B23" s="55" t="str">
        <f>IF(H23=0,"No hay partes del cuerpo estáticas",IF(H23=1,"Una o más partes del cuerpo permanecen estáticas",IF(H23=2," ")))</f>
        <v>Una o más partes del cuerpo permanecen estáticas</v>
      </c>
      <c r="C23" s="55"/>
      <c r="D23" s="55"/>
      <c r="E23" s="55"/>
      <c r="F23" s="55"/>
      <c r="G23" s="55"/>
      <c r="H23" s="14">
        <f>IF(AND('HOJA DE DATOS'!J112*'HOJA DE DATOS'!J116*'HOJA DE DATOS'!J120*'HOJA DE DATOS'!Q6&lt;&gt;0,'HOJA DE DATOS'!L112=1),1,IF(AND('HOJA DE DATOS'!J112*'HOJA DE DATOS'!J116*'HOJA DE DATOS'!J120*'HOJA DE DATOS'!Q6&lt;&gt;0,'HOJA DE DATOS'!L112=0),0,IF('HOJA DE DATOS'!J112*'HOJA DE DATOS'!J116*'HOJA DE DATOS'!J120*'HOJA DE DATOS'!Q6=0,2)))</f>
        <v>1</v>
      </c>
      <c r="I23" s="12"/>
      <c r="J23" s="12"/>
      <c r="K23" s="12"/>
      <c r="L23" s="12"/>
      <c r="M23" s="12"/>
    </row>
    <row r="24" spans="2:13" ht="18" customHeight="1" x14ac:dyDescent="0.3">
      <c r="B24" s="55" t="str">
        <f>IF(H24=0,"No existen movimientos repetitivos",IF(H24=1,"Existen movimientos repetitivos",IF(H24=2," ")))</f>
        <v>No existen movimientos repetitivos</v>
      </c>
      <c r="C24" s="57"/>
      <c r="D24" s="57"/>
      <c r="E24" s="57"/>
      <c r="F24" s="57"/>
      <c r="G24" s="58"/>
      <c r="H24" s="14">
        <f>IF(AND('HOJA DE DATOS'!J112*'HOJA DE DATOS'!J116*'HOJA DE DATOS'!J120*'HOJA DE DATOS'!Q6&lt;&gt;0,'HOJA DE DATOS'!L116=1),1,IF(AND('HOJA DE DATOS'!J112*'HOJA DE DATOS'!J116*'HOJA DE DATOS'!J120*'HOJA DE DATOS'!Q6&lt;&gt;0,'HOJA DE DATOS'!L116=0),0,IF('HOJA DE DATOS'!J112*'HOJA DE DATOS'!J116*'HOJA DE DATOS'!J120*'HOJA DE DATOS'!Q6=0,2)))</f>
        <v>0</v>
      </c>
    </row>
    <row r="25" spans="2:13" ht="18" customHeight="1" x14ac:dyDescent="0.3">
      <c r="B25" s="55" t="str">
        <f>IF(H25=0,"No se producen cambios posturales importantes ni posturas inestables",IF(H25=1,"Se producen cambios posturales importantes o posturas inestables",IF(H25=2," ")))</f>
        <v>No se producen cambios posturales importantes ni posturas inestables</v>
      </c>
      <c r="C25" s="57"/>
      <c r="D25" s="57"/>
      <c r="E25" s="57"/>
      <c r="F25" s="57"/>
      <c r="G25" s="58"/>
      <c r="H25" s="14">
        <f>IF(AND('HOJA DE DATOS'!J112*'HOJA DE DATOS'!J116*'HOJA DE DATOS'!J120*'HOJA DE DATOS'!Q6&lt;&gt;0,'HOJA DE DATOS'!L120=1),1,IF(AND('HOJA DE DATOS'!J112*'HOJA DE DATOS'!J116*'HOJA DE DATOS'!J120*'HOJA DE DATOS'!Q6&lt;&gt;0,'HOJA DE DATOS'!L120=0),0,IF('HOJA DE DATOS'!J112*'HOJA DE DATOS'!J116*'HOJA DE DATOS'!J120*'HOJA DE DATOS'!Q6=0,2)))</f>
        <v>0</v>
      </c>
    </row>
    <row r="26" spans="2:13" ht="18" customHeight="1" x14ac:dyDescent="0.15">
      <c r="B26" s="53" t="str">
        <f>IF('HOJA DE DATOS'!Q6=0,"EXISTEN DATOS ERRONEOS O FALTAN DATOS POR RELLENAR. VUELVA A LA HOJA DE DATOS."," ")</f>
        <v xml:space="preserve"> </v>
      </c>
      <c r="C26" s="56"/>
      <c r="D26" s="56"/>
      <c r="E26" s="56"/>
      <c r="F26" s="56"/>
      <c r="G26" s="13"/>
      <c r="H26" s="12"/>
    </row>
    <row r="27" spans="2:13" x14ac:dyDescent="0.15">
      <c r="B27" s="56"/>
      <c r="C27" s="56"/>
      <c r="D27" s="56"/>
      <c r="E27" s="56"/>
      <c r="F27" s="56"/>
    </row>
    <row r="28" spans="2:13" ht="15.75" customHeight="1" x14ac:dyDescent="0.15"/>
    <row r="29" spans="2:13" ht="15.75" customHeight="1" x14ac:dyDescent="0.15"/>
    <row r="30" spans="2:13" ht="18" x14ac:dyDescent="0.2">
      <c r="B30" s="54" t="s">
        <v>89</v>
      </c>
      <c r="C30" s="51"/>
      <c r="D30" s="51"/>
      <c r="E30" s="51"/>
      <c r="F30" s="51"/>
      <c r="G30" s="51"/>
      <c r="H30" s="51"/>
    </row>
    <row r="32" spans="2:13" ht="26" x14ac:dyDescent="0.4">
      <c r="B32" s="52" t="s">
        <v>103</v>
      </c>
      <c r="C32" s="20"/>
      <c r="D32" s="20"/>
      <c r="E32" s="18">
        <f>IF('HOJA DE DATOS'!Q6&lt;&gt;0,'HOJA DE DATOS'!Q6," ")</f>
        <v>3</v>
      </c>
      <c r="F32" s="9"/>
      <c r="G32" s="9"/>
    </row>
    <row r="34" spans="2:7" ht="26" x14ac:dyDescent="0.4">
      <c r="B34" s="52" t="s">
        <v>102</v>
      </c>
      <c r="C34" s="20"/>
      <c r="D34" s="20"/>
      <c r="E34" s="18">
        <f>IF(E32=1,0,IF(OR(E32=2,E32=3),1,IF(AND(E32&gt;3,E32&lt;8),2,IF(AND(E32&gt;7,E32&lt;11),3,IF(AND(E32&gt;10,E32&lt;16),4," ")))))</f>
        <v>1</v>
      </c>
    </row>
    <row r="36" spans="2:7" ht="26" x14ac:dyDescent="0.4">
      <c r="B36" s="52" t="s">
        <v>90</v>
      </c>
      <c r="C36" s="20"/>
      <c r="D36" s="20"/>
      <c r="E36" s="18" t="str">
        <f>IF(E34=0,"Inapreciable",IF(E34=1,"Bajo",IF(E34=2,"Medio",IF(E34=3,"Alto",IF(E34=4,"Muy alto", " ")))))</f>
        <v>Bajo</v>
      </c>
      <c r="F36" s="18"/>
    </row>
    <row r="38" spans="2:7" ht="26" x14ac:dyDescent="0.4">
      <c r="B38" s="52" t="s">
        <v>91</v>
      </c>
      <c r="C38" s="20"/>
      <c r="D38" s="20"/>
      <c r="E38" s="18" t="str">
        <f>IF(E34=0,"No es necesaria actuación",IF(E34=1,"Puede ser necesaria la actuación",IF(E34=2,"Es necesaria la actuación",IF(E34=3,"Es necesaria la actuación cuanto antes",IF(E34=4,"Es necesaria la actuación de inmediato", " ")))))</f>
        <v>Puede ser necesaria la actuación</v>
      </c>
      <c r="F38" s="18"/>
      <c r="G38" s="18"/>
    </row>
  </sheetData>
  <sheetProtection password="C776" sheet="1" objects="1" scenarios="1" selectLockedCells="1" selectUnlockedCells="1"/>
  <mergeCells count="22">
    <mergeCell ref="B36:D36"/>
    <mergeCell ref="B38:D38"/>
    <mergeCell ref="B23:G23"/>
    <mergeCell ref="B26:F27"/>
    <mergeCell ref="B30:H30"/>
    <mergeCell ref="B32:D32"/>
    <mergeCell ref="B24:G24"/>
    <mergeCell ref="B25:G25"/>
    <mergeCell ref="B2:F3"/>
    <mergeCell ref="B12:E12"/>
    <mergeCell ref="B10:E10"/>
    <mergeCell ref="B14:G14"/>
    <mergeCell ref="B9:E9"/>
    <mergeCell ref="B7:G7"/>
    <mergeCell ref="B5:H5"/>
    <mergeCell ref="B11:E11"/>
    <mergeCell ref="B19:E19"/>
    <mergeCell ref="B16:E16"/>
    <mergeCell ref="B17:E17"/>
    <mergeCell ref="B18:E18"/>
    <mergeCell ref="B21:G21"/>
    <mergeCell ref="B34:D34"/>
  </mergeCells>
  <phoneticPr fontId="2" type="noConversion"/>
  <pageMargins left="0.75" right="0.75" top="1" bottom="1" header="0" footer="0"/>
  <pageSetup paperSize="9" scale="67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BE00-5511-D947-B449-970B29178AE0}">
  <sheetPr>
    <tabColor indexed="52"/>
  </sheetPr>
  <dimension ref="A1"/>
  <sheetViews>
    <sheetView showGridLines="0" showRowColHeaders="0" topLeftCell="A58" workbookViewId="0">
      <selection activeCell="K27" sqref="K27"/>
    </sheetView>
  </sheetViews>
  <sheetFormatPr baseColWidth="10" defaultRowHeight="13" x14ac:dyDescent="0.15"/>
  <sheetData/>
  <sheetProtection password="C776" sheet="1" objects="1" scenarios="1" selectLockedCells="1" selectUnlockedCells="1"/>
  <phoneticPr fontId="2" type="noConversion"/>
  <pageMargins left="0.75" right="0.75" top="1" bottom="1" header="0" footer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EL MÉTODO REBA</vt:lpstr>
      <vt:lpstr>HOJA DE DATOS</vt:lpstr>
      <vt:lpstr>NIVEL DE RIESGO Y ACCIÓN</vt:lpstr>
      <vt:lpstr>EJEMPLO DE APLICACIÓN</vt:lpstr>
    </vt:vector>
  </TitlesOfParts>
  <Company>INSTITUTO DE SEGURIDAD Y SALUD LABORAL DE LA REGIÓN DE MURCIA.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MÉTODO REBA</dc:title>
  <dc:creator>ÁNGEL MARTÍNEZ GARCÍA</dc:creator>
  <cp:lastModifiedBy>Felipe Manrique</cp:lastModifiedBy>
  <cp:lastPrinted>2023-12-07T17:24:04Z</cp:lastPrinted>
  <dcterms:created xsi:type="dcterms:W3CDTF">2010-06-07T06:40:53Z</dcterms:created>
  <dcterms:modified xsi:type="dcterms:W3CDTF">2026-10-13T22:06:30Z</dcterms:modified>
</cp:coreProperties>
</file>