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oebe.rombout/Downloads/"/>
    </mc:Choice>
  </mc:AlternateContent>
  <xr:revisionPtr revIDLastSave="0" documentId="13_ncr:1_{53E9D7F4-C37F-6145-9F52-B4D248AA7ADB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New York" sheetId="18" r:id="rId1"/>
    <sheet name="README" sheetId="19" r:id="rId2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6" i="18" l="1"/>
  <c r="N6" i="18"/>
  <c r="R6" i="18" s="1"/>
  <c r="A31" i="18"/>
  <c r="A30" i="18" l="1"/>
  <c r="V10" i="18" l="1"/>
  <c r="E21" i="18"/>
  <c r="L21" i="18"/>
  <c r="N29" i="18"/>
  <c r="R29" i="18" s="1"/>
  <c r="O29" i="18"/>
  <c r="Q29" i="18"/>
  <c r="A29" i="18"/>
  <c r="P11" i="18"/>
  <c r="N11" i="18"/>
  <c r="R11" i="18" s="1"/>
  <c r="A1" i="18" l="1"/>
  <c r="Q24" i="18" l="1"/>
  <c r="O24" i="18"/>
  <c r="N24" i="18"/>
  <c r="R24" i="18" l="1"/>
  <c r="A24" i="18"/>
  <c r="K45" i="19"/>
  <c r="K43" i="19"/>
  <c r="K44" i="19"/>
  <c r="D43" i="19"/>
  <c r="D45" i="19" s="1"/>
  <c r="K38" i="19"/>
  <c r="K40" i="19"/>
  <c r="O23" i="18" l="1"/>
  <c r="P12" i="18"/>
  <c r="C21" i="18"/>
  <c r="D21" i="18"/>
  <c r="F21" i="18"/>
  <c r="G21" i="18"/>
  <c r="H21" i="18"/>
  <c r="I21" i="18"/>
  <c r="J21" i="18"/>
  <c r="K21" i="18"/>
  <c r="B21" i="18"/>
  <c r="N23" i="18"/>
  <c r="N25" i="18"/>
  <c r="N26" i="18"/>
  <c r="N27" i="18"/>
  <c r="N28" i="18"/>
  <c r="N30" i="18"/>
  <c r="N31" i="18"/>
  <c r="N32" i="18"/>
  <c r="N33" i="18"/>
  <c r="N14" i="18"/>
  <c r="N15" i="18"/>
  <c r="N7" i="18"/>
  <c r="N8" i="18"/>
  <c r="N9" i="18"/>
  <c r="N10" i="18"/>
  <c r="N12" i="18"/>
  <c r="N13" i="18"/>
  <c r="N5" i="18"/>
  <c r="V40" i="18" l="1"/>
  <c r="Q25" i="18" l="1"/>
  <c r="Q26" i="18"/>
  <c r="Q27" i="18"/>
  <c r="Q28" i="18"/>
  <c r="Q30" i="18"/>
  <c r="Q31" i="18"/>
  <c r="Q32" i="18"/>
  <c r="Q33" i="18"/>
  <c r="Q23" i="18"/>
  <c r="O25" i="18"/>
  <c r="O26" i="18"/>
  <c r="O27" i="18"/>
  <c r="O28" i="18"/>
  <c r="O30" i="18"/>
  <c r="O31" i="18"/>
  <c r="O32" i="18"/>
  <c r="O33" i="18"/>
  <c r="A33" i="18"/>
  <c r="A28" i="18"/>
  <c r="A32" i="18"/>
  <c r="R12" i="18"/>
  <c r="A26" i="18" l="1"/>
  <c r="A25" i="18" l="1"/>
  <c r="A27" i="18"/>
  <c r="A23" i="18"/>
  <c r="L41" i="18" l="1"/>
  <c r="N34" i="18"/>
  <c r="R34" i="18" s="1"/>
  <c r="R33" i="18"/>
  <c r="R32" i="18"/>
  <c r="R31" i="18"/>
  <c r="R30" i="18"/>
  <c r="R28" i="18"/>
  <c r="R27" i="18"/>
  <c r="R26" i="18"/>
  <c r="R25" i="18"/>
  <c r="R23" i="18"/>
  <c r="Q22" i="18"/>
  <c r="N22" i="18"/>
  <c r="R22" i="18" s="1"/>
  <c r="N16" i="18"/>
  <c r="R16" i="18" s="1"/>
  <c r="R15" i="18"/>
  <c r="P15" i="18"/>
  <c r="R14" i="18"/>
  <c r="P13" i="18"/>
  <c r="R13" i="18"/>
  <c r="P10" i="18"/>
  <c r="R10" i="18"/>
  <c r="P9" i="18"/>
  <c r="R9" i="18"/>
  <c r="P8" i="18"/>
  <c r="R8" i="18"/>
  <c r="AA13" i="18"/>
  <c r="P7" i="18"/>
  <c r="R7" i="18"/>
  <c r="P5" i="18"/>
  <c r="R5" i="18"/>
  <c r="N4" i="18"/>
  <c r="R4" i="18" s="1"/>
  <c r="Z17" i="18" l="1"/>
  <c r="Z14" i="18"/>
  <c r="Z15" i="18" s="1"/>
  <c r="Z18" i="18"/>
  <c r="C41" i="18"/>
  <c r="R35" i="18"/>
  <c r="R17" i="18"/>
  <c r="V27" i="18" l="1"/>
  <c r="X26" i="18"/>
  <c r="V37" i="18" l="1"/>
  <c r="L45" i="18"/>
  <c r="C45" i="18" s="1"/>
  <c r="L43" i="18"/>
  <c r="C43" i="18" s="1"/>
  <c r="C42" i="18"/>
  <c r="V42" i="18"/>
  <c r="D38" i="19" l="1"/>
  <c r="D41" i="19" s="1"/>
  <c r="G46" i="19" s="1"/>
  <c r="G47" i="19" s="1"/>
</calcChain>
</file>

<file path=xl/sharedStrings.xml><?xml version="1.0" encoding="utf-8"?>
<sst xmlns="http://schemas.openxmlformats.org/spreadsheetml/2006/main" count="126" uniqueCount="103">
  <si>
    <t>Sprint with full team</t>
  </si>
  <si>
    <t>full capacity</t>
  </si>
  <si>
    <t>mon</t>
  </si>
  <si>
    <t>tue</t>
  </si>
  <si>
    <t>wed</t>
  </si>
  <si>
    <t>thu</t>
  </si>
  <si>
    <t>fri</t>
  </si>
  <si>
    <t>fte</t>
  </si>
  <si>
    <t>mandays</t>
  </si>
  <si>
    <t>-</t>
  </si>
  <si>
    <t>Utilization</t>
  </si>
  <si>
    <t>Avg velo</t>
  </si>
  <si>
    <t>SP per manday</t>
  </si>
  <si>
    <t>Oebe</t>
  </si>
  <si>
    <t>fte devs/test + part of rest</t>
  </si>
  <si>
    <t>Upcoming sprint (to edit)</t>
  </si>
  <si>
    <t>Total SP of stories left from previous sprint</t>
  </si>
  <si>
    <t xml:space="preserve"> SP</t>
  </si>
  <si>
    <t>Only based on the availability (holidays)</t>
  </si>
  <si>
    <t>This sheet can be use to create an advice to the development team about the calculated velocity, adapted to the availability of the team (only taking holidays into account)</t>
  </si>
  <si>
    <t>It is up to the team to take this advice and form their own opinion about it.</t>
  </si>
  <si>
    <t>Each sprint</t>
  </si>
  <si>
    <t>select all the 1's and copy those into the block underneath</t>
  </si>
  <si>
    <t>remove 1's in the lower block if people have days off</t>
  </si>
  <si>
    <t>share screenshot of both tables with team + tekst about velocity</t>
  </si>
  <si>
    <t>Sometimes</t>
  </si>
  <si>
    <t>check if the upper table is still valid</t>
  </si>
  <si>
    <t>Do the regular days off still apply?</t>
  </si>
  <si>
    <t>Does the "% for team" still apply?</t>
  </si>
  <si>
    <t>Does the "effect on dev" still applies?</t>
  </si>
  <si>
    <t>check: copy 1s from upper part to lower part an check if velocityis same as above</t>
  </si>
  <si>
    <t>sprint:</t>
  </si>
  <si>
    <t>working days per sprint</t>
  </si>
  <si>
    <t>Settings</t>
  </si>
  <si>
    <t>team</t>
  </si>
  <si>
    <t>General calculations</t>
  </si>
  <si>
    <t>full team velocity</t>
  </si>
  <si>
    <t xml:space="preserve"> (noted in JIRA sprint goal)</t>
  </si>
  <si>
    <t>mon-mon</t>
  </si>
  <si>
    <t>% for Team</t>
  </si>
  <si>
    <t>Fill in 100% if somebody spend all his workime on your team. 50% if he's split between two teams</t>
  </si>
  <si>
    <t>Calculates the amount of workdays that somebody works for your team,</t>
  </si>
  <si>
    <t>Fill in percentage that his presence is affecting velocity: for Scrum Master and Designers this is usually lower In the short term</t>
  </si>
  <si>
    <t>Calculated  mytical number that show the effect on the teams velocity of this person</t>
  </si>
  <si>
    <t>Calculates how much of a Full Time Equivalent (FTE) a team member works for your company</t>
  </si>
  <si>
    <t>This is why they fill in 1's for every day, but their dedication is reduced via the '% for team' percentage.</t>
  </si>
  <si>
    <t>Most people that work for multiple teams/departments are flexible in their days so if one would take 3 days off, they will divide the 2 remaining days over the two teams, no matter the exact days of the week.</t>
  </si>
  <si>
    <t>mandays for team</t>
  </si>
  <si>
    <t>effect on velocity</t>
  </si>
  <si>
    <t>velocity index</t>
  </si>
  <si>
    <t>Top right part</t>
  </si>
  <si>
    <t>Team name</t>
  </si>
  <si>
    <t>Your team name</t>
  </si>
  <si>
    <t>10 for 2 weeks sprint, 15 for 3 week sprint</t>
  </si>
  <si>
    <t>Velocity you expect when your full team is available that sprint (very important but hard to figure out sometimes.. Just inspect &amp; adapt)</t>
  </si>
  <si>
    <t>Utilization %</t>
  </si>
  <si>
    <t>yearly holidays</t>
  </si>
  <si>
    <t>(without bank holidays)</t>
  </si>
  <si>
    <t>bank holidays</t>
  </si>
  <si>
    <t>Illness days</t>
  </si>
  <si>
    <t>x</t>
  </si>
  <si>
    <t>(see right)</t>
  </si>
  <si>
    <t>workdays not working</t>
  </si>
  <si>
    <t>potential workdays</t>
  </si>
  <si>
    <t>National holidays per year</t>
  </si>
  <si>
    <t>Optional: only generates a Average velocity figure used for planning projects. Usually 87% for companies with 25 holidays per year.</t>
  </si>
  <si>
    <t>King’s Day (27 April) </t>
  </si>
  <si>
    <t>weeks/yr</t>
  </si>
  <si>
    <t>workdays/wk</t>
  </si>
  <si>
    <t>workdays working</t>
  </si>
  <si>
    <t>national holidays on average per year</t>
  </si>
  <si>
    <t>Ascension day (May)</t>
  </si>
  <si>
    <t>Easter Monday (March/April)</t>
  </si>
  <si>
    <t>Pentecost Monday (May/June)</t>
  </si>
  <si>
    <t>New year’s Day (1 Jan)</t>
  </si>
  <si>
    <t>1st day of Christmas (25 December)</t>
  </si>
  <si>
    <t>2nd day of Christmas (26 December)</t>
  </si>
  <si>
    <t>cells</t>
  </si>
  <si>
    <t xml:space="preserve">Change this to your sprint days: </t>
  </si>
  <si>
    <t>add a 1 for every day that somebody works for your company, even if he/she works partially on another team/department. Leave cell empty if somebody has a parttimeday off.</t>
  </si>
  <si>
    <t>mandays for this team per sprint</t>
  </si>
  <si>
    <t>SPs already developed of the above</t>
  </si>
  <si>
    <t>dev mandays</t>
  </si>
  <si>
    <t>SP per devmanday</t>
  </si>
  <si>
    <t>How to setup your sheet</t>
  </si>
  <si>
    <t>Calculated sprint velocity</t>
  </si>
  <si>
    <t>add a row in both tables and add 1's</t>
  </si>
  <si>
    <t>Team members leaving team</t>
  </si>
  <si>
    <t>in the lower table replace 1's by 2's at somebody who is similar to the new team member (same Effect on dev, same % for team)</t>
  </si>
  <si>
    <t>in the lower table remove all 1's at the somebody wholeaving the team</t>
  </si>
  <si>
    <t>read calculated velocity and fill in this new (lower) velocity in the Full team velocity setting</t>
  </si>
  <si>
    <t>read calculated velocity and fill in this new (higher) velocity in the Full team velocity setting</t>
  </si>
  <si>
    <t>remove the leavers name from both tables and remove the corressponding 1's</t>
  </si>
  <si>
    <t>Add team member to team</t>
  </si>
  <si>
    <t>select all the 1's and copy those into the block underneath to reset the sheet</t>
  </si>
  <si>
    <t>World</t>
  </si>
  <si>
    <t>Joanne</t>
  </si>
  <si>
    <t>Ad</t>
  </si>
  <si>
    <t>John</t>
  </si>
  <si>
    <t>Doe</t>
  </si>
  <si>
    <t>Jane</t>
  </si>
  <si>
    <t>Mario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</si>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</sst>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0.0"/>
    <numFmt numFmtId="165" formatCode="0\ &quot;SP&quot;"/>
    <numFmt numFmtId="166" formatCode="_ * #,##0.0_ ;_ * \-#,##0.0_ ;_ * &quot;-&quot;??_ ;_ @_ "/>
    <numFmt numFmtId="167" formatCode="_ * #,##0.0_ ;_ * \-#,##0.0_ ;_ * &quot;-&quot;?_ ;_ @_ 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20"/>
      <color theme="1"/>
      <name val="Helvetica Neue Light"/>
    </font>
    <font>
      <sz val="11"/>
      <color theme="1"/>
      <name val="Helvetica Neue Light"/>
    </font>
    <font>
      <b/>
      <sz val="11"/>
      <color theme="1"/>
      <name val="Helvetica Neue Light"/>
    </font>
    <font>
      <sz val="20"/>
      <color theme="1"/>
      <name val="Bodoni 72 Bold"/>
    </font>
    <font>
      <sz val="11"/>
      <color theme="0" tint="-0.499984740745262"/>
      <name val="Helvetica Neue Light"/>
    </font>
    <font>
      <b/>
      <sz val="14"/>
      <color theme="1"/>
      <name val="Helvetica Neue Light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7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9" fontId="5" fillId="0" borderId="0" xfId="1" applyFont="1"/>
    <xf numFmtId="2" fontId="5" fillId="0" borderId="0" xfId="0" applyNumberFormat="1" applyFont="1"/>
    <xf numFmtId="0" fontId="6" fillId="0" borderId="0" xfId="0" applyFont="1"/>
    <xf numFmtId="164" fontId="5" fillId="0" borderId="0" xfId="0" applyNumberFormat="1" applyFont="1"/>
    <xf numFmtId="0" fontId="5" fillId="0" borderId="0" xfId="0" quotePrefix="1" applyFont="1"/>
    <xf numFmtId="0" fontId="7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0" xfId="0" applyFont="1" applyBorder="1"/>
    <xf numFmtId="0" fontId="5" fillId="0" borderId="5" xfId="0" applyFont="1" applyBorder="1"/>
    <xf numFmtId="0" fontId="5" fillId="0" borderId="4" xfId="0" applyFont="1" applyBorder="1"/>
    <xf numFmtId="0" fontId="5" fillId="0" borderId="0" xfId="0" applyFont="1" applyBorder="1" applyAlignment="1">
      <alignment horizontal="center"/>
    </xf>
    <xf numFmtId="0" fontId="8" fillId="0" borderId="0" xfId="0" applyFont="1" applyBorder="1"/>
    <xf numFmtId="164" fontId="8" fillId="0" borderId="0" xfId="0" applyNumberFormat="1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9" fontId="5" fillId="0" borderId="0" xfId="0" applyNumberFormat="1" applyFont="1"/>
    <xf numFmtId="0" fontId="6" fillId="2" borderId="0" xfId="0" applyFont="1" applyFill="1" applyAlignment="1">
      <alignment horizontal="right" wrapText="1"/>
    </xf>
    <xf numFmtId="0" fontId="0" fillId="0" borderId="0" xfId="0" applyFill="1"/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6" fillId="3" borderId="0" xfId="0" applyFont="1" applyFill="1"/>
    <xf numFmtId="0" fontId="6" fillId="3" borderId="0" xfId="0" applyFont="1" applyFill="1" applyAlignment="1">
      <alignment horizontal="center"/>
    </xf>
    <xf numFmtId="166" fontId="5" fillId="0" borderId="0" xfId="26" applyNumberFormat="1" applyFont="1"/>
    <xf numFmtId="166" fontId="5" fillId="0" borderId="0" xfId="0" applyNumberFormat="1" applyFont="1"/>
    <xf numFmtId="9" fontId="6" fillId="2" borderId="0" xfId="1" applyFont="1" applyFill="1" applyAlignment="1">
      <alignment horizontal="right" vertical="top" wrapText="1"/>
    </xf>
    <xf numFmtId="0" fontId="9" fillId="2" borderId="0" xfId="0" applyFont="1" applyFill="1"/>
    <xf numFmtId="0" fontId="9" fillId="3" borderId="0" xfId="0" applyFont="1" applyFill="1"/>
    <xf numFmtId="0" fontId="10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Protection="1">
      <protection locked="0"/>
    </xf>
    <xf numFmtId="165" fontId="5" fillId="0" borderId="0" xfId="0" applyNumberFormat="1" applyFont="1"/>
    <xf numFmtId="0" fontId="11" fillId="0" borderId="0" xfId="0" applyFont="1"/>
    <xf numFmtId="0" fontId="0" fillId="0" borderId="0" xfId="0" applyFont="1" applyFill="1" applyAlignment="1">
      <alignment horizontal="left"/>
    </xf>
    <xf numFmtId="9" fontId="6" fillId="0" borderId="0" xfId="1" applyFont="1" applyFill="1" applyAlignment="1">
      <alignment horizontal="right" vertical="top" wrapText="1"/>
    </xf>
    <xf numFmtId="0" fontId="6" fillId="0" borderId="0" xfId="0" applyFont="1" applyFill="1" applyAlignment="1">
      <alignment horizontal="right" wrapText="1"/>
    </xf>
    <xf numFmtId="0" fontId="0" fillId="0" borderId="7" xfId="0" applyBorder="1"/>
    <xf numFmtId="0" fontId="0" fillId="0" borderId="7" xfId="0" applyFill="1" applyBorder="1"/>
    <xf numFmtId="9" fontId="0" fillId="0" borderId="0" xfId="1" applyFont="1"/>
    <xf numFmtId="12" fontId="0" fillId="0" borderId="0" xfId="0" applyNumberForma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164" fontId="0" fillId="0" borderId="0" xfId="0" applyNumberFormat="1" applyFill="1"/>
    <xf numFmtId="0" fontId="0" fillId="0" borderId="7" xfId="0" applyFont="1" applyBorder="1"/>
    <xf numFmtId="0" fontId="0" fillId="0" borderId="0" xfId="0" applyBorder="1"/>
    <xf numFmtId="12" fontId="0" fillId="0" borderId="0" xfId="0" applyNumberFormat="1" applyFont="1" applyBorder="1"/>
    <xf numFmtId="0" fontId="12" fillId="0" borderId="0" xfId="0" applyFont="1" applyBorder="1"/>
    <xf numFmtId="0" fontId="0" fillId="0" borderId="0" xfId="0" applyNumberFormat="1" applyBorder="1"/>
    <xf numFmtId="12" fontId="0" fillId="0" borderId="7" xfId="0" applyNumberFormat="1" applyBorder="1"/>
    <xf numFmtId="167" fontId="5" fillId="0" borderId="0" xfId="0" applyNumberFormat="1" applyFo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165" fontId="5" fillId="0" borderId="0" xfId="0" applyNumberFormat="1" applyFont="1" applyAlignment="1">
      <alignment horizontal="left" wrapText="1"/>
    </xf>
    <xf numFmtId="0" fontId="0" fillId="0" borderId="0" xfId="0" applyFont="1" applyFill="1" applyAlignment="1">
      <alignment horizontal="left" wrapText="1"/>
    </xf>
    <xf numFmtId="9" fontId="0" fillId="0" borderId="0" xfId="1" applyFont="1" applyFill="1" applyAlignment="1">
      <alignment horizontal="left" vertical="top" wrapText="1"/>
    </xf>
  </cellXfs>
  <cellStyles count="27">
    <cellStyle name="Comma" xfId="26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2" builtinId="8" hidden="1"/>
    <cellStyle name="Hyperlink" xfId="24" builtinId="8" hidden="1"/>
    <cellStyle name="Hyperlink" xfId="14" builtinId="8" hidden="1"/>
    <cellStyle name="Hyperlink" xfId="4" builtinId="8" hidden="1"/>
    <cellStyle name="Hyperlink" xfId="12" builtinId="8" hidden="1"/>
    <cellStyle name="Hyperlink" xfId="20" builtinId="8" hidden="1"/>
    <cellStyle name="Hyperlink" xfId="16" builtinId="8" hidden="1"/>
    <cellStyle name="Hyperlink" xfId="6" builtinId="8" hidden="1"/>
    <cellStyle name="Hyperlink" xfId="2" builtinId="8" hidden="1"/>
    <cellStyle name="Hyperlink" xfId="10" builtinId="8" hidden="1"/>
    <cellStyle name="Hyperlink" xfId="18" builtinId="8" hidden="1"/>
    <cellStyle name="Hyperlink" xfId="8" builtinId="8" hidden="1"/>
    <cellStyle name="Normal" xfId="0" builtinId="0"/>
    <cellStyle name="Per cent" xfId="1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00FF00"/>
      <color rgb="FFFF5A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015F-2B3A-B848-BBC1-D00FA3D217ED}">
  <dimension ref="A1:AA77"/>
  <sheetViews>
    <sheetView tabSelected="1" zoomScale="90" zoomScaleNormal="90" workbookViewId="0">
      <pane xSplit="1" topLeftCell="B1" activePane="topRight" state="frozen"/>
      <selection pane="topRight" activeCell="E28" sqref="E28"/>
    </sheetView>
  </sheetViews>
  <sheetFormatPr baseColWidth="10" defaultColWidth="8.83203125" defaultRowHeight="14"/>
  <cols>
    <col min="1" max="1" width="21.6640625" style="2" customWidth="1"/>
    <col min="2" max="17" width="8.83203125" style="2"/>
    <col min="18" max="18" width="8.1640625" style="2" customWidth="1"/>
    <col min="19" max="19" width="10.6640625" style="2" bestFit="1" customWidth="1"/>
    <col min="20" max="20" width="3.5" style="2" customWidth="1"/>
    <col min="21" max="21" width="4.33203125" style="2" customWidth="1"/>
    <col min="22" max="22" width="23.1640625" style="2" customWidth="1"/>
    <col min="23" max="23" width="12.33203125" style="2" customWidth="1"/>
    <col min="24" max="24" width="8.83203125" style="2"/>
    <col min="25" max="25" width="3.83203125" style="2" customWidth="1"/>
    <col min="26" max="16384" width="8.83203125" style="2"/>
  </cols>
  <sheetData>
    <row r="1" spans="1:27" ht="64" customHeight="1">
      <c r="A1" s="12" t="str">
        <f>_xlfn.CONCAT("Team ",$Z$6)</f>
        <v>Team World</v>
      </c>
      <c r="B1" s="1"/>
    </row>
    <row r="2" spans="1:27" s="3" customFormat="1" ht="18">
      <c r="A2" s="36" t="s">
        <v>0</v>
      </c>
    </row>
    <row r="3" spans="1:27" s="3" customFormat="1" ht="29.25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4" t="s">
        <v>2</v>
      </c>
      <c r="M3" s="4"/>
      <c r="N3" s="5" t="s">
        <v>7</v>
      </c>
      <c r="O3" s="27" t="s">
        <v>39</v>
      </c>
      <c r="P3" s="27" t="s">
        <v>47</v>
      </c>
      <c r="Q3" s="35" t="s">
        <v>48</v>
      </c>
      <c r="R3" s="27" t="s">
        <v>49</v>
      </c>
    </row>
    <row r="4" spans="1:27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2" t="str">
        <f>IF(SUM(B4:L4)=0,"",SUM(B4:L4)/10)</f>
        <v/>
      </c>
      <c r="Q4" s="7"/>
      <c r="R4" s="8" t="str">
        <f>IF(N4="","",N4*Q4)</f>
        <v/>
      </c>
    </row>
    <row r="5" spans="1:27">
      <c r="A5" s="2" t="s">
        <v>102</v>
      </c>
      <c r="B5" s="6"/>
      <c r="C5" s="6">
        <v>1</v>
      </c>
      <c r="D5" s="6" t="s">
        <v>9</v>
      </c>
      <c r="E5" s="6">
        <v>1</v>
      </c>
      <c r="F5" s="6">
        <v>1</v>
      </c>
      <c r="G5" s="6">
        <v>1</v>
      </c>
      <c r="H5" s="6">
        <v>1</v>
      </c>
      <c r="I5" s="6" t="s">
        <v>9</v>
      </c>
      <c r="J5" s="6">
        <v>1</v>
      </c>
      <c r="K5" s="6">
        <v>1</v>
      </c>
      <c r="L5" s="6">
        <v>1</v>
      </c>
      <c r="M5" s="6"/>
      <c r="N5" s="2">
        <f t="shared" ref="N5:N15" si="0">IF(SUM(B5:L5)=0,"",SUM(B5:L5)/$Z$7)</f>
        <v>0.8</v>
      </c>
      <c r="O5" s="7">
        <v>1</v>
      </c>
      <c r="P5" s="33">
        <f>SUM(C5:L5)*O5</f>
        <v>8</v>
      </c>
      <c r="Q5" s="7">
        <v>0.5</v>
      </c>
      <c r="R5" s="8">
        <f>IF(N5="","",N5*O5*Q5)</f>
        <v>0.4</v>
      </c>
      <c r="Z5" s="9" t="s">
        <v>33</v>
      </c>
    </row>
    <row r="6" spans="1:27">
      <c r="A6" s="2" t="s">
        <v>96</v>
      </c>
      <c r="B6" s="6"/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/>
      <c r="N6" s="2">
        <f t="shared" ref="N6" si="1">IF(SUM(B6:L6)=0,"",SUM(B6:L6)/$Z$7)</f>
        <v>1</v>
      </c>
      <c r="O6" s="7">
        <v>1</v>
      </c>
      <c r="P6" s="33">
        <f t="shared" ref="P6" si="2">SUM(C6:L6)*O6</f>
        <v>10</v>
      </c>
      <c r="Q6" s="7">
        <v>1</v>
      </c>
      <c r="R6" s="8">
        <f t="shared" ref="R6" si="3">IF(N6="","",N6*O6*Q6)</f>
        <v>1</v>
      </c>
      <c r="Z6" s="40" t="s">
        <v>95</v>
      </c>
      <c r="AA6" s="2" t="s">
        <v>34</v>
      </c>
    </row>
    <row r="7" spans="1:27">
      <c r="A7" s="2" t="s">
        <v>97</v>
      </c>
      <c r="B7" s="6"/>
      <c r="C7" s="6">
        <v>1</v>
      </c>
      <c r="D7" s="6">
        <v>1</v>
      </c>
      <c r="E7" s="6">
        <v>1</v>
      </c>
      <c r="F7" s="6">
        <v>0.5</v>
      </c>
      <c r="G7" s="6">
        <v>1</v>
      </c>
      <c r="H7" s="6">
        <v>1</v>
      </c>
      <c r="I7" s="6">
        <v>1</v>
      </c>
      <c r="J7" s="6">
        <v>1</v>
      </c>
      <c r="K7" s="6">
        <v>0.5</v>
      </c>
      <c r="L7" s="6">
        <v>1</v>
      </c>
      <c r="M7" s="6"/>
      <c r="N7" s="2">
        <f t="shared" si="0"/>
        <v>0.9</v>
      </c>
      <c r="O7" s="7">
        <v>1</v>
      </c>
      <c r="P7" s="33">
        <f t="shared" ref="P7:P15" si="4">SUM(C7:L7)*O7</f>
        <v>9</v>
      </c>
      <c r="Q7" s="7">
        <v>1</v>
      </c>
      <c r="R7" s="8">
        <f t="shared" ref="R7:R15" si="5">IF(N7="","",N7*O7*Q7)</f>
        <v>0.9</v>
      </c>
      <c r="Z7" s="2">
        <v>10</v>
      </c>
      <c r="AA7" s="2" t="s">
        <v>32</v>
      </c>
    </row>
    <row r="8" spans="1:27">
      <c r="A8" s="2" t="s">
        <v>98</v>
      </c>
      <c r="B8" s="6"/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/>
      <c r="N8" s="2">
        <f t="shared" si="0"/>
        <v>1</v>
      </c>
      <c r="O8" s="7">
        <v>1</v>
      </c>
      <c r="P8" s="33">
        <f t="shared" si="4"/>
        <v>10</v>
      </c>
      <c r="Q8" s="7">
        <v>1</v>
      </c>
      <c r="R8" s="8">
        <f t="shared" si="5"/>
        <v>1</v>
      </c>
      <c r="Z8" s="41">
        <v>55</v>
      </c>
      <c r="AA8" s="2" t="s">
        <v>36</v>
      </c>
    </row>
    <row r="9" spans="1:27">
      <c r="A9" s="2" t="s">
        <v>99</v>
      </c>
      <c r="B9" s="6"/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/>
      <c r="N9" s="2">
        <f t="shared" si="0"/>
        <v>1</v>
      </c>
      <c r="O9" s="7">
        <v>1</v>
      </c>
      <c r="P9" s="33">
        <f t="shared" si="4"/>
        <v>10</v>
      </c>
      <c r="Q9" s="7">
        <v>1</v>
      </c>
      <c r="R9" s="8">
        <f t="shared" si="5"/>
        <v>1</v>
      </c>
      <c r="V9" s="9" t="s">
        <v>36</v>
      </c>
    </row>
    <row r="10" spans="1:27">
      <c r="A10" s="2" t="s">
        <v>100</v>
      </c>
      <c r="B10" s="6"/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/>
      <c r="N10" s="2">
        <f t="shared" si="0"/>
        <v>1</v>
      </c>
      <c r="O10" s="7">
        <v>1</v>
      </c>
      <c r="P10" s="33">
        <f t="shared" si="4"/>
        <v>10</v>
      </c>
      <c r="Q10" s="7">
        <v>1</v>
      </c>
      <c r="R10" s="8">
        <f t="shared" si="5"/>
        <v>1</v>
      </c>
      <c r="V10" s="41">
        <f>Z8</f>
        <v>55</v>
      </c>
      <c r="Z10" s="9" t="s">
        <v>35</v>
      </c>
    </row>
    <row r="11" spans="1:27">
      <c r="A11" s="2" t="s">
        <v>101</v>
      </c>
      <c r="B11" s="6"/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/>
      <c r="N11" s="2">
        <f t="shared" ref="N11" si="6">IF(SUM(B11:L11)=0,"",SUM(B11:L11)/$Z$7)</f>
        <v>1</v>
      </c>
      <c r="O11" s="7">
        <v>0.2</v>
      </c>
      <c r="P11" s="33">
        <f t="shared" ref="P11" si="7">SUM(C11:L11)*O11</f>
        <v>2</v>
      </c>
      <c r="Q11" s="7">
        <v>1</v>
      </c>
      <c r="R11" s="8">
        <f t="shared" ref="R11" si="8">IF(N11="","",N11*O11*Q11)</f>
        <v>0.2</v>
      </c>
      <c r="V11" s="41"/>
      <c r="Z11" s="9"/>
    </row>
    <row r="12" spans="1:27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2" t="str">
        <f t="shared" si="0"/>
        <v/>
      </c>
      <c r="O12" s="7">
        <v>0.5</v>
      </c>
      <c r="P12" s="33">
        <f t="shared" si="4"/>
        <v>0</v>
      </c>
      <c r="Q12" s="7">
        <v>1</v>
      </c>
      <c r="R12" s="8" t="str">
        <f t="shared" ref="R12" si="9">IF(N12="","",N12*O12*Q12)</f>
        <v/>
      </c>
      <c r="Z12" s="2" t="s">
        <v>10</v>
      </c>
      <c r="AA12" s="26">
        <v>0.85</v>
      </c>
    </row>
    <row r="13" spans="1:27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2" t="str">
        <f t="shared" si="0"/>
        <v/>
      </c>
      <c r="O13" s="7">
        <v>1</v>
      </c>
      <c r="P13" s="33">
        <f t="shared" si="4"/>
        <v>0</v>
      </c>
      <c r="Q13" s="7">
        <v>1</v>
      </c>
      <c r="R13" s="8" t="str">
        <f t="shared" si="5"/>
        <v/>
      </c>
      <c r="W13" s="11"/>
      <c r="Z13" s="2" t="s">
        <v>11</v>
      </c>
      <c r="AA13" s="2">
        <f>V10*AA12</f>
        <v>46.75</v>
      </c>
    </row>
    <row r="14" spans="1:27">
      <c r="N14" s="2" t="str">
        <f t="shared" si="0"/>
        <v/>
      </c>
      <c r="O14" s="7"/>
      <c r="P14" s="33"/>
      <c r="R14" s="8" t="str">
        <f t="shared" si="5"/>
        <v/>
      </c>
      <c r="V14" s="10"/>
      <c r="Z14" s="34">
        <f>SUM((P5:P17))</f>
        <v>62.6</v>
      </c>
      <c r="AA14" s="2" t="s">
        <v>80</v>
      </c>
    </row>
    <row r="15" spans="1:27">
      <c r="A15" s="2" t="s">
        <v>13</v>
      </c>
      <c r="B15" s="6"/>
      <c r="C15" s="6">
        <v>1</v>
      </c>
      <c r="D15" s="6">
        <v>1</v>
      </c>
      <c r="E15" s="6">
        <v>1</v>
      </c>
      <c r="F15" s="6" t="s">
        <v>9</v>
      </c>
      <c r="G15" s="6">
        <v>1</v>
      </c>
      <c r="H15" s="6">
        <v>1</v>
      </c>
      <c r="I15" s="6">
        <v>1</v>
      </c>
      <c r="J15" s="6">
        <v>1</v>
      </c>
      <c r="K15" s="6" t="s">
        <v>9</v>
      </c>
      <c r="L15" s="6">
        <v>1</v>
      </c>
      <c r="M15" s="6"/>
      <c r="N15" s="2">
        <f t="shared" si="0"/>
        <v>0.8</v>
      </c>
      <c r="O15" s="7">
        <v>0.45</v>
      </c>
      <c r="P15" s="33">
        <f t="shared" si="4"/>
        <v>3.6</v>
      </c>
      <c r="Q15" s="7">
        <v>0.5</v>
      </c>
      <c r="R15" s="8">
        <f t="shared" si="5"/>
        <v>0.18000000000000002</v>
      </c>
      <c r="Z15" s="8">
        <f>V10/Z14</f>
        <v>0.87859424920127793</v>
      </c>
      <c r="AA15" s="2" t="s">
        <v>12</v>
      </c>
    </row>
    <row r="16" spans="1:27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2" t="str">
        <f t="shared" ref="N16" si="10">IF(SUM(C16:L16)=0,"",SUM(C16:L16)/10)</f>
        <v/>
      </c>
      <c r="Q16" s="7"/>
      <c r="R16" s="8" t="str">
        <f>IF(N16="","",N16*Q16)</f>
        <v/>
      </c>
    </row>
    <row r="17" spans="1:27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Q17" s="7"/>
      <c r="R17" s="8">
        <f>SUM(R4:R16)</f>
        <v>5.68</v>
      </c>
      <c r="S17" s="2" t="s">
        <v>14</v>
      </c>
      <c r="Z17" s="34">
        <f>SUM(P7:P13)</f>
        <v>41</v>
      </c>
      <c r="AA17" s="2" t="s">
        <v>82</v>
      </c>
    </row>
    <row r="18" spans="1:27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Q18" s="7"/>
      <c r="R18" s="8"/>
      <c r="Z18" s="60">
        <f>V10/Z17</f>
        <v>1.3414634146341464</v>
      </c>
      <c r="AA18" s="2" t="s">
        <v>83</v>
      </c>
    </row>
    <row r="19" spans="1:27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Q19" s="7"/>
      <c r="S19" s="8"/>
    </row>
    <row r="20" spans="1:27" s="29" customFormat="1" ht="18">
      <c r="A20" s="37" t="s">
        <v>15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1:27" s="31" customFormat="1">
      <c r="B21" s="32" t="str">
        <f>B3</f>
        <v>mon</v>
      </c>
      <c r="C21" s="32" t="str">
        <f t="shared" ref="C21:L21" si="11">C3</f>
        <v>tue</v>
      </c>
      <c r="D21" s="32" t="str">
        <f t="shared" si="11"/>
        <v>wed</v>
      </c>
      <c r="E21" s="32" t="str">
        <f t="shared" si="11"/>
        <v>thu</v>
      </c>
      <c r="F21" s="32" t="str">
        <f t="shared" si="11"/>
        <v>fri</v>
      </c>
      <c r="G21" s="32" t="str">
        <f t="shared" si="11"/>
        <v>mon</v>
      </c>
      <c r="H21" s="32" t="str">
        <f t="shared" si="11"/>
        <v>tue</v>
      </c>
      <c r="I21" s="32" t="str">
        <f t="shared" si="11"/>
        <v>wed</v>
      </c>
      <c r="J21" s="32" t="str">
        <f t="shared" si="11"/>
        <v>thu</v>
      </c>
      <c r="K21" s="32" t="str">
        <f t="shared" si="11"/>
        <v>fri</v>
      </c>
      <c r="L21" s="32" t="str">
        <f t="shared" si="11"/>
        <v>mon</v>
      </c>
      <c r="M21" s="32"/>
    </row>
    <row r="22" spans="1:27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2" t="str">
        <f>IF(SUM(B22:L22)=0,"",SUM(B22:L22)/10)</f>
        <v/>
      </c>
      <c r="Q22" s="7" t="str">
        <f>IF(Q4="","",Q4)</f>
        <v/>
      </c>
      <c r="R22" s="8" t="str">
        <f t="shared" ref="R22" si="12">IF(N22="","",N22*Q22)</f>
        <v/>
      </c>
    </row>
    <row r="23" spans="1:27">
      <c r="A23" s="2" t="str">
        <f t="shared" ref="A23:A33" si="13">IF(A5="","",A5)</f>
        <v>Martin</v>
      </c>
      <c r="B23" s="6"/>
      <c r="C23" s="6"/>
      <c r="D23" s="6"/>
      <c r="E23" s="6"/>
      <c r="F23" s="6">
        <v>1</v>
      </c>
      <c r="G23" s="6">
        <v>1</v>
      </c>
      <c r="H23" s="6">
        <v>1</v>
      </c>
      <c r="I23" s="6" t="s">
        <v>9</v>
      </c>
      <c r="J23" s="6">
        <v>1</v>
      </c>
      <c r="K23" s="6">
        <v>1</v>
      </c>
      <c r="L23" s="6">
        <v>1</v>
      </c>
      <c r="M23" s="6"/>
      <c r="N23" s="2">
        <f t="shared" ref="N23:N33" si="14">IF(SUM(B23:L23)=0,"",SUM(B23:L23)/$Z$7)</f>
        <v>0.6</v>
      </c>
      <c r="O23" s="7">
        <f t="shared" ref="O23:O33" si="15">O5</f>
        <v>1</v>
      </c>
      <c r="P23" s="7"/>
      <c r="Q23" s="7">
        <f t="shared" ref="Q23:Q33" si="16">Q5</f>
        <v>0.5</v>
      </c>
      <c r="R23" s="8">
        <f>IF(N23="","",N23*O23*Q23)</f>
        <v>0.3</v>
      </c>
    </row>
    <row r="24" spans="1:27">
      <c r="A24" s="2" t="str">
        <f t="shared" si="13"/>
        <v>Joanne</v>
      </c>
      <c r="B24" s="6"/>
      <c r="C24" s="6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6">
        <v>1</v>
      </c>
      <c r="L24" s="6">
        <v>1</v>
      </c>
      <c r="M24" s="6"/>
      <c r="N24" s="2">
        <f t="shared" ref="N24" si="17">IF(SUM(B24:L24)=0,"",SUM(B24:L24)/$Z$7)</f>
        <v>1</v>
      </c>
      <c r="O24" s="7">
        <f t="shared" si="15"/>
        <v>1</v>
      </c>
      <c r="P24" s="7"/>
      <c r="Q24" s="7">
        <f t="shared" si="16"/>
        <v>1</v>
      </c>
      <c r="R24" s="8">
        <f t="shared" ref="R24" si="18">IF(N24="","",N24*O24*Q24)</f>
        <v>1</v>
      </c>
      <c r="AA24" s="26"/>
    </row>
    <row r="25" spans="1:27">
      <c r="A25" s="2" t="str">
        <f t="shared" si="13"/>
        <v>Ad</v>
      </c>
      <c r="B25" s="6"/>
      <c r="C25" s="6">
        <v>1</v>
      </c>
      <c r="D25" s="6">
        <v>1</v>
      </c>
      <c r="E25" s="6">
        <v>1</v>
      </c>
      <c r="F25" s="6">
        <v>0.5</v>
      </c>
      <c r="G25" s="6">
        <v>1</v>
      </c>
      <c r="H25" s="6">
        <v>1</v>
      </c>
      <c r="I25" s="6">
        <v>1</v>
      </c>
      <c r="J25" s="6">
        <v>1</v>
      </c>
      <c r="K25" s="6">
        <v>0.5</v>
      </c>
      <c r="L25" s="6">
        <v>1</v>
      </c>
      <c r="M25" s="6"/>
      <c r="N25" s="2">
        <f t="shared" si="14"/>
        <v>0.9</v>
      </c>
      <c r="O25" s="7">
        <f t="shared" si="15"/>
        <v>1</v>
      </c>
      <c r="P25" s="7"/>
      <c r="Q25" s="7">
        <f t="shared" si="16"/>
        <v>1</v>
      </c>
      <c r="R25" s="8">
        <f t="shared" ref="R25:R33" si="19">IF(N25="","",N25*O25*Q25)</f>
        <v>0.9</v>
      </c>
    </row>
    <row r="26" spans="1:27">
      <c r="A26" s="2" t="str">
        <f t="shared" si="13"/>
        <v>John</v>
      </c>
      <c r="B26" s="6"/>
      <c r="C26" s="6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6">
        <v>1</v>
      </c>
      <c r="L26" s="6">
        <v>1</v>
      </c>
      <c r="M26" s="6"/>
      <c r="N26" s="2">
        <f t="shared" si="14"/>
        <v>1</v>
      </c>
      <c r="O26" s="7">
        <f t="shared" si="15"/>
        <v>1</v>
      </c>
      <c r="P26" s="7"/>
      <c r="Q26" s="7">
        <f t="shared" si="16"/>
        <v>1</v>
      </c>
      <c r="R26" s="8">
        <f t="shared" si="19"/>
        <v>1</v>
      </c>
      <c r="V26" s="9" t="s">
        <v>85</v>
      </c>
      <c r="X26" s="7">
        <f>R35/R17</f>
        <v>0.97887323943661975</v>
      </c>
    </row>
    <row r="27" spans="1:27">
      <c r="A27" s="2" t="str">
        <f t="shared" si="13"/>
        <v>Doe</v>
      </c>
      <c r="B27" s="6"/>
      <c r="C27" s="6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6"/>
      <c r="N27" s="2">
        <f t="shared" si="14"/>
        <v>1</v>
      </c>
      <c r="O27" s="7">
        <f t="shared" si="15"/>
        <v>1</v>
      </c>
      <c r="P27" s="7"/>
      <c r="Q27" s="7">
        <f t="shared" si="16"/>
        <v>1</v>
      </c>
      <c r="R27" s="8">
        <f t="shared" si="19"/>
        <v>1</v>
      </c>
      <c r="V27" s="41">
        <f>V10/R17*R35</f>
        <v>53.838028169014081</v>
      </c>
      <c r="X27" s="7"/>
    </row>
    <row r="28" spans="1:27" ht="15" customHeight="1">
      <c r="A28" s="2" t="str">
        <f t="shared" si="13"/>
        <v>Jane</v>
      </c>
      <c r="B28" s="6"/>
      <c r="C28" s="6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6"/>
      <c r="N28" s="2">
        <f t="shared" si="14"/>
        <v>1</v>
      </c>
      <c r="O28" s="7">
        <f t="shared" si="15"/>
        <v>1</v>
      </c>
      <c r="P28" s="7"/>
      <c r="Q28" s="7">
        <f t="shared" si="16"/>
        <v>1</v>
      </c>
      <c r="R28" s="8">
        <f t="shared" si="19"/>
        <v>1</v>
      </c>
    </row>
    <row r="29" spans="1:27" ht="15" customHeight="1">
      <c r="A29" s="2" t="str">
        <f t="shared" si="13"/>
        <v>Mario</v>
      </c>
      <c r="B29" s="6"/>
      <c r="C29" s="6">
        <v>1</v>
      </c>
      <c r="D29" s="6">
        <v>1</v>
      </c>
      <c r="E29" s="6">
        <v>1</v>
      </c>
      <c r="F29" s="6">
        <v>1</v>
      </c>
      <c r="G29" s="6">
        <v>1</v>
      </c>
      <c r="H29" s="6"/>
      <c r="I29" s="6">
        <v>1</v>
      </c>
      <c r="J29" s="6">
        <v>1</v>
      </c>
      <c r="K29" s="6">
        <v>1</v>
      </c>
      <c r="L29" s="6">
        <v>1</v>
      </c>
      <c r="M29" s="6"/>
      <c r="N29" s="2">
        <f t="shared" ref="N29" si="20">IF(SUM(B29:L29)=0,"",SUM(B29:L29)/$Z$7)</f>
        <v>0.9</v>
      </c>
      <c r="O29" s="7">
        <f t="shared" si="15"/>
        <v>0.2</v>
      </c>
      <c r="P29" s="7"/>
      <c r="Q29" s="7">
        <f t="shared" si="16"/>
        <v>1</v>
      </c>
      <c r="R29" s="8">
        <f t="shared" ref="R29" si="21">IF(N29="","",N29*O29*Q29)</f>
        <v>0.18000000000000002</v>
      </c>
    </row>
    <row r="30" spans="1:27">
      <c r="A30" s="2" t="str">
        <f t="shared" si="13"/>
        <v/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2" t="str">
        <f t="shared" si="14"/>
        <v/>
      </c>
      <c r="O30" s="7">
        <f t="shared" si="15"/>
        <v>0.5</v>
      </c>
      <c r="P30" s="7"/>
      <c r="Q30" s="7">
        <f t="shared" si="16"/>
        <v>1</v>
      </c>
      <c r="R30" s="8" t="str">
        <f t="shared" si="19"/>
        <v/>
      </c>
    </row>
    <row r="31" spans="1:27">
      <c r="A31" s="2" t="str">
        <f>IF(A13="","",A13)</f>
        <v/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N31" s="2" t="str">
        <f t="shared" si="14"/>
        <v/>
      </c>
      <c r="O31" s="7">
        <f t="shared" si="15"/>
        <v>1</v>
      </c>
      <c r="P31" s="7"/>
      <c r="Q31" s="7">
        <f t="shared" si="16"/>
        <v>1</v>
      </c>
      <c r="R31" s="8" t="str">
        <f t="shared" si="19"/>
        <v/>
      </c>
    </row>
    <row r="32" spans="1:27">
      <c r="A32" s="2" t="str">
        <f t="shared" si="13"/>
        <v/>
      </c>
      <c r="M32" s="6"/>
      <c r="N32" s="2" t="str">
        <f t="shared" si="14"/>
        <v/>
      </c>
      <c r="O32" s="7">
        <f t="shared" si="15"/>
        <v>0</v>
      </c>
      <c r="P32" s="7"/>
      <c r="Q32" s="7">
        <f t="shared" si="16"/>
        <v>0</v>
      </c>
      <c r="R32" s="8" t="str">
        <f t="shared" si="19"/>
        <v/>
      </c>
      <c r="V32" s="10"/>
      <c r="W32" s="11"/>
    </row>
    <row r="33" spans="1:23">
      <c r="A33" s="2" t="str">
        <f t="shared" si="13"/>
        <v>Oebe</v>
      </c>
      <c r="B33" s="6"/>
      <c r="C33" s="6">
        <v>1</v>
      </c>
      <c r="D33" s="6">
        <v>1</v>
      </c>
      <c r="E33" s="6">
        <v>1</v>
      </c>
      <c r="F33" s="6" t="s">
        <v>9</v>
      </c>
      <c r="G33" s="6">
        <v>1</v>
      </c>
      <c r="H33" s="6">
        <v>1</v>
      </c>
      <c r="I33" s="6">
        <v>1</v>
      </c>
      <c r="J33" s="6">
        <v>1</v>
      </c>
      <c r="K33" s="6" t="s">
        <v>9</v>
      </c>
      <c r="L33" s="6">
        <v>1</v>
      </c>
      <c r="M33" s="6"/>
      <c r="N33" s="2">
        <f t="shared" si="14"/>
        <v>0.8</v>
      </c>
      <c r="O33" s="7">
        <f t="shared" si="15"/>
        <v>0.45</v>
      </c>
      <c r="Q33" s="7">
        <f t="shared" si="16"/>
        <v>0.5</v>
      </c>
      <c r="R33" s="8">
        <f t="shared" si="19"/>
        <v>0.18000000000000002</v>
      </c>
    </row>
    <row r="34" spans="1:2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2" t="str">
        <f t="shared" ref="N34" si="22">IF(SUM(C34:L34)=0,"",SUM(C34:L34)/10)</f>
        <v/>
      </c>
      <c r="R34" s="8" t="str">
        <f>IF(N34="","",N34*Q33)</f>
        <v/>
      </c>
    </row>
    <row r="35" spans="1:2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Q35" s="7"/>
      <c r="R35" s="2">
        <f>SUM(R22:R33)</f>
        <v>5.56</v>
      </c>
      <c r="S35" s="2" t="s">
        <v>14</v>
      </c>
    </row>
    <row r="36" spans="1:23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23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5"/>
      <c r="V37" s="2" t="str">
        <f>_xlfn.CONCAT("hi, the calculated velocity of ",Z6," of next sprint is ",ROUND(V27,1)," SP (only taking days off into account)")</f>
        <v>hi, the calculated velocity of World of next sprint is 53,8 SP (only taking days off into account)</v>
      </c>
    </row>
    <row r="38" spans="1:23">
      <c r="B38" s="16"/>
      <c r="C38" s="17" t="s">
        <v>16</v>
      </c>
      <c r="D38" s="17"/>
      <c r="E38" s="17"/>
      <c r="F38" s="17"/>
      <c r="G38" s="17">
        <v>2</v>
      </c>
      <c r="H38" s="17" t="s">
        <v>17</v>
      </c>
      <c r="I38" s="17"/>
      <c r="J38" s="17"/>
      <c r="K38" s="17"/>
      <c r="L38" s="17"/>
      <c r="M38" s="18"/>
    </row>
    <row r="39" spans="1:23">
      <c r="B39" s="19"/>
      <c r="C39" s="17" t="s">
        <v>81</v>
      </c>
      <c r="D39" s="17"/>
      <c r="E39" s="17"/>
      <c r="F39" s="17"/>
      <c r="G39" s="17">
        <v>0</v>
      </c>
      <c r="H39" s="17" t="s">
        <v>17</v>
      </c>
      <c r="I39" s="20"/>
      <c r="J39" s="20"/>
      <c r="K39" s="20"/>
      <c r="L39" s="20"/>
      <c r="M39" s="18"/>
    </row>
    <row r="40" spans="1:23" ht="55" customHeight="1">
      <c r="B40" s="19"/>
      <c r="C40" s="17"/>
      <c r="D40" s="17"/>
      <c r="E40" s="17"/>
      <c r="F40" s="17"/>
      <c r="G40" s="17"/>
      <c r="H40" s="17"/>
      <c r="I40" s="17"/>
      <c r="J40" s="17"/>
      <c r="K40" s="17"/>
      <c r="L40" s="20"/>
      <c r="M40" s="18"/>
      <c r="Q40" s="39" t="s">
        <v>31</v>
      </c>
      <c r="R40" s="40">
        <v>4</v>
      </c>
      <c r="V40" s="61" t="str">
        <f>_xlfn.CONCAT("Calculated velocity ",Z6," - sprint ",R40," ")</f>
        <v xml:space="preserve">Calculated velocity World - sprint 4 </v>
      </c>
      <c r="W40" s="62"/>
    </row>
    <row r="41" spans="1:23" ht="37" customHeight="1">
      <c r="B41" s="19"/>
      <c r="C41" s="17" t="str">
        <f>CONCATENATE("Moving ",G38," SP of previous sprint -&gt; of which ",L41," SP are left ",G39," SP developed")</f>
        <v>Moving 2 SP of previous sprint -&gt; of which 2 SP are left 0 SP developed</v>
      </c>
      <c r="D41" s="17"/>
      <c r="E41" s="17"/>
      <c r="F41" s="17"/>
      <c r="G41" s="17"/>
      <c r="H41" s="17"/>
      <c r="I41" s="17"/>
      <c r="J41" s="17"/>
      <c r="K41" s="17"/>
      <c r="L41" s="21">
        <f>G38-G39</f>
        <v>2</v>
      </c>
      <c r="M41" s="18"/>
      <c r="V41" s="62" t="s">
        <v>18</v>
      </c>
      <c r="W41" s="62"/>
    </row>
    <row r="42" spans="1:23" ht="35" customHeight="1">
      <c r="B42" s="19"/>
      <c r="C42" s="17" t="str">
        <f>CONCATENATE("Calculated velocity is ",ROUND(V27,1)," SP")</f>
        <v>Calculated velocity is 53,8 SP</v>
      </c>
      <c r="D42" s="17"/>
      <c r="E42" s="17"/>
      <c r="F42" s="17"/>
      <c r="G42" s="17"/>
      <c r="H42" s="17"/>
      <c r="I42" s="17"/>
      <c r="J42" s="17"/>
      <c r="K42" s="17"/>
      <c r="L42" s="21"/>
      <c r="M42" s="18"/>
      <c r="V42" s="63">
        <f>V27</f>
        <v>53.838028169014081</v>
      </c>
      <c r="W42" s="62" t="s">
        <v>37</v>
      </c>
    </row>
    <row r="43" spans="1:23">
      <c r="B43" s="19"/>
      <c r="C43" s="17" t="str">
        <f>CONCATENATE("So next to the ",ROUND(L41,1), " SP of previous sprint, ",ROUND(L43,0)," SP is left for new stories")</f>
        <v>So next to the 2 SP of previous sprint, 52 SP is left for new stories</v>
      </c>
      <c r="D43" s="17"/>
      <c r="E43" s="17"/>
      <c r="F43" s="17"/>
      <c r="G43" s="17"/>
      <c r="H43" s="17"/>
      <c r="I43" s="17"/>
      <c r="J43" s="17"/>
      <c r="K43" s="17"/>
      <c r="L43" s="22">
        <f>V27-L41</f>
        <v>51.838028169014081</v>
      </c>
      <c r="M43" s="18"/>
    </row>
    <row r="44" spans="1:23">
      <c r="B44" s="19"/>
      <c r="C44" s="17"/>
      <c r="D44" s="17"/>
      <c r="E44" s="17"/>
      <c r="F44" s="17"/>
      <c r="G44" s="17"/>
      <c r="H44" s="17"/>
      <c r="I44" s="17"/>
      <c r="J44" s="17"/>
      <c r="K44" s="17"/>
      <c r="L44" s="21"/>
      <c r="M44" s="18"/>
    </row>
    <row r="45" spans="1:23">
      <c r="B45" s="19"/>
      <c r="C45" s="17" t="str">
        <f>CONCATENATE("Then JIRA will need to show a total of ",ROUND(L45,0)," SP at the bottom of the sprint (the Aim)")</f>
        <v>Then JIRA will need to show a total of 54 SP at the bottom of the sprint (the Aim)</v>
      </c>
      <c r="D45" s="17"/>
      <c r="E45" s="17"/>
      <c r="F45" s="17"/>
      <c r="G45" s="17"/>
      <c r="H45" s="17"/>
      <c r="I45" s="17"/>
      <c r="J45" s="17"/>
      <c r="K45" s="17"/>
      <c r="L45" s="22">
        <f>V27+G39</f>
        <v>53.838028169014081</v>
      </c>
      <c r="M45" s="18"/>
    </row>
    <row r="46" spans="1:23"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5"/>
    </row>
    <row r="67" spans="3:12"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3:12"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3:12"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3:12"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3:12"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3:12"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3:12"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3:12"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3:12"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3:12"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3:12">
      <c r="C77" s="6"/>
      <c r="D77" s="6"/>
      <c r="E77" s="6"/>
      <c r="F77" s="6"/>
      <c r="G77" s="6"/>
      <c r="H77" s="6"/>
      <c r="I77" s="6"/>
      <c r="J77" s="6"/>
      <c r="K77" s="6"/>
      <c r="L77" s="6"/>
    </row>
  </sheetData>
  <conditionalFormatting sqref="C10:L13 C8:G9 I8:L9">
    <cfRule type="containsText" dxfId="7" priority="218" operator="containsText" text="0">
      <formula>NOT(ISERROR(SEARCH("0",C8)))</formula>
    </cfRule>
  </conditionalFormatting>
  <conditionalFormatting sqref="G5">
    <cfRule type="containsText" dxfId="6" priority="217" operator="containsText" text="0">
      <formula>NOT(ISERROR(SEARCH("0",G5)))</formula>
    </cfRule>
  </conditionalFormatting>
  <conditionalFormatting sqref="L5">
    <cfRule type="containsText" dxfId="5" priority="216" operator="containsText" text="0">
      <formula>NOT(ISERROR(SEARCH("0",L5)))</formula>
    </cfRule>
  </conditionalFormatting>
  <conditionalFormatting sqref="C6:L6">
    <cfRule type="containsText" dxfId="4" priority="40" operator="containsText" text="0">
      <formula>NOT(ISERROR(SEARCH("0",C6)))</formula>
    </cfRule>
  </conditionalFormatting>
  <conditionalFormatting sqref="C28:L31 C26:G27 I26:L27">
    <cfRule type="containsText" dxfId="3" priority="4" operator="containsText" text="0">
      <formula>NOT(ISERROR(SEARCH("0",C26)))</formula>
    </cfRule>
  </conditionalFormatting>
  <conditionalFormatting sqref="G23">
    <cfRule type="containsText" dxfId="2" priority="3" operator="containsText" text="0">
      <formula>NOT(ISERROR(SEARCH("0",G23)))</formula>
    </cfRule>
  </conditionalFormatting>
  <conditionalFormatting sqref="L23">
    <cfRule type="containsText" dxfId="1" priority="2" operator="containsText" text="0">
      <formula>NOT(ISERROR(SEARCH("0",L23)))</formula>
    </cfRule>
  </conditionalFormatting>
  <conditionalFormatting sqref="C24:L24">
    <cfRule type="containsText" dxfId="0" priority="1" operator="containsText" text="0">
      <formula>NOT(ISERROR(SEARCH("0",C24)))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E20C-3679-F540-B269-81A6F8E4D820}">
  <dimension ref="B3:N59"/>
  <sheetViews>
    <sheetView workbookViewId="0">
      <selection activeCell="L45" sqref="L45"/>
    </sheetView>
  </sheetViews>
  <sheetFormatPr baseColWidth="10" defaultRowHeight="15"/>
  <cols>
    <col min="2" max="2" width="18.1640625" customWidth="1"/>
    <col min="4" max="4" width="12.6640625" bestFit="1" customWidth="1"/>
    <col min="11" max="11" width="8.6640625" customWidth="1"/>
  </cols>
  <sheetData>
    <row r="3" spans="2:2">
      <c r="B3" t="s">
        <v>19</v>
      </c>
    </row>
    <row r="4" spans="2:2">
      <c r="B4" t="s">
        <v>20</v>
      </c>
    </row>
    <row r="6" spans="2:2" ht="19">
      <c r="B6" s="38" t="s">
        <v>21</v>
      </c>
    </row>
    <row r="7" spans="2:2">
      <c r="B7" t="s">
        <v>22</v>
      </c>
    </row>
    <row r="8" spans="2:2">
      <c r="B8" t="s">
        <v>23</v>
      </c>
    </row>
    <row r="9" spans="2:2">
      <c r="B9" t="s">
        <v>24</v>
      </c>
    </row>
    <row r="11" spans="2:2" ht="19">
      <c r="B11" s="38" t="s">
        <v>25</v>
      </c>
    </row>
    <row r="12" spans="2:2">
      <c r="B12" t="s">
        <v>26</v>
      </c>
    </row>
    <row r="13" spans="2:2">
      <c r="B13" t="s">
        <v>27</v>
      </c>
    </row>
    <row r="14" spans="2:2">
      <c r="B14" t="s">
        <v>28</v>
      </c>
    </row>
    <row r="15" spans="2:2">
      <c r="B15" t="s">
        <v>29</v>
      </c>
    </row>
    <row r="16" spans="2:2">
      <c r="B16" t="s">
        <v>30</v>
      </c>
    </row>
    <row r="19" spans="2:4">
      <c r="B19" s="42" t="s">
        <v>84</v>
      </c>
    </row>
    <row r="20" spans="2:4">
      <c r="B20" s="43" t="s">
        <v>38</v>
      </c>
      <c r="C20" s="51" t="s">
        <v>78</v>
      </c>
      <c r="D20" s="51"/>
    </row>
    <row r="21" spans="2:4">
      <c r="B21" s="43" t="s">
        <v>77</v>
      </c>
      <c r="C21" s="51" t="s">
        <v>79</v>
      </c>
      <c r="D21" s="51"/>
    </row>
    <row r="22" spans="2:4">
      <c r="B22" s="43" t="s">
        <v>7</v>
      </c>
      <c r="C22" s="51" t="s">
        <v>44</v>
      </c>
      <c r="D22" s="51"/>
    </row>
    <row r="23" spans="2:4" ht="16">
      <c r="B23" s="64" t="s">
        <v>39</v>
      </c>
      <c r="C23" s="51" t="s">
        <v>40</v>
      </c>
      <c r="D23" s="51"/>
    </row>
    <row r="24" spans="2:4" ht="16">
      <c r="B24" s="64" t="s">
        <v>8</v>
      </c>
      <c r="C24" s="51" t="s">
        <v>41</v>
      </c>
      <c r="D24" s="51"/>
    </row>
    <row r="25" spans="2:4" ht="16">
      <c r="B25" s="65" t="s">
        <v>48</v>
      </c>
      <c r="C25" s="51" t="s">
        <v>42</v>
      </c>
      <c r="D25" s="51"/>
    </row>
    <row r="26" spans="2:4">
      <c r="B26" s="43" t="s">
        <v>49</v>
      </c>
      <c r="C26" s="51" t="s">
        <v>43</v>
      </c>
      <c r="D26" s="51"/>
    </row>
    <row r="27" spans="2:4">
      <c r="B27" s="51"/>
      <c r="C27" s="51"/>
      <c r="D27" s="51"/>
    </row>
    <row r="28" spans="2:4">
      <c r="B28" s="51"/>
      <c r="C28" s="51" t="s">
        <v>46</v>
      </c>
      <c r="D28" s="51"/>
    </row>
    <row r="29" spans="2:4">
      <c r="B29" s="51"/>
      <c r="C29" s="51" t="s">
        <v>45</v>
      </c>
      <c r="D29" s="51"/>
    </row>
    <row r="31" spans="2:4">
      <c r="B31" s="42" t="s">
        <v>50</v>
      </c>
    </row>
    <row r="32" spans="2:4">
      <c r="B32" t="s">
        <v>51</v>
      </c>
      <c r="C32" t="s">
        <v>52</v>
      </c>
    </row>
    <row r="33" spans="2:14">
      <c r="B33" s="2" t="s">
        <v>32</v>
      </c>
      <c r="C33" t="s">
        <v>53</v>
      </c>
    </row>
    <row r="34" spans="2:14">
      <c r="B34" s="2" t="s">
        <v>36</v>
      </c>
      <c r="C34" t="s">
        <v>54</v>
      </c>
    </row>
    <row r="35" spans="2:14">
      <c r="B35" s="2" t="s">
        <v>55</v>
      </c>
      <c r="C35" t="s">
        <v>65</v>
      </c>
    </row>
    <row r="37" spans="2:14">
      <c r="C37" t="s">
        <v>56</v>
      </c>
      <c r="D37" s="28">
        <v>30</v>
      </c>
      <c r="E37" s="28" t="s">
        <v>57</v>
      </c>
      <c r="F37" s="28"/>
      <c r="K37" s="42" t="s">
        <v>64</v>
      </c>
    </row>
    <row r="38" spans="2:14">
      <c r="C38" t="s">
        <v>58</v>
      </c>
      <c r="D38" s="53">
        <f>K45</f>
        <v>5.8571428571428577</v>
      </c>
      <c r="E38" s="28" t="s">
        <v>61</v>
      </c>
      <c r="F38" s="28"/>
      <c r="K38" s="56">
        <f>5/7</f>
        <v>0.7142857142857143</v>
      </c>
      <c r="L38" s="57" t="s">
        <v>74</v>
      </c>
      <c r="M38" s="55"/>
    </row>
    <row r="39" spans="2:14">
      <c r="C39" t="s">
        <v>59</v>
      </c>
      <c r="D39" s="28">
        <v>2</v>
      </c>
      <c r="E39" s="44"/>
      <c r="F39" s="45"/>
      <c r="J39" s="55"/>
      <c r="K39" s="58">
        <v>1</v>
      </c>
      <c r="L39" s="57" t="s">
        <v>72</v>
      </c>
      <c r="M39" s="55"/>
      <c r="N39" s="55"/>
    </row>
    <row r="40" spans="2:14">
      <c r="C40" s="46"/>
      <c r="D40" s="47"/>
      <c r="E40" s="28"/>
      <c r="F40" s="28"/>
      <c r="J40" s="55"/>
      <c r="K40" s="56">
        <f>5/7</f>
        <v>0.7142857142857143</v>
      </c>
      <c r="L40" s="57" t="s">
        <v>66</v>
      </c>
      <c r="M40" s="55"/>
      <c r="N40" s="55"/>
    </row>
    <row r="41" spans="2:14">
      <c r="D41" s="50">
        <f>SUM(D37:D40)</f>
        <v>37.857142857142861</v>
      </c>
      <c r="E41" t="s">
        <v>62</v>
      </c>
      <c r="J41" s="55"/>
      <c r="K41" s="58">
        <v>1</v>
      </c>
      <c r="L41" s="55" t="s">
        <v>71</v>
      </c>
      <c r="M41" s="55"/>
      <c r="N41" s="55"/>
    </row>
    <row r="42" spans="2:14">
      <c r="K42" s="58">
        <v>1</v>
      </c>
      <c r="L42" s="55" t="s">
        <v>73</v>
      </c>
      <c r="N42" s="51"/>
    </row>
    <row r="43" spans="2:14">
      <c r="C43" t="s">
        <v>67</v>
      </c>
      <c r="D43" s="50">
        <f>365.25/7</f>
        <v>52.178571428571431</v>
      </c>
      <c r="K43" s="49">
        <f>5/7</f>
        <v>0.7142857142857143</v>
      </c>
      <c r="L43" t="s">
        <v>75</v>
      </c>
      <c r="M43" s="51"/>
      <c r="N43" s="51"/>
    </row>
    <row r="44" spans="2:14">
      <c r="C44" s="46" t="s">
        <v>68</v>
      </c>
      <c r="D44" s="46">
        <v>5</v>
      </c>
      <c r="E44" t="s">
        <v>60</v>
      </c>
      <c r="K44" s="59">
        <f>5/7</f>
        <v>0.7142857142857143</v>
      </c>
      <c r="L44" s="46" t="s">
        <v>76</v>
      </c>
      <c r="M44" s="54"/>
      <c r="N44" s="54"/>
    </row>
    <row r="45" spans="2:14">
      <c r="D45" s="50">
        <f>D43*D44</f>
        <v>260.89285714285717</v>
      </c>
      <c r="E45" t="s">
        <v>63</v>
      </c>
      <c r="K45" s="52">
        <f>SUM(K38:K44)</f>
        <v>5.8571428571428577</v>
      </c>
      <c r="L45" t="s">
        <v>70</v>
      </c>
      <c r="M45" s="51"/>
      <c r="N45" s="51"/>
    </row>
    <row r="46" spans="2:14">
      <c r="G46" s="50">
        <f>D45-D41</f>
        <v>223.03571428571431</v>
      </c>
      <c r="H46" t="s">
        <v>69</v>
      </c>
      <c r="M46" s="51"/>
    </row>
    <row r="47" spans="2:14">
      <c r="G47" s="48">
        <f>G46/D45</f>
        <v>0.85489390828199863</v>
      </c>
      <c r="H47" t="s">
        <v>10</v>
      </c>
    </row>
    <row r="49" spans="2:2">
      <c r="B49" s="42" t="s">
        <v>93</v>
      </c>
    </row>
    <row r="50" spans="2:2">
      <c r="B50" t="s">
        <v>94</v>
      </c>
    </row>
    <row r="51" spans="2:2">
      <c r="B51" t="s">
        <v>88</v>
      </c>
    </row>
    <row r="52" spans="2:2">
      <c r="B52" t="s">
        <v>91</v>
      </c>
    </row>
    <row r="53" spans="2:2">
      <c r="B53" t="s">
        <v>86</v>
      </c>
    </row>
    <row r="55" spans="2:2">
      <c r="B55" s="42" t="s">
        <v>87</v>
      </c>
    </row>
    <row r="56" spans="2:2">
      <c r="B56" t="s">
        <v>94</v>
      </c>
    </row>
    <row r="57" spans="2:2">
      <c r="B57" t="s">
        <v>89</v>
      </c>
    </row>
    <row r="58" spans="2:2">
      <c r="B58" t="s">
        <v>90</v>
      </c>
    </row>
    <row r="59" spans="2:2">
      <c r="B59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B115576B1C354F8DF496A22D63B0D9" ma:contentTypeVersion="14" ma:contentTypeDescription="Create a new document." ma:contentTypeScope="" ma:versionID="11ed178d886d7927cf46baa84611208e">
  <xsd:schema xmlns:xsd="http://www.w3.org/2001/XMLSchema" xmlns:xs="http://www.w3.org/2001/XMLSchema" xmlns:p="http://schemas.microsoft.com/office/2006/metadata/properties" xmlns:ns2="a98d59f0-5af6-49b7-997c-f612998242d4" xmlns:ns3="45e89b3b-5d24-43d1-ab92-c76d5f376830" targetNamespace="http://schemas.microsoft.com/office/2006/metadata/properties" ma:root="true" ma:fieldsID="da63a7e00dcae0b4b46021da48dffdc1" ns2:_="" ns3:_="">
    <xsd:import namespace="a98d59f0-5af6-49b7-997c-f612998242d4"/>
    <xsd:import namespace="45e89b3b-5d24-43d1-ab92-c76d5f37683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8d59f0-5af6-49b7-997c-f612998242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89b3b-5d24-43d1-ab92-c76d5f3768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E393A2-3EA5-4974-9B62-F0876DD495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9D0FDB-09C2-4C4B-9FA3-7764EC32CF75}">
  <ds:schemaRefs>
    <ds:schemaRef ds:uri="http://schemas.microsoft.com/office/2006/metadata/properties"/>
    <ds:schemaRef ds:uri="http://purl.org/dc/terms/"/>
    <ds:schemaRef ds:uri="a98d59f0-5af6-49b7-997c-f612998242d4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45e89b3b-5d24-43d1-ab92-c76d5f376830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9519C76-4261-466B-B9FA-90D8E7885B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8d59f0-5af6-49b7-997c-f612998242d4"/>
    <ds:schemaRef ds:uri="45e89b3b-5d24-43d1-ab92-c76d5f3768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York</vt:lpstr>
      <vt:lpstr>README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2017-07-24T09:29:59Z</dcterms:created>
  <dcterms:modified xsi:type="dcterms:W3CDTF">2022-01-05T10:31:03Z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0x01010091B115576B1C354F8DF496A22D63B0D9</vt:lpwstr>
  </property>
</Properties>
</file>