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4525" refMode="R1C1"/>
</workbook>
</file>

<file path=xl/calcChain.xml><?xml version="1.0" encoding="utf-8"?>
<calcChain xmlns="http://schemas.openxmlformats.org/spreadsheetml/2006/main">
  <c r="B4" i="4" l="1"/>
  <c r="B3" i="4"/>
  <c r="B2" i="4"/>
  <c r="E22" i="3" l="1"/>
  <c r="F22" i="3" s="1"/>
  <c r="H22" i="3" s="1"/>
  <c r="I22" i="3" s="1"/>
  <c r="E21" i="3"/>
  <c r="E20" i="3"/>
  <c r="H20" i="3" s="1"/>
  <c r="I20" i="3" s="1"/>
  <c r="E19" i="3"/>
  <c r="F19" i="3" s="1"/>
  <c r="H19" i="3" s="1"/>
  <c r="E18" i="3"/>
  <c r="H18" i="3" s="1"/>
  <c r="I18" i="3" s="1"/>
  <c r="E17" i="3"/>
  <c r="F17" i="3" s="1"/>
  <c r="H17" i="3" s="1"/>
  <c r="E16" i="3"/>
  <c r="G16" i="3" s="1"/>
  <c r="H16" i="3" s="1"/>
  <c r="I16" i="3" s="1"/>
  <c r="E15" i="3"/>
  <c r="G15" i="3" s="1"/>
  <c r="E14" i="3"/>
  <c r="F14" i="3" s="1"/>
  <c r="H14" i="3" s="1"/>
  <c r="I14" i="3" s="1"/>
  <c r="E13" i="3"/>
  <c r="G13" i="3" s="1"/>
  <c r="E12" i="3"/>
  <c r="G12" i="3" s="1"/>
  <c r="E11" i="3"/>
  <c r="F11" i="3" s="1"/>
  <c r="H11" i="3" s="1"/>
  <c r="E10" i="3"/>
  <c r="H10" i="3" s="1"/>
  <c r="I10" i="3" s="1"/>
  <c r="E9" i="3"/>
  <c r="E8" i="3"/>
  <c r="G8" i="3" s="1"/>
  <c r="E7" i="3"/>
  <c r="G7" i="3" s="1"/>
  <c r="E6" i="3"/>
  <c r="F6" i="3" s="1"/>
  <c r="H6" i="3" s="1"/>
  <c r="I6" i="3" s="1"/>
  <c r="E5" i="3"/>
  <c r="E4" i="3"/>
  <c r="F4" i="3" s="1"/>
  <c r="H4" i="3" s="1"/>
  <c r="I4" i="3" s="1"/>
  <c r="E3" i="3"/>
  <c r="E22" i="2"/>
  <c r="F22" i="2" s="1"/>
  <c r="H22" i="2" s="1"/>
  <c r="I22" i="2" s="1"/>
  <c r="E21" i="2"/>
  <c r="E20" i="2"/>
  <c r="F20" i="2" s="1"/>
  <c r="H20" i="2" s="1"/>
  <c r="I20" i="2" s="1"/>
  <c r="E19" i="2"/>
  <c r="F19" i="2" s="1"/>
  <c r="H19" i="2" s="1"/>
  <c r="E18" i="2"/>
  <c r="H18" i="2" s="1"/>
  <c r="I18" i="2" s="1"/>
  <c r="E17" i="2"/>
  <c r="G17" i="2" s="1"/>
  <c r="E16" i="2"/>
  <c r="G16" i="2" s="1"/>
  <c r="H16" i="2" s="1"/>
  <c r="I16" i="2" s="1"/>
  <c r="E15" i="2"/>
  <c r="G15" i="2" s="1"/>
  <c r="E14" i="2"/>
  <c r="F14" i="2" s="1"/>
  <c r="H14" i="2" s="1"/>
  <c r="I14" i="2" s="1"/>
  <c r="E13" i="2"/>
  <c r="G13" i="2" s="1"/>
  <c r="E12" i="2"/>
  <c r="H12" i="2" s="1"/>
  <c r="I12" i="2" s="1"/>
  <c r="E11" i="2"/>
  <c r="F11" i="2" s="1"/>
  <c r="H11" i="2" s="1"/>
  <c r="E10" i="2"/>
  <c r="G10" i="2" s="1"/>
  <c r="E9" i="2"/>
  <c r="E8" i="2"/>
  <c r="G8" i="2" s="1"/>
  <c r="E7" i="2"/>
  <c r="G7" i="2" s="1"/>
  <c r="E6" i="2"/>
  <c r="F6" i="2" s="1"/>
  <c r="H6" i="2" s="1"/>
  <c r="I6" i="2" s="1"/>
  <c r="E5" i="2"/>
  <c r="E4" i="2"/>
  <c r="E3" i="2"/>
  <c r="G22" i="3"/>
  <c r="G21" i="3"/>
  <c r="F21" i="3"/>
  <c r="H21" i="3" s="1"/>
  <c r="G20" i="3"/>
  <c r="F20" i="3"/>
  <c r="G19" i="3"/>
  <c r="G18" i="3"/>
  <c r="F18" i="3"/>
  <c r="G17" i="3"/>
  <c r="F16" i="3"/>
  <c r="F15" i="3"/>
  <c r="G14" i="3"/>
  <c r="G11" i="3"/>
  <c r="G10" i="3"/>
  <c r="F10" i="3"/>
  <c r="G9" i="3"/>
  <c r="F9" i="3"/>
  <c r="H9" i="3" s="1"/>
  <c r="F7" i="3"/>
  <c r="G6" i="3"/>
  <c r="G5" i="3"/>
  <c r="F5" i="3"/>
  <c r="H5" i="3" s="1"/>
  <c r="G4" i="3"/>
  <c r="G3" i="3"/>
  <c r="G22" i="2"/>
  <c r="G21" i="2"/>
  <c r="F21" i="2"/>
  <c r="H21" i="2" s="1"/>
  <c r="G20" i="2"/>
  <c r="G19" i="2"/>
  <c r="G18" i="2"/>
  <c r="F18" i="2"/>
  <c r="F17" i="2"/>
  <c r="F16" i="2"/>
  <c r="F15" i="2"/>
  <c r="G14" i="2"/>
  <c r="F13" i="2"/>
  <c r="G12" i="2"/>
  <c r="F12" i="2"/>
  <c r="G11" i="2"/>
  <c r="G9" i="2"/>
  <c r="F9" i="2"/>
  <c r="H9" i="2" s="1"/>
  <c r="F7" i="2"/>
  <c r="G6" i="2"/>
  <c r="G5" i="2"/>
  <c r="F5" i="2"/>
  <c r="G4" i="2"/>
  <c r="F4" i="2"/>
  <c r="G3" i="2"/>
  <c r="H15" i="3" l="1"/>
  <c r="I15" i="3" s="1"/>
  <c r="J15" i="3" s="1"/>
  <c r="F13" i="3"/>
  <c r="H13" i="3" s="1"/>
  <c r="I13" i="3" s="1"/>
  <c r="J13" i="3" s="1"/>
  <c r="F12" i="3"/>
  <c r="H12" i="3" s="1"/>
  <c r="F8" i="3"/>
  <c r="H8" i="3" s="1"/>
  <c r="H7" i="3"/>
  <c r="I7" i="3" s="1"/>
  <c r="J7" i="3" s="1"/>
  <c r="E23" i="3"/>
  <c r="E24" i="3" s="1"/>
  <c r="F3" i="3"/>
  <c r="G23" i="3"/>
  <c r="G24" i="3" s="1"/>
  <c r="H17" i="2"/>
  <c r="H15" i="2"/>
  <c r="I15" i="2" s="1"/>
  <c r="J15" i="2" s="1"/>
  <c r="H13" i="2"/>
  <c r="F10" i="2"/>
  <c r="H10" i="2"/>
  <c r="I10" i="2" s="1"/>
  <c r="F8" i="2"/>
  <c r="H8" i="2" s="1"/>
  <c r="I8" i="2" s="1"/>
  <c r="H7" i="2"/>
  <c r="H4" i="2"/>
  <c r="I4" i="2" s="1"/>
  <c r="H5" i="2"/>
  <c r="G23" i="2"/>
  <c r="G24" i="2" s="1"/>
  <c r="I9" i="3"/>
  <c r="J9" i="3" s="1"/>
  <c r="I17" i="3"/>
  <c r="J17" i="3" s="1"/>
  <c r="I11" i="3"/>
  <c r="J11" i="3" s="1"/>
  <c r="I19" i="3"/>
  <c r="J19" i="3" s="1"/>
  <c r="I5" i="3"/>
  <c r="J5" i="3" s="1"/>
  <c r="I21" i="3"/>
  <c r="J21" i="3" s="1"/>
  <c r="J4" i="3"/>
  <c r="J6" i="3"/>
  <c r="J10" i="3"/>
  <c r="J14" i="3"/>
  <c r="J16" i="3"/>
  <c r="J18" i="3"/>
  <c r="J20" i="3"/>
  <c r="J22" i="3"/>
  <c r="I11" i="2"/>
  <c r="J11" i="2" s="1"/>
  <c r="I19" i="2"/>
  <c r="J19" i="2" s="1"/>
  <c r="I5" i="2"/>
  <c r="J5" i="2" s="1"/>
  <c r="I13" i="2"/>
  <c r="J13" i="2" s="1"/>
  <c r="I21" i="2"/>
  <c r="J21" i="2" s="1"/>
  <c r="I7" i="2"/>
  <c r="J7" i="2" s="1"/>
  <c r="I9" i="2"/>
  <c r="J9" i="2" s="1"/>
  <c r="I17" i="2"/>
  <c r="J17" i="2" s="1"/>
  <c r="J6" i="2"/>
  <c r="J12" i="2"/>
  <c r="J14" i="2"/>
  <c r="J16" i="2"/>
  <c r="J18" i="2"/>
  <c r="J20" i="2"/>
  <c r="J22" i="2"/>
  <c r="K24" i="1"/>
  <c r="J24" i="1"/>
  <c r="I24" i="1"/>
  <c r="H24" i="1"/>
  <c r="G24" i="1"/>
  <c r="F24" i="1"/>
  <c r="E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23" i="1"/>
  <c r="F23" i="1"/>
  <c r="I23" i="1"/>
  <c r="I22" i="1"/>
  <c r="I21" i="1"/>
  <c r="I20" i="1"/>
  <c r="I19" i="1"/>
  <c r="I18" i="1"/>
  <c r="I17" i="1"/>
  <c r="I16" i="1"/>
  <c r="I15" i="1"/>
  <c r="I14" i="1"/>
  <c r="I13" i="1"/>
  <c r="H13" i="1"/>
  <c r="I12" i="1"/>
  <c r="I11" i="1"/>
  <c r="I10" i="1"/>
  <c r="H10" i="1"/>
  <c r="I9" i="1"/>
  <c r="I8" i="1"/>
  <c r="I7" i="1"/>
  <c r="I6" i="1"/>
  <c r="I5" i="1"/>
  <c r="I4" i="1"/>
  <c r="I3" i="1"/>
  <c r="H23" i="1"/>
  <c r="H22" i="1"/>
  <c r="H21" i="1"/>
  <c r="H20" i="1"/>
  <c r="H19" i="1"/>
  <c r="H18" i="1"/>
  <c r="H17" i="1"/>
  <c r="H16" i="1"/>
  <c r="H15" i="1"/>
  <c r="H14" i="1"/>
  <c r="H12" i="1"/>
  <c r="H11" i="1"/>
  <c r="H9" i="1"/>
  <c r="H8" i="1"/>
  <c r="H7" i="1"/>
  <c r="H6" i="1"/>
  <c r="H5" i="1"/>
  <c r="H4" i="1"/>
  <c r="H3" i="1"/>
  <c r="G23" i="1"/>
  <c r="G22" i="1"/>
  <c r="G21" i="1"/>
  <c r="G20" i="1"/>
  <c r="G19" i="1"/>
  <c r="G18" i="1"/>
  <c r="G17" i="1"/>
  <c r="G16" i="1"/>
  <c r="G15" i="1"/>
  <c r="G14" i="1"/>
  <c r="G13" i="1"/>
  <c r="G11" i="1"/>
  <c r="G12" i="1"/>
  <c r="G10" i="1"/>
  <c r="G9" i="1"/>
  <c r="G8" i="1"/>
  <c r="G7" i="1"/>
  <c r="G6" i="1"/>
  <c r="G4" i="1"/>
  <c r="G5" i="1"/>
  <c r="G3" i="1"/>
  <c r="I12" i="3" l="1"/>
  <c r="J12" i="3" s="1"/>
  <c r="I8" i="3"/>
  <c r="J8" i="3"/>
  <c r="F23" i="3"/>
  <c r="F24" i="3" s="1"/>
  <c r="H3" i="3"/>
  <c r="J10" i="2"/>
  <c r="J8" i="2"/>
  <c r="J4" i="2"/>
  <c r="H23" i="3"/>
  <c r="H24" i="3" s="1"/>
  <c r="I3" i="3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23" i="3" l="1"/>
  <c r="I24" i="3" s="1"/>
  <c r="J3" i="3"/>
  <c r="J23" i="3" l="1"/>
  <c r="J24" i="3" l="1"/>
  <c r="K13" i="3"/>
  <c r="K19" i="3"/>
  <c r="K7" i="3"/>
  <c r="K18" i="3"/>
  <c r="K14" i="3"/>
  <c r="K15" i="3"/>
  <c r="K10" i="3"/>
  <c r="K6" i="3"/>
  <c r="K5" i="3"/>
  <c r="K21" i="3"/>
  <c r="K12" i="3"/>
  <c r="K8" i="3"/>
  <c r="K9" i="3"/>
  <c r="K11" i="3"/>
  <c r="K4" i="3"/>
  <c r="K22" i="3"/>
  <c r="K17" i="3"/>
  <c r="K20" i="3"/>
  <c r="K16" i="3"/>
  <c r="K3" i="3"/>
  <c r="K23" i="3" l="1"/>
  <c r="K24" i="3" s="1"/>
  <c r="E23" i="2"/>
  <c r="E24" i="2" s="1"/>
  <c r="F3" i="2"/>
  <c r="F23" i="2" s="1"/>
  <c r="F24" i="2" s="1"/>
  <c r="H3" i="2" l="1"/>
  <c r="H23" i="2" l="1"/>
  <c r="H24" i="2" s="1"/>
  <c r="I3" i="2"/>
  <c r="I23" i="2" s="1"/>
  <c r="I24" i="2" s="1"/>
  <c r="J3" i="2" l="1"/>
  <c r="J23" i="2" s="1"/>
  <c r="K16" i="2" l="1"/>
  <c r="K5" i="2"/>
  <c r="J24" i="2"/>
  <c r="K6" i="2"/>
  <c r="K20" i="2"/>
  <c r="K21" i="2"/>
  <c r="K8" i="2"/>
  <c r="K7" i="2"/>
  <c r="K9" i="2"/>
  <c r="K4" i="2"/>
  <c r="K13" i="2"/>
  <c r="K12" i="2"/>
  <c r="K11" i="2"/>
  <c r="K17" i="2"/>
  <c r="K14" i="2"/>
  <c r="K18" i="2"/>
  <c r="K22" i="2"/>
  <c r="K10" i="2"/>
  <c r="K15" i="2"/>
  <c r="K19" i="2"/>
  <c r="K3" i="2"/>
  <c r="K23" i="2" l="1"/>
  <c r="K24" i="2" s="1"/>
</calcChain>
</file>

<file path=xl/sharedStrings.xml><?xml version="1.0" encoding="utf-8"?>
<sst xmlns="http://schemas.openxmlformats.org/spreadsheetml/2006/main" count="167" uniqueCount="61">
  <si>
    <t>Зарплата работников за январь</t>
  </si>
  <si>
    <t>Номер</t>
  </si>
  <si>
    <t>Фамилия</t>
  </si>
  <si>
    <t>Должность</t>
  </si>
  <si>
    <t>Стаж</t>
  </si>
  <si>
    <t>Оклад</t>
  </si>
  <si>
    <t>Премия</t>
  </si>
  <si>
    <t>Надбавка за стаж</t>
  </si>
  <si>
    <t>Итого</t>
  </si>
  <si>
    <t>Налоги</t>
  </si>
  <si>
    <t>Получить</t>
  </si>
  <si>
    <t>Доля</t>
  </si>
  <si>
    <t>Сумма</t>
  </si>
  <si>
    <t>Среднее</t>
  </si>
  <si>
    <t>фам1</t>
  </si>
  <si>
    <t>фам2</t>
  </si>
  <si>
    <t>фам3</t>
  </si>
  <si>
    <t>фам4</t>
  </si>
  <si>
    <t>фам5</t>
  </si>
  <si>
    <t>фам6</t>
  </si>
  <si>
    <t>фам7</t>
  </si>
  <si>
    <t>фам8</t>
  </si>
  <si>
    <t>фам9</t>
  </si>
  <si>
    <t>фам10</t>
  </si>
  <si>
    <t>фам11</t>
  </si>
  <si>
    <t>фам12</t>
  </si>
  <si>
    <t>фам13</t>
  </si>
  <si>
    <t>фам14</t>
  </si>
  <si>
    <t>фам15</t>
  </si>
  <si>
    <t>фам16</t>
  </si>
  <si>
    <t>фам17</t>
  </si>
  <si>
    <t>фам18</t>
  </si>
  <si>
    <t>фам19</t>
  </si>
  <si>
    <t>фам20</t>
  </si>
  <si>
    <t>долж1</t>
  </si>
  <si>
    <t>долж2</t>
  </si>
  <si>
    <t>долж3</t>
  </si>
  <si>
    <t>долж4</t>
  </si>
  <si>
    <t>долж5</t>
  </si>
  <si>
    <t>долж6</t>
  </si>
  <si>
    <t>долж7</t>
  </si>
  <si>
    <t>долж8</t>
  </si>
  <si>
    <t>долж9</t>
  </si>
  <si>
    <t>долж10</t>
  </si>
  <si>
    <t>долж11</t>
  </si>
  <si>
    <t>долж12</t>
  </si>
  <si>
    <t>долж13</t>
  </si>
  <si>
    <t>долж14</t>
  </si>
  <si>
    <t>долж15</t>
  </si>
  <si>
    <t>долж16</t>
  </si>
  <si>
    <t>долж17</t>
  </si>
  <si>
    <t>долж18</t>
  </si>
  <si>
    <t>долж19</t>
  </si>
  <si>
    <t>долж20</t>
  </si>
  <si>
    <t>Зарплата работников за март</t>
  </si>
  <si>
    <t>Зарплата работников за февраль</t>
  </si>
  <si>
    <t>Месяц</t>
  </si>
  <si>
    <t>Январь</t>
  </si>
  <si>
    <t>Февраль</t>
  </si>
  <si>
    <t>Март</t>
  </si>
  <si>
    <t>Всего получить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</si>
</sst>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Лист1!$J$2</c:f>
              <c:strCache>
                <c:ptCount val="1"/>
                <c:pt idx="0">
                  <c:v>Получить</c:v>
                </c:pt>
              </c:strCache>
            </c:strRef>
          </c:tx>
          <c:invertIfNegative val="0"/>
          <c:cat>
            <c:strRef>
              <c:f>Лист1!$B$3:$B$22</c:f>
              <c:strCache>
                <c:ptCount val="20"/>
                <c:pt idx="0">
                  <c:v>фам1</c:v>
                </c:pt>
                <c:pt idx="1">
                  <c:v>фам2</c:v>
                </c:pt>
                <c:pt idx="2">
                  <c:v>фам3</c:v>
                </c:pt>
                <c:pt idx="3">
                  <c:v>фам4</c:v>
                </c:pt>
                <c:pt idx="4">
                  <c:v>фам5</c:v>
                </c:pt>
                <c:pt idx="5">
                  <c:v>фам6</c:v>
                </c:pt>
                <c:pt idx="6">
                  <c:v>фам7</c:v>
                </c:pt>
                <c:pt idx="7">
                  <c:v>фам8</c:v>
                </c:pt>
                <c:pt idx="8">
                  <c:v>фам9</c:v>
                </c:pt>
                <c:pt idx="9">
                  <c:v>фам10</c:v>
                </c:pt>
                <c:pt idx="10">
                  <c:v>фам11</c:v>
                </c:pt>
                <c:pt idx="11">
                  <c:v>фам12</c:v>
                </c:pt>
                <c:pt idx="12">
                  <c:v>фам13</c:v>
                </c:pt>
                <c:pt idx="13">
                  <c:v>фам14</c:v>
                </c:pt>
                <c:pt idx="14">
                  <c:v>фам15</c:v>
                </c:pt>
                <c:pt idx="15">
                  <c:v>фам16</c:v>
                </c:pt>
                <c:pt idx="16">
                  <c:v>фам17</c:v>
                </c:pt>
                <c:pt idx="17">
                  <c:v>фам18</c:v>
                </c:pt>
                <c:pt idx="18">
                  <c:v>фам19</c:v>
                </c:pt>
                <c:pt idx="19">
                  <c:v>фам20</c:v>
                </c:pt>
              </c:strCache>
            </c:strRef>
          </c:cat>
          <c:val>
            <c:numRef>
              <c:f>Лист1!$J$3:$J$22</c:f>
              <c:numCache>
                <c:formatCode>#,##0.00\ "₽"</c:formatCode>
                <c:ptCount val="20"/>
                <c:pt idx="0">
                  <c:v>240</c:v>
                </c:pt>
                <c:pt idx="1">
                  <c:v>300</c:v>
                </c:pt>
                <c:pt idx="2">
                  <c:v>360</c:v>
                </c:pt>
                <c:pt idx="3">
                  <c:v>420</c:v>
                </c:pt>
                <c:pt idx="4">
                  <c:v>544</c:v>
                </c:pt>
                <c:pt idx="5">
                  <c:v>545.36</c:v>
                </c:pt>
                <c:pt idx="6">
                  <c:v>612</c:v>
                </c:pt>
                <c:pt idx="7">
                  <c:v>680</c:v>
                </c:pt>
                <c:pt idx="8">
                  <c:v>748</c:v>
                </c:pt>
                <c:pt idx="9">
                  <c:v>816</c:v>
                </c:pt>
                <c:pt idx="10">
                  <c:v>817.36</c:v>
                </c:pt>
                <c:pt idx="11">
                  <c:v>884</c:v>
                </c:pt>
                <c:pt idx="12">
                  <c:v>952</c:v>
                </c:pt>
                <c:pt idx="13">
                  <c:v>1020</c:v>
                </c:pt>
                <c:pt idx="14">
                  <c:v>1088</c:v>
                </c:pt>
                <c:pt idx="15">
                  <c:v>961.2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65888"/>
        <c:axId val="45760512"/>
      </c:barChart>
      <c:catAx>
        <c:axId val="361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60512"/>
        <c:crosses val="autoZero"/>
        <c:auto val="1"/>
        <c:lblAlgn val="ctr"/>
        <c:lblOffset val="100"/>
        <c:noMultiLvlLbl val="0"/>
      </c:catAx>
      <c:valAx>
        <c:axId val="45760512"/>
        <c:scaling>
          <c:orientation val="minMax"/>
        </c:scaling>
        <c:delete val="0"/>
        <c:axPos val="l"/>
        <c:majorGridlines/>
        <c:numFmt formatCode="#,##0.00\ &quot;₽&quot;" sourceLinked="1"/>
        <c:majorTickMark val="out"/>
        <c:minorTickMark val="none"/>
        <c:tickLblPos val="nextTo"/>
        <c:crossAx val="3616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Лист2!$J$2</c:f>
              <c:strCache>
                <c:ptCount val="1"/>
                <c:pt idx="0">
                  <c:v>Получить</c:v>
                </c:pt>
              </c:strCache>
            </c:strRef>
          </c:tx>
          <c:invertIfNegative val="0"/>
          <c:cat>
            <c:strRef>
              <c:f>Лист2!$B$3:$B$22</c:f>
              <c:strCache>
                <c:ptCount val="20"/>
                <c:pt idx="0">
                  <c:v>фам1</c:v>
                </c:pt>
                <c:pt idx="1">
                  <c:v>фам2</c:v>
                </c:pt>
                <c:pt idx="2">
                  <c:v>фам3</c:v>
                </c:pt>
                <c:pt idx="3">
                  <c:v>фам4</c:v>
                </c:pt>
                <c:pt idx="4">
                  <c:v>фам5</c:v>
                </c:pt>
                <c:pt idx="5">
                  <c:v>фам6</c:v>
                </c:pt>
                <c:pt idx="6">
                  <c:v>фам7</c:v>
                </c:pt>
                <c:pt idx="7">
                  <c:v>фам8</c:v>
                </c:pt>
                <c:pt idx="8">
                  <c:v>фам9</c:v>
                </c:pt>
                <c:pt idx="9">
                  <c:v>фам10</c:v>
                </c:pt>
                <c:pt idx="10">
                  <c:v>фам11</c:v>
                </c:pt>
                <c:pt idx="11">
                  <c:v>фам12</c:v>
                </c:pt>
                <c:pt idx="12">
                  <c:v>фам13</c:v>
                </c:pt>
                <c:pt idx="13">
                  <c:v>фам14</c:v>
                </c:pt>
                <c:pt idx="14">
                  <c:v>фам15</c:v>
                </c:pt>
                <c:pt idx="15">
                  <c:v>фам16</c:v>
                </c:pt>
                <c:pt idx="16">
                  <c:v>фам17</c:v>
                </c:pt>
                <c:pt idx="17">
                  <c:v>фам18</c:v>
                </c:pt>
                <c:pt idx="18">
                  <c:v>фам19</c:v>
                </c:pt>
                <c:pt idx="19">
                  <c:v>фам20</c:v>
                </c:pt>
              </c:strCache>
            </c:strRef>
          </c:cat>
          <c:val>
            <c:numRef>
              <c:f>Лист2!$J$3:$J$22</c:f>
              <c:numCache>
                <c:formatCode>#,##0.00\ "₽"</c:formatCode>
                <c:ptCount val="20"/>
                <c:pt idx="0">
                  <c:v>264</c:v>
                </c:pt>
                <c:pt idx="1">
                  <c:v>330</c:v>
                </c:pt>
                <c:pt idx="2">
                  <c:v>396</c:v>
                </c:pt>
                <c:pt idx="3">
                  <c:v>462</c:v>
                </c:pt>
                <c:pt idx="4">
                  <c:v>598.4</c:v>
                </c:pt>
                <c:pt idx="5">
                  <c:v>599.89600000000007</c:v>
                </c:pt>
                <c:pt idx="6">
                  <c:v>673.2</c:v>
                </c:pt>
                <c:pt idx="7">
                  <c:v>748</c:v>
                </c:pt>
                <c:pt idx="8">
                  <c:v>822.8</c:v>
                </c:pt>
                <c:pt idx="9">
                  <c:v>897.6</c:v>
                </c:pt>
                <c:pt idx="10">
                  <c:v>899.09600000000012</c:v>
                </c:pt>
                <c:pt idx="11">
                  <c:v>972.4</c:v>
                </c:pt>
                <c:pt idx="12">
                  <c:v>1047.2</c:v>
                </c:pt>
                <c:pt idx="13">
                  <c:v>1122</c:v>
                </c:pt>
                <c:pt idx="14">
                  <c:v>1196.8</c:v>
                </c:pt>
                <c:pt idx="15">
                  <c:v>1057.3200000000002</c:v>
                </c:pt>
                <c:pt idx="16">
                  <c:v>1122</c:v>
                </c:pt>
                <c:pt idx="17">
                  <c:v>1188</c:v>
                </c:pt>
                <c:pt idx="18">
                  <c:v>1254</c:v>
                </c:pt>
                <c:pt idx="19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22400"/>
        <c:axId val="101870976"/>
      </c:barChart>
      <c:catAx>
        <c:axId val="10082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70976"/>
        <c:crosses val="autoZero"/>
        <c:auto val="1"/>
        <c:lblAlgn val="ctr"/>
        <c:lblOffset val="100"/>
        <c:noMultiLvlLbl val="0"/>
      </c:catAx>
      <c:valAx>
        <c:axId val="101870976"/>
        <c:scaling>
          <c:orientation val="minMax"/>
        </c:scaling>
        <c:delete val="0"/>
        <c:axPos val="l"/>
        <c:majorGridlines/>
        <c:numFmt formatCode="#,##0.00\ &quot;₽&quot;" sourceLinked="1"/>
        <c:majorTickMark val="out"/>
        <c:minorTickMark val="none"/>
        <c:tickLblPos val="nextTo"/>
        <c:crossAx val="10082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Лист3!$J$2</c:f>
              <c:strCache>
                <c:ptCount val="1"/>
                <c:pt idx="0">
                  <c:v>Получить</c:v>
                </c:pt>
              </c:strCache>
            </c:strRef>
          </c:tx>
          <c:invertIfNegative val="0"/>
          <c:cat>
            <c:strRef>
              <c:f>Лист3!$B$3:$B$22</c:f>
              <c:strCache>
                <c:ptCount val="20"/>
                <c:pt idx="0">
                  <c:v>фам1</c:v>
                </c:pt>
                <c:pt idx="1">
                  <c:v>фам2</c:v>
                </c:pt>
                <c:pt idx="2">
                  <c:v>фам3</c:v>
                </c:pt>
                <c:pt idx="3">
                  <c:v>фам4</c:v>
                </c:pt>
                <c:pt idx="4">
                  <c:v>фам5</c:v>
                </c:pt>
                <c:pt idx="5">
                  <c:v>фам6</c:v>
                </c:pt>
                <c:pt idx="6">
                  <c:v>фам7</c:v>
                </c:pt>
                <c:pt idx="7">
                  <c:v>фам8</c:v>
                </c:pt>
                <c:pt idx="8">
                  <c:v>фам9</c:v>
                </c:pt>
                <c:pt idx="9">
                  <c:v>фам10</c:v>
                </c:pt>
                <c:pt idx="10">
                  <c:v>фам11</c:v>
                </c:pt>
                <c:pt idx="11">
                  <c:v>фам12</c:v>
                </c:pt>
                <c:pt idx="12">
                  <c:v>фам13</c:v>
                </c:pt>
                <c:pt idx="13">
                  <c:v>фам14</c:v>
                </c:pt>
                <c:pt idx="14">
                  <c:v>фам15</c:v>
                </c:pt>
                <c:pt idx="15">
                  <c:v>фам16</c:v>
                </c:pt>
                <c:pt idx="16">
                  <c:v>фам17</c:v>
                </c:pt>
                <c:pt idx="17">
                  <c:v>фам18</c:v>
                </c:pt>
                <c:pt idx="18">
                  <c:v>фам19</c:v>
                </c:pt>
                <c:pt idx="19">
                  <c:v>фам20</c:v>
                </c:pt>
              </c:strCache>
            </c:strRef>
          </c:cat>
          <c:val>
            <c:numRef>
              <c:f>Лист3!$J$3:$J$22</c:f>
              <c:numCache>
                <c:formatCode>#,##0.00\ "₽"</c:formatCode>
                <c:ptCount val="20"/>
                <c:pt idx="0">
                  <c:v>277.2</c:v>
                </c:pt>
                <c:pt idx="1">
                  <c:v>346.5</c:v>
                </c:pt>
                <c:pt idx="2">
                  <c:v>415.8</c:v>
                </c:pt>
                <c:pt idx="3">
                  <c:v>485.1</c:v>
                </c:pt>
                <c:pt idx="4">
                  <c:v>628.31999999999994</c:v>
                </c:pt>
                <c:pt idx="5">
                  <c:v>629.89080000000001</c:v>
                </c:pt>
                <c:pt idx="6">
                  <c:v>706.928</c:v>
                </c:pt>
                <c:pt idx="7">
                  <c:v>785.4</c:v>
                </c:pt>
                <c:pt idx="8">
                  <c:v>863.93999999999994</c:v>
                </c:pt>
                <c:pt idx="9">
                  <c:v>942.4799999999999</c:v>
                </c:pt>
                <c:pt idx="10">
                  <c:v>944.05079999999998</c:v>
                </c:pt>
                <c:pt idx="11">
                  <c:v>1021.0200000000001</c:v>
                </c:pt>
                <c:pt idx="12">
                  <c:v>1099.56</c:v>
                </c:pt>
                <c:pt idx="13">
                  <c:v>1178.0999999999999</c:v>
                </c:pt>
                <c:pt idx="14">
                  <c:v>1256.6399999999999</c:v>
                </c:pt>
                <c:pt idx="15">
                  <c:v>1110.1860000000001</c:v>
                </c:pt>
                <c:pt idx="16">
                  <c:v>1178.0999999999999</c:v>
                </c:pt>
                <c:pt idx="17">
                  <c:v>1247.4000000000001</c:v>
                </c:pt>
                <c:pt idx="18">
                  <c:v>1316.7</c:v>
                </c:pt>
                <c:pt idx="19">
                  <c:v>1386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77888"/>
        <c:axId val="93484928"/>
      </c:barChart>
      <c:catAx>
        <c:axId val="934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3484928"/>
        <c:crosses val="autoZero"/>
        <c:auto val="1"/>
        <c:lblAlgn val="ctr"/>
        <c:lblOffset val="100"/>
        <c:noMultiLvlLbl val="0"/>
      </c:catAx>
      <c:valAx>
        <c:axId val="93484928"/>
        <c:scaling>
          <c:orientation val="minMax"/>
        </c:scaling>
        <c:delete val="0"/>
        <c:axPos val="l"/>
        <c:majorGridlines/>
        <c:numFmt formatCode="#,##0.00\ &quot;₽&quot;" sourceLinked="1"/>
        <c:majorTickMark val="out"/>
        <c:minorTickMark val="none"/>
        <c:tickLblPos val="nextTo"/>
        <c:crossAx val="9347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Зарплата директора</c:v>
          </c:tx>
          <c:marker>
            <c:symbol val="none"/>
          </c:marker>
          <c:cat>
            <c:strRef>
              <c:f>Лист4!$A$2:$A$4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(Лист4!$B$2,Лист4!$B$3,Лист4!$B$4)</c:f>
              <c:numCache>
                <c:formatCode>General</c:formatCode>
                <c:ptCount val="3"/>
                <c:pt idx="0">
                  <c:v>1200</c:v>
                </c:pt>
                <c:pt idx="1">
                  <c:v>1320</c:v>
                </c:pt>
                <c:pt idx="2">
                  <c:v>1386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6528"/>
        <c:axId val="45848064"/>
      </c:lineChart>
      <c:catAx>
        <c:axId val="458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48064"/>
        <c:crosses val="autoZero"/>
        <c:auto val="1"/>
        <c:lblAlgn val="ctr"/>
        <c:lblOffset val="100"/>
        <c:noMultiLvlLbl val="0"/>
      </c:catAx>
      <c:valAx>
        <c:axId val="458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20</xdr:col>
      <xdr:colOff>600075</xdr:colOff>
      <xdr:row>20</xdr:row>
      <xdr:rowOff>9524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0</xdr:row>
      <xdr:rowOff>1</xdr:rowOff>
    </xdr:from>
    <xdr:to>
      <xdr:col>21</xdr:col>
      <xdr:colOff>9525</xdr:colOff>
      <xdr:row>19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0</xdr:row>
      <xdr:rowOff>0</xdr:rowOff>
    </xdr:from>
    <xdr:to>
      <xdr:col>20</xdr:col>
      <xdr:colOff>600074</xdr:colOff>
      <xdr:row>20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22" sqref="J22"/>
    </sheetView>
  </sheetViews>
  <sheetFormatPr defaultRowHeight="15" x14ac:dyDescent="0.25"/>
  <cols>
    <col min="3" max="3" width="14" customWidth="1"/>
    <col min="5" max="5" width="10.5703125" bestFit="1" customWidth="1"/>
    <col min="6" max="6" width="9.5703125" bestFit="1" customWidth="1"/>
    <col min="7" max="7" width="20.140625" customWidth="1"/>
    <col min="8" max="8" width="10.5703125" bestFit="1" customWidth="1"/>
    <col min="9" max="9" width="9.5703125" bestFit="1" customWidth="1"/>
    <col min="10" max="10" width="11.28515625" customWidth="1"/>
  </cols>
  <sheetData>
    <row r="1" spans="1:1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ht="36" customHeight="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>
        <v>1</v>
      </c>
      <c r="B3" s="1" t="s">
        <v>14</v>
      </c>
      <c r="C3" s="1" t="s">
        <v>34</v>
      </c>
      <c r="D3" s="3">
        <v>1</v>
      </c>
      <c r="E3" s="4">
        <v>200</v>
      </c>
      <c r="F3" s="4">
        <f t="shared" ref="F3:F22" si="0">E3*50%</f>
        <v>100</v>
      </c>
      <c r="G3" s="4">
        <f t="shared" ref="G3:G22" si="1">IF(D3&gt;=10,E3*20%,0)</f>
        <v>0</v>
      </c>
      <c r="H3" s="4">
        <f t="shared" ref="H3:H22" si="2">E3+F3+G3</f>
        <v>300</v>
      </c>
      <c r="I3" s="4">
        <f t="shared" ref="I3:I22" si="3">H3*20%</f>
        <v>60</v>
      </c>
      <c r="J3" s="4">
        <f t="shared" ref="J3:J22" si="4">H3-I3</f>
        <v>240</v>
      </c>
      <c r="K3" s="8">
        <f>J3/J23</f>
        <v>1.5556212373411319E-2</v>
      </c>
    </row>
    <row r="4" spans="1:11" x14ac:dyDescent="0.25">
      <c r="A4" s="1">
        <v>2</v>
      </c>
      <c r="B4" s="1" t="s">
        <v>15</v>
      </c>
      <c r="C4" s="1" t="s">
        <v>35</v>
      </c>
      <c r="D4" s="3">
        <v>3</v>
      </c>
      <c r="E4" s="4">
        <v>250</v>
      </c>
      <c r="F4" s="4">
        <f t="shared" si="0"/>
        <v>125</v>
      </c>
      <c r="G4" s="7">
        <f t="shared" si="1"/>
        <v>0</v>
      </c>
      <c r="H4" s="4">
        <f t="shared" si="2"/>
        <v>375</v>
      </c>
      <c r="I4" s="4">
        <f t="shared" si="3"/>
        <v>75</v>
      </c>
      <c r="J4" s="4">
        <f t="shared" si="4"/>
        <v>300</v>
      </c>
      <c r="K4" s="8">
        <f>J4/J23</f>
        <v>1.9445265466764151E-2</v>
      </c>
    </row>
    <row r="5" spans="1:11" x14ac:dyDescent="0.25">
      <c r="A5" s="1">
        <v>3</v>
      </c>
      <c r="B5" s="1" t="s">
        <v>16</v>
      </c>
      <c r="C5" s="1" t="s">
        <v>36</v>
      </c>
      <c r="D5" s="3">
        <v>5</v>
      </c>
      <c r="E5" s="4">
        <v>300</v>
      </c>
      <c r="F5" s="4">
        <f t="shared" si="0"/>
        <v>150</v>
      </c>
      <c r="G5" s="4">
        <f t="shared" si="1"/>
        <v>0</v>
      </c>
      <c r="H5" s="4">
        <f t="shared" si="2"/>
        <v>450</v>
      </c>
      <c r="I5" s="4">
        <f t="shared" si="3"/>
        <v>90</v>
      </c>
      <c r="J5" s="4">
        <f t="shared" si="4"/>
        <v>360</v>
      </c>
      <c r="K5" s="8">
        <f>J5/J23</f>
        <v>2.333431856011698E-2</v>
      </c>
    </row>
    <row r="6" spans="1:11" x14ac:dyDescent="0.25">
      <c r="A6" s="1">
        <v>4</v>
      </c>
      <c r="B6" s="1" t="s">
        <v>17</v>
      </c>
      <c r="C6" s="1" t="s">
        <v>37</v>
      </c>
      <c r="D6" s="3">
        <v>7</v>
      </c>
      <c r="E6" s="4">
        <v>350</v>
      </c>
      <c r="F6" s="4">
        <f t="shared" si="0"/>
        <v>175</v>
      </c>
      <c r="G6" s="4">
        <f t="shared" si="1"/>
        <v>0</v>
      </c>
      <c r="H6" s="4">
        <f t="shared" si="2"/>
        <v>525</v>
      </c>
      <c r="I6" s="4">
        <f t="shared" si="3"/>
        <v>105</v>
      </c>
      <c r="J6" s="4">
        <f t="shared" si="4"/>
        <v>420</v>
      </c>
      <c r="K6" s="8">
        <f>J6/J23</f>
        <v>2.7223371653469809E-2</v>
      </c>
    </row>
    <row r="7" spans="1:11" x14ac:dyDescent="0.25">
      <c r="A7" s="1">
        <v>5</v>
      </c>
      <c r="B7" s="1" t="s">
        <v>18</v>
      </c>
      <c r="C7" s="1" t="s">
        <v>38</v>
      </c>
      <c r="D7" s="3">
        <v>10</v>
      </c>
      <c r="E7" s="4">
        <v>400</v>
      </c>
      <c r="F7" s="4">
        <f t="shared" si="0"/>
        <v>200</v>
      </c>
      <c r="G7" s="4">
        <f t="shared" si="1"/>
        <v>80</v>
      </c>
      <c r="H7" s="4">
        <f t="shared" si="2"/>
        <v>680</v>
      </c>
      <c r="I7" s="4">
        <f t="shared" si="3"/>
        <v>136</v>
      </c>
      <c r="J7" s="4">
        <f t="shared" si="4"/>
        <v>544</v>
      </c>
      <c r="K7" s="8">
        <f>J7/J23</f>
        <v>3.526074804639899E-2</v>
      </c>
    </row>
    <row r="8" spans="1:11" x14ac:dyDescent="0.25">
      <c r="A8" s="1">
        <v>6</v>
      </c>
      <c r="B8" s="1" t="s">
        <v>19</v>
      </c>
      <c r="C8" s="1" t="s">
        <v>39</v>
      </c>
      <c r="D8" s="3">
        <v>11</v>
      </c>
      <c r="E8" s="4">
        <v>401</v>
      </c>
      <c r="F8" s="4">
        <f t="shared" si="0"/>
        <v>200.5</v>
      </c>
      <c r="G8" s="4">
        <f t="shared" si="1"/>
        <v>80.2</v>
      </c>
      <c r="H8" s="4">
        <f t="shared" si="2"/>
        <v>681.7</v>
      </c>
      <c r="I8" s="4">
        <f t="shared" si="3"/>
        <v>136.34</v>
      </c>
      <c r="J8" s="4">
        <f t="shared" si="4"/>
        <v>545.36</v>
      </c>
      <c r="K8" s="8">
        <f>J8/J23</f>
        <v>3.5348899916514992E-2</v>
      </c>
    </row>
    <row r="9" spans="1:11" x14ac:dyDescent="0.25">
      <c r="A9" s="1">
        <v>7</v>
      </c>
      <c r="B9" s="1" t="s">
        <v>20</v>
      </c>
      <c r="C9" s="1" t="s">
        <v>40</v>
      </c>
      <c r="D9" s="3">
        <v>13</v>
      </c>
      <c r="E9" s="4">
        <v>450</v>
      </c>
      <c r="F9" s="4">
        <f t="shared" si="0"/>
        <v>225</v>
      </c>
      <c r="G9" s="4">
        <f t="shared" si="1"/>
        <v>90</v>
      </c>
      <c r="H9" s="4">
        <f t="shared" si="2"/>
        <v>765</v>
      </c>
      <c r="I9" s="4">
        <f t="shared" si="3"/>
        <v>153</v>
      </c>
      <c r="J9" s="4">
        <f t="shared" si="4"/>
        <v>612</v>
      </c>
      <c r="K9" s="8">
        <f>J9/J23</f>
        <v>3.9668341552198866E-2</v>
      </c>
    </row>
    <row r="10" spans="1:11" x14ac:dyDescent="0.25">
      <c r="A10" s="1">
        <v>8</v>
      </c>
      <c r="B10" s="1" t="s">
        <v>21</v>
      </c>
      <c r="C10" s="1" t="s">
        <v>41</v>
      </c>
      <c r="D10" s="3">
        <v>15</v>
      </c>
      <c r="E10" s="4">
        <v>500</v>
      </c>
      <c r="F10" s="4">
        <f t="shared" si="0"/>
        <v>250</v>
      </c>
      <c r="G10" s="4">
        <f t="shared" si="1"/>
        <v>100</v>
      </c>
      <c r="H10" s="4">
        <f t="shared" si="2"/>
        <v>850</v>
      </c>
      <c r="I10" s="4">
        <f t="shared" si="3"/>
        <v>170</v>
      </c>
      <c r="J10" s="4">
        <f t="shared" si="4"/>
        <v>680</v>
      </c>
      <c r="K10" s="8">
        <f>J10/J23</f>
        <v>4.4075935057998741E-2</v>
      </c>
    </row>
    <row r="11" spans="1:11" x14ac:dyDescent="0.25">
      <c r="A11" s="1">
        <v>9</v>
      </c>
      <c r="B11" s="1" t="s">
        <v>22</v>
      </c>
      <c r="C11" s="1" t="s">
        <v>42</v>
      </c>
      <c r="D11" s="3">
        <v>17</v>
      </c>
      <c r="E11" s="4">
        <v>550</v>
      </c>
      <c r="F11" s="4">
        <f t="shared" si="0"/>
        <v>275</v>
      </c>
      <c r="G11" s="4">
        <f t="shared" si="1"/>
        <v>110</v>
      </c>
      <c r="H11" s="4">
        <f t="shared" si="2"/>
        <v>935</v>
      </c>
      <c r="I11" s="4">
        <f t="shared" si="3"/>
        <v>187</v>
      </c>
      <c r="J11" s="4">
        <f t="shared" si="4"/>
        <v>748</v>
      </c>
      <c r="K11" s="8">
        <f>J11/J23</f>
        <v>4.8483528563798617E-2</v>
      </c>
    </row>
    <row r="12" spans="1:11" x14ac:dyDescent="0.25">
      <c r="A12" s="1">
        <v>10</v>
      </c>
      <c r="B12" s="1" t="s">
        <v>23</v>
      </c>
      <c r="C12" s="1" t="s">
        <v>43</v>
      </c>
      <c r="D12" s="3">
        <v>20</v>
      </c>
      <c r="E12" s="4">
        <v>600</v>
      </c>
      <c r="F12" s="4">
        <f t="shared" si="0"/>
        <v>300</v>
      </c>
      <c r="G12" s="4">
        <f t="shared" si="1"/>
        <v>120</v>
      </c>
      <c r="H12" s="4">
        <f t="shared" si="2"/>
        <v>1020</v>
      </c>
      <c r="I12" s="4">
        <f t="shared" si="3"/>
        <v>204</v>
      </c>
      <c r="J12" s="4">
        <f t="shared" si="4"/>
        <v>816</v>
      </c>
      <c r="K12" s="8">
        <f>J12/J23</f>
        <v>5.2891122069598485E-2</v>
      </c>
    </row>
    <row r="13" spans="1:11" x14ac:dyDescent="0.25">
      <c r="A13" s="1">
        <v>11</v>
      </c>
      <c r="B13" s="1" t="s">
        <v>24</v>
      </c>
      <c r="C13" s="1" t="s">
        <v>44</v>
      </c>
      <c r="D13" s="3">
        <v>21</v>
      </c>
      <c r="E13" s="4">
        <v>601</v>
      </c>
      <c r="F13" s="4">
        <f t="shared" si="0"/>
        <v>300.5</v>
      </c>
      <c r="G13" s="4">
        <f t="shared" si="1"/>
        <v>120.2</v>
      </c>
      <c r="H13" s="4">
        <f t="shared" si="2"/>
        <v>1021.7</v>
      </c>
      <c r="I13" s="4">
        <f t="shared" si="3"/>
        <v>204.34000000000003</v>
      </c>
      <c r="J13" s="4">
        <f t="shared" si="4"/>
        <v>817.36</v>
      </c>
      <c r="K13" s="8">
        <f>J13/J23</f>
        <v>5.2979273939714487E-2</v>
      </c>
    </row>
    <row r="14" spans="1:11" x14ac:dyDescent="0.25">
      <c r="A14" s="1">
        <v>12</v>
      </c>
      <c r="B14" s="1" t="s">
        <v>25</v>
      </c>
      <c r="C14" s="1" t="s">
        <v>45</v>
      </c>
      <c r="D14" s="3">
        <v>23</v>
      </c>
      <c r="E14" s="4">
        <v>650</v>
      </c>
      <c r="F14" s="4">
        <f t="shared" si="0"/>
        <v>325</v>
      </c>
      <c r="G14" s="4">
        <f t="shared" si="1"/>
        <v>130</v>
      </c>
      <c r="H14" s="4">
        <f t="shared" si="2"/>
        <v>1105</v>
      </c>
      <c r="I14" s="4">
        <f t="shared" si="3"/>
        <v>221</v>
      </c>
      <c r="J14" s="4">
        <f t="shared" si="4"/>
        <v>884</v>
      </c>
      <c r="K14" s="8">
        <f>J14/J23</f>
        <v>5.7298715575398361E-2</v>
      </c>
    </row>
    <row r="15" spans="1:11" x14ac:dyDescent="0.25">
      <c r="A15" s="1">
        <v>13</v>
      </c>
      <c r="B15" s="1" t="s">
        <v>26</v>
      </c>
      <c r="C15" s="1" t="s">
        <v>46</v>
      </c>
      <c r="D15" s="3">
        <v>25</v>
      </c>
      <c r="E15" s="4">
        <v>700</v>
      </c>
      <c r="F15" s="4">
        <f t="shared" si="0"/>
        <v>350</v>
      </c>
      <c r="G15" s="4">
        <f t="shared" si="1"/>
        <v>140</v>
      </c>
      <c r="H15" s="4">
        <f t="shared" si="2"/>
        <v>1190</v>
      </c>
      <c r="I15" s="4">
        <f t="shared" si="3"/>
        <v>238</v>
      </c>
      <c r="J15" s="4">
        <f t="shared" si="4"/>
        <v>952</v>
      </c>
      <c r="K15" s="8">
        <f>J15/J23</f>
        <v>6.1706309081198236E-2</v>
      </c>
    </row>
    <row r="16" spans="1:11" x14ac:dyDescent="0.25">
      <c r="A16" s="1">
        <v>14</v>
      </c>
      <c r="B16" s="1" t="s">
        <v>27</v>
      </c>
      <c r="C16" s="1" t="s">
        <v>47</v>
      </c>
      <c r="D16" s="3">
        <v>27</v>
      </c>
      <c r="E16" s="4">
        <v>750</v>
      </c>
      <c r="F16" s="4">
        <f t="shared" si="0"/>
        <v>375</v>
      </c>
      <c r="G16" s="4">
        <f t="shared" si="1"/>
        <v>150</v>
      </c>
      <c r="H16" s="4">
        <f t="shared" si="2"/>
        <v>1275</v>
      </c>
      <c r="I16" s="4">
        <f t="shared" si="3"/>
        <v>255</v>
      </c>
      <c r="J16" s="4">
        <f t="shared" si="4"/>
        <v>1020</v>
      </c>
      <c r="K16" s="8">
        <f>J16/J23</f>
        <v>6.6113902586998105E-2</v>
      </c>
    </row>
    <row r="17" spans="1:11" x14ac:dyDescent="0.25">
      <c r="A17" s="1">
        <v>15</v>
      </c>
      <c r="B17" s="1" t="s">
        <v>28</v>
      </c>
      <c r="C17" s="1" t="s">
        <v>48</v>
      </c>
      <c r="D17" s="3">
        <v>30</v>
      </c>
      <c r="E17" s="4">
        <v>800</v>
      </c>
      <c r="F17" s="4">
        <f t="shared" si="0"/>
        <v>400</v>
      </c>
      <c r="G17" s="4">
        <f t="shared" si="1"/>
        <v>160</v>
      </c>
      <c r="H17" s="4">
        <f t="shared" si="2"/>
        <v>1360</v>
      </c>
      <c r="I17" s="4">
        <f t="shared" si="3"/>
        <v>272</v>
      </c>
      <c r="J17" s="4">
        <f t="shared" si="4"/>
        <v>1088</v>
      </c>
      <c r="K17" s="8">
        <f>J17/J23</f>
        <v>7.0521496092797981E-2</v>
      </c>
    </row>
    <row r="18" spans="1:11" x14ac:dyDescent="0.25">
      <c r="A18" s="1">
        <v>16</v>
      </c>
      <c r="B18" s="1" t="s">
        <v>29</v>
      </c>
      <c r="C18" s="1" t="s">
        <v>49</v>
      </c>
      <c r="D18" s="3">
        <v>2</v>
      </c>
      <c r="E18" s="4">
        <v>801</v>
      </c>
      <c r="F18" s="4">
        <f t="shared" si="0"/>
        <v>400.5</v>
      </c>
      <c r="G18" s="4">
        <f t="shared" si="1"/>
        <v>0</v>
      </c>
      <c r="H18" s="4">
        <f t="shared" si="2"/>
        <v>1201.5</v>
      </c>
      <c r="I18" s="4">
        <f t="shared" si="3"/>
        <v>240.3</v>
      </c>
      <c r="J18" s="4">
        <f t="shared" si="4"/>
        <v>961.2</v>
      </c>
      <c r="K18" s="8">
        <f>J18/J23</f>
        <v>6.2302630555512342E-2</v>
      </c>
    </row>
    <row r="19" spans="1:11" x14ac:dyDescent="0.25">
      <c r="A19" s="1">
        <v>17</v>
      </c>
      <c r="B19" s="1" t="s">
        <v>30</v>
      </c>
      <c r="C19" s="1" t="s">
        <v>50</v>
      </c>
      <c r="D19" s="3">
        <v>4</v>
      </c>
      <c r="E19" s="4">
        <v>850</v>
      </c>
      <c r="F19" s="4">
        <f t="shared" si="0"/>
        <v>425</v>
      </c>
      <c r="G19" s="4">
        <f t="shared" si="1"/>
        <v>0</v>
      </c>
      <c r="H19" s="4">
        <f t="shared" si="2"/>
        <v>1275</v>
      </c>
      <c r="I19" s="4">
        <f t="shared" si="3"/>
        <v>255</v>
      </c>
      <c r="J19" s="4">
        <f t="shared" si="4"/>
        <v>1020</v>
      </c>
      <c r="K19" s="8">
        <f>J19/J23</f>
        <v>6.6113902586998105E-2</v>
      </c>
    </row>
    <row r="20" spans="1:11" x14ac:dyDescent="0.25">
      <c r="A20" s="1">
        <v>18</v>
      </c>
      <c r="B20" s="1" t="s">
        <v>31</v>
      </c>
      <c r="C20" s="1" t="s">
        <v>51</v>
      </c>
      <c r="D20" s="3">
        <v>6</v>
      </c>
      <c r="E20" s="4">
        <v>900</v>
      </c>
      <c r="F20" s="4">
        <f t="shared" si="0"/>
        <v>450</v>
      </c>
      <c r="G20" s="4">
        <f t="shared" si="1"/>
        <v>0</v>
      </c>
      <c r="H20" s="4">
        <f t="shared" si="2"/>
        <v>1350</v>
      </c>
      <c r="I20" s="4">
        <f t="shared" si="3"/>
        <v>270</v>
      </c>
      <c r="J20" s="4">
        <f t="shared" si="4"/>
        <v>1080</v>
      </c>
      <c r="K20" s="8">
        <f>J20/J23</f>
        <v>7.0002955680350934E-2</v>
      </c>
    </row>
    <row r="21" spans="1:11" x14ac:dyDescent="0.25">
      <c r="A21" s="1">
        <v>19</v>
      </c>
      <c r="B21" s="1" t="s">
        <v>32</v>
      </c>
      <c r="C21" s="1" t="s">
        <v>52</v>
      </c>
      <c r="D21" s="3">
        <v>8</v>
      </c>
      <c r="E21" s="4">
        <v>950</v>
      </c>
      <c r="F21" s="4">
        <f t="shared" si="0"/>
        <v>475</v>
      </c>
      <c r="G21" s="4">
        <f t="shared" si="1"/>
        <v>0</v>
      </c>
      <c r="H21" s="4">
        <f t="shared" si="2"/>
        <v>1425</v>
      </c>
      <c r="I21" s="4">
        <f t="shared" si="3"/>
        <v>285</v>
      </c>
      <c r="J21" s="4">
        <f t="shared" si="4"/>
        <v>1140</v>
      </c>
      <c r="K21" s="8">
        <f>J21/J23</f>
        <v>7.3892008773703763E-2</v>
      </c>
    </row>
    <row r="22" spans="1:11" x14ac:dyDescent="0.25">
      <c r="A22" s="1">
        <v>20</v>
      </c>
      <c r="B22" s="1" t="s">
        <v>33</v>
      </c>
      <c r="C22" s="1" t="s">
        <v>53</v>
      </c>
      <c r="D22" s="3">
        <v>9</v>
      </c>
      <c r="E22" s="4">
        <v>1000</v>
      </c>
      <c r="F22" s="4">
        <f t="shared" si="0"/>
        <v>500</v>
      </c>
      <c r="G22" s="4">
        <f t="shared" si="1"/>
        <v>0</v>
      </c>
      <c r="H22" s="4">
        <f t="shared" si="2"/>
        <v>1500</v>
      </c>
      <c r="I22" s="4">
        <f t="shared" si="3"/>
        <v>300</v>
      </c>
      <c r="J22" s="4">
        <f t="shared" si="4"/>
        <v>1200</v>
      </c>
      <c r="K22" s="8">
        <f>J22/J23</f>
        <v>7.7781061867056606E-2</v>
      </c>
    </row>
    <row r="23" spans="1:11" x14ac:dyDescent="0.25">
      <c r="A23" s="11" t="s">
        <v>12</v>
      </c>
      <c r="B23" s="12"/>
      <c r="C23" s="12"/>
      <c r="D23" s="13"/>
      <c r="E23" s="5">
        <f t="shared" ref="E23:K23" si="5">E3+E4+E5+E6+E7+E8+E9+E10+E11+E12+E13+E14+E15+E16+E17+E18+E19+E20+E21+E22</f>
        <v>12003</v>
      </c>
      <c r="F23" s="6">
        <f t="shared" si="5"/>
        <v>6001.5</v>
      </c>
      <c r="G23" s="6">
        <f t="shared" si="5"/>
        <v>1280.4000000000001</v>
      </c>
      <c r="H23" s="6">
        <f t="shared" si="5"/>
        <v>19284.900000000001</v>
      </c>
      <c r="I23" s="6">
        <f t="shared" si="5"/>
        <v>3856.9800000000005</v>
      </c>
      <c r="J23" s="6">
        <f t="shared" si="5"/>
        <v>15427.920000000002</v>
      </c>
      <c r="K23" s="9">
        <f t="shared" si="5"/>
        <v>0.99999999999999989</v>
      </c>
    </row>
    <row r="24" spans="1:11" x14ac:dyDescent="0.25">
      <c r="A24" s="11" t="s">
        <v>13</v>
      </c>
      <c r="B24" s="12"/>
      <c r="C24" s="12"/>
      <c r="D24" s="13"/>
      <c r="E24" s="6">
        <f t="shared" ref="E24:K24" si="6">E23/20</f>
        <v>600.15</v>
      </c>
      <c r="F24" s="6">
        <f t="shared" si="6"/>
        <v>300.07499999999999</v>
      </c>
      <c r="G24" s="6">
        <f t="shared" si="6"/>
        <v>64.02000000000001</v>
      </c>
      <c r="H24" s="6">
        <f t="shared" si="6"/>
        <v>964.24500000000012</v>
      </c>
      <c r="I24" s="6">
        <f t="shared" si="6"/>
        <v>192.84900000000002</v>
      </c>
      <c r="J24" s="6">
        <f t="shared" si="6"/>
        <v>771.39600000000007</v>
      </c>
      <c r="K24" s="9">
        <f t="shared" si="6"/>
        <v>4.9999999999999996E-2</v>
      </c>
    </row>
  </sheetData>
  <mergeCells count="3">
    <mergeCell ref="A23:D23"/>
    <mergeCell ref="A24:D24"/>
    <mergeCell ref="A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Q28" sqref="Q28"/>
    </sheetView>
  </sheetViews>
  <sheetFormatPr defaultRowHeight="15" x14ac:dyDescent="0.25"/>
  <cols>
    <col min="5" max="5" width="11" customWidth="1"/>
    <col min="6" max="6" width="10.28515625" customWidth="1"/>
    <col min="7" max="7" width="10.5703125" customWidth="1"/>
    <col min="8" max="8" width="11.28515625" customWidth="1"/>
    <col min="9" max="9" width="10.42578125" customWidth="1"/>
    <col min="10" max="10" width="11.7109375" customWidth="1"/>
  </cols>
  <sheetData>
    <row r="1" spans="1:11" x14ac:dyDescent="0.25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>
        <v>1</v>
      </c>
      <c r="B3" s="1" t="s">
        <v>14</v>
      </c>
      <c r="C3" s="1" t="s">
        <v>34</v>
      </c>
      <c r="D3" s="3">
        <v>1</v>
      </c>
      <c r="E3" s="4">
        <f>SUM(Лист1!$E$3,200*10%)</f>
        <v>220</v>
      </c>
      <c r="F3" s="4">
        <f t="shared" ref="F3:F22" si="0">E3*50%</f>
        <v>110</v>
      </c>
      <c r="G3" s="4">
        <f t="shared" ref="G3:G22" si="1">IF(D3&gt;=10,E3*20%,0)</f>
        <v>0</v>
      </c>
      <c r="H3" s="4">
        <f t="shared" ref="H3:H22" si="2">E3+F3+G3</f>
        <v>330</v>
      </c>
      <c r="I3" s="4">
        <f t="shared" ref="I3:I22" si="3">H3*20%</f>
        <v>66</v>
      </c>
      <c r="J3" s="4">
        <f t="shared" ref="J3:J22" si="4">H3-I3</f>
        <v>264</v>
      </c>
      <c r="K3" s="8">
        <f>J3/J23</f>
        <v>1.5556212373411323E-2</v>
      </c>
    </row>
    <row r="4" spans="1:11" x14ac:dyDescent="0.25">
      <c r="A4" s="1">
        <v>2</v>
      </c>
      <c r="B4" s="1" t="s">
        <v>15</v>
      </c>
      <c r="C4" s="1" t="s">
        <v>35</v>
      </c>
      <c r="D4" s="3">
        <v>3</v>
      </c>
      <c r="E4" s="4">
        <f>SUM(Лист1!$E$4,250*10%)</f>
        <v>275</v>
      </c>
      <c r="F4" s="4">
        <f t="shared" si="0"/>
        <v>137.5</v>
      </c>
      <c r="G4" s="7">
        <f t="shared" si="1"/>
        <v>0</v>
      </c>
      <c r="H4" s="4">
        <f t="shared" si="2"/>
        <v>412.5</v>
      </c>
      <c r="I4" s="4">
        <f t="shared" si="3"/>
        <v>82.5</v>
      </c>
      <c r="J4" s="4">
        <f t="shared" si="4"/>
        <v>330</v>
      </c>
      <c r="K4" s="8">
        <f>J4/J23</f>
        <v>1.9445265466764151E-2</v>
      </c>
    </row>
    <row r="5" spans="1:11" x14ac:dyDescent="0.25">
      <c r="A5" s="1">
        <v>3</v>
      </c>
      <c r="B5" s="1" t="s">
        <v>16</v>
      </c>
      <c r="C5" s="1" t="s">
        <v>36</v>
      </c>
      <c r="D5" s="3">
        <v>5</v>
      </c>
      <c r="E5" s="4">
        <f>SUM(Лист1!$E$5,300*10%)</f>
        <v>330</v>
      </c>
      <c r="F5" s="4">
        <f t="shared" si="0"/>
        <v>165</v>
      </c>
      <c r="G5" s="4">
        <f t="shared" si="1"/>
        <v>0</v>
      </c>
      <c r="H5" s="4">
        <f t="shared" si="2"/>
        <v>495</v>
      </c>
      <c r="I5" s="4">
        <f t="shared" si="3"/>
        <v>99</v>
      </c>
      <c r="J5" s="4">
        <f t="shared" si="4"/>
        <v>396</v>
      </c>
      <c r="K5" s="8">
        <f>J5/J23</f>
        <v>2.3334318560116984E-2</v>
      </c>
    </row>
    <row r="6" spans="1:11" x14ac:dyDescent="0.25">
      <c r="A6" s="1">
        <v>4</v>
      </c>
      <c r="B6" s="1" t="s">
        <v>17</v>
      </c>
      <c r="C6" s="1" t="s">
        <v>37</v>
      </c>
      <c r="D6" s="3">
        <v>7</v>
      </c>
      <c r="E6" s="4">
        <f>SUM(Лист1!$E$6,350*10%)</f>
        <v>385</v>
      </c>
      <c r="F6" s="4">
        <f t="shared" si="0"/>
        <v>192.5</v>
      </c>
      <c r="G6" s="4">
        <f t="shared" si="1"/>
        <v>0</v>
      </c>
      <c r="H6" s="4">
        <f t="shared" si="2"/>
        <v>577.5</v>
      </c>
      <c r="I6" s="4">
        <f t="shared" si="3"/>
        <v>115.5</v>
      </c>
      <c r="J6" s="4">
        <f t="shared" si="4"/>
        <v>462</v>
      </c>
      <c r="K6" s="8">
        <f>J6/J23</f>
        <v>2.7223371653469813E-2</v>
      </c>
    </row>
    <row r="7" spans="1:11" x14ac:dyDescent="0.25">
      <c r="A7" s="1">
        <v>5</v>
      </c>
      <c r="B7" s="1" t="s">
        <v>18</v>
      </c>
      <c r="C7" s="1" t="s">
        <v>38</v>
      </c>
      <c r="D7" s="3">
        <v>10</v>
      </c>
      <c r="E7" s="4">
        <f>SUM(Лист1!$E$7,400*10%)</f>
        <v>440</v>
      </c>
      <c r="F7" s="4">
        <f t="shared" si="0"/>
        <v>220</v>
      </c>
      <c r="G7" s="4">
        <f t="shared" si="1"/>
        <v>88</v>
      </c>
      <c r="H7" s="4">
        <f t="shared" si="2"/>
        <v>748</v>
      </c>
      <c r="I7" s="4">
        <f t="shared" si="3"/>
        <v>149.6</v>
      </c>
      <c r="J7" s="4">
        <f t="shared" si="4"/>
        <v>598.4</v>
      </c>
      <c r="K7" s="8">
        <f>J7/J23</f>
        <v>3.5260748046398997E-2</v>
      </c>
    </row>
    <row r="8" spans="1:11" x14ac:dyDescent="0.25">
      <c r="A8" s="1">
        <v>6</v>
      </c>
      <c r="B8" s="1" t="s">
        <v>19</v>
      </c>
      <c r="C8" s="1" t="s">
        <v>39</v>
      </c>
      <c r="D8" s="3">
        <v>11</v>
      </c>
      <c r="E8" s="4">
        <f>SUM(Лист1!$E$8,401*10%)</f>
        <v>441.1</v>
      </c>
      <c r="F8" s="4">
        <f t="shared" si="0"/>
        <v>220.55</v>
      </c>
      <c r="G8" s="4">
        <f t="shared" si="1"/>
        <v>88.220000000000013</v>
      </c>
      <c r="H8" s="4">
        <f t="shared" si="2"/>
        <v>749.87000000000012</v>
      </c>
      <c r="I8" s="4">
        <f t="shared" si="3"/>
        <v>149.97400000000002</v>
      </c>
      <c r="J8" s="4">
        <f t="shared" si="4"/>
        <v>599.89600000000007</v>
      </c>
      <c r="K8" s="8">
        <f>J8/J23</f>
        <v>3.5348899916514999E-2</v>
      </c>
    </row>
    <row r="9" spans="1:11" x14ac:dyDescent="0.25">
      <c r="A9" s="1">
        <v>7</v>
      </c>
      <c r="B9" s="1" t="s">
        <v>20</v>
      </c>
      <c r="C9" s="1" t="s">
        <v>40</v>
      </c>
      <c r="D9" s="3">
        <v>13</v>
      </c>
      <c r="E9" s="4">
        <f>SUM(Лист1!$E$9,450*10%)</f>
        <v>495</v>
      </c>
      <c r="F9" s="4">
        <f t="shared" si="0"/>
        <v>247.5</v>
      </c>
      <c r="G9" s="4">
        <f t="shared" si="1"/>
        <v>99</v>
      </c>
      <c r="H9" s="4">
        <f t="shared" si="2"/>
        <v>841.5</v>
      </c>
      <c r="I9" s="4">
        <f t="shared" si="3"/>
        <v>168.3</v>
      </c>
      <c r="J9" s="4">
        <f t="shared" si="4"/>
        <v>673.2</v>
      </c>
      <c r="K9" s="8">
        <f>J9/J23</f>
        <v>3.9668341552198873E-2</v>
      </c>
    </row>
    <row r="10" spans="1:11" x14ac:dyDescent="0.25">
      <c r="A10" s="1">
        <v>8</v>
      </c>
      <c r="B10" s="1" t="s">
        <v>21</v>
      </c>
      <c r="C10" s="1" t="s">
        <v>41</v>
      </c>
      <c r="D10" s="3">
        <v>15</v>
      </c>
      <c r="E10" s="4">
        <f>SUM(Лист1!$E$10,500*10%)</f>
        <v>550</v>
      </c>
      <c r="F10" s="4">
        <f t="shared" si="0"/>
        <v>275</v>
      </c>
      <c r="G10" s="4">
        <f t="shared" si="1"/>
        <v>110</v>
      </c>
      <c r="H10" s="4">
        <f t="shared" si="2"/>
        <v>935</v>
      </c>
      <c r="I10" s="4">
        <f t="shared" si="3"/>
        <v>187</v>
      </c>
      <c r="J10" s="4">
        <f t="shared" si="4"/>
        <v>748</v>
      </c>
      <c r="K10" s="8">
        <f>J10/J23</f>
        <v>4.4075935057998748E-2</v>
      </c>
    </row>
    <row r="11" spans="1:11" x14ac:dyDescent="0.25">
      <c r="A11" s="1">
        <v>9</v>
      </c>
      <c r="B11" s="1" t="s">
        <v>22</v>
      </c>
      <c r="C11" s="1" t="s">
        <v>42</v>
      </c>
      <c r="D11" s="3">
        <v>17</v>
      </c>
      <c r="E11" s="4">
        <f>SUM(Лист1!$E$11,550*10%)</f>
        <v>605</v>
      </c>
      <c r="F11" s="4">
        <f t="shared" si="0"/>
        <v>302.5</v>
      </c>
      <c r="G11" s="4">
        <f t="shared" si="1"/>
        <v>121</v>
      </c>
      <c r="H11" s="4">
        <f t="shared" si="2"/>
        <v>1028.5</v>
      </c>
      <c r="I11" s="4">
        <f t="shared" si="3"/>
        <v>205.70000000000002</v>
      </c>
      <c r="J11" s="4">
        <f t="shared" si="4"/>
        <v>822.8</v>
      </c>
      <c r="K11" s="8">
        <f>J11/J23</f>
        <v>4.8483528563798617E-2</v>
      </c>
    </row>
    <row r="12" spans="1:11" x14ac:dyDescent="0.25">
      <c r="A12" s="1">
        <v>10</v>
      </c>
      <c r="B12" s="1" t="s">
        <v>23</v>
      </c>
      <c r="C12" s="1" t="s">
        <v>43</v>
      </c>
      <c r="D12" s="3">
        <v>20</v>
      </c>
      <c r="E12" s="4">
        <f>SUM(Лист1!$E$12,600*10%)</f>
        <v>660</v>
      </c>
      <c r="F12" s="4">
        <f t="shared" si="0"/>
        <v>330</v>
      </c>
      <c r="G12" s="4">
        <f t="shared" si="1"/>
        <v>132</v>
      </c>
      <c r="H12" s="4">
        <f t="shared" si="2"/>
        <v>1122</v>
      </c>
      <c r="I12" s="4">
        <f t="shared" si="3"/>
        <v>224.4</v>
      </c>
      <c r="J12" s="4">
        <f t="shared" si="4"/>
        <v>897.6</v>
      </c>
      <c r="K12" s="8">
        <f>J12/J23</f>
        <v>5.2891122069598499E-2</v>
      </c>
    </row>
    <row r="13" spans="1:11" x14ac:dyDescent="0.25">
      <c r="A13" s="1">
        <v>11</v>
      </c>
      <c r="B13" s="1" t="s">
        <v>24</v>
      </c>
      <c r="C13" s="1" t="s">
        <v>44</v>
      </c>
      <c r="D13" s="3">
        <v>21</v>
      </c>
      <c r="E13" s="4">
        <f>SUM(Лист1!$E$13,601*10%)</f>
        <v>661.1</v>
      </c>
      <c r="F13" s="4">
        <f t="shared" si="0"/>
        <v>330.55</v>
      </c>
      <c r="G13" s="4">
        <f t="shared" si="1"/>
        <v>132.22</v>
      </c>
      <c r="H13" s="4">
        <f t="shared" si="2"/>
        <v>1123.8700000000001</v>
      </c>
      <c r="I13" s="4">
        <f t="shared" si="3"/>
        <v>224.77400000000003</v>
      </c>
      <c r="J13" s="4">
        <f t="shared" si="4"/>
        <v>899.09600000000012</v>
      </c>
      <c r="K13" s="8">
        <f>J13/J23</f>
        <v>5.2979273939714501E-2</v>
      </c>
    </row>
    <row r="14" spans="1:11" x14ac:dyDescent="0.25">
      <c r="A14" s="1">
        <v>12</v>
      </c>
      <c r="B14" s="1" t="s">
        <v>25</v>
      </c>
      <c r="C14" s="1" t="s">
        <v>45</v>
      </c>
      <c r="D14" s="3">
        <v>23</v>
      </c>
      <c r="E14" s="4">
        <f>SUM(Лист1!$E$14,650*10%)</f>
        <v>715</v>
      </c>
      <c r="F14" s="4">
        <f t="shared" si="0"/>
        <v>357.5</v>
      </c>
      <c r="G14" s="4">
        <f t="shared" si="1"/>
        <v>143</v>
      </c>
      <c r="H14" s="4">
        <f t="shared" si="2"/>
        <v>1215.5</v>
      </c>
      <c r="I14" s="4">
        <f t="shared" si="3"/>
        <v>243.10000000000002</v>
      </c>
      <c r="J14" s="4">
        <f t="shared" si="4"/>
        <v>972.4</v>
      </c>
      <c r="K14" s="8">
        <f>J14/J23</f>
        <v>5.7298715575398368E-2</v>
      </c>
    </row>
    <row r="15" spans="1:11" x14ac:dyDescent="0.25">
      <c r="A15" s="1">
        <v>13</v>
      </c>
      <c r="B15" s="1" t="s">
        <v>26</v>
      </c>
      <c r="C15" s="1" t="s">
        <v>46</v>
      </c>
      <c r="D15" s="3">
        <v>25</v>
      </c>
      <c r="E15" s="4">
        <f>SUM(Лист1!$E$15,700*10%)</f>
        <v>770</v>
      </c>
      <c r="F15" s="4">
        <f t="shared" si="0"/>
        <v>385</v>
      </c>
      <c r="G15" s="4">
        <f t="shared" si="1"/>
        <v>154</v>
      </c>
      <c r="H15" s="4">
        <f t="shared" si="2"/>
        <v>1309</v>
      </c>
      <c r="I15" s="4">
        <f t="shared" si="3"/>
        <v>261.8</v>
      </c>
      <c r="J15" s="4">
        <f t="shared" si="4"/>
        <v>1047.2</v>
      </c>
      <c r="K15" s="8">
        <f>J15/J23</f>
        <v>6.170630908119825E-2</v>
      </c>
    </row>
    <row r="16" spans="1:11" x14ac:dyDescent="0.25">
      <c r="A16" s="1">
        <v>14</v>
      </c>
      <c r="B16" s="1" t="s">
        <v>27</v>
      </c>
      <c r="C16" s="1" t="s">
        <v>47</v>
      </c>
      <c r="D16" s="3">
        <v>27</v>
      </c>
      <c r="E16" s="4">
        <f>SUM(Лист1!$E$16,750*10%)</f>
        <v>825</v>
      </c>
      <c r="F16" s="4">
        <f t="shared" si="0"/>
        <v>412.5</v>
      </c>
      <c r="G16" s="4">
        <f t="shared" si="1"/>
        <v>165</v>
      </c>
      <c r="H16" s="4">
        <f t="shared" si="2"/>
        <v>1402.5</v>
      </c>
      <c r="I16" s="4">
        <f t="shared" si="3"/>
        <v>280.5</v>
      </c>
      <c r="J16" s="4">
        <f t="shared" si="4"/>
        <v>1122</v>
      </c>
      <c r="K16" s="8">
        <f>J16/J23</f>
        <v>6.6113902586998119E-2</v>
      </c>
    </row>
    <row r="17" spans="1:11" x14ac:dyDescent="0.25">
      <c r="A17" s="1">
        <v>15</v>
      </c>
      <c r="B17" s="1" t="s">
        <v>28</v>
      </c>
      <c r="C17" s="1" t="s">
        <v>48</v>
      </c>
      <c r="D17" s="3">
        <v>30</v>
      </c>
      <c r="E17" s="4">
        <f>SUM(Лист1!$E$17,800*10%)</f>
        <v>880</v>
      </c>
      <c r="F17" s="4">
        <f t="shared" si="0"/>
        <v>440</v>
      </c>
      <c r="G17" s="4">
        <f t="shared" si="1"/>
        <v>176</v>
      </c>
      <c r="H17" s="4">
        <f t="shared" si="2"/>
        <v>1496</v>
      </c>
      <c r="I17" s="4">
        <f t="shared" si="3"/>
        <v>299.2</v>
      </c>
      <c r="J17" s="4">
        <f t="shared" si="4"/>
        <v>1196.8</v>
      </c>
      <c r="K17" s="8">
        <f>J17/J23</f>
        <v>7.0521496092797994E-2</v>
      </c>
    </row>
    <row r="18" spans="1:11" x14ac:dyDescent="0.25">
      <c r="A18" s="1">
        <v>16</v>
      </c>
      <c r="B18" s="1" t="s">
        <v>29</v>
      </c>
      <c r="C18" s="1" t="s">
        <v>49</v>
      </c>
      <c r="D18" s="3">
        <v>2</v>
      </c>
      <c r="E18" s="4">
        <f>SUM(Лист1!$E$18,801*10%)</f>
        <v>881.1</v>
      </c>
      <c r="F18" s="4">
        <f t="shared" si="0"/>
        <v>440.55</v>
      </c>
      <c r="G18" s="4">
        <f t="shared" si="1"/>
        <v>0</v>
      </c>
      <c r="H18" s="4">
        <f t="shared" si="2"/>
        <v>1321.65</v>
      </c>
      <c r="I18" s="4">
        <f t="shared" si="3"/>
        <v>264.33000000000004</v>
      </c>
      <c r="J18" s="4">
        <f t="shared" si="4"/>
        <v>1057.3200000000002</v>
      </c>
      <c r="K18" s="8">
        <f>J18/J23</f>
        <v>6.2302630555512356E-2</v>
      </c>
    </row>
    <row r="19" spans="1:11" x14ac:dyDescent="0.25">
      <c r="A19" s="1">
        <v>17</v>
      </c>
      <c r="B19" s="1" t="s">
        <v>30</v>
      </c>
      <c r="C19" s="1" t="s">
        <v>50</v>
      </c>
      <c r="D19" s="3">
        <v>4</v>
      </c>
      <c r="E19" s="4">
        <f>SUM(Лист1!$E$19,850*10%)</f>
        <v>935</v>
      </c>
      <c r="F19" s="4">
        <f t="shared" si="0"/>
        <v>467.5</v>
      </c>
      <c r="G19" s="4">
        <f t="shared" si="1"/>
        <v>0</v>
      </c>
      <c r="H19" s="4">
        <f t="shared" si="2"/>
        <v>1402.5</v>
      </c>
      <c r="I19" s="4">
        <f t="shared" si="3"/>
        <v>280.5</v>
      </c>
      <c r="J19" s="4">
        <f t="shared" si="4"/>
        <v>1122</v>
      </c>
      <c r="K19" s="8">
        <f>J19/J23</f>
        <v>6.6113902586998119E-2</v>
      </c>
    </row>
    <row r="20" spans="1:11" x14ac:dyDescent="0.25">
      <c r="A20" s="1">
        <v>18</v>
      </c>
      <c r="B20" s="1" t="s">
        <v>31</v>
      </c>
      <c r="C20" s="1" t="s">
        <v>51</v>
      </c>
      <c r="D20" s="3">
        <v>6</v>
      </c>
      <c r="E20" s="4">
        <f>SUM(Лист1!$E$20,900*10%)</f>
        <v>990</v>
      </c>
      <c r="F20" s="4">
        <f t="shared" si="0"/>
        <v>495</v>
      </c>
      <c r="G20" s="4">
        <f t="shared" si="1"/>
        <v>0</v>
      </c>
      <c r="H20" s="4">
        <f t="shared" si="2"/>
        <v>1485</v>
      </c>
      <c r="I20" s="4">
        <f t="shared" si="3"/>
        <v>297</v>
      </c>
      <c r="J20" s="4">
        <f t="shared" si="4"/>
        <v>1188</v>
      </c>
      <c r="K20" s="8">
        <f>J20/J23</f>
        <v>7.0002955680350948E-2</v>
      </c>
    </row>
    <row r="21" spans="1:11" x14ac:dyDescent="0.25">
      <c r="A21" s="1">
        <v>19</v>
      </c>
      <c r="B21" s="1" t="s">
        <v>32</v>
      </c>
      <c r="C21" s="1" t="s">
        <v>52</v>
      </c>
      <c r="D21" s="3">
        <v>8</v>
      </c>
      <c r="E21" s="4">
        <f>SUM(Лист1!$E$21,950*10%)</f>
        <v>1045</v>
      </c>
      <c r="F21" s="4">
        <f t="shared" si="0"/>
        <v>522.5</v>
      </c>
      <c r="G21" s="4">
        <f t="shared" si="1"/>
        <v>0</v>
      </c>
      <c r="H21" s="4">
        <f t="shared" si="2"/>
        <v>1567.5</v>
      </c>
      <c r="I21" s="4">
        <f t="shared" si="3"/>
        <v>313.5</v>
      </c>
      <c r="J21" s="4">
        <f t="shared" si="4"/>
        <v>1254</v>
      </c>
      <c r="K21" s="8">
        <f>J21/J23</f>
        <v>7.3892008773703777E-2</v>
      </c>
    </row>
    <row r="22" spans="1:11" x14ac:dyDescent="0.25">
      <c r="A22" s="1">
        <v>20</v>
      </c>
      <c r="B22" s="1" t="s">
        <v>33</v>
      </c>
      <c r="C22" s="1" t="s">
        <v>53</v>
      </c>
      <c r="D22" s="3">
        <v>9</v>
      </c>
      <c r="E22" s="4">
        <f>SUM(Лист1!$E$22,1000*10%)</f>
        <v>1100</v>
      </c>
      <c r="F22" s="4">
        <f t="shared" si="0"/>
        <v>550</v>
      </c>
      <c r="G22" s="4">
        <f t="shared" si="1"/>
        <v>0</v>
      </c>
      <c r="H22" s="4">
        <f t="shared" si="2"/>
        <v>1650</v>
      </c>
      <c r="I22" s="4">
        <f t="shared" si="3"/>
        <v>330</v>
      </c>
      <c r="J22" s="4">
        <f t="shared" si="4"/>
        <v>1320</v>
      </c>
      <c r="K22" s="8">
        <f>J22/J23</f>
        <v>7.7781061867056606E-2</v>
      </c>
    </row>
    <row r="23" spans="1:11" x14ac:dyDescent="0.25">
      <c r="A23" s="11" t="s">
        <v>12</v>
      </c>
      <c r="B23" s="12"/>
      <c r="C23" s="12"/>
      <c r="D23" s="13"/>
      <c r="E23" s="5">
        <f t="shared" ref="E23:K23" si="5">E3+E4+E5+E6+E7+E8+E9+E10+E11+E12+E13+E14+E15+E16+E17+E18+E19+E20+E21+E22</f>
        <v>13203.300000000001</v>
      </c>
      <c r="F23" s="5">
        <f t="shared" si="5"/>
        <v>6601.6500000000005</v>
      </c>
      <c r="G23" s="5">
        <f t="shared" si="5"/>
        <v>1408.44</v>
      </c>
      <c r="H23" s="5">
        <f t="shared" si="5"/>
        <v>21213.39</v>
      </c>
      <c r="I23" s="5">
        <f t="shared" si="5"/>
        <v>4242.6779999999999</v>
      </c>
      <c r="J23" s="5">
        <f t="shared" si="5"/>
        <v>16970.712</v>
      </c>
      <c r="K23" s="10">
        <f t="shared" si="5"/>
        <v>1.0000000000000002</v>
      </c>
    </row>
    <row r="24" spans="1:11" x14ac:dyDescent="0.25">
      <c r="A24" s="11" t="s">
        <v>13</v>
      </c>
      <c r="B24" s="12"/>
      <c r="C24" s="12"/>
      <c r="D24" s="13"/>
      <c r="E24" s="5">
        <f t="shared" ref="E24:K24" si="6">E23/20</f>
        <v>660.16500000000008</v>
      </c>
      <c r="F24" s="5">
        <f t="shared" si="6"/>
        <v>330.08250000000004</v>
      </c>
      <c r="G24" s="5">
        <f t="shared" si="6"/>
        <v>70.421999999999997</v>
      </c>
      <c r="H24" s="5">
        <f t="shared" si="6"/>
        <v>1060.6695</v>
      </c>
      <c r="I24" s="5">
        <f t="shared" si="6"/>
        <v>212.13389999999998</v>
      </c>
      <c r="J24" s="5">
        <f t="shared" si="6"/>
        <v>848.53559999999993</v>
      </c>
      <c r="K24" s="10">
        <f t="shared" si="6"/>
        <v>5.000000000000001E-2</v>
      </c>
    </row>
  </sheetData>
  <mergeCells count="3">
    <mergeCell ref="A1:K1"/>
    <mergeCell ref="A23:D23"/>
    <mergeCell ref="A24:D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M7" sqref="M7"/>
    </sheetView>
  </sheetViews>
  <sheetFormatPr defaultRowHeight="15" x14ac:dyDescent="0.25"/>
  <cols>
    <col min="5" max="5" width="11.28515625" customWidth="1"/>
    <col min="6" max="6" width="11.85546875" customWidth="1"/>
    <col min="7" max="7" width="11.7109375" customWidth="1"/>
    <col min="8" max="9" width="12" customWidth="1"/>
    <col min="10" max="10" width="12.28515625" customWidth="1"/>
  </cols>
  <sheetData>
    <row r="1" spans="1:11" x14ac:dyDescent="0.25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>
        <v>1</v>
      </c>
      <c r="B3" s="1" t="s">
        <v>14</v>
      </c>
      <c r="C3" s="1" t="s">
        <v>34</v>
      </c>
      <c r="D3" s="3">
        <v>1</v>
      </c>
      <c r="E3" s="4">
        <f>SUM(Лист2!$E$3,220*5%)</f>
        <v>231</v>
      </c>
      <c r="F3" s="4">
        <f t="shared" ref="F3:F22" si="0">E3*50%</f>
        <v>115.5</v>
      </c>
      <c r="G3" s="4">
        <f t="shared" ref="G3:G22" si="1">IF(D3&gt;=10,E3*20%,0)</f>
        <v>0</v>
      </c>
      <c r="H3" s="4">
        <f t="shared" ref="H3:H22" si="2">E3+F3+G3</f>
        <v>346.5</v>
      </c>
      <c r="I3" s="4">
        <f t="shared" ref="I3:I22" si="3">H3*20%</f>
        <v>69.3</v>
      </c>
      <c r="J3" s="4">
        <f t="shared" ref="J3:J22" si="4">H3-I3</f>
        <v>277.2</v>
      </c>
      <c r="K3" s="8">
        <f>J3/J23</f>
        <v>1.5556153009602681E-2</v>
      </c>
    </row>
    <row r="4" spans="1:11" x14ac:dyDescent="0.25">
      <c r="A4" s="1">
        <v>2</v>
      </c>
      <c r="B4" s="1" t="s">
        <v>15</v>
      </c>
      <c r="C4" s="1" t="s">
        <v>35</v>
      </c>
      <c r="D4" s="3">
        <v>3</v>
      </c>
      <c r="E4" s="4">
        <f>SUM(Лист2!$E$4,275*5%)</f>
        <v>288.75</v>
      </c>
      <c r="F4" s="4">
        <f t="shared" si="0"/>
        <v>144.375</v>
      </c>
      <c r="G4" s="7">
        <f t="shared" si="1"/>
        <v>0</v>
      </c>
      <c r="H4" s="4">
        <f t="shared" si="2"/>
        <v>433.125</v>
      </c>
      <c r="I4" s="4">
        <f t="shared" si="3"/>
        <v>86.625</v>
      </c>
      <c r="J4" s="4">
        <f t="shared" si="4"/>
        <v>346.5</v>
      </c>
      <c r="K4" s="8">
        <f>J4/J23</f>
        <v>1.9445191262003354E-2</v>
      </c>
    </row>
    <row r="5" spans="1:11" x14ac:dyDescent="0.25">
      <c r="A5" s="1">
        <v>3</v>
      </c>
      <c r="B5" s="1" t="s">
        <v>16</v>
      </c>
      <c r="C5" s="1" t="s">
        <v>36</v>
      </c>
      <c r="D5" s="3">
        <v>5</v>
      </c>
      <c r="E5" s="4">
        <f>SUM(Лист2!$E$5,330*5%)</f>
        <v>346.5</v>
      </c>
      <c r="F5" s="4">
        <f t="shared" si="0"/>
        <v>173.25</v>
      </c>
      <c r="G5" s="4">
        <f t="shared" si="1"/>
        <v>0</v>
      </c>
      <c r="H5" s="4">
        <f t="shared" si="2"/>
        <v>519.75</v>
      </c>
      <c r="I5" s="4">
        <f t="shared" si="3"/>
        <v>103.95</v>
      </c>
      <c r="J5" s="4">
        <f t="shared" si="4"/>
        <v>415.8</v>
      </c>
      <c r="K5" s="8">
        <f>J5/J23</f>
        <v>2.3334229514404024E-2</v>
      </c>
    </row>
    <row r="6" spans="1:11" x14ac:dyDescent="0.25">
      <c r="A6" s="1">
        <v>4</v>
      </c>
      <c r="B6" s="1" t="s">
        <v>17</v>
      </c>
      <c r="C6" s="1" t="s">
        <v>37</v>
      </c>
      <c r="D6" s="3">
        <v>7</v>
      </c>
      <c r="E6" s="4">
        <f>SUM(Лист2!$E$6,385*5%)</f>
        <v>404.25</v>
      </c>
      <c r="F6" s="4">
        <f t="shared" si="0"/>
        <v>202.125</v>
      </c>
      <c r="G6" s="4">
        <f t="shared" si="1"/>
        <v>0</v>
      </c>
      <c r="H6" s="4">
        <f t="shared" si="2"/>
        <v>606.375</v>
      </c>
      <c r="I6" s="4">
        <f t="shared" si="3"/>
        <v>121.27500000000001</v>
      </c>
      <c r="J6" s="4">
        <f t="shared" si="4"/>
        <v>485.1</v>
      </c>
      <c r="K6" s="8">
        <f>J6/J23</f>
        <v>2.7223267766804695E-2</v>
      </c>
    </row>
    <row r="7" spans="1:11" x14ac:dyDescent="0.25">
      <c r="A7" s="1">
        <v>5</v>
      </c>
      <c r="B7" s="1" t="s">
        <v>18</v>
      </c>
      <c r="C7" s="1" t="s">
        <v>38</v>
      </c>
      <c r="D7" s="3">
        <v>10</v>
      </c>
      <c r="E7" s="4">
        <f>SUM(Лист2!$E$7,440*5%)</f>
        <v>462</v>
      </c>
      <c r="F7" s="4">
        <f t="shared" si="0"/>
        <v>231</v>
      </c>
      <c r="G7" s="4">
        <f t="shared" si="1"/>
        <v>92.4</v>
      </c>
      <c r="H7" s="4">
        <f t="shared" si="2"/>
        <v>785.4</v>
      </c>
      <c r="I7" s="4">
        <f t="shared" si="3"/>
        <v>157.08000000000001</v>
      </c>
      <c r="J7" s="4">
        <f t="shared" si="4"/>
        <v>628.31999999999994</v>
      </c>
      <c r="K7" s="8">
        <f>J7/J23</f>
        <v>3.5260613488432742E-2</v>
      </c>
    </row>
    <row r="8" spans="1:11" x14ac:dyDescent="0.25">
      <c r="A8" s="1">
        <v>6</v>
      </c>
      <c r="B8" s="1" t="s">
        <v>19</v>
      </c>
      <c r="C8" s="1" t="s">
        <v>39</v>
      </c>
      <c r="D8" s="3">
        <v>11</v>
      </c>
      <c r="E8" s="4">
        <f>SUM(Лист2!$E$8,441.1*5%)</f>
        <v>463.15500000000003</v>
      </c>
      <c r="F8" s="4">
        <f t="shared" si="0"/>
        <v>231.57750000000001</v>
      </c>
      <c r="G8" s="4">
        <f t="shared" si="1"/>
        <v>92.631000000000014</v>
      </c>
      <c r="H8" s="4">
        <f t="shared" si="2"/>
        <v>787.36350000000004</v>
      </c>
      <c r="I8" s="4">
        <f t="shared" si="3"/>
        <v>157.47270000000003</v>
      </c>
      <c r="J8" s="4">
        <f t="shared" si="4"/>
        <v>629.89080000000001</v>
      </c>
      <c r="K8" s="8">
        <f>J8/J23</f>
        <v>3.5348765022153832E-2</v>
      </c>
    </row>
    <row r="9" spans="1:11" x14ac:dyDescent="0.25">
      <c r="A9" s="1">
        <v>7</v>
      </c>
      <c r="B9" s="1" t="s">
        <v>20</v>
      </c>
      <c r="C9" s="1" t="s">
        <v>40</v>
      </c>
      <c r="D9" s="3">
        <v>13</v>
      </c>
      <c r="E9" s="4">
        <f>SUM(Лист2!$E$9,496*5%)</f>
        <v>519.79999999999995</v>
      </c>
      <c r="F9" s="4">
        <f t="shared" si="0"/>
        <v>259.89999999999998</v>
      </c>
      <c r="G9" s="4">
        <f t="shared" si="1"/>
        <v>103.96</v>
      </c>
      <c r="H9" s="4">
        <f t="shared" si="2"/>
        <v>883.66</v>
      </c>
      <c r="I9" s="4">
        <f t="shared" si="3"/>
        <v>176.732</v>
      </c>
      <c r="J9" s="4">
        <f t="shared" si="4"/>
        <v>706.928</v>
      </c>
      <c r="K9" s="8">
        <f>J9/J23</f>
        <v>3.9672006258197709E-2</v>
      </c>
    </row>
    <row r="10" spans="1:11" x14ac:dyDescent="0.25">
      <c r="A10" s="1">
        <v>8</v>
      </c>
      <c r="B10" s="1" t="s">
        <v>21</v>
      </c>
      <c r="C10" s="1" t="s">
        <v>41</v>
      </c>
      <c r="D10" s="3">
        <v>15</v>
      </c>
      <c r="E10" s="4">
        <f>SUM(Лист2!$E$10,550*5%)</f>
        <v>577.5</v>
      </c>
      <c r="F10" s="4">
        <f t="shared" si="0"/>
        <v>288.75</v>
      </c>
      <c r="G10" s="4">
        <f t="shared" si="1"/>
        <v>115.5</v>
      </c>
      <c r="H10" s="4">
        <f t="shared" si="2"/>
        <v>981.75</v>
      </c>
      <c r="I10" s="4">
        <f t="shared" si="3"/>
        <v>196.35000000000002</v>
      </c>
      <c r="J10" s="4">
        <f t="shared" si="4"/>
        <v>785.4</v>
      </c>
      <c r="K10" s="8">
        <f>J10/J23</f>
        <v>4.4075766860540933E-2</v>
      </c>
    </row>
    <row r="11" spans="1:11" x14ac:dyDescent="0.25">
      <c r="A11" s="1">
        <v>9</v>
      </c>
      <c r="B11" s="1" t="s">
        <v>22</v>
      </c>
      <c r="C11" s="1" t="s">
        <v>42</v>
      </c>
      <c r="D11" s="3">
        <v>17</v>
      </c>
      <c r="E11" s="4">
        <f>SUM(Лист2!$E$11,605*5%)</f>
        <v>635.25</v>
      </c>
      <c r="F11" s="4">
        <f t="shared" si="0"/>
        <v>317.625</v>
      </c>
      <c r="G11" s="4">
        <f t="shared" si="1"/>
        <v>127.05000000000001</v>
      </c>
      <c r="H11" s="4">
        <f t="shared" si="2"/>
        <v>1079.925</v>
      </c>
      <c r="I11" s="4">
        <f t="shared" si="3"/>
        <v>215.98500000000001</v>
      </c>
      <c r="J11" s="4">
        <f t="shared" si="4"/>
        <v>863.93999999999994</v>
      </c>
      <c r="K11" s="8">
        <f>J11/J23</f>
        <v>4.8483343546595024E-2</v>
      </c>
    </row>
    <row r="12" spans="1:11" x14ac:dyDescent="0.25">
      <c r="A12" s="1">
        <v>10</v>
      </c>
      <c r="B12" s="1" t="s">
        <v>23</v>
      </c>
      <c r="C12" s="1" t="s">
        <v>43</v>
      </c>
      <c r="D12" s="3">
        <v>20</v>
      </c>
      <c r="E12" s="4">
        <f>SUM(Лист2!$E$12,660*5%)</f>
        <v>693</v>
      </c>
      <c r="F12" s="4">
        <f t="shared" si="0"/>
        <v>346.5</v>
      </c>
      <c r="G12" s="4">
        <f t="shared" si="1"/>
        <v>138.6</v>
      </c>
      <c r="H12" s="4">
        <f t="shared" si="2"/>
        <v>1178.0999999999999</v>
      </c>
      <c r="I12" s="4">
        <f t="shared" si="3"/>
        <v>235.62</v>
      </c>
      <c r="J12" s="4">
        <f t="shared" si="4"/>
        <v>942.4799999999999</v>
      </c>
      <c r="K12" s="8">
        <f>J12/J23</f>
        <v>5.2890920232649116E-2</v>
      </c>
    </row>
    <row r="13" spans="1:11" x14ac:dyDescent="0.25">
      <c r="A13" s="1">
        <v>11</v>
      </c>
      <c r="B13" s="1" t="s">
        <v>24</v>
      </c>
      <c r="C13" s="1" t="s">
        <v>44</v>
      </c>
      <c r="D13" s="3">
        <v>21</v>
      </c>
      <c r="E13" s="4">
        <f>SUM(Лист2!$E$13,661.1*5%)</f>
        <v>694.15499999999997</v>
      </c>
      <c r="F13" s="4">
        <f t="shared" si="0"/>
        <v>347.07749999999999</v>
      </c>
      <c r="G13" s="4">
        <f t="shared" si="1"/>
        <v>138.83099999999999</v>
      </c>
      <c r="H13" s="4">
        <f t="shared" si="2"/>
        <v>1180.0635</v>
      </c>
      <c r="I13" s="4">
        <f t="shared" si="3"/>
        <v>236.0127</v>
      </c>
      <c r="J13" s="4">
        <f t="shared" si="4"/>
        <v>944.05079999999998</v>
      </c>
      <c r="K13" s="8">
        <f>J13/J23</f>
        <v>5.2979071766370199E-2</v>
      </c>
    </row>
    <row r="14" spans="1:11" x14ac:dyDescent="0.25">
      <c r="A14" s="1">
        <v>12</v>
      </c>
      <c r="B14" s="1" t="s">
        <v>25</v>
      </c>
      <c r="C14" s="1" t="s">
        <v>45</v>
      </c>
      <c r="D14" s="3">
        <v>23</v>
      </c>
      <c r="E14" s="4">
        <f>SUM(Лист2!$E$14,715*5%)</f>
        <v>750.75</v>
      </c>
      <c r="F14" s="4">
        <f t="shared" si="0"/>
        <v>375.375</v>
      </c>
      <c r="G14" s="4">
        <f t="shared" si="1"/>
        <v>150.15</v>
      </c>
      <c r="H14" s="4">
        <f t="shared" si="2"/>
        <v>1276.2750000000001</v>
      </c>
      <c r="I14" s="4">
        <f t="shared" si="3"/>
        <v>255.25500000000002</v>
      </c>
      <c r="J14" s="4">
        <f t="shared" si="4"/>
        <v>1021.0200000000001</v>
      </c>
      <c r="K14" s="8">
        <f>J14/J23</f>
        <v>5.7298496918703222E-2</v>
      </c>
    </row>
    <row r="15" spans="1:11" x14ac:dyDescent="0.25">
      <c r="A15" s="1">
        <v>13</v>
      </c>
      <c r="B15" s="1" t="s">
        <v>26</v>
      </c>
      <c r="C15" s="1" t="s">
        <v>46</v>
      </c>
      <c r="D15" s="3">
        <v>25</v>
      </c>
      <c r="E15" s="4">
        <f>SUM(Лист2!$E$15,770*5%)</f>
        <v>808.5</v>
      </c>
      <c r="F15" s="4">
        <f t="shared" si="0"/>
        <v>404.25</v>
      </c>
      <c r="G15" s="4">
        <f t="shared" si="1"/>
        <v>161.70000000000002</v>
      </c>
      <c r="H15" s="4">
        <f t="shared" si="2"/>
        <v>1374.45</v>
      </c>
      <c r="I15" s="4">
        <f t="shared" si="3"/>
        <v>274.89000000000004</v>
      </c>
      <c r="J15" s="4">
        <f t="shared" si="4"/>
        <v>1099.56</v>
      </c>
      <c r="K15" s="8">
        <f>J15/J23</f>
        <v>6.1706073604757307E-2</v>
      </c>
    </row>
    <row r="16" spans="1:11" x14ac:dyDescent="0.25">
      <c r="A16" s="1">
        <v>14</v>
      </c>
      <c r="B16" s="1" t="s">
        <v>27</v>
      </c>
      <c r="C16" s="1" t="s">
        <v>47</v>
      </c>
      <c r="D16" s="3">
        <v>27</v>
      </c>
      <c r="E16" s="4">
        <f>SUM(Лист2!$E$16,825*5%)</f>
        <v>866.25</v>
      </c>
      <c r="F16" s="4">
        <f t="shared" si="0"/>
        <v>433.125</v>
      </c>
      <c r="G16" s="4">
        <f t="shared" si="1"/>
        <v>173.25</v>
      </c>
      <c r="H16" s="4">
        <f t="shared" si="2"/>
        <v>1472.625</v>
      </c>
      <c r="I16" s="4">
        <f t="shared" si="3"/>
        <v>294.52500000000003</v>
      </c>
      <c r="J16" s="4">
        <f t="shared" si="4"/>
        <v>1178.0999999999999</v>
      </c>
      <c r="K16" s="8">
        <f>J16/J23</f>
        <v>6.6113650290811399E-2</v>
      </c>
    </row>
    <row r="17" spans="1:11" x14ac:dyDescent="0.25">
      <c r="A17" s="1">
        <v>15</v>
      </c>
      <c r="B17" s="1" t="s">
        <v>28</v>
      </c>
      <c r="C17" s="1" t="s">
        <v>48</v>
      </c>
      <c r="D17" s="3">
        <v>30</v>
      </c>
      <c r="E17" s="4">
        <f>SUM(Лист2!$E$17,880*5%)</f>
        <v>924</v>
      </c>
      <c r="F17" s="4">
        <f t="shared" si="0"/>
        <v>462</v>
      </c>
      <c r="G17" s="4">
        <f t="shared" si="1"/>
        <v>184.8</v>
      </c>
      <c r="H17" s="4">
        <f t="shared" si="2"/>
        <v>1570.8</v>
      </c>
      <c r="I17" s="4">
        <f t="shared" si="3"/>
        <v>314.16000000000003</v>
      </c>
      <c r="J17" s="4">
        <f t="shared" si="4"/>
        <v>1256.6399999999999</v>
      </c>
      <c r="K17" s="8">
        <f>J17/J23</f>
        <v>7.0521226976865484E-2</v>
      </c>
    </row>
    <row r="18" spans="1:11" x14ac:dyDescent="0.25">
      <c r="A18" s="1">
        <v>16</v>
      </c>
      <c r="B18" s="1" t="s">
        <v>29</v>
      </c>
      <c r="C18" s="1" t="s">
        <v>49</v>
      </c>
      <c r="D18" s="3">
        <v>2</v>
      </c>
      <c r="E18" s="4">
        <f>SUM(Лист2!$E$18,881.1*5%)</f>
        <v>925.15499999999997</v>
      </c>
      <c r="F18" s="4">
        <f t="shared" si="0"/>
        <v>462.57749999999999</v>
      </c>
      <c r="G18" s="4">
        <f t="shared" si="1"/>
        <v>0</v>
      </c>
      <c r="H18" s="4">
        <f t="shared" si="2"/>
        <v>1387.7325000000001</v>
      </c>
      <c r="I18" s="4">
        <f t="shared" si="3"/>
        <v>277.54650000000004</v>
      </c>
      <c r="J18" s="4">
        <f t="shared" si="4"/>
        <v>1110.1860000000001</v>
      </c>
      <c r="K18" s="8">
        <f>J18/J23</f>
        <v>6.2302392803458749E-2</v>
      </c>
    </row>
    <row r="19" spans="1:11" x14ac:dyDescent="0.25">
      <c r="A19" s="1">
        <v>17</v>
      </c>
      <c r="B19" s="1" t="s">
        <v>30</v>
      </c>
      <c r="C19" s="1" t="s">
        <v>50</v>
      </c>
      <c r="D19" s="3">
        <v>4</v>
      </c>
      <c r="E19" s="4">
        <f>SUM(Лист2!$E$19,935*5%)</f>
        <v>981.75</v>
      </c>
      <c r="F19" s="4">
        <f t="shared" si="0"/>
        <v>490.875</v>
      </c>
      <c r="G19" s="4">
        <f t="shared" si="1"/>
        <v>0</v>
      </c>
      <c r="H19" s="4">
        <f t="shared" si="2"/>
        <v>1472.625</v>
      </c>
      <c r="I19" s="4">
        <f t="shared" si="3"/>
        <v>294.52500000000003</v>
      </c>
      <c r="J19" s="4">
        <f t="shared" si="4"/>
        <v>1178.0999999999999</v>
      </c>
      <c r="K19" s="8">
        <f>J19/J23</f>
        <v>6.6113650290811399E-2</v>
      </c>
    </row>
    <row r="20" spans="1:11" x14ac:dyDescent="0.25">
      <c r="A20" s="1">
        <v>18</v>
      </c>
      <c r="B20" s="1" t="s">
        <v>31</v>
      </c>
      <c r="C20" s="1" t="s">
        <v>51</v>
      </c>
      <c r="D20" s="3">
        <v>6</v>
      </c>
      <c r="E20" s="4">
        <f>SUM(Лист2!$E$20,990*5%)</f>
        <v>1039.5</v>
      </c>
      <c r="F20" s="4">
        <f t="shared" si="0"/>
        <v>519.75</v>
      </c>
      <c r="G20" s="4">
        <f t="shared" si="1"/>
        <v>0</v>
      </c>
      <c r="H20" s="4">
        <f t="shared" si="2"/>
        <v>1559.25</v>
      </c>
      <c r="I20" s="4">
        <f t="shared" si="3"/>
        <v>311.85000000000002</v>
      </c>
      <c r="J20" s="4">
        <f t="shared" si="4"/>
        <v>1247.4000000000001</v>
      </c>
      <c r="K20" s="8">
        <f>J20/J23</f>
        <v>7.000268854321208E-2</v>
      </c>
    </row>
    <row r="21" spans="1:11" x14ac:dyDescent="0.25">
      <c r="A21" s="1">
        <v>19</v>
      </c>
      <c r="B21" s="1" t="s">
        <v>32</v>
      </c>
      <c r="C21" s="1" t="s">
        <v>52</v>
      </c>
      <c r="D21" s="3">
        <v>8</v>
      </c>
      <c r="E21" s="4">
        <f>SUM(Лист2!$E$21,1045*5%)</f>
        <v>1097.25</v>
      </c>
      <c r="F21" s="4">
        <f t="shared" si="0"/>
        <v>548.625</v>
      </c>
      <c r="G21" s="4">
        <f t="shared" si="1"/>
        <v>0</v>
      </c>
      <c r="H21" s="4">
        <f t="shared" si="2"/>
        <v>1645.875</v>
      </c>
      <c r="I21" s="4">
        <f t="shared" si="3"/>
        <v>329.17500000000001</v>
      </c>
      <c r="J21" s="4">
        <f t="shared" si="4"/>
        <v>1316.7</v>
      </c>
      <c r="K21" s="8">
        <f>J21/J23</f>
        <v>7.3891726795612747E-2</v>
      </c>
    </row>
    <row r="22" spans="1:11" x14ac:dyDescent="0.25">
      <c r="A22" s="1">
        <v>20</v>
      </c>
      <c r="B22" s="1" t="s">
        <v>33</v>
      </c>
      <c r="C22" s="1" t="s">
        <v>53</v>
      </c>
      <c r="D22" s="3">
        <v>9</v>
      </c>
      <c r="E22" s="4">
        <f>SUM(Лист2!$E$22,1100*5%)</f>
        <v>1155</v>
      </c>
      <c r="F22" s="4">
        <f t="shared" si="0"/>
        <v>577.5</v>
      </c>
      <c r="G22" s="4">
        <f t="shared" si="1"/>
        <v>0</v>
      </c>
      <c r="H22" s="4">
        <f t="shared" si="2"/>
        <v>1732.5</v>
      </c>
      <c r="I22" s="4">
        <f t="shared" si="3"/>
        <v>346.5</v>
      </c>
      <c r="J22" s="4">
        <f t="shared" si="4"/>
        <v>1386</v>
      </c>
      <c r="K22" s="8">
        <f>J22/J23</f>
        <v>7.7780765048013414E-2</v>
      </c>
    </row>
    <row r="23" spans="1:11" x14ac:dyDescent="0.25">
      <c r="A23" s="11" t="s">
        <v>12</v>
      </c>
      <c r="B23" s="12"/>
      <c r="C23" s="12"/>
      <c r="D23" s="13"/>
      <c r="E23" s="5">
        <f t="shared" ref="E23:K23" si="5">E3+E4+E5+E6+E7+E8+E9+E10+E11+E12+E13+E14+E15+E16+E17+E18+E19+E20+E21+E22</f>
        <v>13863.515000000001</v>
      </c>
      <c r="F23" s="5">
        <f t="shared" si="5"/>
        <v>6931.7575000000006</v>
      </c>
      <c r="G23" s="5">
        <f t="shared" si="5"/>
        <v>1478.8719999999998</v>
      </c>
      <c r="H23" s="5">
        <f t="shared" si="5"/>
        <v>22274.144500000002</v>
      </c>
      <c r="I23" s="5">
        <f t="shared" si="5"/>
        <v>4454.8289000000004</v>
      </c>
      <c r="J23" s="5">
        <f t="shared" si="5"/>
        <v>17819.315599999998</v>
      </c>
      <c r="K23" s="10">
        <f t="shared" si="5"/>
        <v>1</v>
      </c>
    </row>
    <row r="24" spans="1:11" x14ac:dyDescent="0.25">
      <c r="A24" s="11" t="s">
        <v>13</v>
      </c>
      <c r="B24" s="12"/>
      <c r="C24" s="12"/>
      <c r="D24" s="13"/>
      <c r="E24" s="5">
        <f t="shared" ref="E24:K24" si="6">E23/20</f>
        <v>693.17575000000011</v>
      </c>
      <c r="F24" s="5">
        <f t="shared" si="6"/>
        <v>346.58787500000005</v>
      </c>
      <c r="G24" s="5">
        <f t="shared" si="6"/>
        <v>73.943599999999989</v>
      </c>
      <c r="H24" s="5">
        <f t="shared" si="6"/>
        <v>1113.7072250000001</v>
      </c>
      <c r="I24" s="5">
        <f t="shared" si="6"/>
        <v>222.74144500000003</v>
      </c>
      <c r="J24" s="5">
        <f t="shared" si="6"/>
        <v>890.96577999999988</v>
      </c>
      <c r="K24" s="10">
        <f t="shared" si="6"/>
        <v>0.05</v>
      </c>
    </row>
  </sheetData>
  <mergeCells count="3">
    <mergeCell ref="A1:K1"/>
    <mergeCell ref="A23:D23"/>
    <mergeCell ref="A24:D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6" sqref="B6"/>
    </sheetView>
  </sheetViews>
  <sheetFormatPr defaultRowHeight="15" x14ac:dyDescent="0.25"/>
  <cols>
    <col min="1" max="1" width="18.42578125" customWidth="1"/>
    <col min="2" max="2" width="18.140625" customWidth="1"/>
  </cols>
  <sheetData>
    <row r="1" spans="1:2" x14ac:dyDescent="0.25">
      <c r="A1" s="2" t="s">
        <v>56</v>
      </c>
      <c r="B1" s="2" t="s">
        <v>60</v>
      </c>
    </row>
    <row r="2" spans="1:2" x14ac:dyDescent="0.25">
      <c r="A2" s="2" t="s">
        <v>57</v>
      </c>
      <c r="B2" s="2">
        <f>Лист1!$J$22</f>
        <v>1200</v>
      </c>
    </row>
    <row r="3" spans="1:2" x14ac:dyDescent="0.25">
      <c r="A3" s="2" t="s">
        <v>58</v>
      </c>
      <c r="B3" s="2">
        <f>Лист2!$J$22</f>
        <v>1320</v>
      </c>
    </row>
    <row r="4" spans="1:2" x14ac:dyDescent="0.25">
      <c r="A4" s="2" t="s">
        <v>59</v>
      </c>
      <c r="B4" s="2">
        <f>Лист3!$J$22</f>
        <v>1386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RePack by Diakov</cp:lastModifiedBy>
  <dcterms:created xsi:type="dcterms:W3CDTF">2020-09-27T19:06:20Z</dcterms:created>
  <dcterms:modified xsi:type="dcterms:W3CDTF">2020-10-04T16:02:33Z</dcterms:modified>
</cp:coreProperties>
</file>