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ngenvmcap933320.sharepoint.com/sites/Gyro'sStore/Shared Documents/Finanzas de la tienda/"/>
    </mc:Choice>
  </mc:AlternateContent>
  <xr:revisionPtr revIDLastSave="8458" documentId="8_{A4B030B9-CD98-42F8-9B80-89D69EE9A713}" xr6:coauthVersionLast="47" xr6:coauthVersionMax="47" xr10:uidLastSave="{75EC21E1-5DD9-4D75-954D-5736AC6F8D2C}"/>
  <bookViews>
    <workbookView xWindow="-120" yWindow="-120" windowWidth="29040" windowHeight="15720" activeTab="2" xr2:uid="{D5AD5C9E-0705-4DC3-BC97-D161C142CFC7}"/>
  </bookViews>
  <sheets>
    <sheet name="Stock" sheetId="1" r:id="rId1"/>
    <sheet name="Entradas" sheetId="2" r:id="rId2"/>
    <sheet name="Pagos" sheetId="3" r:id="rId3"/>
    <sheet name="Reporteria" sheetId="4" r:id="rId4"/>
    <sheet name="Compra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91" i="3" l="1"/>
  <c r="O691" i="3" s="1"/>
  <c r="D744" i="3"/>
  <c r="G744" i="3"/>
  <c r="H744" i="3"/>
  <c r="R744" i="3" s="1"/>
  <c r="D743" i="3"/>
  <c r="G743" i="3"/>
  <c r="H743" i="3"/>
  <c r="J743" i="3" s="1"/>
  <c r="D742" i="3"/>
  <c r="G742" i="3"/>
  <c r="H742" i="3"/>
  <c r="R742" i="3" s="1"/>
  <c r="D741" i="3"/>
  <c r="G741" i="3"/>
  <c r="H741" i="3"/>
  <c r="R741" i="3" s="1"/>
  <c r="D740" i="3"/>
  <c r="G740" i="3"/>
  <c r="H740" i="3"/>
  <c r="I740" i="3" s="1"/>
  <c r="D739" i="3"/>
  <c r="G739" i="3"/>
  <c r="H739" i="3"/>
  <c r="R739" i="3" s="1"/>
  <c r="D738" i="3"/>
  <c r="G738" i="3"/>
  <c r="H738" i="3"/>
  <c r="R738" i="3" s="1"/>
  <c r="D737" i="3"/>
  <c r="G737" i="3"/>
  <c r="H737" i="3"/>
  <c r="R737" i="3" s="1"/>
  <c r="D736" i="3"/>
  <c r="G736" i="3"/>
  <c r="H736" i="3"/>
  <c r="R736" i="3" s="1"/>
  <c r="D735" i="3"/>
  <c r="G735" i="3"/>
  <c r="H735" i="3"/>
  <c r="R735" i="3" s="1"/>
  <c r="D734" i="3"/>
  <c r="G734" i="3"/>
  <c r="H734" i="3"/>
  <c r="R734" i="3" s="1"/>
  <c r="D733" i="3"/>
  <c r="G733" i="3"/>
  <c r="H733" i="3"/>
  <c r="R733" i="3" s="1"/>
  <c r="D732" i="3"/>
  <c r="G732" i="3"/>
  <c r="H732" i="3"/>
  <c r="R732" i="3" s="1"/>
  <c r="D731" i="3"/>
  <c r="G731" i="3"/>
  <c r="D730" i="3"/>
  <c r="G730" i="3"/>
  <c r="D729" i="3"/>
  <c r="G729" i="3"/>
  <c r="D728" i="3"/>
  <c r="G728" i="3"/>
  <c r="D727" i="3"/>
  <c r="G727" i="3"/>
  <c r="D726" i="3"/>
  <c r="G726" i="3"/>
  <c r="D725" i="3"/>
  <c r="G725" i="3"/>
  <c r="D724" i="3"/>
  <c r="G724" i="3"/>
  <c r="D723" i="3"/>
  <c r="G723" i="3"/>
  <c r="D722" i="3"/>
  <c r="G722" i="3"/>
  <c r="H722" i="3"/>
  <c r="R722" i="3" s="1"/>
  <c r="D721" i="3"/>
  <c r="G721" i="3"/>
  <c r="D720" i="3"/>
  <c r="G720" i="3"/>
  <c r="D719" i="3"/>
  <c r="G719" i="3"/>
  <c r="D718" i="3"/>
  <c r="G718" i="3"/>
  <c r="D717" i="3"/>
  <c r="G717" i="3"/>
  <c r="D716" i="3"/>
  <c r="G716" i="3"/>
  <c r="D715" i="3"/>
  <c r="G715" i="3"/>
  <c r="D714" i="3"/>
  <c r="G714" i="3"/>
  <c r="D713" i="3"/>
  <c r="G713" i="3"/>
  <c r="D712" i="3"/>
  <c r="G712" i="3"/>
  <c r="D711" i="3"/>
  <c r="G711" i="3"/>
  <c r="D710" i="3"/>
  <c r="G710" i="3"/>
  <c r="D709" i="3"/>
  <c r="G709" i="3"/>
  <c r="D708" i="3"/>
  <c r="G708" i="3"/>
  <c r="D707" i="3"/>
  <c r="G707" i="3"/>
  <c r="D706" i="3"/>
  <c r="G706" i="3"/>
  <c r="D705" i="3"/>
  <c r="G705" i="3"/>
  <c r="D704" i="3"/>
  <c r="G704" i="3"/>
  <c r="D703" i="3"/>
  <c r="G703" i="3"/>
  <c r="D702" i="3"/>
  <c r="G702" i="3"/>
  <c r="D701" i="3"/>
  <c r="G701" i="3"/>
  <c r="D698" i="3"/>
  <c r="G698" i="3"/>
  <c r="D699" i="3"/>
  <c r="G699" i="3"/>
  <c r="D696" i="3"/>
  <c r="G696" i="3"/>
  <c r="D697" i="3"/>
  <c r="G697" i="3"/>
  <c r="D695" i="3"/>
  <c r="G695" i="3"/>
  <c r="D692" i="3"/>
  <c r="G692" i="3"/>
  <c r="D694" i="3"/>
  <c r="G694" i="3"/>
  <c r="D691" i="3"/>
  <c r="G691" i="3"/>
  <c r="D693" i="3"/>
  <c r="G693" i="3"/>
  <c r="D690" i="3"/>
  <c r="G690" i="3"/>
  <c r="D700" i="3"/>
  <c r="G700" i="3"/>
  <c r="D689" i="3"/>
  <c r="G689" i="3"/>
  <c r="D688" i="3"/>
  <c r="G688" i="3"/>
  <c r="D687" i="3"/>
  <c r="G687" i="3"/>
  <c r="D686" i="3"/>
  <c r="G686" i="3"/>
  <c r="D685" i="3"/>
  <c r="G685" i="3"/>
  <c r="G680" i="3"/>
  <c r="D684" i="3"/>
  <c r="G684" i="3"/>
  <c r="D683" i="3"/>
  <c r="G683" i="3"/>
  <c r="D682" i="3"/>
  <c r="G682" i="3"/>
  <c r="D681" i="3"/>
  <c r="G681" i="3"/>
  <c r="D680" i="3"/>
  <c r="D679" i="3"/>
  <c r="G679" i="3"/>
  <c r="D678" i="3"/>
  <c r="G678" i="3"/>
  <c r="D677" i="3"/>
  <c r="G677" i="3"/>
  <c r="D674" i="3"/>
  <c r="G674" i="3"/>
  <c r="D675" i="3"/>
  <c r="G675" i="3"/>
  <c r="D676" i="3"/>
  <c r="G676" i="3"/>
  <c r="D673" i="3"/>
  <c r="G673" i="3"/>
  <c r="D672" i="3"/>
  <c r="G672" i="3"/>
  <c r="D666" i="3"/>
  <c r="G666" i="3"/>
  <c r="D667" i="3"/>
  <c r="G667" i="3"/>
  <c r="D668" i="3"/>
  <c r="G668" i="3"/>
  <c r="D669" i="3"/>
  <c r="G669" i="3"/>
  <c r="D670" i="3"/>
  <c r="G670" i="3"/>
  <c r="D663" i="3"/>
  <c r="G663" i="3"/>
  <c r="D664" i="3"/>
  <c r="G664" i="3"/>
  <c r="D662" i="3"/>
  <c r="G662" i="3"/>
  <c r="D661" i="3"/>
  <c r="G661" i="3"/>
  <c r="D665" i="3"/>
  <c r="G665" i="3"/>
  <c r="D660" i="3"/>
  <c r="G660" i="3"/>
  <c r="D659" i="3"/>
  <c r="G659" i="3"/>
  <c r="D656" i="3"/>
  <c r="G656" i="3"/>
  <c r="D657" i="3"/>
  <c r="G657" i="3"/>
  <c r="D658" i="3"/>
  <c r="G658" i="3"/>
  <c r="D655" i="3"/>
  <c r="G655" i="3"/>
  <c r="D651" i="3"/>
  <c r="G651" i="3"/>
  <c r="D652" i="3"/>
  <c r="G652" i="3"/>
  <c r="D653" i="3"/>
  <c r="G653" i="3"/>
  <c r="D654" i="3"/>
  <c r="G654" i="3"/>
  <c r="D649" i="3"/>
  <c r="G649" i="3"/>
  <c r="D650" i="3"/>
  <c r="G650" i="3"/>
  <c r="D671" i="3"/>
  <c r="G671" i="3"/>
  <c r="D641" i="3"/>
  <c r="G641" i="3"/>
  <c r="D642" i="3"/>
  <c r="G642" i="3"/>
  <c r="D643" i="3"/>
  <c r="G643" i="3"/>
  <c r="D644" i="3"/>
  <c r="G644" i="3"/>
  <c r="D645" i="3"/>
  <c r="G645" i="3"/>
  <c r="D646" i="3"/>
  <c r="G646" i="3"/>
  <c r="D647" i="3"/>
  <c r="G647" i="3"/>
  <c r="D648" i="3"/>
  <c r="G648" i="3"/>
  <c r="D638" i="3"/>
  <c r="G638" i="3"/>
  <c r="D635" i="3"/>
  <c r="G635" i="3"/>
  <c r="D636" i="3"/>
  <c r="G636" i="3"/>
  <c r="D637" i="3"/>
  <c r="G637" i="3"/>
  <c r="D632" i="3"/>
  <c r="G632" i="3"/>
  <c r="D633" i="3"/>
  <c r="G633" i="3"/>
  <c r="D634" i="3"/>
  <c r="G634" i="3"/>
  <c r="D630" i="3"/>
  <c r="G630" i="3"/>
  <c r="D631" i="3"/>
  <c r="G631" i="3"/>
  <c r="D628" i="3"/>
  <c r="G628" i="3"/>
  <c r="D629" i="3"/>
  <c r="G629" i="3"/>
  <c r="D626" i="3"/>
  <c r="G626" i="3"/>
  <c r="D627" i="3"/>
  <c r="G627" i="3"/>
  <c r="D639" i="3"/>
  <c r="G639" i="3"/>
  <c r="D623" i="3"/>
  <c r="G623" i="3"/>
  <c r="D624" i="3"/>
  <c r="G624" i="3"/>
  <c r="D625" i="3"/>
  <c r="G625" i="3"/>
  <c r="D621" i="3"/>
  <c r="G621" i="3"/>
  <c r="D617" i="3"/>
  <c r="G617" i="3"/>
  <c r="D618" i="3"/>
  <c r="G618" i="3"/>
  <c r="D615" i="3"/>
  <c r="G615" i="3"/>
  <c r="D616" i="3"/>
  <c r="G616" i="3"/>
  <c r="D610" i="3"/>
  <c r="G610" i="3"/>
  <c r="D609" i="3"/>
  <c r="G609" i="3"/>
  <c r="D608" i="3"/>
  <c r="G608" i="3"/>
  <c r="D594" i="3"/>
  <c r="D606" i="3"/>
  <c r="G606" i="3"/>
  <c r="D607" i="3"/>
  <c r="G607" i="3"/>
  <c r="D611" i="3"/>
  <c r="G611" i="3"/>
  <c r="D612" i="3"/>
  <c r="G612" i="3"/>
  <c r="D613" i="3"/>
  <c r="G613" i="3"/>
  <c r="D601" i="3"/>
  <c r="G601" i="3"/>
  <c r="D602" i="3"/>
  <c r="G602" i="3"/>
  <c r="D603" i="3"/>
  <c r="G603" i="3"/>
  <c r="D604" i="3"/>
  <c r="G604" i="3"/>
  <c r="D605" i="3"/>
  <c r="G605" i="3"/>
  <c r="D614" i="3"/>
  <c r="G614" i="3"/>
  <c r="D619" i="3"/>
  <c r="G619" i="3"/>
  <c r="D620" i="3"/>
  <c r="G620" i="3"/>
  <c r="D622" i="3"/>
  <c r="G622" i="3"/>
  <c r="D640" i="3"/>
  <c r="G640" i="3"/>
  <c r="D593" i="3"/>
  <c r="G593" i="3"/>
  <c r="D590" i="3"/>
  <c r="G590" i="3"/>
  <c r="D592" i="3"/>
  <c r="G592" i="3"/>
  <c r="D591" i="3"/>
  <c r="G591" i="3"/>
  <c r="G594" i="3"/>
  <c r="D595" i="3"/>
  <c r="G595" i="3"/>
  <c r="D596" i="3"/>
  <c r="G596" i="3"/>
  <c r="D598" i="3"/>
  <c r="G598" i="3"/>
  <c r="B165" i="1"/>
  <c r="C165" i="1"/>
  <c r="D165" i="1"/>
  <c r="E165" i="1"/>
  <c r="M165" i="1"/>
  <c r="O165" i="1" s="1"/>
  <c r="B139" i="1"/>
  <c r="C139" i="1"/>
  <c r="D139" i="1"/>
  <c r="E139" i="1"/>
  <c r="M139" i="1"/>
  <c r="O139" i="1" s="1"/>
  <c r="B167" i="1"/>
  <c r="C167" i="1"/>
  <c r="D167" i="1"/>
  <c r="E167" i="1"/>
  <c r="M167" i="1"/>
  <c r="O167" i="1" s="1"/>
  <c r="B168" i="1"/>
  <c r="C168" i="1"/>
  <c r="D168" i="1"/>
  <c r="E168" i="1"/>
  <c r="M168" i="1"/>
  <c r="O168" i="1" s="1"/>
  <c r="B169" i="1"/>
  <c r="C169" i="1"/>
  <c r="D169" i="1"/>
  <c r="E169" i="1"/>
  <c r="I169" i="1" s="1"/>
  <c r="M169" i="1"/>
  <c r="O169" i="1" s="1"/>
  <c r="B170" i="1"/>
  <c r="C170" i="1"/>
  <c r="D170" i="1"/>
  <c r="E170" i="1"/>
  <c r="M170" i="1"/>
  <c r="O170" i="1" s="1"/>
  <c r="B171" i="1"/>
  <c r="C171" i="1"/>
  <c r="D171" i="1"/>
  <c r="E171" i="1"/>
  <c r="M171" i="1"/>
  <c r="O171" i="1" s="1"/>
  <c r="B172" i="1"/>
  <c r="C172" i="1"/>
  <c r="D172" i="1"/>
  <c r="E172" i="1"/>
  <c r="M172" i="1"/>
  <c r="O172" i="1" s="1"/>
  <c r="B173" i="1"/>
  <c r="C173" i="1"/>
  <c r="D173" i="1"/>
  <c r="E173" i="1"/>
  <c r="M173" i="1"/>
  <c r="O173" i="1" s="1"/>
  <c r="B174" i="1"/>
  <c r="C174" i="1"/>
  <c r="D174" i="1"/>
  <c r="E174" i="1"/>
  <c r="M174" i="1"/>
  <c r="O174" i="1" s="1"/>
  <c r="B175" i="1"/>
  <c r="C175" i="1"/>
  <c r="D175" i="1"/>
  <c r="E175" i="1"/>
  <c r="M175" i="1"/>
  <c r="O175" i="1" s="1"/>
  <c r="B176" i="1"/>
  <c r="C176" i="1"/>
  <c r="D176" i="1"/>
  <c r="E176" i="1"/>
  <c r="M176" i="1"/>
  <c r="O176" i="1" s="1"/>
  <c r="B177" i="1"/>
  <c r="C177" i="1"/>
  <c r="D177" i="1"/>
  <c r="E177" i="1"/>
  <c r="M177" i="1"/>
  <c r="O177" i="1" s="1"/>
  <c r="B178" i="1"/>
  <c r="C178" i="1"/>
  <c r="D178" i="1"/>
  <c r="E178" i="1"/>
  <c r="M178" i="1"/>
  <c r="O178" i="1" s="1"/>
  <c r="B179" i="1"/>
  <c r="C179" i="1"/>
  <c r="D179" i="1"/>
  <c r="E179" i="1"/>
  <c r="M179" i="1"/>
  <c r="O179" i="1" s="1"/>
  <c r="B180" i="1"/>
  <c r="C180" i="1"/>
  <c r="D180" i="1"/>
  <c r="E180" i="1"/>
  <c r="M180" i="1"/>
  <c r="O180" i="1" s="1"/>
  <c r="B181" i="1"/>
  <c r="C181" i="1"/>
  <c r="D181" i="1"/>
  <c r="E181" i="1"/>
  <c r="M181" i="1"/>
  <c r="O181" i="1" s="1"/>
  <c r="B182" i="1"/>
  <c r="C182" i="1"/>
  <c r="D182" i="1"/>
  <c r="E182" i="1"/>
  <c r="M182" i="1"/>
  <c r="O182" i="1" s="1"/>
  <c r="B183" i="1"/>
  <c r="C183" i="1"/>
  <c r="D183" i="1"/>
  <c r="E183" i="1"/>
  <c r="M183" i="1"/>
  <c r="O183" i="1" s="1"/>
  <c r="B184" i="1"/>
  <c r="C184" i="1"/>
  <c r="D184" i="1"/>
  <c r="E184" i="1"/>
  <c r="M184" i="1"/>
  <c r="O184" i="1" s="1"/>
  <c r="B185" i="1"/>
  <c r="C185" i="1"/>
  <c r="D185" i="1"/>
  <c r="E185" i="1"/>
  <c r="M185" i="1"/>
  <c r="O185" i="1" s="1"/>
  <c r="B186" i="1"/>
  <c r="C186" i="1"/>
  <c r="D186" i="1"/>
  <c r="E186" i="1"/>
  <c r="M186" i="1"/>
  <c r="O186" i="1" s="1"/>
  <c r="C146" i="1"/>
  <c r="D146" i="1"/>
  <c r="E146" i="1"/>
  <c r="M146" i="1"/>
  <c r="O146" i="1" s="1"/>
  <c r="B146" i="1"/>
  <c r="B141" i="1"/>
  <c r="C141" i="1"/>
  <c r="D141" i="1"/>
  <c r="E141" i="1"/>
  <c r="M141" i="1"/>
  <c r="O141" i="1" s="1"/>
  <c r="B161" i="1"/>
  <c r="C161" i="1"/>
  <c r="D161" i="1"/>
  <c r="E161" i="1"/>
  <c r="I161" i="1" s="1"/>
  <c r="M161" i="1"/>
  <c r="O161" i="1" s="1"/>
  <c r="B153" i="1"/>
  <c r="C153" i="1"/>
  <c r="D153" i="1"/>
  <c r="E153" i="1"/>
  <c r="I153" i="1" s="1"/>
  <c r="M153" i="1"/>
  <c r="O153" i="1" s="1"/>
  <c r="D383" i="3"/>
  <c r="G383" i="3"/>
  <c r="D384" i="3"/>
  <c r="G384" i="3"/>
  <c r="D385" i="3"/>
  <c r="G385" i="3"/>
  <c r="D386" i="3"/>
  <c r="G386" i="3"/>
  <c r="D387" i="3"/>
  <c r="G387" i="3"/>
  <c r="D388" i="3"/>
  <c r="G388" i="3"/>
  <c r="D389" i="3"/>
  <c r="G389" i="3"/>
  <c r="D390" i="3"/>
  <c r="G390" i="3"/>
  <c r="D391" i="3"/>
  <c r="G391" i="3"/>
  <c r="D392" i="3"/>
  <c r="G392" i="3"/>
  <c r="D393" i="3"/>
  <c r="G393" i="3"/>
  <c r="D394" i="3"/>
  <c r="G394" i="3"/>
  <c r="D395" i="3"/>
  <c r="G395" i="3"/>
  <c r="D396" i="3"/>
  <c r="G396" i="3"/>
  <c r="D397" i="3"/>
  <c r="G397" i="3"/>
  <c r="D398" i="3"/>
  <c r="G398" i="3"/>
  <c r="D399" i="3"/>
  <c r="G399" i="3"/>
  <c r="D400" i="3"/>
  <c r="G400" i="3"/>
  <c r="D401" i="3"/>
  <c r="G401" i="3"/>
  <c r="D402" i="3"/>
  <c r="G402" i="3"/>
  <c r="D403" i="3"/>
  <c r="G403" i="3"/>
  <c r="D404" i="3"/>
  <c r="G404" i="3"/>
  <c r="D405" i="3"/>
  <c r="G405" i="3"/>
  <c r="D406" i="3"/>
  <c r="G406" i="3"/>
  <c r="D407" i="3"/>
  <c r="G407" i="3"/>
  <c r="D408" i="3"/>
  <c r="G408" i="3"/>
  <c r="D409" i="3"/>
  <c r="G409" i="3"/>
  <c r="D410" i="3"/>
  <c r="G410" i="3"/>
  <c r="D411" i="3"/>
  <c r="G411" i="3"/>
  <c r="D412" i="3"/>
  <c r="G412" i="3"/>
  <c r="D413" i="3"/>
  <c r="G413" i="3"/>
  <c r="D414" i="3"/>
  <c r="G414" i="3"/>
  <c r="D415" i="3"/>
  <c r="G415" i="3"/>
  <c r="D416" i="3"/>
  <c r="G416" i="3"/>
  <c r="D417" i="3"/>
  <c r="G417" i="3"/>
  <c r="D418" i="3"/>
  <c r="G418" i="3"/>
  <c r="D419" i="3"/>
  <c r="G419" i="3"/>
  <c r="D420" i="3"/>
  <c r="G420" i="3"/>
  <c r="D421" i="3"/>
  <c r="G421" i="3"/>
  <c r="D422" i="3"/>
  <c r="G422" i="3"/>
  <c r="D423" i="3"/>
  <c r="G423" i="3"/>
  <c r="D424" i="3"/>
  <c r="G424" i="3"/>
  <c r="D425" i="3"/>
  <c r="G425" i="3"/>
  <c r="D426" i="3"/>
  <c r="G426" i="3"/>
  <c r="D427" i="3"/>
  <c r="G427" i="3"/>
  <c r="D428" i="3"/>
  <c r="G428" i="3"/>
  <c r="D429" i="3"/>
  <c r="G429" i="3"/>
  <c r="D430" i="3"/>
  <c r="G430" i="3"/>
  <c r="D431" i="3"/>
  <c r="G431" i="3"/>
  <c r="D432" i="3"/>
  <c r="G432" i="3"/>
  <c r="D433" i="3"/>
  <c r="G433" i="3"/>
  <c r="D434" i="3"/>
  <c r="G434" i="3"/>
  <c r="D435" i="3"/>
  <c r="G435" i="3"/>
  <c r="D436" i="3"/>
  <c r="G436" i="3"/>
  <c r="D437" i="3"/>
  <c r="G437" i="3"/>
  <c r="D438" i="3"/>
  <c r="G438" i="3"/>
  <c r="D439" i="3"/>
  <c r="G439" i="3"/>
  <c r="D440" i="3"/>
  <c r="G440" i="3"/>
  <c r="D441" i="3"/>
  <c r="G441" i="3"/>
  <c r="D442" i="3"/>
  <c r="G442" i="3"/>
  <c r="D443" i="3"/>
  <c r="G443" i="3"/>
  <c r="D444" i="3"/>
  <c r="G444" i="3"/>
  <c r="D445" i="3"/>
  <c r="G445" i="3"/>
  <c r="D446" i="3"/>
  <c r="G446" i="3"/>
  <c r="D447" i="3"/>
  <c r="G447" i="3"/>
  <c r="D448" i="3"/>
  <c r="G448" i="3"/>
  <c r="D449" i="3"/>
  <c r="G449" i="3"/>
  <c r="D450" i="3"/>
  <c r="G450" i="3"/>
  <c r="D451" i="3"/>
  <c r="G451" i="3"/>
  <c r="D452" i="3"/>
  <c r="G452" i="3"/>
  <c r="D453" i="3"/>
  <c r="G453" i="3"/>
  <c r="D454" i="3"/>
  <c r="G454" i="3"/>
  <c r="D455" i="3"/>
  <c r="G455" i="3"/>
  <c r="D456" i="3"/>
  <c r="G456" i="3"/>
  <c r="D457" i="3"/>
  <c r="G457" i="3"/>
  <c r="D458" i="3"/>
  <c r="G458" i="3"/>
  <c r="D459" i="3"/>
  <c r="G459" i="3"/>
  <c r="D460" i="3"/>
  <c r="G460" i="3"/>
  <c r="D461" i="3"/>
  <c r="G461" i="3"/>
  <c r="D462" i="3"/>
  <c r="G462" i="3"/>
  <c r="D463" i="3"/>
  <c r="G463" i="3"/>
  <c r="D464" i="3"/>
  <c r="G464" i="3"/>
  <c r="D465" i="3"/>
  <c r="G465" i="3"/>
  <c r="D466" i="3"/>
  <c r="G466" i="3"/>
  <c r="D467" i="3"/>
  <c r="G467" i="3"/>
  <c r="D468" i="3"/>
  <c r="G468" i="3"/>
  <c r="D469" i="3"/>
  <c r="G469" i="3"/>
  <c r="D470" i="3"/>
  <c r="G470" i="3"/>
  <c r="D471" i="3"/>
  <c r="G471" i="3"/>
  <c r="D472" i="3"/>
  <c r="G472" i="3"/>
  <c r="D473" i="3"/>
  <c r="G473" i="3"/>
  <c r="D476" i="3"/>
  <c r="G476" i="3"/>
  <c r="D474" i="3"/>
  <c r="G474" i="3"/>
  <c r="D475" i="3"/>
  <c r="G475" i="3"/>
  <c r="D477" i="3"/>
  <c r="G477" i="3"/>
  <c r="D478" i="3"/>
  <c r="G478" i="3"/>
  <c r="D479" i="3"/>
  <c r="G479" i="3"/>
  <c r="D480" i="3"/>
  <c r="G480" i="3"/>
  <c r="D481" i="3"/>
  <c r="G481" i="3"/>
  <c r="D482" i="3"/>
  <c r="G482" i="3"/>
  <c r="D483" i="3"/>
  <c r="G483" i="3"/>
  <c r="D484" i="3"/>
  <c r="G484" i="3"/>
  <c r="D485" i="3"/>
  <c r="G485" i="3"/>
  <c r="D486" i="3"/>
  <c r="G486" i="3"/>
  <c r="D487" i="3"/>
  <c r="G487" i="3"/>
  <c r="D488" i="3"/>
  <c r="G488" i="3"/>
  <c r="D489" i="3"/>
  <c r="G489" i="3"/>
  <c r="D490" i="3"/>
  <c r="G490" i="3"/>
  <c r="D491" i="3"/>
  <c r="G491" i="3"/>
  <c r="D492" i="3"/>
  <c r="G492" i="3"/>
  <c r="D493" i="3"/>
  <c r="G493" i="3"/>
  <c r="D494" i="3"/>
  <c r="G494" i="3"/>
  <c r="D495" i="3"/>
  <c r="G495" i="3"/>
  <c r="D496" i="3"/>
  <c r="G496" i="3"/>
  <c r="D497" i="3"/>
  <c r="G497" i="3"/>
  <c r="D498" i="3"/>
  <c r="G498" i="3"/>
  <c r="D499" i="3"/>
  <c r="G499" i="3"/>
  <c r="D500" i="3"/>
  <c r="G500" i="3"/>
  <c r="D501" i="3"/>
  <c r="G501" i="3"/>
  <c r="D502" i="3"/>
  <c r="G502" i="3"/>
  <c r="D503" i="3"/>
  <c r="G503" i="3"/>
  <c r="D504" i="3"/>
  <c r="G504" i="3"/>
  <c r="D505" i="3"/>
  <c r="G505" i="3"/>
  <c r="D506" i="3"/>
  <c r="G506" i="3"/>
  <c r="D507" i="3"/>
  <c r="G507" i="3"/>
  <c r="D508" i="3"/>
  <c r="G508" i="3"/>
  <c r="D509" i="3"/>
  <c r="G509" i="3"/>
  <c r="D510" i="3"/>
  <c r="G510" i="3"/>
  <c r="D511" i="3"/>
  <c r="G511" i="3"/>
  <c r="D512" i="3"/>
  <c r="G512" i="3"/>
  <c r="D513" i="3"/>
  <c r="G513" i="3"/>
  <c r="D514" i="3"/>
  <c r="G514" i="3"/>
  <c r="D515" i="3"/>
  <c r="G515" i="3"/>
  <c r="D516" i="3"/>
  <c r="G516" i="3"/>
  <c r="D517" i="3"/>
  <c r="G517" i="3"/>
  <c r="D518" i="3"/>
  <c r="G518" i="3"/>
  <c r="D519" i="3"/>
  <c r="G519" i="3"/>
  <c r="D520" i="3"/>
  <c r="G520" i="3"/>
  <c r="D521" i="3"/>
  <c r="G521" i="3"/>
  <c r="D522" i="3"/>
  <c r="G522" i="3"/>
  <c r="D523" i="3"/>
  <c r="G523" i="3"/>
  <c r="D524" i="3"/>
  <c r="G524" i="3"/>
  <c r="D525" i="3"/>
  <c r="G525" i="3"/>
  <c r="D526" i="3"/>
  <c r="G526" i="3"/>
  <c r="D527" i="3"/>
  <c r="G527" i="3"/>
  <c r="D528" i="3"/>
  <c r="G528" i="3"/>
  <c r="D529" i="3"/>
  <c r="G529" i="3"/>
  <c r="D530" i="3"/>
  <c r="G530" i="3"/>
  <c r="D531" i="3"/>
  <c r="G531" i="3"/>
  <c r="D532" i="3"/>
  <c r="G532" i="3"/>
  <c r="D533" i="3"/>
  <c r="G533" i="3"/>
  <c r="D534" i="3"/>
  <c r="G534" i="3"/>
  <c r="D535" i="3"/>
  <c r="G535" i="3"/>
  <c r="D536" i="3"/>
  <c r="G536" i="3"/>
  <c r="D537" i="3"/>
  <c r="G537" i="3"/>
  <c r="D538" i="3"/>
  <c r="G538" i="3"/>
  <c r="D539" i="3"/>
  <c r="G539" i="3"/>
  <c r="D540" i="3"/>
  <c r="G540" i="3"/>
  <c r="D541" i="3"/>
  <c r="G541" i="3"/>
  <c r="D542" i="3"/>
  <c r="G542" i="3"/>
  <c r="D543" i="3"/>
  <c r="G543" i="3"/>
  <c r="D544" i="3"/>
  <c r="G544" i="3"/>
  <c r="D545" i="3"/>
  <c r="G545" i="3"/>
  <c r="D546" i="3"/>
  <c r="G546" i="3"/>
  <c r="D547" i="3"/>
  <c r="G547" i="3"/>
  <c r="D548" i="3"/>
  <c r="G548" i="3"/>
  <c r="D549" i="3"/>
  <c r="G549" i="3"/>
  <c r="D550" i="3"/>
  <c r="G550" i="3"/>
  <c r="D551" i="3"/>
  <c r="G551" i="3"/>
  <c r="D552" i="3"/>
  <c r="G552" i="3"/>
  <c r="D553" i="3"/>
  <c r="G553" i="3"/>
  <c r="D554" i="3"/>
  <c r="G554" i="3"/>
  <c r="D555" i="3"/>
  <c r="G555" i="3"/>
  <c r="D556" i="3"/>
  <c r="G556" i="3"/>
  <c r="D557" i="3"/>
  <c r="G557" i="3"/>
  <c r="D558" i="3"/>
  <c r="G558" i="3"/>
  <c r="D559" i="3"/>
  <c r="G559" i="3"/>
  <c r="D560" i="3"/>
  <c r="G560" i="3"/>
  <c r="D561" i="3"/>
  <c r="G561" i="3"/>
  <c r="D562" i="3"/>
  <c r="G562" i="3"/>
  <c r="D563" i="3"/>
  <c r="G563" i="3"/>
  <c r="D564" i="3"/>
  <c r="G564" i="3"/>
  <c r="D565" i="3"/>
  <c r="G565" i="3"/>
  <c r="D566" i="3"/>
  <c r="G566" i="3"/>
  <c r="D567" i="3"/>
  <c r="G567" i="3"/>
  <c r="D568" i="3"/>
  <c r="G568" i="3"/>
  <c r="D569" i="3"/>
  <c r="G569" i="3"/>
  <c r="D570" i="3"/>
  <c r="G570" i="3"/>
  <c r="D571" i="3"/>
  <c r="G571" i="3"/>
  <c r="D572" i="3"/>
  <c r="G572" i="3"/>
  <c r="D573" i="3"/>
  <c r="G573" i="3"/>
  <c r="D574" i="3"/>
  <c r="G574" i="3"/>
  <c r="D575" i="3"/>
  <c r="G575" i="3"/>
  <c r="D576" i="3"/>
  <c r="G576" i="3"/>
  <c r="D577" i="3"/>
  <c r="G577" i="3"/>
  <c r="D578" i="3"/>
  <c r="G578" i="3"/>
  <c r="D579" i="3"/>
  <c r="G579" i="3"/>
  <c r="D580" i="3"/>
  <c r="G580" i="3"/>
  <c r="D581" i="3"/>
  <c r="G581" i="3"/>
  <c r="D582" i="3"/>
  <c r="G582" i="3"/>
  <c r="D583" i="3"/>
  <c r="G583" i="3"/>
  <c r="D584" i="3"/>
  <c r="G584" i="3"/>
  <c r="D585" i="3"/>
  <c r="G585" i="3"/>
  <c r="D586" i="3"/>
  <c r="G586" i="3"/>
  <c r="D587" i="3"/>
  <c r="G587" i="3"/>
  <c r="D588" i="3"/>
  <c r="G588" i="3"/>
  <c r="D589" i="3"/>
  <c r="G589" i="3"/>
  <c r="D597" i="3"/>
  <c r="G597" i="3"/>
  <c r="D599" i="3"/>
  <c r="G599" i="3"/>
  <c r="D600" i="3"/>
  <c r="G600" i="3"/>
  <c r="B125" i="1"/>
  <c r="C125" i="1"/>
  <c r="D125" i="1"/>
  <c r="E125" i="1"/>
  <c r="K125" i="1" s="1"/>
  <c r="M125" i="1"/>
  <c r="H386" i="3" s="1"/>
  <c r="I386" i="3" s="1"/>
  <c r="B126" i="1"/>
  <c r="C126" i="1"/>
  <c r="D126" i="1"/>
  <c r="E126" i="1"/>
  <c r="I126" i="1" s="1"/>
  <c r="M126" i="1"/>
  <c r="O126" i="1" s="1"/>
  <c r="B127" i="1"/>
  <c r="C127" i="1"/>
  <c r="D127" i="1"/>
  <c r="E127" i="1"/>
  <c r="I127" i="1" s="1"/>
  <c r="M127" i="1"/>
  <c r="O127" i="1" s="1"/>
  <c r="B128" i="1"/>
  <c r="C128" i="1"/>
  <c r="D128" i="1"/>
  <c r="E128" i="1"/>
  <c r="I128" i="1" s="1"/>
  <c r="M128" i="1"/>
  <c r="O128" i="1" s="1"/>
  <c r="B129" i="1"/>
  <c r="C129" i="1"/>
  <c r="D129" i="1"/>
  <c r="E129" i="1"/>
  <c r="I129" i="1" s="1"/>
  <c r="M129" i="1"/>
  <c r="O129" i="1" s="1"/>
  <c r="B130" i="1"/>
  <c r="C130" i="1"/>
  <c r="D130" i="1"/>
  <c r="E130" i="1"/>
  <c r="I130" i="1" s="1"/>
  <c r="M130" i="1"/>
  <c r="O130" i="1" s="1"/>
  <c r="B131" i="1"/>
  <c r="C131" i="1"/>
  <c r="D131" i="1"/>
  <c r="E131" i="1"/>
  <c r="I131" i="1" s="1"/>
  <c r="M131" i="1"/>
  <c r="H407" i="3" s="1"/>
  <c r="J407" i="3" s="1"/>
  <c r="B132" i="1"/>
  <c r="C132" i="1"/>
  <c r="D132" i="1"/>
  <c r="E132" i="1"/>
  <c r="I132" i="1" s="1"/>
  <c r="M132" i="1"/>
  <c r="O132" i="1" s="1"/>
  <c r="B133" i="1"/>
  <c r="C133" i="1"/>
  <c r="D133" i="1"/>
  <c r="E133" i="1"/>
  <c r="I133" i="1" s="1"/>
  <c r="M133" i="1"/>
  <c r="H403" i="3" s="1"/>
  <c r="J403" i="3" s="1"/>
  <c r="B145" i="1"/>
  <c r="C145" i="1"/>
  <c r="D145" i="1"/>
  <c r="E145" i="1"/>
  <c r="I145" i="1" s="1"/>
  <c r="M145" i="1"/>
  <c r="O145" i="1" s="1"/>
  <c r="B135" i="1"/>
  <c r="C135" i="1"/>
  <c r="D135" i="1"/>
  <c r="E135" i="1"/>
  <c r="I135" i="1" s="1"/>
  <c r="M135" i="1"/>
  <c r="O135" i="1" s="1"/>
  <c r="B136" i="1"/>
  <c r="C136" i="1"/>
  <c r="D136" i="1"/>
  <c r="E136" i="1"/>
  <c r="I136" i="1" s="1"/>
  <c r="M136" i="1"/>
  <c r="O136" i="1" s="1"/>
  <c r="B137" i="1"/>
  <c r="C137" i="1"/>
  <c r="D137" i="1"/>
  <c r="E137" i="1"/>
  <c r="K137" i="1" s="1"/>
  <c r="M137" i="1"/>
  <c r="H389" i="3" s="1"/>
  <c r="I389" i="3" s="1"/>
  <c r="B138" i="1"/>
  <c r="C138" i="1"/>
  <c r="D138" i="1"/>
  <c r="E138" i="1"/>
  <c r="I138" i="1" s="1"/>
  <c r="M138" i="1"/>
  <c r="O138" i="1" s="1"/>
  <c r="B151" i="1"/>
  <c r="C151" i="1"/>
  <c r="D151" i="1"/>
  <c r="E151" i="1"/>
  <c r="I151" i="1" s="1"/>
  <c r="M151" i="1"/>
  <c r="O151" i="1" s="1"/>
  <c r="B144" i="1"/>
  <c r="C144" i="1"/>
  <c r="D144" i="1"/>
  <c r="E144" i="1"/>
  <c r="I144" i="1" s="1"/>
  <c r="M144" i="1"/>
  <c r="H404" i="3" s="1"/>
  <c r="J404" i="3" s="1"/>
  <c r="B164" i="1"/>
  <c r="C164" i="1"/>
  <c r="D164" i="1"/>
  <c r="E164" i="1"/>
  <c r="I164" i="1" s="1"/>
  <c r="M164" i="1"/>
  <c r="O164" i="1" s="1"/>
  <c r="B142" i="1"/>
  <c r="C142" i="1"/>
  <c r="D142" i="1"/>
  <c r="E142" i="1"/>
  <c r="I142" i="1" s="1"/>
  <c r="M142" i="1"/>
  <c r="O142" i="1" s="1"/>
  <c r="B166" i="1"/>
  <c r="C166" i="1"/>
  <c r="D166" i="1"/>
  <c r="E166" i="1"/>
  <c r="I166" i="1" s="1"/>
  <c r="M166" i="1"/>
  <c r="O166" i="1" s="1"/>
  <c r="B148" i="1"/>
  <c r="C148" i="1"/>
  <c r="D148" i="1"/>
  <c r="E148" i="1"/>
  <c r="K148" i="1" s="1"/>
  <c r="M148" i="1"/>
  <c r="O148" i="1" s="1"/>
  <c r="B149" i="1"/>
  <c r="C149" i="1"/>
  <c r="D149" i="1"/>
  <c r="E149" i="1"/>
  <c r="I149" i="1" s="1"/>
  <c r="M149" i="1"/>
  <c r="O149" i="1" s="1"/>
  <c r="B159" i="1"/>
  <c r="C159" i="1"/>
  <c r="D159" i="1"/>
  <c r="E159" i="1"/>
  <c r="I159" i="1" s="1"/>
  <c r="M159" i="1"/>
  <c r="O159" i="1" s="1"/>
  <c r="B162" i="1"/>
  <c r="C162" i="1"/>
  <c r="D162" i="1"/>
  <c r="E162" i="1"/>
  <c r="I162" i="1" s="1"/>
  <c r="M162" i="1"/>
  <c r="O162" i="1" s="1"/>
  <c r="B152" i="1"/>
  <c r="C152" i="1"/>
  <c r="D152" i="1"/>
  <c r="E152" i="1"/>
  <c r="I152" i="1" s="1"/>
  <c r="M152" i="1"/>
  <c r="O152" i="1" s="1"/>
  <c r="B154" i="1"/>
  <c r="C154" i="1"/>
  <c r="D154" i="1"/>
  <c r="E154" i="1"/>
  <c r="I154" i="1" s="1"/>
  <c r="M154" i="1"/>
  <c r="O154" i="1" s="1"/>
  <c r="B147" i="1"/>
  <c r="C147" i="1"/>
  <c r="D147" i="1"/>
  <c r="E147" i="1"/>
  <c r="I147" i="1" s="1"/>
  <c r="M147" i="1"/>
  <c r="O147" i="1" s="1"/>
  <c r="B150" i="1"/>
  <c r="C150" i="1"/>
  <c r="D150" i="1"/>
  <c r="E150" i="1"/>
  <c r="I150" i="1" s="1"/>
  <c r="M150" i="1"/>
  <c r="O150" i="1" s="1"/>
  <c r="B155" i="1"/>
  <c r="C155" i="1"/>
  <c r="D155" i="1"/>
  <c r="E155" i="1"/>
  <c r="I155" i="1" s="1"/>
  <c r="M155" i="1"/>
  <c r="O155" i="1" s="1"/>
  <c r="B157" i="1"/>
  <c r="C157" i="1"/>
  <c r="D157" i="1"/>
  <c r="E157" i="1"/>
  <c r="I157" i="1" s="1"/>
  <c r="M157" i="1"/>
  <c r="O157" i="1" s="1"/>
  <c r="B143" i="1"/>
  <c r="C143" i="1"/>
  <c r="D143" i="1"/>
  <c r="E143" i="1"/>
  <c r="I143" i="1" s="1"/>
  <c r="M143" i="1"/>
  <c r="O143" i="1" s="1"/>
  <c r="B160" i="1"/>
  <c r="C160" i="1"/>
  <c r="D160" i="1"/>
  <c r="E160" i="1"/>
  <c r="I160" i="1" s="1"/>
  <c r="M160" i="1"/>
  <c r="O160" i="1" s="1"/>
  <c r="B158" i="1"/>
  <c r="C158" i="1"/>
  <c r="D158" i="1"/>
  <c r="E158" i="1"/>
  <c r="K158" i="1" s="1"/>
  <c r="M158" i="1"/>
  <c r="O158" i="1" s="1"/>
  <c r="B156" i="1"/>
  <c r="C156" i="1"/>
  <c r="D156" i="1"/>
  <c r="E156" i="1"/>
  <c r="I156" i="1" s="1"/>
  <c r="M156" i="1"/>
  <c r="O156" i="1" s="1"/>
  <c r="B134" i="1"/>
  <c r="C134" i="1"/>
  <c r="D134" i="1"/>
  <c r="E134" i="1"/>
  <c r="I134" i="1" s="1"/>
  <c r="M134" i="1"/>
  <c r="O134" i="1" s="1"/>
  <c r="B163" i="1"/>
  <c r="C163" i="1"/>
  <c r="D163" i="1"/>
  <c r="E163" i="1"/>
  <c r="I163" i="1" s="1"/>
  <c r="M163" i="1"/>
  <c r="O163" i="1" s="1"/>
  <c r="B140" i="1"/>
  <c r="C140" i="1"/>
  <c r="D140" i="1"/>
  <c r="E140" i="1"/>
  <c r="I140" i="1" s="1"/>
  <c r="M140" i="1"/>
  <c r="O140" i="1" s="1"/>
  <c r="B124" i="1"/>
  <c r="C124" i="1"/>
  <c r="D124" i="1"/>
  <c r="E124" i="1"/>
  <c r="I124" i="1" s="1"/>
  <c r="M124" i="1"/>
  <c r="O124" i="1" s="1"/>
  <c r="D380" i="3"/>
  <c r="D365" i="3"/>
  <c r="G365" i="3"/>
  <c r="D366" i="3"/>
  <c r="G366" i="3"/>
  <c r="D367" i="3"/>
  <c r="G367" i="3"/>
  <c r="D368" i="3"/>
  <c r="G368" i="3"/>
  <c r="D369" i="3"/>
  <c r="G369" i="3"/>
  <c r="D370" i="3"/>
  <c r="G370" i="3"/>
  <c r="D371" i="3"/>
  <c r="G371" i="3"/>
  <c r="D372" i="3"/>
  <c r="G372" i="3"/>
  <c r="D373" i="3"/>
  <c r="G373" i="3"/>
  <c r="D374" i="3"/>
  <c r="G374" i="3"/>
  <c r="D375" i="3"/>
  <c r="G375" i="3"/>
  <c r="D376" i="3"/>
  <c r="G376" i="3"/>
  <c r="D377" i="3"/>
  <c r="G377" i="3"/>
  <c r="D378" i="3"/>
  <c r="G378" i="3"/>
  <c r="D379" i="3"/>
  <c r="G379" i="3"/>
  <c r="G380" i="3"/>
  <c r="D381" i="3"/>
  <c r="G381" i="3"/>
  <c r="D382" i="3"/>
  <c r="G382" i="3"/>
  <c r="D364" i="3"/>
  <c r="G364" i="3"/>
  <c r="G363" i="3"/>
  <c r="G352" i="3"/>
  <c r="D363" i="3"/>
  <c r="D352" i="3"/>
  <c r="B25" i="1"/>
  <c r="B112" i="1"/>
  <c r="B115" i="1"/>
  <c r="G340" i="3"/>
  <c r="E353" i="3"/>
  <c r="D341" i="3"/>
  <c r="G341" i="3"/>
  <c r="D342" i="3"/>
  <c r="G342" i="3"/>
  <c r="D343" i="3"/>
  <c r="G343" i="3"/>
  <c r="D344" i="3"/>
  <c r="G344" i="3"/>
  <c r="D345" i="3"/>
  <c r="G345" i="3"/>
  <c r="D346" i="3"/>
  <c r="G346" i="3"/>
  <c r="D347" i="3"/>
  <c r="G347" i="3"/>
  <c r="D348" i="3"/>
  <c r="G348" i="3"/>
  <c r="D349" i="3"/>
  <c r="G349" i="3"/>
  <c r="D350" i="3"/>
  <c r="G350" i="3"/>
  <c r="D351" i="3"/>
  <c r="G351" i="3"/>
  <c r="D340" i="3"/>
  <c r="D338" i="3"/>
  <c r="G338" i="3"/>
  <c r="D339" i="3"/>
  <c r="G339" i="3"/>
  <c r="D337" i="3"/>
  <c r="G337" i="3"/>
  <c r="B123" i="1"/>
  <c r="C123" i="1"/>
  <c r="D123" i="1"/>
  <c r="E123" i="1"/>
  <c r="I123" i="1" s="1"/>
  <c r="M123" i="1"/>
  <c r="O123" i="1" s="1"/>
  <c r="B122" i="1"/>
  <c r="C122" i="1"/>
  <c r="D122" i="1"/>
  <c r="E122" i="1"/>
  <c r="I122" i="1" s="1"/>
  <c r="M122" i="1"/>
  <c r="O122" i="1" s="1"/>
  <c r="B121" i="1"/>
  <c r="C121" i="1"/>
  <c r="D121" i="1"/>
  <c r="E121" i="1"/>
  <c r="M121" i="1"/>
  <c r="H368" i="3" s="1"/>
  <c r="B120" i="1"/>
  <c r="C120" i="1"/>
  <c r="D120" i="1"/>
  <c r="E120" i="1"/>
  <c r="I120" i="1" s="1"/>
  <c r="M120" i="1"/>
  <c r="O120" i="1" s="1"/>
  <c r="B119" i="1"/>
  <c r="C119" i="1"/>
  <c r="D119" i="1"/>
  <c r="E119" i="1"/>
  <c r="I119" i="1" s="1"/>
  <c r="M119" i="1"/>
  <c r="O119" i="1" s="1"/>
  <c r="B118" i="1"/>
  <c r="C118" i="1"/>
  <c r="D118" i="1"/>
  <c r="E118" i="1"/>
  <c r="I118" i="1" s="1"/>
  <c r="M118" i="1"/>
  <c r="O118" i="1" s="1"/>
  <c r="B117" i="1"/>
  <c r="C117" i="1"/>
  <c r="D117" i="1"/>
  <c r="E117" i="1"/>
  <c r="I117" i="1" s="1"/>
  <c r="M117" i="1"/>
  <c r="O117" i="1" s="1"/>
  <c r="B116" i="1"/>
  <c r="C116" i="1"/>
  <c r="D116" i="1"/>
  <c r="E116" i="1"/>
  <c r="I116" i="1" s="1"/>
  <c r="M116" i="1"/>
  <c r="O116" i="1" s="1"/>
  <c r="B114" i="1"/>
  <c r="C114" i="1"/>
  <c r="D114" i="1"/>
  <c r="E114" i="1"/>
  <c r="I114" i="1" s="1"/>
  <c r="M114" i="1"/>
  <c r="O114" i="1" s="1"/>
  <c r="C115" i="1"/>
  <c r="D115" i="1"/>
  <c r="E115" i="1"/>
  <c r="I115" i="1" s="1"/>
  <c r="M115" i="1"/>
  <c r="O115" i="1" s="1"/>
  <c r="C112" i="1"/>
  <c r="D112" i="1"/>
  <c r="E112" i="1"/>
  <c r="K112" i="1" s="1"/>
  <c r="M112" i="1"/>
  <c r="O112" i="1" s="1"/>
  <c r="B113" i="1"/>
  <c r="C113" i="1"/>
  <c r="D113" i="1"/>
  <c r="E113" i="1"/>
  <c r="K113" i="1" s="1"/>
  <c r="M113" i="1"/>
  <c r="H396" i="3" s="1"/>
  <c r="I396" i="3" s="1"/>
  <c r="B111" i="1"/>
  <c r="C111" i="1"/>
  <c r="D111" i="1"/>
  <c r="E111" i="1"/>
  <c r="I111" i="1" s="1"/>
  <c r="M111" i="1"/>
  <c r="O111" i="1" s="1"/>
  <c r="B110" i="1"/>
  <c r="C110" i="1"/>
  <c r="D110" i="1"/>
  <c r="E110" i="1"/>
  <c r="K110" i="1" s="1"/>
  <c r="M110" i="1"/>
  <c r="O110" i="1" s="1"/>
  <c r="B109" i="1"/>
  <c r="C109" i="1"/>
  <c r="D109" i="1"/>
  <c r="E109" i="1"/>
  <c r="K109" i="1" s="1"/>
  <c r="M109" i="1"/>
  <c r="O109" i="1" s="1"/>
  <c r="B108" i="1"/>
  <c r="C108" i="1"/>
  <c r="D108" i="1"/>
  <c r="E108" i="1"/>
  <c r="I108" i="1" s="1"/>
  <c r="M108" i="1"/>
  <c r="H364" i="3" s="1"/>
  <c r="B107" i="1"/>
  <c r="C107" i="1"/>
  <c r="D107" i="1"/>
  <c r="E107" i="1"/>
  <c r="K107" i="1" s="1"/>
  <c r="M107" i="1"/>
  <c r="H366" i="3" s="1"/>
  <c r="B106" i="1"/>
  <c r="C106" i="1"/>
  <c r="D106" i="1"/>
  <c r="E106" i="1"/>
  <c r="I106" i="1" s="1"/>
  <c r="M106" i="1"/>
  <c r="O106" i="1" s="1"/>
  <c r="B105" i="1"/>
  <c r="C105" i="1"/>
  <c r="D105" i="1"/>
  <c r="E105" i="1"/>
  <c r="I105" i="1" s="1"/>
  <c r="M105" i="1"/>
  <c r="O105" i="1" s="1"/>
  <c r="B104" i="1"/>
  <c r="C104" i="1"/>
  <c r="D104" i="1"/>
  <c r="E104" i="1"/>
  <c r="K104" i="1" s="1"/>
  <c r="M104" i="1"/>
  <c r="O104" i="1" s="1"/>
  <c r="B103" i="1"/>
  <c r="C103" i="1"/>
  <c r="D103" i="1"/>
  <c r="E103" i="1"/>
  <c r="K103" i="1" s="1"/>
  <c r="M103" i="1"/>
  <c r="O103" i="1" s="1"/>
  <c r="M4" i="1"/>
  <c r="O4" i="1" s="1"/>
  <c r="G6" i="3"/>
  <c r="D6" i="3"/>
  <c r="E4" i="1"/>
  <c r="D4" i="1"/>
  <c r="C4" i="1"/>
  <c r="B4" i="1"/>
  <c r="B102" i="1"/>
  <c r="C102" i="1"/>
  <c r="D102" i="1"/>
  <c r="E102" i="1"/>
  <c r="I102" i="1" s="1"/>
  <c r="M102" i="1"/>
  <c r="H376" i="3" s="1"/>
  <c r="B101" i="1"/>
  <c r="C101" i="1"/>
  <c r="D101" i="1"/>
  <c r="E101" i="1"/>
  <c r="K101" i="1" s="1"/>
  <c r="M101" i="1"/>
  <c r="O101" i="1" s="1"/>
  <c r="D322" i="3"/>
  <c r="G322" i="3"/>
  <c r="D324" i="3"/>
  <c r="G324" i="3"/>
  <c r="D323" i="3"/>
  <c r="G323" i="3"/>
  <c r="D321" i="3"/>
  <c r="G321" i="3"/>
  <c r="D320" i="3"/>
  <c r="G320" i="3"/>
  <c r="D326" i="3"/>
  <c r="G326" i="3"/>
  <c r="D327" i="3"/>
  <c r="G327" i="3"/>
  <c r="D325" i="3"/>
  <c r="G325" i="3"/>
  <c r="D328" i="3"/>
  <c r="G328" i="3"/>
  <c r="D329" i="3"/>
  <c r="G329" i="3"/>
  <c r="D330" i="3"/>
  <c r="G330" i="3"/>
  <c r="D331" i="3"/>
  <c r="G331" i="3"/>
  <c r="D333" i="3"/>
  <c r="G333" i="3"/>
  <c r="D332" i="3"/>
  <c r="G332" i="3"/>
  <c r="D336" i="3"/>
  <c r="G336" i="3"/>
  <c r="D335" i="3"/>
  <c r="G335" i="3"/>
  <c r="D334" i="3"/>
  <c r="G334" i="3"/>
  <c r="G294" i="3"/>
  <c r="B100" i="1"/>
  <c r="C100" i="1"/>
  <c r="D100" i="1"/>
  <c r="E100" i="1"/>
  <c r="I100" i="1" s="1"/>
  <c r="M100" i="1"/>
  <c r="O100" i="1" s="1"/>
  <c r="D274" i="3"/>
  <c r="G274" i="3"/>
  <c r="D275" i="3"/>
  <c r="G275" i="3"/>
  <c r="D278" i="3"/>
  <c r="G278" i="3"/>
  <c r="D276" i="3"/>
  <c r="G276" i="3"/>
  <c r="D279" i="3"/>
  <c r="G279" i="3"/>
  <c r="D273" i="3"/>
  <c r="G273" i="3"/>
  <c r="D282" i="3"/>
  <c r="G282" i="3"/>
  <c r="D284" i="3"/>
  <c r="G284" i="3"/>
  <c r="D283" i="3"/>
  <c r="G283" i="3"/>
  <c r="D281" i="3"/>
  <c r="G281" i="3"/>
  <c r="D280" i="3"/>
  <c r="G280" i="3"/>
  <c r="D285" i="3"/>
  <c r="G285" i="3"/>
  <c r="D286" i="3"/>
  <c r="G286" i="3"/>
  <c r="D287" i="3"/>
  <c r="G287" i="3"/>
  <c r="D288" i="3"/>
  <c r="G288" i="3"/>
  <c r="D289" i="3"/>
  <c r="G289" i="3"/>
  <c r="D290" i="3"/>
  <c r="G290" i="3"/>
  <c r="D292" i="3"/>
  <c r="G292" i="3"/>
  <c r="D291" i="3"/>
  <c r="G291" i="3"/>
  <c r="D294" i="3"/>
  <c r="D296" i="3"/>
  <c r="G296" i="3"/>
  <c r="D293" i="3"/>
  <c r="G293" i="3"/>
  <c r="D295" i="3"/>
  <c r="G295" i="3"/>
  <c r="D297" i="3"/>
  <c r="G297" i="3"/>
  <c r="D298" i="3"/>
  <c r="G298" i="3"/>
  <c r="D301" i="3"/>
  <c r="G301" i="3"/>
  <c r="D300" i="3"/>
  <c r="G300" i="3"/>
  <c r="D299" i="3"/>
  <c r="G299" i="3"/>
  <c r="D304" i="3"/>
  <c r="G304" i="3"/>
  <c r="D305" i="3"/>
  <c r="G305" i="3"/>
  <c r="D303" i="3"/>
  <c r="G303" i="3"/>
  <c r="D302" i="3"/>
  <c r="G302" i="3"/>
  <c r="D306" i="3"/>
  <c r="G306" i="3"/>
  <c r="D309" i="3"/>
  <c r="G309" i="3"/>
  <c r="D311" i="3"/>
  <c r="G311" i="3"/>
  <c r="D310" i="3"/>
  <c r="G310" i="3"/>
  <c r="D307" i="3"/>
  <c r="G307" i="3"/>
  <c r="D308" i="3"/>
  <c r="G308" i="3"/>
  <c r="D313" i="3"/>
  <c r="G313" i="3"/>
  <c r="D315" i="3"/>
  <c r="G315" i="3"/>
  <c r="D312" i="3"/>
  <c r="G312" i="3"/>
  <c r="D314" i="3"/>
  <c r="G314" i="3"/>
  <c r="D316" i="3"/>
  <c r="G316" i="3"/>
  <c r="D319" i="3"/>
  <c r="G319" i="3"/>
  <c r="D317" i="3"/>
  <c r="G317" i="3"/>
  <c r="D318" i="3"/>
  <c r="G318" i="3"/>
  <c r="B20" i="1"/>
  <c r="D232" i="3"/>
  <c r="B99" i="1"/>
  <c r="C99" i="1"/>
  <c r="D99" i="1"/>
  <c r="E99" i="1"/>
  <c r="K99" i="1" s="1"/>
  <c r="M99" i="1"/>
  <c r="H367" i="3" s="1"/>
  <c r="B98" i="1"/>
  <c r="C98" i="1"/>
  <c r="D98" i="1"/>
  <c r="E98" i="1"/>
  <c r="I98" i="1" s="1"/>
  <c r="M98" i="1"/>
  <c r="O98" i="1" s="1"/>
  <c r="B97" i="1"/>
  <c r="C97" i="1"/>
  <c r="D97" i="1"/>
  <c r="E97" i="1"/>
  <c r="K97" i="1" s="1"/>
  <c r="M97" i="1"/>
  <c r="O97" i="1" s="1"/>
  <c r="B96" i="1"/>
  <c r="C96" i="1"/>
  <c r="D96" i="1"/>
  <c r="E96" i="1"/>
  <c r="I96" i="1" s="1"/>
  <c r="M96" i="1"/>
  <c r="O96" i="1" s="1"/>
  <c r="B95" i="1"/>
  <c r="C95" i="1"/>
  <c r="D95" i="1"/>
  <c r="E95" i="1"/>
  <c r="I95" i="1" s="1"/>
  <c r="M95" i="1"/>
  <c r="O95" i="1" s="1"/>
  <c r="B94" i="1"/>
  <c r="C94" i="1"/>
  <c r="D94" i="1"/>
  <c r="E94" i="1"/>
  <c r="K94" i="1" s="1"/>
  <c r="M94" i="1"/>
  <c r="H352" i="3" s="1"/>
  <c r="D219" i="3"/>
  <c r="G219" i="3"/>
  <c r="D216" i="3"/>
  <c r="G216" i="3"/>
  <c r="D218" i="3"/>
  <c r="G218" i="3"/>
  <c r="D220" i="3"/>
  <c r="G220" i="3"/>
  <c r="D226" i="3"/>
  <c r="G226" i="3"/>
  <c r="D225" i="3"/>
  <c r="G225" i="3"/>
  <c r="D222" i="3"/>
  <c r="G222" i="3"/>
  <c r="D221" i="3"/>
  <c r="G221" i="3"/>
  <c r="D224" i="3"/>
  <c r="G224" i="3"/>
  <c r="D223" i="3"/>
  <c r="G223" i="3"/>
  <c r="D230" i="3"/>
  <c r="G230" i="3"/>
  <c r="D227" i="3"/>
  <c r="G227" i="3"/>
  <c r="D229" i="3"/>
  <c r="G229" i="3"/>
  <c r="D231" i="3"/>
  <c r="G231" i="3"/>
  <c r="D228" i="3"/>
  <c r="G228" i="3"/>
  <c r="G232" i="3"/>
  <c r="D236" i="3"/>
  <c r="G236" i="3"/>
  <c r="D235" i="3"/>
  <c r="G235" i="3"/>
  <c r="D234" i="3"/>
  <c r="G234" i="3"/>
  <c r="D233" i="3"/>
  <c r="G233" i="3"/>
  <c r="D243" i="3"/>
  <c r="G243" i="3"/>
  <c r="D237" i="3"/>
  <c r="G237" i="3"/>
  <c r="D241" i="3"/>
  <c r="G241" i="3"/>
  <c r="D242" i="3"/>
  <c r="G242" i="3"/>
  <c r="D240" i="3"/>
  <c r="G240" i="3"/>
  <c r="D238" i="3"/>
  <c r="G238" i="3"/>
  <c r="D244" i="3"/>
  <c r="G244" i="3"/>
  <c r="D239" i="3"/>
  <c r="G239" i="3"/>
  <c r="D249" i="3"/>
  <c r="G249" i="3"/>
  <c r="D245" i="3"/>
  <c r="G245" i="3"/>
  <c r="D246" i="3"/>
  <c r="G246" i="3"/>
  <c r="D247" i="3"/>
  <c r="G247" i="3"/>
  <c r="D248" i="3"/>
  <c r="G248" i="3"/>
  <c r="D250" i="3"/>
  <c r="G250" i="3"/>
  <c r="D251" i="3"/>
  <c r="G251" i="3"/>
  <c r="D252" i="3"/>
  <c r="G252" i="3"/>
  <c r="D255" i="3"/>
  <c r="G255" i="3"/>
  <c r="D262" i="3"/>
  <c r="G262" i="3"/>
  <c r="D254" i="3"/>
  <c r="G254" i="3"/>
  <c r="D259" i="3"/>
  <c r="G259" i="3"/>
  <c r="D261" i="3"/>
  <c r="G261" i="3"/>
  <c r="D260" i="3"/>
  <c r="G260" i="3"/>
  <c r="D256" i="3"/>
  <c r="G256" i="3"/>
  <c r="D257" i="3"/>
  <c r="G257" i="3"/>
  <c r="D258" i="3"/>
  <c r="G258" i="3"/>
  <c r="D263" i="3"/>
  <c r="G263" i="3"/>
  <c r="D253" i="3"/>
  <c r="G253" i="3"/>
  <c r="D264" i="3"/>
  <c r="G264" i="3"/>
  <c r="D265" i="3"/>
  <c r="G265" i="3"/>
  <c r="D266" i="3"/>
  <c r="G266" i="3"/>
  <c r="D271" i="3"/>
  <c r="G271" i="3"/>
  <c r="D270" i="3"/>
  <c r="G270" i="3"/>
  <c r="D268" i="3"/>
  <c r="G268" i="3"/>
  <c r="D267" i="3"/>
  <c r="G267" i="3"/>
  <c r="D272" i="3"/>
  <c r="G272" i="3"/>
  <c r="D269" i="3"/>
  <c r="G269" i="3"/>
  <c r="D277" i="3"/>
  <c r="G277" i="3"/>
  <c r="D217" i="3"/>
  <c r="G217" i="3"/>
  <c r="D215" i="3"/>
  <c r="G215" i="3"/>
  <c r="D214" i="3"/>
  <c r="G214" i="3"/>
  <c r="D213" i="3"/>
  <c r="G213" i="3"/>
  <c r="D212" i="3"/>
  <c r="G212" i="3"/>
  <c r="D209" i="3"/>
  <c r="G209" i="3"/>
  <c r="D211" i="3"/>
  <c r="G211" i="3"/>
  <c r="D210" i="3"/>
  <c r="G210" i="3"/>
  <c r="B90" i="1"/>
  <c r="B82" i="1"/>
  <c r="B93" i="1"/>
  <c r="C93" i="1"/>
  <c r="D93" i="1"/>
  <c r="E93" i="1"/>
  <c r="I93" i="1" s="1"/>
  <c r="M93" i="1"/>
  <c r="O93" i="1" s="1"/>
  <c r="B92" i="1"/>
  <c r="C92" i="1"/>
  <c r="D92" i="1"/>
  <c r="E92" i="1"/>
  <c r="K92" i="1" s="1"/>
  <c r="M92" i="1"/>
  <c r="O92" i="1" s="1"/>
  <c r="B88" i="1"/>
  <c r="C88" i="1"/>
  <c r="D88" i="1"/>
  <c r="E88" i="1"/>
  <c r="K88" i="1" s="1"/>
  <c r="M88" i="1"/>
  <c r="O88" i="1" s="1"/>
  <c r="B89" i="1"/>
  <c r="C89" i="1"/>
  <c r="D89" i="1"/>
  <c r="E89" i="1"/>
  <c r="I89" i="1" s="1"/>
  <c r="M89" i="1"/>
  <c r="H377" i="3" s="1"/>
  <c r="C90" i="1"/>
  <c r="D90" i="1"/>
  <c r="E90" i="1"/>
  <c r="K90" i="1" s="1"/>
  <c r="M90" i="1"/>
  <c r="O90" i="1" s="1"/>
  <c r="B83" i="1"/>
  <c r="C83" i="1"/>
  <c r="D83" i="1"/>
  <c r="E83" i="1"/>
  <c r="I83" i="1" s="1"/>
  <c r="M83" i="1"/>
  <c r="O83" i="1" s="1"/>
  <c r="B84" i="1"/>
  <c r="C84" i="1"/>
  <c r="D84" i="1"/>
  <c r="E84" i="1"/>
  <c r="K84" i="1" s="1"/>
  <c r="M84" i="1"/>
  <c r="H370" i="3" s="1"/>
  <c r="B85" i="1"/>
  <c r="C85" i="1"/>
  <c r="D85" i="1"/>
  <c r="E85" i="1"/>
  <c r="I85" i="1" s="1"/>
  <c r="M85" i="1"/>
  <c r="O85" i="1" s="1"/>
  <c r="B86" i="1"/>
  <c r="C86" i="1"/>
  <c r="D86" i="1"/>
  <c r="E86" i="1"/>
  <c r="I86" i="1" s="1"/>
  <c r="M86" i="1"/>
  <c r="O86" i="1" s="1"/>
  <c r="B87" i="1"/>
  <c r="C87" i="1"/>
  <c r="D87" i="1"/>
  <c r="E87" i="1"/>
  <c r="I87" i="1" s="1"/>
  <c r="M87" i="1"/>
  <c r="H363" i="3" s="1"/>
  <c r="B91" i="1"/>
  <c r="C91" i="1"/>
  <c r="D91" i="1"/>
  <c r="E91" i="1"/>
  <c r="M91" i="1"/>
  <c r="O91" i="1" s="1"/>
  <c r="D208" i="3"/>
  <c r="G208" i="3"/>
  <c r="D207" i="3"/>
  <c r="G207" i="3"/>
  <c r="D205" i="3"/>
  <c r="G205" i="3"/>
  <c r="D202" i="3"/>
  <c r="G202" i="3"/>
  <c r="D203" i="3"/>
  <c r="G203" i="3"/>
  <c r="D206" i="3"/>
  <c r="G206" i="3"/>
  <c r="D204" i="3"/>
  <c r="G204" i="3"/>
  <c r="D201" i="3"/>
  <c r="G201" i="3"/>
  <c r="D200" i="3"/>
  <c r="G200" i="3"/>
  <c r="D197" i="3"/>
  <c r="G197" i="3"/>
  <c r="D198" i="3"/>
  <c r="G198" i="3"/>
  <c r="D199" i="3"/>
  <c r="G199" i="3"/>
  <c r="D195" i="3"/>
  <c r="G195" i="3"/>
  <c r="D196" i="3"/>
  <c r="G196" i="3"/>
  <c r="D194" i="3"/>
  <c r="G194" i="3"/>
  <c r="D193" i="3"/>
  <c r="G193" i="3"/>
  <c r="D192" i="3"/>
  <c r="G192" i="3"/>
  <c r="D189" i="3"/>
  <c r="G189" i="3"/>
  <c r="D191" i="3"/>
  <c r="G191" i="3"/>
  <c r="D190" i="3"/>
  <c r="G190" i="3"/>
  <c r="D188" i="3"/>
  <c r="G188" i="3"/>
  <c r="D187" i="3"/>
  <c r="G187" i="3"/>
  <c r="D186" i="3"/>
  <c r="G186" i="3"/>
  <c r="D185" i="3"/>
  <c r="G185" i="3"/>
  <c r="D184" i="3"/>
  <c r="D181" i="3"/>
  <c r="G181" i="3"/>
  <c r="D182" i="3"/>
  <c r="G182" i="3"/>
  <c r="G184" i="3"/>
  <c r="D156" i="3"/>
  <c r="G156" i="3"/>
  <c r="D157" i="3"/>
  <c r="G157" i="3"/>
  <c r="D154" i="3"/>
  <c r="G154" i="3"/>
  <c r="D158" i="3"/>
  <c r="G158" i="3"/>
  <c r="D159" i="3"/>
  <c r="G159" i="3"/>
  <c r="D161" i="3"/>
  <c r="G161" i="3"/>
  <c r="D162" i="3"/>
  <c r="G162" i="3"/>
  <c r="D165" i="3"/>
  <c r="G165" i="3"/>
  <c r="D164" i="3"/>
  <c r="G164" i="3"/>
  <c r="D166" i="3"/>
  <c r="G166" i="3"/>
  <c r="D163" i="3"/>
  <c r="G163" i="3"/>
  <c r="D167" i="3"/>
  <c r="G167" i="3"/>
  <c r="D177" i="3"/>
  <c r="G177" i="3"/>
  <c r="D169" i="3"/>
  <c r="G169" i="3"/>
  <c r="D168" i="3"/>
  <c r="G168" i="3"/>
  <c r="D173" i="3"/>
  <c r="G173" i="3"/>
  <c r="D180" i="3"/>
  <c r="G180" i="3"/>
  <c r="D171" i="3"/>
  <c r="G171" i="3"/>
  <c r="D176" i="3"/>
  <c r="G176" i="3"/>
  <c r="D178" i="3"/>
  <c r="G178" i="3"/>
  <c r="D170" i="3"/>
  <c r="G170" i="3"/>
  <c r="D179" i="3"/>
  <c r="G179" i="3"/>
  <c r="D174" i="3"/>
  <c r="G174" i="3"/>
  <c r="D172" i="3"/>
  <c r="G172" i="3"/>
  <c r="D175" i="3"/>
  <c r="G175" i="3"/>
  <c r="D183" i="3"/>
  <c r="G183" i="3"/>
  <c r="D155" i="3"/>
  <c r="G155" i="3"/>
  <c r="B80" i="1"/>
  <c r="C80" i="1"/>
  <c r="D80" i="1"/>
  <c r="E80" i="1"/>
  <c r="I80" i="1" s="1"/>
  <c r="M80" i="1"/>
  <c r="O80" i="1" s="1"/>
  <c r="B77" i="1"/>
  <c r="C77" i="1"/>
  <c r="D77" i="1"/>
  <c r="E77" i="1"/>
  <c r="I77" i="1" s="1"/>
  <c r="M77" i="1"/>
  <c r="O77" i="1" s="1"/>
  <c r="B78" i="1"/>
  <c r="C78" i="1"/>
  <c r="D78" i="1"/>
  <c r="E78" i="1"/>
  <c r="I78" i="1" s="1"/>
  <c r="M78" i="1"/>
  <c r="O78" i="1" s="1"/>
  <c r="B79" i="1"/>
  <c r="C79" i="1"/>
  <c r="D79" i="1"/>
  <c r="E79" i="1"/>
  <c r="I79" i="1" s="1"/>
  <c r="M79" i="1"/>
  <c r="O79" i="1" s="1"/>
  <c r="B81" i="1"/>
  <c r="C81" i="1"/>
  <c r="D81" i="1"/>
  <c r="E81" i="1"/>
  <c r="I81" i="1" s="1"/>
  <c r="M81" i="1"/>
  <c r="O81" i="1" s="1"/>
  <c r="B74" i="1"/>
  <c r="C74" i="1"/>
  <c r="D74" i="1"/>
  <c r="E74" i="1"/>
  <c r="M74" i="1"/>
  <c r="O74" i="1" s="1"/>
  <c r="B75" i="1"/>
  <c r="C75" i="1"/>
  <c r="D75" i="1"/>
  <c r="E75" i="1"/>
  <c r="I75" i="1" s="1"/>
  <c r="M75" i="1"/>
  <c r="O75" i="1" s="1"/>
  <c r="B76" i="1"/>
  <c r="C76" i="1"/>
  <c r="D76" i="1"/>
  <c r="E76" i="1"/>
  <c r="I76" i="1" s="1"/>
  <c r="M76" i="1"/>
  <c r="O76" i="1" s="1"/>
  <c r="D120" i="3"/>
  <c r="G120" i="3"/>
  <c r="D140" i="3"/>
  <c r="G140" i="3"/>
  <c r="D133" i="3"/>
  <c r="G133" i="3"/>
  <c r="D136" i="3"/>
  <c r="G136" i="3"/>
  <c r="D139" i="3"/>
  <c r="G139" i="3"/>
  <c r="D142" i="3"/>
  <c r="G142" i="3"/>
  <c r="D141" i="3"/>
  <c r="G141" i="3"/>
  <c r="D143" i="3"/>
  <c r="G143" i="3"/>
  <c r="D145" i="3"/>
  <c r="G145" i="3"/>
  <c r="D144" i="3"/>
  <c r="G144" i="3"/>
  <c r="D148" i="3"/>
  <c r="G148" i="3"/>
  <c r="D150" i="3"/>
  <c r="G150" i="3"/>
  <c r="D149" i="3"/>
  <c r="G149" i="3"/>
  <c r="D153" i="3"/>
  <c r="G153" i="3"/>
  <c r="D151" i="3"/>
  <c r="G151" i="3"/>
  <c r="D147" i="3"/>
  <c r="G147" i="3"/>
  <c r="D152" i="3"/>
  <c r="G152" i="3"/>
  <c r="D146" i="3"/>
  <c r="G146" i="3"/>
  <c r="D160" i="3"/>
  <c r="G160" i="3"/>
  <c r="D134" i="3"/>
  <c r="G134" i="3"/>
  <c r="D135" i="3"/>
  <c r="G135" i="3"/>
  <c r="D137" i="3"/>
  <c r="G137" i="3"/>
  <c r="D138" i="3"/>
  <c r="G138" i="3"/>
  <c r="D131" i="3"/>
  <c r="G131" i="3"/>
  <c r="D132" i="3"/>
  <c r="G132" i="3"/>
  <c r="D129" i="3"/>
  <c r="G129" i="3"/>
  <c r="D130" i="3"/>
  <c r="G130" i="3"/>
  <c r="D128" i="3"/>
  <c r="G128" i="3"/>
  <c r="D127" i="3"/>
  <c r="G127" i="3"/>
  <c r="D124" i="3"/>
  <c r="G124" i="3"/>
  <c r="D125" i="3"/>
  <c r="G125" i="3"/>
  <c r="D123" i="3"/>
  <c r="G123" i="3"/>
  <c r="D122" i="3"/>
  <c r="G122" i="3"/>
  <c r="D126" i="3"/>
  <c r="G126" i="3"/>
  <c r="B64" i="1"/>
  <c r="B60" i="1"/>
  <c r="C60" i="1"/>
  <c r="D60" i="1"/>
  <c r="E60" i="1"/>
  <c r="I60" i="1" s="1"/>
  <c r="M60" i="1"/>
  <c r="O60" i="1" s="1"/>
  <c r="B61" i="1"/>
  <c r="C61" i="1"/>
  <c r="D61" i="1"/>
  <c r="E61" i="1"/>
  <c r="K61" i="1" s="1"/>
  <c r="M61" i="1"/>
  <c r="O61" i="1" s="1"/>
  <c r="B62" i="1"/>
  <c r="C62" i="1"/>
  <c r="D62" i="1"/>
  <c r="E62" i="1"/>
  <c r="K62" i="1" s="1"/>
  <c r="M62" i="1"/>
  <c r="O62" i="1" s="1"/>
  <c r="B63" i="1"/>
  <c r="C63" i="1"/>
  <c r="D63" i="1"/>
  <c r="E63" i="1"/>
  <c r="I63" i="1" s="1"/>
  <c r="M63" i="1"/>
  <c r="O63" i="1" s="1"/>
  <c r="C64" i="1"/>
  <c r="D64" i="1"/>
  <c r="E64" i="1"/>
  <c r="K64" i="1" s="1"/>
  <c r="M64" i="1"/>
  <c r="O64" i="1" s="1"/>
  <c r="B65" i="1"/>
  <c r="C65" i="1"/>
  <c r="D65" i="1"/>
  <c r="E65" i="1"/>
  <c r="K65" i="1" s="1"/>
  <c r="M65" i="1"/>
  <c r="O65" i="1" s="1"/>
  <c r="B66" i="1"/>
  <c r="C66" i="1"/>
  <c r="D66" i="1"/>
  <c r="E66" i="1"/>
  <c r="K66" i="1" s="1"/>
  <c r="M66" i="1"/>
  <c r="O66" i="1" s="1"/>
  <c r="B67" i="1"/>
  <c r="C67" i="1"/>
  <c r="D67" i="1"/>
  <c r="E67" i="1"/>
  <c r="K67" i="1" s="1"/>
  <c r="M67" i="1"/>
  <c r="O67" i="1" s="1"/>
  <c r="B68" i="1"/>
  <c r="C68" i="1"/>
  <c r="D68" i="1"/>
  <c r="E68" i="1"/>
  <c r="K68" i="1" s="1"/>
  <c r="M68" i="1"/>
  <c r="O68" i="1" s="1"/>
  <c r="B69" i="1"/>
  <c r="C69" i="1"/>
  <c r="D69" i="1"/>
  <c r="E69" i="1"/>
  <c r="K69" i="1" s="1"/>
  <c r="M69" i="1"/>
  <c r="O69" i="1" s="1"/>
  <c r="B70" i="1"/>
  <c r="C70" i="1"/>
  <c r="D70" i="1"/>
  <c r="E70" i="1"/>
  <c r="K70" i="1" s="1"/>
  <c r="M70" i="1"/>
  <c r="O70" i="1" s="1"/>
  <c r="B71" i="1"/>
  <c r="C71" i="1"/>
  <c r="D71" i="1"/>
  <c r="E71" i="1"/>
  <c r="K71" i="1" s="1"/>
  <c r="M71" i="1"/>
  <c r="O71" i="1" s="1"/>
  <c r="B72" i="1"/>
  <c r="C72" i="1"/>
  <c r="D72" i="1"/>
  <c r="E72" i="1"/>
  <c r="K72" i="1" s="1"/>
  <c r="M72" i="1"/>
  <c r="O72" i="1" s="1"/>
  <c r="B73" i="1"/>
  <c r="C73" i="1"/>
  <c r="D73" i="1"/>
  <c r="E73" i="1"/>
  <c r="K73" i="1" s="1"/>
  <c r="M73" i="1"/>
  <c r="O73" i="1" s="1"/>
  <c r="C82" i="1"/>
  <c r="D82" i="1"/>
  <c r="E82" i="1"/>
  <c r="K82" i="1" s="1"/>
  <c r="L82" i="1" s="1"/>
  <c r="N82" i="1" s="1"/>
  <c r="M82" i="1"/>
  <c r="O82" i="1" s="1"/>
  <c r="B51" i="1"/>
  <c r="C51" i="1"/>
  <c r="D51" i="1"/>
  <c r="E51" i="1"/>
  <c r="K51" i="1" s="1"/>
  <c r="M51" i="1"/>
  <c r="O51" i="1" s="1"/>
  <c r="B52" i="1"/>
  <c r="C52" i="1"/>
  <c r="D52" i="1"/>
  <c r="E52" i="1"/>
  <c r="I52" i="1" s="1"/>
  <c r="M52" i="1"/>
  <c r="O52" i="1" s="1"/>
  <c r="B53" i="1"/>
  <c r="C53" i="1"/>
  <c r="D53" i="1"/>
  <c r="E53" i="1"/>
  <c r="I53" i="1" s="1"/>
  <c r="M53" i="1"/>
  <c r="O53" i="1" s="1"/>
  <c r="B54" i="1"/>
  <c r="C54" i="1"/>
  <c r="D54" i="1"/>
  <c r="E54" i="1"/>
  <c r="K54" i="1" s="1"/>
  <c r="M54" i="1"/>
  <c r="O54" i="1" s="1"/>
  <c r="B55" i="1"/>
  <c r="C55" i="1"/>
  <c r="D55" i="1"/>
  <c r="E55" i="1"/>
  <c r="K55" i="1" s="1"/>
  <c r="M55" i="1"/>
  <c r="O55" i="1" s="1"/>
  <c r="B56" i="1"/>
  <c r="C56" i="1"/>
  <c r="D56" i="1"/>
  <c r="E56" i="1"/>
  <c r="I56" i="1" s="1"/>
  <c r="M56" i="1"/>
  <c r="O56" i="1" s="1"/>
  <c r="B57" i="1"/>
  <c r="C57" i="1"/>
  <c r="D57" i="1"/>
  <c r="E57" i="1"/>
  <c r="I57" i="1" s="1"/>
  <c r="M57" i="1"/>
  <c r="H373" i="3" s="1"/>
  <c r="B58" i="1"/>
  <c r="C58" i="1"/>
  <c r="D58" i="1"/>
  <c r="E58" i="1"/>
  <c r="K58" i="1" s="1"/>
  <c r="M58" i="1"/>
  <c r="O58" i="1" s="1"/>
  <c r="B59" i="1"/>
  <c r="C59" i="1"/>
  <c r="D59" i="1"/>
  <c r="E59" i="1"/>
  <c r="I59" i="1" s="1"/>
  <c r="M59" i="1"/>
  <c r="O59" i="1" s="1"/>
  <c r="B50" i="1"/>
  <c r="C50" i="1"/>
  <c r="D50" i="1"/>
  <c r="E50" i="1"/>
  <c r="I50" i="1" s="1"/>
  <c r="M50" i="1"/>
  <c r="O50" i="1" s="1"/>
  <c r="B49" i="1"/>
  <c r="C49" i="1"/>
  <c r="D49" i="1"/>
  <c r="E49" i="1"/>
  <c r="I49" i="1" s="1"/>
  <c r="M49" i="1"/>
  <c r="O49" i="1" s="1"/>
  <c r="B48" i="1"/>
  <c r="C48" i="1"/>
  <c r="D48" i="1"/>
  <c r="E48" i="1"/>
  <c r="K48" i="1" s="1"/>
  <c r="M48" i="1"/>
  <c r="H399" i="3" s="1"/>
  <c r="J399" i="3" s="1"/>
  <c r="B47" i="1"/>
  <c r="C47" i="1"/>
  <c r="D47" i="1"/>
  <c r="E47" i="1"/>
  <c r="K47" i="1" s="1"/>
  <c r="M47" i="1"/>
  <c r="O47" i="1" s="1"/>
  <c r="D121" i="3"/>
  <c r="G121" i="3"/>
  <c r="D119" i="3"/>
  <c r="G119" i="3"/>
  <c r="D117" i="3"/>
  <c r="G117" i="3"/>
  <c r="D118" i="3"/>
  <c r="G118" i="3"/>
  <c r="D116" i="3"/>
  <c r="G116" i="3"/>
  <c r="D115" i="3"/>
  <c r="G115" i="3"/>
  <c r="D104" i="3"/>
  <c r="G104" i="3"/>
  <c r="D105" i="3"/>
  <c r="G105" i="3"/>
  <c r="D103" i="3"/>
  <c r="G103" i="3"/>
  <c r="D100" i="3"/>
  <c r="G100" i="3"/>
  <c r="D101" i="3"/>
  <c r="G101" i="3"/>
  <c r="D109" i="3"/>
  <c r="G109" i="3"/>
  <c r="D107" i="3"/>
  <c r="G107" i="3"/>
  <c r="D106" i="3"/>
  <c r="G106" i="3"/>
  <c r="D111" i="3"/>
  <c r="G111" i="3"/>
  <c r="D110" i="3"/>
  <c r="G110" i="3"/>
  <c r="D108" i="3"/>
  <c r="G108" i="3"/>
  <c r="D112" i="3"/>
  <c r="G112" i="3"/>
  <c r="D114" i="3"/>
  <c r="G114" i="3"/>
  <c r="D113" i="3"/>
  <c r="G113" i="3"/>
  <c r="D99" i="3"/>
  <c r="D102" i="3"/>
  <c r="G99" i="3"/>
  <c r="G102" i="3"/>
  <c r="D95" i="3"/>
  <c r="G95" i="3"/>
  <c r="D97" i="3"/>
  <c r="G97" i="3"/>
  <c r="D98" i="3"/>
  <c r="G98" i="3"/>
  <c r="D69" i="3"/>
  <c r="G69" i="3"/>
  <c r="D68" i="3"/>
  <c r="G68" i="3"/>
  <c r="D79" i="3"/>
  <c r="G79" i="3"/>
  <c r="D81" i="3"/>
  <c r="G81" i="3"/>
  <c r="D76" i="3"/>
  <c r="G76" i="3"/>
  <c r="D80" i="3"/>
  <c r="G80" i="3"/>
  <c r="D82" i="3"/>
  <c r="G82" i="3"/>
  <c r="D77" i="3"/>
  <c r="G77" i="3"/>
  <c r="D78" i="3"/>
  <c r="G78" i="3"/>
  <c r="D83" i="3"/>
  <c r="G83" i="3"/>
  <c r="D89" i="3"/>
  <c r="G89" i="3"/>
  <c r="D85" i="3"/>
  <c r="G85" i="3"/>
  <c r="D86" i="3"/>
  <c r="G86" i="3"/>
  <c r="D87" i="3"/>
  <c r="G87" i="3"/>
  <c r="D84" i="3"/>
  <c r="G84" i="3"/>
  <c r="D90" i="3"/>
  <c r="G90" i="3"/>
  <c r="D88" i="3"/>
  <c r="G88" i="3"/>
  <c r="D91" i="3"/>
  <c r="G91" i="3"/>
  <c r="D92" i="3"/>
  <c r="G92" i="3"/>
  <c r="D93" i="3"/>
  <c r="G93" i="3"/>
  <c r="D96" i="3"/>
  <c r="G96" i="3"/>
  <c r="D94" i="3"/>
  <c r="G94" i="3"/>
  <c r="B38" i="1"/>
  <c r="C38" i="1"/>
  <c r="D38" i="1"/>
  <c r="E38" i="1"/>
  <c r="I38" i="1" s="1"/>
  <c r="M38" i="1"/>
  <c r="O38" i="1" s="1"/>
  <c r="B39" i="1"/>
  <c r="C39" i="1"/>
  <c r="D39" i="1"/>
  <c r="E39" i="1"/>
  <c r="I39" i="1" s="1"/>
  <c r="M39" i="1"/>
  <c r="O39" i="1" s="1"/>
  <c r="B40" i="1"/>
  <c r="C40" i="1"/>
  <c r="D40" i="1"/>
  <c r="E40" i="1"/>
  <c r="M40" i="1"/>
  <c r="O40" i="1" s="1"/>
  <c r="B41" i="1"/>
  <c r="C41" i="1"/>
  <c r="D41" i="1"/>
  <c r="E41" i="1"/>
  <c r="I41" i="1" s="1"/>
  <c r="M41" i="1"/>
  <c r="O41" i="1" s="1"/>
  <c r="B42" i="1"/>
  <c r="C42" i="1"/>
  <c r="D42" i="1"/>
  <c r="E42" i="1"/>
  <c r="I42" i="1" s="1"/>
  <c r="M42" i="1"/>
  <c r="O42" i="1" s="1"/>
  <c r="B43" i="1"/>
  <c r="C43" i="1"/>
  <c r="D43" i="1"/>
  <c r="E43" i="1"/>
  <c r="I43" i="1" s="1"/>
  <c r="M43" i="1"/>
  <c r="O43" i="1" s="1"/>
  <c r="B44" i="1"/>
  <c r="C44" i="1"/>
  <c r="D44" i="1"/>
  <c r="E44" i="1"/>
  <c r="I44" i="1" s="1"/>
  <c r="M44" i="1"/>
  <c r="O44" i="1" s="1"/>
  <c r="B45" i="1"/>
  <c r="C45" i="1"/>
  <c r="D45" i="1"/>
  <c r="E45" i="1"/>
  <c r="I45" i="1" s="1"/>
  <c r="M45" i="1"/>
  <c r="O45" i="1" s="1"/>
  <c r="B46" i="1"/>
  <c r="C46" i="1"/>
  <c r="D46" i="1"/>
  <c r="E46" i="1"/>
  <c r="I46" i="1" s="1"/>
  <c r="M46" i="1"/>
  <c r="O46" i="1" s="1"/>
  <c r="D64" i="3"/>
  <c r="G64" i="3"/>
  <c r="D61" i="3"/>
  <c r="G61" i="3"/>
  <c r="D62" i="3"/>
  <c r="G62" i="3"/>
  <c r="D60" i="3"/>
  <c r="G60" i="3"/>
  <c r="D67" i="3"/>
  <c r="G67" i="3"/>
  <c r="D71" i="3"/>
  <c r="G71" i="3"/>
  <c r="D72" i="3"/>
  <c r="G72" i="3"/>
  <c r="D70" i="3"/>
  <c r="G70" i="3"/>
  <c r="D75" i="3"/>
  <c r="G75" i="3"/>
  <c r="D74" i="3"/>
  <c r="G74" i="3"/>
  <c r="D73" i="3"/>
  <c r="G73" i="3"/>
  <c r="D51" i="3"/>
  <c r="G51" i="3"/>
  <c r="D53" i="3"/>
  <c r="G53" i="3"/>
  <c r="D50" i="3"/>
  <c r="G50" i="3"/>
  <c r="D56" i="3"/>
  <c r="G56" i="3"/>
  <c r="D57" i="3"/>
  <c r="G57" i="3"/>
  <c r="D58" i="3"/>
  <c r="G58" i="3"/>
  <c r="D59" i="3"/>
  <c r="G59" i="3"/>
  <c r="D55" i="3"/>
  <c r="G55" i="3"/>
  <c r="D54" i="3"/>
  <c r="G54" i="3"/>
  <c r="D63" i="3"/>
  <c r="G63" i="3"/>
  <c r="D65" i="3"/>
  <c r="G65" i="3"/>
  <c r="D66" i="3"/>
  <c r="G66" i="3"/>
  <c r="B18" i="1"/>
  <c r="D37" i="3"/>
  <c r="G37" i="3"/>
  <c r="M18" i="1"/>
  <c r="H45" i="3" s="1"/>
  <c r="I45" i="3" s="1"/>
  <c r="J45" i="3" s="1"/>
  <c r="D40" i="3"/>
  <c r="G40" i="3"/>
  <c r="D41" i="3"/>
  <c r="G41" i="3"/>
  <c r="D42" i="3"/>
  <c r="G42" i="3"/>
  <c r="D44" i="3"/>
  <c r="G44" i="3"/>
  <c r="D43" i="3"/>
  <c r="G43" i="3"/>
  <c r="D45" i="3"/>
  <c r="G45" i="3"/>
  <c r="D47" i="3"/>
  <c r="G47" i="3"/>
  <c r="D46" i="3"/>
  <c r="G46" i="3"/>
  <c r="D49" i="3"/>
  <c r="G49" i="3"/>
  <c r="D48" i="3"/>
  <c r="G48" i="3"/>
  <c r="D52" i="3"/>
  <c r="G52" i="3"/>
  <c r="D35" i="3"/>
  <c r="G35" i="3"/>
  <c r="D34" i="3"/>
  <c r="G34" i="3"/>
  <c r="B31" i="1"/>
  <c r="C31" i="1"/>
  <c r="D31" i="1"/>
  <c r="E31" i="1"/>
  <c r="I31" i="1" s="1"/>
  <c r="M31" i="1"/>
  <c r="O31" i="1" s="1"/>
  <c r="B32" i="1"/>
  <c r="C32" i="1"/>
  <c r="D32" i="1"/>
  <c r="E32" i="1"/>
  <c r="I32" i="1" s="1"/>
  <c r="M32" i="1"/>
  <c r="O32" i="1" s="1"/>
  <c r="B33" i="1"/>
  <c r="C33" i="1"/>
  <c r="D33" i="1"/>
  <c r="E33" i="1"/>
  <c r="K33" i="1" s="1"/>
  <c r="M33" i="1"/>
  <c r="O33" i="1" s="1"/>
  <c r="B34" i="1"/>
  <c r="C34" i="1"/>
  <c r="D34" i="1"/>
  <c r="E34" i="1"/>
  <c r="I34" i="1" s="1"/>
  <c r="M34" i="1"/>
  <c r="O34" i="1" s="1"/>
  <c r="B35" i="1"/>
  <c r="C35" i="1"/>
  <c r="D35" i="1"/>
  <c r="E35" i="1"/>
  <c r="I35" i="1" s="1"/>
  <c r="M35" i="1"/>
  <c r="O35" i="1" s="1"/>
  <c r="B36" i="1"/>
  <c r="C36" i="1"/>
  <c r="D36" i="1"/>
  <c r="E36" i="1"/>
  <c r="I36" i="1" s="1"/>
  <c r="M36" i="1"/>
  <c r="O36" i="1" s="1"/>
  <c r="B37" i="1"/>
  <c r="C37" i="1"/>
  <c r="D37" i="1"/>
  <c r="E37" i="1"/>
  <c r="K37" i="1" s="1"/>
  <c r="M37" i="1"/>
  <c r="O37" i="1" s="1"/>
  <c r="B23" i="1"/>
  <c r="C23" i="1"/>
  <c r="D23" i="1"/>
  <c r="E23" i="1"/>
  <c r="I23" i="1" s="1"/>
  <c r="M23" i="1"/>
  <c r="O23" i="1" s="1"/>
  <c r="B24" i="1"/>
  <c r="C24" i="1"/>
  <c r="D24" i="1"/>
  <c r="E24" i="1"/>
  <c r="I24" i="1" s="1"/>
  <c r="M24" i="1"/>
  <c r="H36" i="3" s="1"/>
  <c r="I36" i="3" s="1"/>
  <c r="J36" i="3" s="1"/>
  <c r="C25" i="1"/>
  <c r="D25" i="1"/>
  <c r="E25" i="1"/>
  <c r="I25" i="1" s="1"/>
  <c r="M25" i="1"/>
  <c r="O25" i="1" s="1"/>
  <c r="B26" i="1"/>
  <c r="C26" i="1"/>
  <c r="D26" i="1"/>
  <c r="E26" i="1"/>
  <c r="I26" i="1" s="1"/>
  <c r="M26" i="1"/>
  <c r="O26" i="1" s="1"/>
  <c r="B27" i="1"/>
  <c r="C27" i="1"/>
  <c r="D27" i="1"/>
  <c r="E27" i="1"/>
  <c r="I27" i="1" s="1"/>
  <c r="M27" i="1"/>
  <c r="O27" i="1" s="1"/>
  <c r="B28" i="1"/>
  <c r="C28" i="1"/>
  <c r="D28" i="1"/>
  <c r="E28" i="1"/>
  <c r="M28" i="1"/>
  <c r="O28" i="1" s="1"/>
  <c r="B29" i="1"/>
  <c r="C29" i="1"/>
  <c r="D29" i="1"/>
  <c r="E29" i="1"/>
  <c r="M29" i="1"/>
  <c r="M39" i="3" s="1"/>
  <c r="B30" i="1"/>
  <c r="C30" i="1"/>
  <c r="D30" i="1"/>
  <c r="E30" i="1"/>
  <c r="I30" i="1" s="1"/>
  <c r="M30" i="1"/>
  <c r="O30" i="1" s="1"/>
  <c r="C20" i="1"/>
  <c r="D20" i="1"/>
  <c r="E20" i="1"/>
  <c r="I20" i="1" s="1"/>
  <c r="M20" i="1"/>
  <c r="O20" i="1" s="1"/>
  <c r="B21" i="1"/>
  <c r="C21" i="1"/>
  <c r="D21" i="1"/>
  <c r="E21" i="1"/>
  <c r="K21" i="1" s="1"/>
  <c r="M21" i="1"/>
  <c r="O21" i="1" s="1"/>
  <c r="B22" i="1"/>
  <c r="C22" i="1"/>
  <c r="D22" i="1"/>
  <c r="E22" i="1"/>
  <c r="K22" i="1" s="1"/>
  <c r="M22" i="1"/>
  <c r="O22" i="1" s="1"/>
  <c r="B19" i="1"/>
  <c r="C19" i="1"/>
  <c r="D19" i="1"/>
  <c r="E19" i="1"/>
  <c r="I19" i="1" s="1"/>
  <c r="M19" i="1"/>
  <c r="O19" i="1" s="1"/>
  <c r="D27" i="3"/>
  <c r="G27" i="3"/>
  <c r="G18" i="3"/>
  <c r="D12" i="3"/>
  <c r="G12" i="3"/>
  <c r="D11" i="3"/>
  <c r="G11" i="3"/>
  <c r="D9" i="3"/>
  <c r="G9" i="3"/>
  <c r="D13" i="3"/>
  <c r="G13" i="3"/>
  <c r="D16" i="3"/>
  <c r="G16" i="3"/>
  <c r="D15" i="3"/>
  <c r="G15" i="3"/>
  <c r="D19" i="3"/>
  <c r="G19" i="3"/>
  <c r="D17" i="3"/>
  <c r="G17" i="3"/>
  <c r="D14" i="3"/>
  <c r="G14" i="3"/>
  <c r="D18" i="3"/>
  <c r="D20" i="3"/>
  <c r="G20" i="3"/>
  <c r="D21" i="3"/>
  <c r="G21" i="3"/>
  <c r="D22" i="3"/>
  <c r="G22" i="3"/>
  <c r="D23" i="3"/>
  <c r="G23" i="3"/>
  <c r="D25" i="3"/>
  <c r="G25" i="3"/>
  <c r="D24" i="3"/>
  <c r="G24" i="3"/>
  <c r="D26" i="3"/>
  <c r="G26" i="3"/>
  <c r="D29" i="3"/>
  <c r="G29" i="3"/>
  <c r="D28" i="3"/>
  <c r="G28" i="3"/>
  <c r="D31" i="3"/>
  <c r="G31" i="3"/>
  <c r="D30" i="3"/>
  <c r="G30" i="3"/>
  <c r="D32" i="3"/>
  <c r="G32" i="3"/>
  <c r="D36" i="3"/>
  <c r="G36" i="3"/>
  <c r="D33" i="3"/>
  <c r="G33" i="3"/>
  <c r="D38" i="3"/>
  <c r="G38" i="3"/>
  <c r="D39" i="3"/>
  <c r="G39" i="3"/>
  <c r="B14" i="1"/>
  <c r="B15" i="1"/>
  <c r="B16" i="1"/>
  <c r="B17" i="1"/>
  <c r="B12" i="1"/>
  <c r="B13" i="1"/>
  <c r="C13" i="1"/>
  <c r="D13" i="1"/>
  <c r="E13" i="1"/>
  <c r="K13" i="1" s="1"/>
  <c r="M13" i="1"/>
  <c r="O13" i="1" s="1"/>
  <c r="C14" i="1"/>
  <c r="D14" i="1"/>
  <c r="E14" i="1"/>
  <c r="K14" i="1" s="1"/>
  <c r="M14" i="1"/>
  <c r="H27" i="3" s="1"/>
  <c r="I27" i="3" s="1"/>
  <c r="J27" i="3" s="1"/>
  <c r="C15" i="1"/>
  <c r="D15" i="1"/>
  <c r="E15" i="1"/>
  <c r="I15" i="1" s="1"/>
  <c r="M15" i="1"/>
  <c r="O15" i="1" s="1"/>
  <c r="C16" i="1"/>
  <c r="D16" i="1"/>
  <c r="E16" i="1"/>
  <c r="I16" i="1" s="1"/>
  <c r="M16" i="1"/>
  <c r="M32" i="3" s="1"/>
  <c r="C17" i="1"/>
  <c r="D17" i="1"/>
  <c r="E17" i="1"/>
  <c r="I17" i="1" s="1"/>
  <c r="M17" i="1"/>
  <c r="O17" i="1" s="1"/>
  <c r="C18" i="1"/>
  <c r="D18" i="1"/>
  <c r="E18" i="1"/>
  <c r="I18" i="1" s="1"/>
  <c r="B11" i="1"/>
  <c r="B8" i="1"/>
  <c r="B9" i="1"/>
  <c r="B10" i="1"/>
  <c r="C9" i="1"/>
  <c r="D9" i="1"/>
  <c r="E9" i="1"/>
  <c r="K9" i="1" s="1"/>
  <c r="M9" i="1"/>
  <c r="O9" i="1" s="1"/>
  <c r="C10" i="1"/>
  <c r="D10" i="1"/>
  <c r="E10" i="1"/>
  <c r="I10" i="1" s="1"/>
  <c r="M10" i="1"/>
  <c r="O10" i="1" s="1"/>
  <c r="C11" i="1"/>
  <c r="D11" i="1"/>
  <c r="E11" i="1"/>
  <c r="K11" i="1" s="1"/>
  <c r="M11" i="1"/>
  <c r="M26" i="3" s="1"/>
  <c r="C12" i="1"/>
  <c r="D12" i="1"/>
  <c r="E12" i="1"/>
  <c r="K12" i="1" s="1"/>
  <c r="M12" i="1"/>
  <c r="H6" i="3" s="1"/>
  <c r="I6" i="3" s="1"/>
  <c r="J6" i="3" s="1"/>
  <c r="B5" i="1"/>
  <c r="C5" i="1"/>
  <c r="D5" i="1"/>
  <c r="E5" i="1"/>
  <c r="I5" i="1" s="1"/>
  <c r="M5" i="1"/>
  <c r="O5" i="1" s="1"/>
  <c r="B6" i="1"/>
  <c r="C6" i="1"/>
  <c r="D6" i="1"/>
  <c r="E6" i="1"/>
  <c r="K6" i="1" s="1"/>
  <c r="M6" i="1"/>
  <c r="H13" i="3" s="1"/>
  <c r="I13" i="3" s="1"/>
  <c r="J13" i="3" s="1"/>
  <c r="B7" i="1"/>
  <c r="C7" i="1"/>
  <c r="D7" i="1"/>
  <c r="E7" i="1"/>
  <c r="K7" i="1" s="1"/>
  <c r="M7" i="1"/>
  <c r="O7" i="1" s="1"/>
  <c r="C8" i="1"/>
  <c r="D8" i="1"/>
  <c r="E8" i="1"/>
  <c r="K8" i="1" s="1"/>
  <c r="M8" i="1"/>
  <c r="M7" i="3" s="1"/>
  <c r="D5" i="3"/>
  <c r="G5" i="3"/>
  <c r="D4" i="3"/>
  <c r="G4" i="3"/>
  <c r="D7" i="3"/>
  <c r="G7" i="3"/>
  <c r="D8" i="3"/>
  <c r="G8" i="3"/>
  <c r="D10" i="3"/>
  <c r="G10" i="3"/>
  <c r="F55" i="5"/>
  <c r="G55" i="5"/>
  <c r="D55" i="5"/>
  <c r="O353" i="3"/>
  <c r="Q187" i="1"/>
  <c r="L744" i="3" l="1"/>
  <c r="K744" i="3"/>
  <c r="J744" i="3"/>
  <c r="I744" i="3"/>
  <c r="R743" i="3"/>
  <c r="L743" i="3"/>
  <c r="K743" i="3"/>
  <c r="I743" i="3"/>
  <c r="L742" i="3"/>
  <c r="K742" i="3"/>
  <c r="J742" i="3"/>
  <c r="I742" i="3"/>
  <c r="L741" i="3"/>
  <c r="K741" i="3"/>
  <c r="J741" i="3"/>
  <c r="I741" i="3"/>
  <c r="R740" i="3"/>
  <c r="L740" i="3"/>
  <c r="K740" i="3"/>
  <c r="J740" i="3"/>
  <c r="K739" i="3"/>
  <c r="L739" i="3"/>
  <c r="J739" i="3"/>
  <c r="I739" i="3"/>
  <c r="L738" i="3"/>
  <c r="K738" i="3"/>
  <c r="J738" i="3"/>
  <c r="I738" i="3"/>
  <c r="L737" i="3"/>
  <c r="K737" i="3"/>
  <c r="J737" i="3"/>
  <c r="I737" i="3"/>
  <c r="L736" i="3"/>
  <c r="K736" i="3"/>
  <c r="J736" i="3"/>
  <c r="I736" i="3"/>
  <c r="L735" i="3"/>
  <c r="K735" i="3"/>
  <c r="J735" i="3"/>
  <c r="I735" i="3"/>
  <c r="I733" i="3"/>
  <c r="L734" i="3"/>
  <c r="K734" i="3"/>
  <c r="J734" i="3"/>
  <c r="I734" i="3"/>
  <c r="L733" i="3"/>
  <c r="K733" i="3"/>
  <c r="J733" i="3"/>
  <c r="L732" i="3"/>
  <c r="K732" i="3"/>
  <c r="J732" i="3"/>
  <c r="I732" i="3"/>
  <c r="H708" i="3"/>
  <c r="R708" i="3" s="1"/>
  <c r="H712" i="3"/>
  <c r="I712" i="3" s="1"/>
  <c r="H716" i="3"/>
  <c r="R716" i="3" s="1"/>
  <c r="H720" i="3"/>
  <c r="R720" i="3" s="1"/>
  <c r="H724" i="3"/>
  <c r="R724" i="3" s="1"/>
  <c r="H728" i="3"/>
  <c r="R728" i="3" s="1"/>
  <c r="H709" i="3"/>
  <c r="I709" i="3" s="1"/>
  <c r="H713" i="3"/>
  <c r="R713" i="3" s="1"/>
  <c r="H717" i="3"/>
  <c r="J717" i="3" s="1"/>
  <c r="H721" i="3"/>
  <c r="I721" i="3" s="1"/>
  <c r="H725" i="3"/>
  <c r="I725" i="3" s="1"/>
  <c r="H729" i="3"/>
  <c r="R729" i="3" s="1"/>
  <c r="H710" i="3"/>
  <c r="R710" i="3" s="1"/>
  <c r="H714" i="3"/>
  <c r="R714" i="3" s="1"/>
  <c r="H718" i="3"/>
  <c r="R718" i="3" s="1"/>
  <c r="H726" i="3"/>
  <c r="R726" i="3" s="1"/>
  <c r="H730" i="3"/>
  <c r="R730" i="3" s="1"/>
  <c r="H672" i="3"/>
  <c r="R672" i="3" s="1"/>
  <c r="H707" i="3"/>
  <c r="R707" i="3" s="1"/>
  <c r="H711" i="3"/>
  <c r="R711" i="3" s="1"/>
  <c r="H715" i="3"/>
  <c r="R715" i="3" s="1"/>
  <c r="H719" i="3"/>
  <c r="R719" i="3" s="1"/>
  <c r="H723" i="3"/>
  <c r="R723" i="3" s="1"/>
  <c r="H727" i="3"/>
  <c r="R727" i="3" s="1"/>
  <c r="H731" i="3"/>
  <c r="R731" i="3" s="1"/>
  <c r="H702" i="3"/>
  <c r="R702" i="3" s="1"/>
  <c r="L722" i="3"/>
  <c r="K722" i="3"/>
  <c r="J722" i="3"/>
  <c r="I722" i="3"/>
  <c r="H705" i="3"/>
  <c r="R705" i="3" s="1"/>
  <c r="H703" i="3"/>
  <c r="R703" i="3" s="1"/>
  <c r="H706" i="3"/>
  <c r="R706" i="3" s="1"/>
  <c r="H699" i="3"/>
  <c r="R699" i="3" s="1"/>
  <c r="H700" i="3"/>
  <c r="K700" i="3" s="1"/>
  <c r="H701" i="3"/>
  <c r="J701" i="3" s="1"/>
  <c r="H704" i="3"/>
  <c r="R704" i="3" s="1"/>
  <c r="H668" i="3"/>
  <c r="R668" i="3" s="1"/>
  <c r="H673" i="3"/>
  <c r="R673" i="3" s="1"/>
  <c r="H677" i="3"/>
  <c r="R677" i="3" s="1"/>
  <c r="H685" i="3"/>
  <c r="I685" i="3" s="1"/>
  <c r="H689" i="3"/>
  <c r="R689" i="3" s="1"/>
  <c r="H691" i="3"/>
  <c r="R691" i="3" s="1"/>
  <c r="H697" i="3"/>
  <c r="R697" i="3" s="1"/>
  <c r="H667" i="3"/>
  <c r="R667" i="3" s="1"/>
  <c r="H676" i="3"/>
  <c r="R676" i="3" s="1"/>
  <c r="H678" i="3"/>
  <c r="J678" i="3" s="1"/>
  <c r="H686" i="3"/>
  <c r="R686" i="3" s="1"/>
  <c r="H694" i="3"/>
  <c r="R694" i="3" s="1"/>
  <c r="H696" i="3"/>
  <c r="R696" i="3" s="1"/>
  <c r="H682" i="3"/>
  <c r="R682" i="3" s="1"/>
  <c r="H683" i="3"/>
  <c r="I683" i="3" s="1"/>
  <c r="H671" i="3"/>
  <c r="I671" i="3" s="1"/>
  <c r="H670" i="3"/>
  <c r="R670" i="3" s="1"/>
  <c r="H666" i="3"/>
  <c r="R666" i="3" s="1"/>
  <c r="H675" i="3"/>
  <c r="R675" i="3" s="1"/>
  <c r="H679" i="3"/>
  <c r="I679" i="3" s="1"/>
  <c r="H687" i="3"/>
  <c r="R687" i="3" s="1"/>
  <c r="H690" i="3"/>
  <c r="R690" i="3" s="1"/>
  <c r="H692" i="3"/>
  <c r="R692" i="3" s="1"/>
  <c r="H684" i="3"/>
  <c r="R684" i="3" s="1"/>
  <c r="H669" i="3"/>
  <c r="I669" i="3" s="1"/>
  <c r="H674" i="3"/>
  <c r="R674" i="3" s="1"/>
  <c r="H688" i="3"/>
  <c r="R688" i="3" s="1"/>
  <c r="H693" i="3"/>
  <c r="R693" i="3" s="1"/>
  <c r="H695" i="3"/>
  <c r="J695" i="3" s="1"/>
  <c r="H698" i="3"/>
  <c r="R698" i="3" s="1"/>
  <c r="H681" i="3"/>
  <c r="R681" i="3" s="1"/>
  <c r="H680" i="3"/>
  <c r="I680" i="3" s="1"/>
  <c r="H566" i="3"/>
  <c r="R566" i="3" s="1"/>
  <c r="H659" i="3"/>
  <c r="I659" i="3" s="1"/>
  <c r="H660" i="3"/>
  <c r="R660" i="3" s="1"/>
  <c r="H540" i="3"/>
  <c r="J540" i="3" s="1"/>
  <c r="H658" i="3"/>
  <c r="I658" i="3" s="1"/>
  <c r="H654" i="3"/>
  <c r="R654" i="3" s="1"/>
  <c r="H655" i="3"/>
  <c r="I655" i="3" s="1"/>
  <c r="H662" i="3"/>
  <c r="I662" i="3" s="1"/>
  <c r="H641" i="3"/>
  <c r="R641" i="3" s="1"/>
  <c r="H664" i="3"/>
  <c r="I664" i="3" s="1"/>
  <c r="H653" i="3"/>
  <c r="I653" i="3" s="1"/>
  <c r="H657" i="3"/>
  <c r="R657" i="3" s="1"/>
  <c r="H665" i="3"/>
  <c r="R665" i="3" s="1"/>
  <c r="H663" i="3"/>
  <c r="R663" i="3" s="1"/>
  <c r="D8" i="4"/>
  <c r="H656" i="3"/>
  <c r="R656" i="3" s="1"/>
  <c r="H661" i="3"/>
  <c r="R661" i="3" s="1"/>
  <c r="H638" i="3"/>
  <c r="R638" i="3" s="1"/>
  <c r="D7" i="4"/>
  <c r="F8" i="4"/>
  <c r="E8" i="4"/>
  <c r="H645" i="3"/>
  <c r="R645" i="3" s="1"/>
  <c r="H618" i="3"/>
  <c r="R618" i="3" s="1"/>
  <c r="H637" i="3"/>
  <c r="R637" i="3" s="1"/>
  <c r="H648" i="3"/>
  <c r="R648" i="3" s="1"/>
  <c r="H644" i="3"/>
  <c r="R644" i="3" s="1"/>
  <c r="H639" i="3"/>
  <c r="R639" i="3" s="1"/>
  <c r="H609" i="3"/>
  <c r="K609" i="3" s="1"/>
  <c r="H630" i="3"/>
  <c r="I630" i="3" s="1"/>
  <c r="H636" i="3"/>
  <c r="I636" i="3" s="1"/>
  <c r="H647" i="3"/>
  <c r="R647" i="3" s="1"/>
  <c r="H643" i="3"/>
  <c r="R643" i="3" s="1"/>
  <c r="H650" i="3"/>
  <c r="I650" i="3" s="1"/>
  <c r="H652" i="3"/>
  <c r="R652" i="3" s="1"/>
  <c r="H640" i="3"/>
  <c r="R640" i="3" s="1"/>
  <c r="H626" i="3"/>
  <c r="R626" i="3" s="1"/>
  <c r="H635" i="3"/>
  <c r="I635" i="3" s="1"/>
  <c r="H646" i="3"/>
  <c r="R646" i="3" s="1"/>
  <c r="H642" i="3"/>
  <c r="R642" i="3" s="1"/>
  <c r="H649" i="3"/>
  <c r="R649" i="3" s="1"/>
  <c r="H651" i="3"/>
  <c r="R651" i="3" s="1"/>
  <c r="H624" i="3"/>
  <c r="I624" i="3" s="1"/>
  <c r="H619" i="3"/>
  <c r="I619" i="3" s="1"/>
  <c r="H607" i="3"/>
  <c r="I607" i="3" s="1"/>
  <c r="H581" i="3"/>
  <c r="K581" i="3" s="1"/>
  <c r="H610" i="3"/>
  <c r="R610" i="3" s="1"/>
  <c r="H617" i="3"/>
  <c r="R617" i="3" s="1"/>
  <c r="H623" i="3"/>
  <c r="R623" i="3" s="1"/>
  <c r="H629" i="3"/>
  <c r="I629" i="3" s="1"/>
  <c r="H634" i="3"/>
  <c r="R634" i="3" s="1"/>
  <c r="H614" i="3"/>
  <c r="I614" i="3" s="1"/>
  <c r="H613" i="3"/>
  <c r="I613" i="3" s="1"/>
  <c r="H606" i="3"/>
  <c r="I606" i="3" s="1"/>
  <c r="H616" i="3"/>
  <c r="R616" i="3" s="1"/>
  <c r="H621" i="3"/>
  <c r="R621" i="3" s="1"/>
  <c r="H628" i="3"/>
  <c r="I628" i="3" s="1"/>
  <c r="H633" i="3"/>
  <c r="R633" i="3" s="1"/>
  <c r="H622" i="3"/>
  <c r="R622" i="3" s="1"/>
  <c r="H612" i="3"/>
  <c r="R612" i="3" s="1"/>
  <c r="H567" i="3"/>
  <c r="K567" i="3" s="1"/>
  <c r="H562" i="3"/>
  <c r="L562" i="3" s="1"/>
  <c r="H592" i="3"/>
  <c r="I592" i="3" s="1"/>
  <c r="H608" i="3"/>
  <c r="R608" i="3" s="1"/>
  <c r="H615" i="3"/>
  <c r="R615" i="3" s="1"/>
  <c r="H625" i="3"/>
  <c r="R625" i="3" s="1"/>
  <c r="H627" i="3"/>
  <c r="I627" i="3" s="1"/>
  <c r="H631" i="3"/>
  <c r="R631" i="3" s="1"/>
  <c r="H632" i="3"/>
  <c r="I632" i="3" s="1"/>
  <c r="H578" i="3"/>
  <c r="R578" i="3" s="1"/>
  <c r="H556" i="3"/>
  <c r="J556" i="3" s="1"/>
  <c r="H620" i="3"/>
  <c r="I620" i="3" s="1"/>
  <c r="H611" i="3"/>
  <c r="I611" i="3" s="1"/>
  <c r="H560" i="3"/>
  <c r="I560" i="3" s="1"/>
  <c r="H580" i="3"/>
  <c r="R580" i="3" s="1"/>
  <c r="H542" i="3"/>
  <c r="J542" i="3" s="1"/>
  <c r="H597" i="3"/>
  <c r="I597" i="3" s="1"/>
  <c r="H584" i="3"/>
  <c r="J584" i="3" s="1"/>
  <c r="H572" i="3"/>
  <c r="R572" i="3" s="1"/>
  <c r="H576" i="3"/>
  <c r="I576" i="3" s="1"/>
  <c r="H546" i="3"/>
  <c r="L546" i="3" s="1"/>
  <c r="H586" i="3"/>
  <c r="I586" i="3" s="1"/>
  <c r="H570" i="3"/>
  <c r="L570" i="3" s="1"/>
  <c r="H550" i="3"/>
  <c r="L550" i="3" s="1"/>
  <c r="H574" i="3"/>
  <c r="I574" i="3" s="1"/>
  <c r="H594" i="3"/>
  <c r="I594" i="3" s="1"/>
  <c r="H588" i="3"/>
  <c r="I588" i="3" s="1"/>
  <c r="H544" i="3"/>
  <c r="R544" i="3" s="1"/>
  <c r="H591" i="3"/>
  <c r="I591" i="3" s="1"/>
  <c r="H600" i="3"/>
  <c r="I600" i="3" s="1"/>
  <c r="H568" i="3"/>
  <c r="K568" i="3" s="1"/>
  <c r="H548" i="3"/>
  <c r="I548" i="3" s="1"/>
  <c r="H605" i="3"/>
  <c r="R605" i="3" s="1"/>
  <c r="H558" i="3"/>
  <c r="R558" i="3" s="1"/>
  <c r="H598" i="3"/>
  <c r="I598" i="3" s="1"/>
  <c r="H602" i="3"/>
  <c r="I602" i="3" s="1"/>
  <c r="H582" i="3"/>
  <c r="I582" i="3" s="1"/>
  <c r="H554" i="3"/>
  <c r="R554" i="3" s="1"/>
  <c r="H589" i="3"/>
  <c r="K589" i="3" s="1"/>
  <c r="H585" i="3"/>
  <c r="K585" i="3" s="1"/>
  <c r="H577" i="3"/>
  <c r="K577" i="3" s="1"/>
  <c r="H573" i="3"/>
  <c r="K573" i="3" s="1"/>
  <c r="H569" i="3"/>
  <c r="K569" i="3" s="1"/>
  <c r="H565" i="3"/>
  <c r="K565" i="3" s="1"/>
  <c r="H561" i="3"/>
  <c r="K561" i="3" s="1"/>
  <c r="H557" i="3"/>
  <c r="K557" i="3" s="1"/>
  <c r="H553" i="3"/>
  <c r="K553" i="3" s="1"/>
  <c r="H549" i="3"/>
  <c r="I549" i="3" s="1"/>
  <c r="H545" i="3"/>
  <c r="K545" i="3" s="1"/>
  <c r="H541" i="3"/>
  <c r="R541" i="3" s="1"/>
  <c r="H601" i="3"/>
  <c r="J601" i="3" s="1"/>
  <c r="H596" i="3"/>
  <c r="J596" i="3" s="1"/>
  <c r="H564" i="3"/>
  <c r="I564" i="3" s="1"/>
  <c r="H552" i="3"/>
  <c r="I552" i="3" s="1"/>
  <c r="H590" i="3"/>
  <c r="I590" i="3" s="1"/>
  <c r="H604" i="3"/>
  <c r="R604" i="3" s="1"/>
  <c r="H595" i="3"/>
  <c r="I595" i="3" s="1"/>
  <c r="H599" i="3"/>
  <c r="K599" i="3" s="1"/>
  <c r="H587" i="3"/>
  <c r="K587" i="3" s="1"/>
  <c r="H583" i="3"/>
  <c r="K583" i="3" s="1"/>
  <c r="H579" i="3"/>
  <c r="L579" i="3" s="1"/>
  <c r="H575" i="3"/>
  <c r="L575" i="3" s="1"/>
  <c r="H571" i="3"/>
  <c r="K571" i="3" s="1"/>
  <c r="H563" i="3"/>
  <c r="I563" i="3" s="1"/>
  <c r="H559" i="3"/>
  <c r="K559" i="3" s="1"/>
  <c r="H555" i="3"/>
  <c r="L555" i="3" s="1"/>
  <c r="H551" i="3"/>
  <c r="K551" i="3" s="1"/>
  <c r="H547" i="3"/>
  <c r="L547" i="3" s="1"/>
  <c r="H543" i="3"/>
  <c r="I543" i="3" s="1"/>
  <c r="H593" i="3"/>
  <c r="I593" i="3" s="1"/>
  <c r="H603" i="3"/>
  <c r="R603" i="3" s="1"/>
  <c r="H534" i="3"/>
  <c r="R534" i="3" s="1"/>
  <c r="H524" i="3"/>
  <c r="K524" i="3" s="1"/>
  <c r="H532" i="3"/>
  <c r="R532" i="3" s="1"/>
  <c r="H530" i="3"/>
  <c r="I530" i="3" s="1"/>
  <c r="H538" i="3"/>
  <c r="I538" i="3" s="1"/>
  <c r="H528" i="3"/>
  <c r="J528" i="3" s="1"/>
  <c r="H488" i="3"/>
  <c r="J488" i="3" s="1"/>
  <c r="H536" i="3"/>
  <c r="L536" i="3" s="1"/>
  <c r="H539" i="3"/>
  <c r="J539" i="3" s="1"/>
  <c r="H535" i="3"/>
  <c r="K535" i="3" s="1"/>
  <c r="H531" i="3"/>
  <c r="I531" i="3" s="1"/>
  <c r="H527" i="3"/>
  <c r="I527" i="3" s="1"/>
  <c r="H504" i="3"/>
  <c r="J504" i="3" s="1"/>
  <c r="H537" i="3"/>
  <c r="L537" i="3" s="1"/>
  <c r="H533" i="3"/>
  <c r="R533" i="3" s="1"/>
  <c r="H529" i="3"/>
  <c r="I529" i="3" s="1"/>
  <c r="H525" i="3"/>
  <c r="K525" i="3" s="1"/>
  <c r="H526" i="3"/>
  <c r="I526" i="3" s="1"/>
  <c r="H520" i="3"/>
  <c r="J520" i="3" s="1"/>
  <c r="H508" i="3"/>
  <c r="R508" i="3" s="1"/>
  <c r="H492" i="3"/>
  <c r="J492" i="3" s="1"/>
  <c r="H475" i="3"/>
  <c r="I475" i="3" s="1"/>
  <c r="H512" i="3"/>
  <c r="J512" i="3" s="1"/>
  <c r="H496" i="3"/>
  <c r="R496" i="3" s="1"/>
  <c r="H480" i="3"/>
  <c r="K480" i="3" s="1"/>
  <c r="H516" i="3"/>
  <c r="J516" i="3" s="1"/>
  <c r="H500" i="3"/>
  <c r="J500" i="3" s="1"/>
  <c r="H484" i="3"/>
  <c r="J484" i="3" s="1"/>
  <c r="H523" i="3"/>
  <c r="L523" i="3" s="1"/>
  <c r="H519" i="3"/>
  <c r="R519" i="3" s="1"/>
  <c r="H515" i="3"/>
  <c r="L515" i="3" s="1"/>
  <c r="H511" i="3"/>
  <c r="I511" i="3" s="1"/>
  <c r="H507" i="3"/>
  <c r="K507" i="3" s="1"/>
  <c r="H503" i="3"/>
  <c r="L503" i="3" s="1"/>
  <c r="H499" i="3"/>
  <c r="L499" i="3" s="1"/>
  <c r="H495" i="3"/>
  <c r="K495" i="3" s="1"/>
  <c r="H491" i="3"/>
  <c r="L491" i="3" s="1"/>
  <c r="H487" i="3"/>
  <c r="K487" i="3" s="1"/>
  <c r="H483" i="3"/>
  <c r="J483" i="3" s="1"/>
  <c r="H479" i="3"/>
  <c r="L479" i="3" s="1"/>
  <c r="H474" i="3"/>
  <c r="K474" i="3" s="1"/>
  <c r="H522" i="3"/>
  <c r="K522" i="3" s="1"/>
  <c r="H518" i="3"/>
  <c r="H514" i="3"/>
  <c r="I514" i="3" s="1"/>
  <c r="H510" i="3"/>
  <c r="K510" i="3" s="1"/>
  <c r="H506" i="3"/>
  <c r="L506" i="3" s="1"/>
  <c r="H502" i="3"/>
  <c r="I502" i="3" s="1"/>
  <c r="H498" i="3"/>
  <c r="L498" i="3" s="1"/>
  <c r="H494" i="3"/>
  <c r="K494" i="3" s="1"/>
  <c r="H490" i="3"/>
  <c r="I490" i="3" s="1"/>
  <c r="H486" i="3"/>
  <c r="K486" i="3" s="1"/>
  <c r="H482" i="3"/>
  <c r="I482" i="3" s="1"/>
  <c r="H478" i="3"/>
  <c r="I478" i="3" s="1"/>
  <c r="H476" i="3"/>
  <c r="J476" i="3" s="1"/>
  <c r="H521" i="3"/>
  <c r="L521" i="3" s="1"/>
  <c r="H517" i="3"/>
  <c r="I517" i="3" s="1"/>
  <c r="H513" i="3"/>
  <c r="K513" i="3" s="1"/>
  <c r="H509" i="3"/>
  <c r="L509" i="3" s="1"/>
  <c r="H505" i="3"/>
  <c r="I505" i="3" s="1"/>
  <c r="H501" i="3"/>
  <c r="K501" i="3" s="1"/>
  <c r="H497" i="3"/>
  <c r="J497" i="3" s="1"/>
  <c r="H493" i="3"/>
  <c r="I493" i="3" s="1"/>
  <c r="H489" i="3"/>
  <c r="K489" i="3" s="1"/>
  <c r="H485" i="3"/>
  <c r="J485" i="3" s="1"/>
  <c r="H481" i="3"/>
  <c r="J481" i="3" s="1"/>
  <c r="H477" i="3"/>
  <c r="K477" i="3" s="1"/>
  <c r="H473" i="3"/>
  <c r="L473" i="3" s="1"/>
  <c r="H464" i="3"/>
  <c r="I464" i="3" s="1"/>
  <c r="H471" i="3"/>
  <c r="L471" i="3" s="1"/>
  <c r="H467" i="3"/>
  <c r="J467" i="3" s="1"/>
  <c r="H470" i="3"/>
  <c r="K470" i="3" s="1"/>
  <c r="H466" i="3"/>
  <c r="K466" i="3" s="1"/>
  <c r="H469" i="3"/>
  <c r="L469" i="3" s="1"/>
  <c r="H465" i="3"/>
  <c r="L465" i="3" s="1"/>
  <c r="H472" i="3"/>
  <c r="I472" i="3" s="1"/>
  <c r="H468" i="3"/>
  <c r="K468" i="3" s="1"/>
  <c r="H462" i="3"/>
  <c r="L462" i="3" s="1"/>
  <c r="H463" i="3"/>
  <c r="I463" i="3" s="1"/>
  <c r="H461" i="3"/>
  <c r="J461" i="3" s="1"/>
  <c r="H458" i="3"/>
  <c r="K458" i="3" s="1"/>
  <c r="H446" i="3"/>
  <c r="J446" i="3" s="1"/>
  <c r="H422" i="3"/>
  <c r="I422" i="3" s="1"/>
  <c r="H438" i="3"/>
  <c r="R438" i="3" s="1"/>
  <c r="H460" i="3"/>
  <c r="R460" i="3" s="1"/>
  <c r="H456" i="3"/>
  <c r="K456" i="3" s="1"/>
  <c r="H452" i="3"/>
  <c r="R452" i="3" s="1"/>
  <c r="H448" i="3"/>
  <c r="R448" i="3" s="1"/>
  <c r="H426" i="3"/>
  <c r="R426" i="3" s="1"/>
  <c r="H450" i="3"/>
  <c r="R450" i="3" s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39" i="1"/>
  <c r="K165" i="1"/>
  <c r="H459" i="3"/>
  <c r="R459" i="3" s="1"/>
  <c r="H455" i="3"/>
  <c r="J455" i="3" s="1"/>
  <c r="H451" i="3"/>
  <c r="R451" i="3" s="1"/>
  <c r="H447" i="3"/>
  <c r="R447" i="3" s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8" i="1"/>
  <c r="I167" i="1"/>
  <c r="I139" i="1"/>
  <c r="I165" i="1"/>
  <c r="H454" i="3"/>
  <c r="R454" i="3" s="1"/>
  <c r="H434" i="3"/>
  <c r="J434" i="3" s="1"/>
  <c r="H457" i="3"/>
  <c r="J457" i="3" s="1"/>
  <c r="H453" i="3"/>
  <c r="R453" i="3" s="1"/>
  <c r="H449" i="3"/>
  <c r="R449" i="3" s="1"/>
  <c r="H442" i="3"/>
  <c r="J442" i="3" s="1"/>
  <c r="H445" i="3"/>
  <c r="K445" i="3" s="1"/>
  <c r="H441" i="3"/>
  <c r="J441" i="3" s="1"/>
  <c r="H437" i="3"/>
  <c r="I437" i="3" s="1"/>
  <c r="H433" i="3"/>
  <c r="K433" i="3" s="1"/>
  <c r="H429" i="3"/>
  <c r="I429" i="3" s="1"/>
  <c r="H425" i="3"/>
  <c r="I425" i="3" s="1"/>
  <c r="H421" i="3"/>
  <c r="I421" i="3" s="1"/>
  <c r="H444" i="3"/>
  <c r="L444" i="3" s="1"/>
  <c r="H440" i="3"/>
  <c r="J440" i="3" s="1"/>
  <c r="H436" i="3"/>
  <c r="R436" i="3" s="1"/>
  <c r="H432" i="3"/>
  <c r="L432" i="3" s="1"/>
  <c r="H428" i="3"/>
  <c r="I428" i="3" s="1"/>
  <c r="H424" i="3"/>
  <c r="I424" i="3" s="1"/>
  <c r="H420" i="3"/>
  <c r="L420" i="3" s="1"/>
  <c r="H430" i="3"/>
  <c r="I430" i="3" s="1"/>
  <c r="H443" i="3"/>
  <c r="J443" i="3" s="1"/>
  <c r="H439" i="3"/>
  <c r="J439" i="3" s="1"/>
  <c r="H435" i="3"/>
  <c r="R435" i="3" s="1"/>
  <c r="H431" i="3"/>
  <c r="I431" i="3" s="1"/>
  <c r="H427" i="3"/>
  <c r="I427" i="3" s="1"/>
  <c r="H423" i="3"/>
  <c r="K423" i="3" s="1"/>
  <c r="H419" i="3"/>
  <c r="I419" i="3" s="1"/>
  <c r="K146" i="1"/>
  <c r="I146" i="1"/>
  <c r="K141" i="1"/>
  <c r="I141" i="1"/>
  <c r="K161" i="1"/>
  <c r="L161" i="1" s="1"/>
  <c r="N161" i="1" s="1"/>
  <c r="K153" i="1"/>
  <c r="L153" i="1" s="1"/>
  <c r="N153" i="1" s="1"/>
  <c r="K128" i="1"/>
  <c r="L128" i="1" s="1"/>
  <c r="N128" i="1" s="1"/>
  <c r="O133" i="1"/>
  <c r="H9" i="3"/>
  <c r="I9" i="3" s="1"/>
  <c r="J9" i="3" s="1"/>
  <c r="M17" i="3"/>
  <c r="K163" i="1"/>
  <c r="L163" i="1" s="1"/>
  <c r="N163" i="1" s="1"/>
  <c r="K164" i="1"/>
  <c r="L164" i="1" s="1"/>
  <c r="N164" i="1" s="1"/>
  <c r="H30" i="3"/>
  <c r="I30" i="3" s="1"/>
  <c r="J30" i="3" s="1"/>
  <c r="H34" i="3"/>
  <c r="I34" i="3" s="1"/>
  <c r="J34" i="3" s="1"/>
  <c r="K155" i="1"/>
  <c r="L155" i="1" s="1"/>
  <c r="N155" i="1" s="1"/>
  <c r="K129" i="1"/>
  <c r="L129" i="1" s="1"/>
  <c r="N129" i="1" s="1"/>
  <c r="K152" i="1"/>
  <c r="L152" i="1" s="1"/>
  <c r="N152" i="1" s="1"/>
  <c r="K124" i="1"/>
  <c r="L124" i="1" s="1"/>
  <c r="N124" i="1" s="1"/>
  <c r="K157" i="1"/>
  <c r="L157" i="1" s="1"/>
  <c r="N157" i="1" s="1"/>
  <c r="K147" i="1"/>
  <c r="L147" i="1" s="1"/>
  <c r="N147" i="1" s="1"/>
  <c r="K10" i="1"/>
  <c r="L10" i="1" s="1"/>
  <c r="N10" i="1" s="1"/>
  <c r="M31" i="3"/>
  <c r="H33" i="3"/>
  <c r="I33" i="3" s="1"/>
  <c r="J33" i="3" s="1"/>
  <c r="K151" i="1"/>
  <c r="L151" i="1" s="1"/>
  <c r="N151" i="1" s="1"/>
  <c r="K132" i="1"/>
  <c r="L132" i="1" s="1"/>
  <c r="N132" i="1" s="1"/>
  <c r="K127" i="1"/>
  <c r="L127" i="1" s="1"/>
  <c r="N127" i="1" s="1"/>
  <c r="O125" i="1"/>
  <c r="M8" i="3"/>
  <c r="H31" i="3"/>
  <c r="I31" i="3" s="1"/>
  <c r="J31" i="3" s="1"/>
  <c r="K159" i="1"/>
  <c r="L159" i="1" s="1"/>
  <c r="N159" i="1" s="1"/>
  <c r="O137" i="1"/>
  <c r="H39" i="3"/>
  <c r="I39" i="3" s="1"/>
  <c r="J39" i="3" s="1"/>
  <c r="I48" i="1"/>
  <c r="L48" i="1" s="1"/>
  <c r="N48" i="1" s="1"/>
  <c r="I125" i="1"/>
  <c r="L125" i="1" s="1"/>
  <c r="N125" i="1" s="1"/>
  <c r="I110" i="1"/>
  <c r="L110" i="1" s="1"/>
  <c r="N110" i="1" s="1"/>
  <c r="K134" i="1"/>
  <c r="L134" i="1" s="1"/>
  <c r="N134" i="1" s="1"/>
  <c r="K135" i="1"/>
  <c r="L135" i="1" s="1"/>
  <c r="N135" i="1" s="1"/>
  <c r="K162" i="1"/>
  <c r="L162" i="1" s="1"/>
  <c r="N162" i="1" s="1"/>
  <c r="K133" i="1"/>
  <c r="L133" i="1" s="1"/>
  <c r="N133" i="1" s="1"/>
  <c r="M30" i="3"/>
  <c r="H418" i="3"/>
  <c r="I418" i="3" s="1"/>
  <c r="H414" i="3"/>
  <c r="R414" i="3" s="1"/>
  <c r="H410" i="3"/>
  <c r="K410" i="3" s="1"/>
  <c r="H8" i="3"/>
  <c r="I8" i="3" s="1"/>
  <c r="J8" i="3" s="1"/>
  <c r="M4" i="3"/>
  <c r="M38" i="3"/>
  <c r="H417" i="3"/>
  <c r="J417" i="3" s="1"/>
  <c r="H413" i="3"/>
  <c r="K413" i="3" s="1"/>
  <c r="H409" i="3"/>
  <c r="J409" i="3" s="1"/>
  <c r="K85" i="1"/>
  <c r="L85" i="1" s="1"/>
  <c r="N85" i="1" s="1"/>
  <c r="H15" i="3"/>
  <c r="I15" i="3" s="1"/>
  <c r="J15" i="3" s="1"/>
  <c r="O48" i="1"/>
  <c r="I158" i="1"/>
  <c r="L158" i="1" s="1"/>
  <c r="N158" i="1" s="1"/>
  <c r="I148" i="1"/>
  <c r="L148" i="1" s="1"/>
  <c r="N148" i="1" s="1"/>
  <c r="M14" i="3"/>
  <c r="K145" i="1"/>
  <c r="L145" i="1" s="1"/>
  <c r="N145" i="1" s="1"/>
  <c r="H416" i="3"/>
  <c r="I416" i="3" s="1"/>
  <c r="H412" i="3"/>
  <c r="I412" i="3" s="1"/>
  <c r="H14" i="3"/>
  <c r="I14" i="3" s="1"/>
  <c r="J14" i="3" s="1"/>
  <c r="K140" i="1"/>
  <c r="L140" i="1" s="1"/>
  <c r="N140" i="1" s="1"/>
  <c r="K150" i="1"/>
  <c r="L150" i="1" s="1"/>
  <c r="N150" i="1" s="1"/>
  <c r="K144" i="1"/>
  <c r="L144" i="1" s="1"/>
  <c r="N144" i="1" s="1"/>
  <c r="K131" i="1"/>
  <c r="L131" i="1" s="1"/>
  <c r="N131" i="1" s="1"/>
  <c r="H26" i="3"/>
  <c r="I26" i="3" s="1"/>
  <c r="J26" i="3" s="1"/>
  <c r="M33" i="3"/>
  <c r="K149" i="1"/>
  <c r="L149" i="1" s="1"/>
  <c r="N149" i="1" s="1"/>
  <c r="I137" i="1"/>
  <c r="L137" i="1" s="1"/>
  <c r="N137" i="1" s="1"/>
  <c r="H415" i="3"/>
  <c r="I415" i="3" s="1"/>
  <c r="H411" i="3"/>
  <c r="L411" i="3" s="1"/>
  <c r="H406" i="3"/>
  <c r="J406" i="3" s="1"/>
  <c r="H402" i="3"/>
  <c r="K402" i="3" s="1"/>
  <c r="H398" i="3"/>
  <c r="K398" i="3" s="1"/>
  <c r="H394" i="3"/>
  <c r="R394" i="3" s="1"/>
  <c r="H390" i="3"/>
  <c r="R390" i="3" s="1"/>
  <c r="M5" i="3"/>
  <c r="M18" i="3"/>
  <c r="I6" i="1"/>
  <c r="L6" i="1" s="1"/>
  <c r="N6" i="1" s="1"/>
  <c r="O14" i="1"/>
  <c r="I21" i="1"/>
  <c r="L21" i="1" s="1"/>
  <c r="N21" i="1" s="1"/>
  <c r="K38" i="1"/>
  <c r="L38" i="1" s="1"/>
  <c r="N38" i="1" s="1"/>
  <c r="H18" i="3"/>
  <c r="I18" i="3" s="1"/>
  <c r="J18" i="3" s="1"/>
  <c r="K143" i="1"/>
  <c r="L143" i="1" s="1"/>
  <c r="N143" i="1" s="1"/>
  <c r="H405" i="3"/>
  <c r="L405" i="3" s="1"/>
  <c r="H401" i="3"/>
  <c r="I401" i="3" s="1"/>
  <c r="H397" i="3"/>
  <c r="K397" i="3" s="1"/>
  <c r="H393" i="3"/>
  <c r="I393" i="3" s="1"/>
  <c r="H385" i="3"/>
  <c r="I385" i="3" s="1"/>
  <c r="H11" i="3"/>
  <c r="I11" i="3" s="1"/>
  <c r="J11" i="3" s="1"/>
  <c r="M24" i="3"/>
  <c r="I8" i="1"/>
  <c r="L8" i="1" s="1"/>
  <c r="N8" i="1" s="1"/>
  <c r="O11" i="1"/>
  <c r="H382" i="3"/>
  <c r="R382" i="3" s="1"/>
  <c r="K160" i="1"/>
  <c r="L160" i="1" s="1"/>
  <c r="N160" i="1" s="1"/>
  <c r="K166" i="1"/>
  <c r="L166" i="1" s="1"/>
  <c r="N166" i="1" s="1"/>
  <c r="O144" i="1"/>
  <c r="K136" i="1"/>
  <c r="L136" i="1" s="1"/>
  <c r="N136" i="1" s="1"/>
  <c r="H5" i="3"/>
  <c r="I5" i="3" s="1"/>
  <c r="J5" i="3" s="1"/>
  <c r="M9" i="3"/>
  <c r="O16" i="1"/>
  <c r="K108" i="1"/>
  <c r="L108" i="1" s="1"/>
  <c r="N108" i="1" s="1"/>
  <c r="K156" i="1"/>
  <c r="L156" i="1" s="1"/>
  <c r="N156" i="1" s="1"/>
  <c r="K138" i="1"/>
  <c r="L138" i="1" s="1"/>
  <c r="N138" i="1" s="1"/>
  <c r="K126" i="1"/>
  <c r="L126" i="1" s="1"/>
  <c r="N126" i="1" s="1"/>
  <c r="H408" i="3"/>
  <c r="K408" i="3" s="1"/>
  <c r="H400" i="3"/>
  <c r="R400" i="3" s="1"/>
  <c r="H392" i="3"/>
  <c r="I392" i="3" s="1"/>
  <c r="H388" i="3"/>
  <c r="I388" i="3" s="1"/>
  <c r="H384" i="3"/>
  <c r="I384" i="3" s="1"/>
  <c r="K44" i="1"/>
  <c r="L44" i="1" s="1"/>
  <c r="N44" i="1" s="1"/>
  <c r="O131" i="1"/>
  <c r="M16" i="3"/>
  <c r="H16" i="3"/>
  <c r="I16" i="3" s="1"/>
  <c r="J16" i="3" s="1"/>
  <c r="H395" i="3"/>
  <c r="J395" i="3" s="1"/>
  <c r="H391" i="3"/>
  <c r="I391" i="3" s="1"/>
  <c r="H387" i="3"/>
  <c r="I387" i="3" s="1"/>
  <c r="H383" i="3"/>
  <c r="I383" i="3" s="1"/>
  <c r="K154" i="1"/>
  <c r="L154" i="1" s="1"/>
  <c r="N154" i="1" s="1"/>
  <c r="K130" i="1"/>
  <c r="L130" i="1" s="1"/>
  <c r="N130" i="1" s="1"/>
  <c r="H17" i="3"/>
  <c r="I17" i="3" s="1"/>
  <c r="J17" i="3" s="1"/>
  <c r="K142" i="1"/>
  <c r="L142" i="1" s="1"/>
  <c r="N142" i="1" s="1"/>
  <c r="R389" i="3"/>
  <c r="L389" i="3"/>
  <c r="R386" i="3"/>
  <c r="K407" i="3"/>
  <c r="K404" i="3"/>
  <c r="R399" i="3"/>
  <c r="L399" i="3"/>
  <c r="K399" i="3"/>
  <c r="D14" i="4"/>
  <c r="L403" i="3"/>
  <c r="R403" i="3"/>
  <c r="I403" i="3"/>
  <c r="L407" i="3"/>
  <c r="R407" i="3"/>
  <c r="I407" i="3"/>
  <c r="L404" i="3"/>
  <c r="R404" i="3"/>
  <c r="I404" i="3"/>
  <c r="L396" i="3"/>
  <c r="J396" i="3"/>
  <c r="K396" i="3"/>
  <c r="R396" i="3"/>
  <c r="K403" i="3"/>
  <c r="I399" i="3"/>
  <c r="K389" i="3"/>
  <c r="J389" i="3"/>
  <c r="L386" i="3"/>
  <c r="K386" i="3"/>
  <c r="J386" i="3"/>
  <c r="D13" i="4"/>
  <c r="D15" i="4"/>
  <c r="O113" i="1"/>
  <c r="H381" i="3"/>
  <c r="K381" i="3" s="1"/>
  <c r="K16" i="1"/>
  <c r="L16" i="1" s="1"/>
  <c r="N16" i="1" s="1"/>
  <c r="O94" i="1"/>
  <c r="I58" i="1"/>
  <c r="L58" i="1" s="1"/>
  <c r="N58" i="1" s="1"/>
  <c r="I109" i="1"/>
  <c r="L109" i="1" s="1"/>
  <c r="N109" i="1" s="1"/>
  <c r="K32" i="1"/>
  <c r="L32" i="1" s="1"/>
  <c r="N32" i="1" s="1"/>
  <c r="I68" i="1"/>
  <c r="L68" i="1" s="1"/>
  <c r="N68" i="1" s="1"/>
  <c r="K59" i="1"/>
  <c r="L59" i="1" s="1"/>
  <c r="N59" i="1" s="1"/>
  <c r="I55" i="1"/>
  <c r="L55" i="1" s="1"/>
  <c r="N55" i="1" s="1"/>
  <c r="I72" i="1"/>
  <c r="L72" i="1" s="1"/>
  <c r="N72" i="1" s="1"/>
  <c r="I70" i="1"/>
  <c r="L70" i="1" s="1"/>
  <c r="N70" i="1" s="1"/>
  <c r="I88" i="1"/>
  <c r="L88" i="1" s="1"/>
  <c r="N88" i="1" s="1"/>
  <c r="I113" i="1"/>
  <c r="L113" i="1" s="1"/>
  <c r="N113" i="1" s="1"/>
  <c r="I61" i="1"/>
  <c r="L61" i="1" s="1"/>
  <c r="N61" i="1" s="1"/>
  <c r="K106" i="1"/>
  <c r="L106" i="1" s="1"/>
  <c r="N106" i="1" s="1"/>
  <c r="K86" i="1"/>
  <c r="L86" i="1" s="1"/>
  <c r="N86" i="1" s="1"/>
  <c r="K23" i="1"/>
  <c r="L23" i="1" s="1"/>
  <c r="N23" i="1" s="1"/>
  <c r="K53" i="1"/>
  <c r="L53" i="1" s="1"/>
  <c r="N53" i="1" s="1"/>
  <c r="I107" i="1"/>
  <c r="L107" i="1" s="1"/>
  <c r="N107" i="1" s="1"/>
  <c r="I33" i="1"/>
  <c r="L33" i="1" s="1"/>
  <c r="N33" i="1" s="1"/>
  <c r="I51" i="1"/>
  <c r="L51" i="1" s="1"/>
  <c r="N51" i="1" s="1"/>
  <c r="I73" i="1"/>
  <c r="L73" i="1" s="1"/>
  <c r="N73" i="1" s="1"/>
  <c r="O84" i="1"/>
  <c r="I92" i="1"/>
  <c r="L92" i="1" s="1"/>
  <c r="N92" i="1" s="1"/>
  <c r="I99" i="1"/>
  <c r="L99" i="1" s="1"/>
  <c r="N99" i="1" s="1"/>
  <c r="I7" i="1"/>
  <c r="L7" i="1" s="1"/>
  <c r="N7" i="1" s="1"/>
  <c r="K49" i="1"/>
  <c r="L49" i="1" s="1"/>
  <c r="N49" i="1" s="1"/>
  <c r="I84" i="1"/>
  <c r="L84" i="1" s="1"/>
  <c r="N84" i="1" s="1"/>
  <c r="K36" i="1"/>
  <c r="L36" i="1" s="1"/>
  <c r="N36" i="1" s="1"/>
  <c r="I71" i="1"/>
  <c r="L71" i="1" s="1"/>
  <c r="N71" i="1" s="1"/>
  <c r="I90" i="1"/>
  <c r="L90" i="1" s="1"/>
  <c r="N90" i="1" s="1"/>
  <c r="K96" i="1"/>
  <c r="L96" i="1" s="1"/>
  <c r="N96" i="1" s="1"/>
  <c r="K5" i="1"/>
  <c r="L5" i="1" s="1"/>
  <c r="N5" i="1" s="1"/>
  <c r="I22" i="1"/>
  <c r="L22" i="1" s="1"/>
  <c r="N22" i="1" s="1"/>
  <c r="I69" i="1"/>
  <c r="L69" i="1" s="1"/>
  <c r="N69" i="1" s="1"/>
  <c r="I74" i="1"/>
  <c r="K18" i="1"/>
  <c r="L18" i="1" s="1"/>
  <c r="N18" i="1" s="1"/>
  <c r="H28" i="3"/>
  <c r="I28" i="3" s="1"/>
  <c r="J28" i="3" s="1"/>
  <c r="I64" i="1"/>
  <c r="L64" i="1" s="1"/>
  <c r="N64" i="1" s="1"/>
  <c r="I103" i="1"/>
  <c r="L103" i="1" s="1"/>
  <c r="N103" i="1" s="1"/>
  <c r="I9" i="1"/>
  <c r="L9" i="1" s="1"/>
  <c r="N9" i="1" s="1"/>
  <c r="I37" i="1"/>
  <c r="L37" i="1" s="1"/>
  <c r="N37" i="1" s="1"/>
  <c r="K41" i="1"/>
  <c r="L41" i="1" s="1"/>
  <c r="N41" i="1" s="1"/>
  <c r="I67" i="1"/>
  <c r="L67" i="1" s="1"/>
  <c r="N67" i="1" s="1"/>
  <c r="I62" i="1"/>
  <c r="L62" i="1" s="1"/>
  <c r="N62" i="1" s="1"/>
  <c r="K93" i="1"/>
  <c r="L93" i="1" s="1"/>
  <c r="N93" i="1" s="1"/>
  <c r="I112" i="1"/>
  <c r="L112" i="1" s="1"/>
  <c r="N112" i="1" s="1"/>
  <c r="K39" i="1"/>
  <c r="L39" i="1" s="1"/>
  <c r="N39" i="1" s="1"/>
  <c r="K95" i="1"/>
  <c r="L95" i="1" s="1"/>
  <c r="N95" i="1" s="1"/>
  <c r="I101" i="1"/>
  <c r="L101" i="1" s="1"/>
  <c r="N101" i="1" s="1"/>
  <c r="K6" i="3"/>
  <c r="L6" i="3" s="1"/>
  <c r="H29" i="3"/>
  <c r="I29" i="3" s="1"/>
  <c r="J29" i="3" s="1"/>
  <c r="I11" i="1"/>
  <c r="L11" i="1" s="1"/>
  <c r="N11" i="1" s="1"/>
  <c r="I47" i="1"/>
  <c r="I54" i="1"/>
  <c r="L54" i="1" s="1"/>
  <c r="N54" i="1" s="1"/>
  <c r="K63" i="1"/>
  <c r="L63" i="1" s="1"/>
  <c r="N63" i="1" s="1"/>
  <c r="K83" i="1"/>
  <c r="L83" i="1" s="1"/>
  <c r="N83" i="1" s="1"/>
  <c r="O89" i="1"/>
  <c r="I94" i="1"/>
  <c r="L94" i="1" s="1"/>
  <c r="N94" i="1" s="1"/>
  <c r="I104" i="1"/>
  <c r="L104" i="1" s="1"/>
  <c r="N104" i="1" s="1"/>
  <c r="M13" i="3"/>
  <c r="M6" i="3"/>
  <c r="H20" i="3"/>
  <c r="I20" i="3" s="1"/>
  <c r="J20" i="3" s="1"/>
  <c r="K45" i="1"/>
  <c r="L45" i="1" s="1"/>
  <c r="N45" i="1" s="1"/>
  <c r="K42" i="1"/>
  <c r="L42" i="1" s="1"/>
  <c r="N42" i="1" s="1"/>
  <c r="I28" i="1"/>
  <c r="K87" i="1"/>
  <c r="L87" i="1" s="1"/>
  <c r="N87" i="1" s="1"/>
  <c r="K98" i="1"/>
  <c r="L98" i="1" s="1"/>
  <c r="N98" i="1" s="1"/>
  <c r="K100" i="1"/>
  <c r="L100" i="1" s="1"/>
  <c r="N100" i="1" s="1"/>
  <c r="H10" i="3"/>
  <c r="I10" i="3" s="1"/>
  <c r="J10" i="3" s="1"/>
  <c r="M21" i="3"/>
  <c r="H32" i="3"/>
  <c r="I32" i="3" s="1"/>
  <c r="J32" i="3" s="1"/>
  <c r="M15" i="3"/>
  <c r="H21" i="3"/>
  <c r="I21" i="3" s="1"/>
  <c r="J21" i="3" s="1"/>
  <c r="M34" i="3"/>
  <c r="O6" i="1"/>
  <c r="I65" i="1"/>
  <c r="L65" i="1" s="1"/>
  <c r="N65" i="1" s="1"/>
  <c r="O102" i="1"/>
  <c r="O108" i="1"/>
  <c r="K15" i="1"/>
  <c r="L15" i="1" s="1"/>
  <c r="N15" i="1" s="1"/>
  <c r="K46" i="1"/>
  <c r="L46" i="1" s="1"/>
  <c r="N46" i="1" s="1"/>
  <c r="K43" i="1"/>
  <c r="L43" i="1" s="1"/>
  <c r="N43" i="1" s="1"/>
  <c r="K40" i="1"/>
  <c r="O107" i="1"/>
  <c r="K19" i="1"/>
  <c r="L19" i="1" s="1"/>
  <c r="N19" i="1" s="1"/>
  <c r="K34" i="1"/>
  <c r="L34" i="1" s="1"/>
  <c r="N34" i="1" s="1"/>
  <c r="I40" i="1"/>
  <c r="K57" i="1"/>
  <c r="L57" i="1" s="1"/>
  <c r="N57" i="1" s="1"/>
  <c r="I66" i="1"/>
  <c r="L66" i="1" s="1"/>
  <c r="N66" i="1" s="1"/>
  <c r="K102" i="1"/>
  <c r="L102" i="1" s="1"/>
  <c r="N102" i="1" s="1"/>
  <c r="K115" i="1"/>
  <c r="L115" i="1" s="1"/>
  <c r="N115" i="1" s="1"/>
  <c r="M19" i="3"/>
  <c r="H4" i="3"/>
  <c r="I4" i="3" s="1"/>
  <c r="H19" i="3"/>
  <c r="I19" i="3" s="1"/>
  <c r="J19" i="3" s="1"/>
  <c r="M27" i="3"/>
  <c r="H38" i="3"/>
  <c r="I38" i="3" s="1"/>
  <c r="J38" i="3" s="1"/>
  <c r="I13" i="1"/>
  <c r="L13" i="1" s="1"/>
  <c r="N13" i="1" s="1"/>
  <c r="I29" i="1"/>
  <c r="I91" i="1"/>
  <c r="I97" i="1"/>
  <c r="L97" i="1" s="1"/>
  <c r="N97" i="1" s="1"/>
  <c r="K111" i="1"/>
  <c r="L111" i="1" s="1"/>
  <c r="N111" i="1" s="1"/>
  <c r="I121" i="1"/>
  <c r="M12" i="3"/>
  <c r="M22" i="3"/>
  <c r="M29" i="3"/>
  <c r="M35" i="3"/>
  <c r="O18" i="1"/>
  <c r="H379" i="3"/>
  <c r="K379" i="3" s="1"/>
  <c r="H375" i="3"/>
  <c r="R375" i="3" s="1"/>
  <c r="H371" i="3"/>
  <c r="J371" i="3" s="1"/>
  <c r="M10" i="3"/>
  <c r="M11" i="3"/>
  <c r="M23" i="3"/>
  <c r="M28" i="3"/>
  <c r="O12" i="1"/>
  <c r="K17" i="1"/>
  <c r="L17" i="1" s="1"/>
  <c r="N17" i="1" s="1"/>
  <c r="O24" i="1"/>
  <c r="K35" i="1"/>
  <c r="L35" i="1" s="1"/>
  <c r="N35" i="1" s="1"/>
  <c r="K52" i="1"/>
  <c r="L52" i="1" s="1"/>
  <c r="N52" i="1" s="1"/>
  <c r="K76" i="1"/>
  <c r="L76" i="1" s="1"/>
  <c r="N76" i="1" s="1"/>
  <c r="K75" i="1"/>
  <c r="L75" i="1" s="1"/>
  <c r="N75" i="1" s="1"/>
  <c r="K74" i="1"/>
  <c r="K81" i="1"/>
  <c r="L81" i="1" s="1"/>
  <c r="N81" i="1" s="1"/>
  <c r="K79" i="1"/>
  <c r="L79" i="1" s="1"/>
  <c r="N79" i="1" s="1"/>
  <c r="K78" i="1"/>
  <c r="L78" i="1" s="1"/>
  <c r="N78" i="1" s="1"/>
  <c r="K77" i="1"/>
  <c r="L77" i="1" s="1"/>
  <c r="N77" i="1" s="1"/>
  <c r="K80" i="1"/>
  <c r="L80" i="1" s="1"/>
  <c r="N80" i="1" s="1"/>
  <c r="K91" i="1"/>
  <c r="O57" i="1"/>
  <c r="H378" i="3"/>
  <c r="J378" i="3" s="1"/>
  <c r="H374" i="3"/>
  <c r="J374" i="3" s="1"/>
  <c r="M25" i="3"/>
  <c r="O29" i="1"/>
  <c r="O99" i="1"/>
  <c r="O121" i="1"/>
  <c r="H22" i="3"/>
  <c r="H23" i="3"/>
  <c r="I23" i="3" s="1"/>
  <c r="J23" i="3" s="1"/>
  <c r="H12" i="3"/>
  <c r="K56" i="1"/>
  <c r="L56" i="1" s="1"/>
  <c r="N56" i="1" s="1"/>
  <c r="K60" i="1"/>
  <c r="L60" i="1" s="1"/>
  <c r="N60" i="1" s="1"/>
  <c r="K89" i="1"/>
  <c r="L89" i="1" s="1"/>
  <c r="N89" i="1" s="1"/>
  <c r="K105" i="1"/>
  <c r="L105" i="1" s="1"/>
  <c r="H369" i="3"/>
  <c r="R369" i="3" s="1"/>
  <c r="H35" i="3"/>
  <c r="K24" i="1"/>
  <c r="L24" i="1" s="1"/>
  <c r="N24" i="1" s="1"/>
  <c r="H7" i="3"/>
  <c r="I7" i="3" s="1"/>
  <c r="J7" i="3" s="1"/>
  <c r="H24" i="3"/>
  <c r="I24" i="3" s="1"/>
  <c r="J24" i="3" s="1"/>
  <c r="O8" i="1"/>
  <c r="I12" i="1"/>
  <c r="L12" i="1" s="1"/>
  <c r="N12" i="1" s="1"/>
  <c r="M36" i="3"/>
  <c r="M45" i="3"/>
  <c r="H25" i="3"/>
  <c r="M20" i="3"/>
  <c r="K30" i="1"/>
  <c r="L30" i="1" s="1"/>
  <c r="N30" i="1" s="1"/>
  <c r="K29" i="1"/>
  <c r="K28" i="1"/>
  <c r="K27" i="1"/>
  <c r="L27" i="1" s="1"/>
  <c r="N27" i="1" s="1"/>
  <c r="K26" i="1"/>
  <c r="L26" i="1" s="1"/>
  <c r="N26" i="1" s="1"/>
  <c r="K25" i="1"/>
  <c r="K114" i="1"/>
  <c r="L114" i="1" s="1"/>
  <c r="N114" i="1" s="1"/>
  <c r="K116" i="1"/>
  <c r="L116" i="1" s="1"/>
  <c r="N116" i="1" s="1"/>
  <c r="K117" i="1"/>
  <c r="L117" i="1" s="1"/>
  <c r="N117" i="1" s="1"/>
  <c r="K118" i="1"/>
  <c r="L118" i="1" s="1"/>
  <c r="N118" i="1" s="1"/>
  <c r="K119" i="1"/>
  <c r="L119" i="1" s="1"/>
  <c r="N119" i="1" s="1"/>
  <c r="K120" i="1"/>
  <c r="L120" i="1" s="1"/>
  <c r="N120" i="1" s="1"/>
  <c r="K121" i="1"/>
  <c r="K122" i="1"/>
  <c r="L122" i="1" s="1"/>
  <c r="N122" i="1" s="1"/>
  <c r="K123" i="1"/>
  <c r="L123" i="1" s="1"/>
  <c r="N123" i="1" s="1"/>
  <c r="H380" i="3"/>
  <c r="J380" i="3" s="1"/>
  <c r="H372" i="3"/>
  <c r="L372" i="3" s="1"/>
  <c r="I14" i="1"/>
  <c r="L14" i="1" s="1"/>
  <c r="N14" i="1" s="1"/>
  <c r="K20" i="1"/>
  <c r="L20" i="1" s="1"/>
  <c r="N20" i="1" s="1"/>
  <c r="K31" i="1"/>
  <c r="L31" i="1" s="1"/>
  <c r="N31" i="1" s="1"/>
  <c r="K50" i="1"/>
  <c r="L50" i="1" s="1"/>
  <c r="N50" i="1" s="1"/>
  <c r="O87" i="1"/>
  <c r="H340" i="3"/>
  <c r="I340" i="3" s="1"/>
  <c r="H365" i="3"/>
  <c r="J365" i="3" s="1"/>
  <c r="L377" i="3"/>
  <c r="L376" i="3"/>
  <c r="L373" i="3"/>
  <c r="L370" i="3"/>
  <c r="L368" i="3"/>
  <c r="L367" i="3"/>
  <c r="L366" i="3"/>
  <c r="K363" i="3"/>
  <c r="L363" i="3"/>
  <c r="K364" i="3"/>
  <c r="L364" i="3"/>
  <c r="J377" i="3"/>
  <c r="K377" i="3"/>
  <c r="J376" i="3"/>
  <c r="K376" i="3"/>
  <c r="J373" i="3"/>
  <c r="K373" i="3"/>
  <c r="J370" i="3"/>
  <c r="K370" i="3"/>
  <c r="J368" i="3"/>
  <c r="K368" i="3"/>
  <c r="J367" i="3"/>
  <c r="K367" i="3"/>
  <c r="J366" i="3"/>
  <c r="K366" i="3"/>
  <c r="I363" i="3"/>
  <c r="J363" i="3"/>
  <c r="I364" i="3"/>
  <c r="J364" i="3"/>
  <c r="R377" i="3"/>
  <c r="I377" i="3"/>
  <c r="R376" i="3"/>
  <c r="I376" i="3"/>
  <c r="R373" i="3"/>
  <c r="I373" i="3"/>
  <c r="R370" i="3"/>
  <c r="I370" i="3"/>
  <c r="R368" i="3"/>
  <c r="I368" i="3"/>
  <c r="R367" i="3"/>
  <c r="I367" i="3"/>
  <c r="R366" i="3"/>
  <c r="I366" i="3"/>
  <c r="R363" i="3"/>
  <c r="R364" i="3"/>
  <c r="M352" i="3"/>
  <c r="H351" i="3"/>
  <c r="I351" i="3" s="1"/>
  <c r="J351" i="3" s="1"/>
  <c r="M351" i="3"/>
  <c r="H350" i="3"/>
  <c r="M350" i="3"/>
  <c r="K27" i="3"/>
  <c r="L27" i="3" s="1"/>
  <c r="K36" i="3"/>
  <c r="L36" i="3" s="1"/>
  <c r="K13" i="3"/>
  <c r="L13" i="3" s="1"/>
  <c r="K45" i="3"/>
  <c r="L45" i="3" s="1"/>
  <c r="H349" i="3"/>
  <c r="M349" i="3"/>
  <c r="H348" i="3"/>
  <c r="M348" i="3"/>
  <c r="H347" i="3"/>
  <c r="M347" i="3"/>
  <c r="H346" i="3"/>
  <c r="M346" i="3"/>
  <c r="H345" i="3"/>
  <c r="M345" i="3"/>
  <c r="H344" i="3"/>
  <c r="M344" i="3"/>
  <c r="H343" i="3"/>
  <c r="M343" i="3"/>
  <c r="H342" i="3"/>
  <c r="M342" i="3"/>
  <c r="H341" i="3"/>
  <c r="M341" i="3"/>
  <c r="M340" i="3"/>
  <c r="H312" i="3"/>
  <c r="I312" i="3" s="1"/>
  <c r="G353" i="3"/>
  <c r="H339" i="3"/>
  <c r="I339" i="3" s="1"/>
  <c r="M339" i="3"/>
  <c r="H338" i="3"/>
  <c r="I338" i="3" s="1"/>
  <c r="M338" i="3"/>
  <c r="H337" i="3"/>
  <c r="I337" i="3" s="1"/>
  <c r="M337" i="3"/>
  <c r="H334" i="3"/>
  <c r="I334" i="3" s="1"/>
  <c r="M334" i="3"/>
  <c r="H335" i="3"/>
  <c r="I335" i="3" s="1"/>
  <c r="M335" i="3"/>
  <c r="H336" i="3"/>
  <c r="I336" i="3" s="1"/>
  <c r="M336" i="3"/>
  <c r="H332" i="3"/>
  <c r="I332" i="3" s="1"/>
  <c r="M332" i="3"/>
  <c r="H333" i="3"/>
  <c r="I333" i="3" s="1"/>
  <c r="M333" i="3"/>
  <c r="H331" i="3"/>
  <c r="I331" i="3" s="1"/>
  <c r="M331" i="3"/>
  <c r="H330" i="3"/>
  <c r="I330" i="3" s="1"/>
  <c r="M330" i="3"/>
  <c r="H329" i="3"/>
  <c r="I329" i="3" s="1"/>
  <c r="M329" i="3"/>
  <c r="I4" i="1"/>
  <c r="K4" i="1"/>
  <c r="H328" i="3"/>
  <c r="I328" i="3" s="1"/>
  <c r="M328" i="3"/>
  <c r="H325" i="3"/>
  <c r="I325" i="3" s="1"/>
  <c r="M325" i="3"/>
  <c r="H327" i="3"/>
  <c r="I327" i="3" s="1"/>
  <c r="M327" i="3"/>
  <c r="H326" i="3"/>
  <c r="I326" i="3" s="1"/>
  <c r="M326" i="3"/>
  <c r="H320" i="3"/>
  <c r="I320" i="3" s="1"/>
  <c r="M320" i="3"/>
  <c r="H321" i="3"/>
  <c r="I321" i="3" s="1"/>
  <c r="M321" i="3"/>
  <c r="H323" i="3"/>
  <c r="I323" i="3" s="1"/>
  <c r="M323" i="3"/>
  <c r="H324" i="3"/>
  <c r="I324" i="3" s="1"/>
  <c r="M324" i="3"/>
  <c r="H322" i="3"/>
  <c r="I322" i="3" s="1"/>
  <c r="M322" i="3"/>
  <c r="H318" i="3"/>
  <c r="I318" i="3" s="1"/>
  <c r="M318" i="3"/>
  <c r="H317" i="3"/>
  <c r="I317" i="3" s="1"/>
  <c r="M317" i="3"/>
  <c r="H319" i="3"/>
  <c r="I319" i="3" s="1"/>
  <c r="M319" i="3"/>
  <c r="H316" i="3"/>
  <c r="I316" i="3" s="1"/>
  <c r="M316" i="3"/>
  <c r="H314" i="3"/>
  <c r="I314" i="3" s="1"/>
  <c r="M314" i="3"/>
  <c r="M312" i="3"/>
  <c r="H315" i="3"/>
  <c r="I315" i="3" s="1"/>
  <c r="M315" i="3"/>
  <c r="H313" i="3"/>
  <c r="I313" i="3" s="1"/>
  <c r="M313" i="3"/>
  <c r="H308" i="3"/>
  <c r="I308" i="3" s="1"/>
  <c r="M308" i="3"/>
  <c r="H307" i="3"/>
  <c r="I307" i="3" s="1"/>
  <c r="M307" i="3"/>
  <c r="H310" i="3"/>
  <c r="I310" i="3" s="1"/>
  <c r="M310" i="3"/>
  <c r="H311" i="3"/>
  <c r="I311" i="3" s="1"/>
  <c r="M311" i="3"/>
  <c r="H309" i="3"/>
  <c r="I309" i="3" s="1"/>
  <c r="M309" i="3"/>
  <c r="H306" i="3"/>
  <c r="I306" i="3" s="1"/>
  <c r="M306" i="3"/>
  <c r="H302" i="3"/>
  <c r="I302" i="3" s="1"/>
  <c r="M302" i="3"/>
  <c r="H294" i="3"/>
  <c r="I294" i="3" s="1"/>
  <c r="H303" i="3"/>
  <c r="I303" i="3" s="1"/>
  <c r="M303" i="3"/>
  <c r="H305" i="3"/>
  <c r="I305" i="3" s="1"/>
  <c r="M305" i="3"/>
  <c r="H304" i="3"/>
  <c r="I304" i="3" s="1"/>
  <c r="M304" i="3"/>
  <c r="H299" i="3"/>
  <c r="I299" i="3" s="1"/>
  <c r="M299" i="3"/>
  <c r="H300" i="3"/>
  <c r="I300" i="3" s="1"/>
  <c r="M300" i="3"/>
  <c r="H301" i="3"/>
  <c r="I301" i="3" s="1"/>
  <c r="M301" i="3"/>
  <c r="H298" i="3"/>
  <c r="I298" i="3" s="1"/>
  <c r="M298" i="3"/>
  <c r="H297" i="3"/>
  <c r="I297" i="3" s="1"/>
  <c r="M297" i="3"/>
  <c r="H295" i="3"/>
  <c r="I295" i="3" s="1"/>
  <c r="M295" i="3"/>
  <c r="H293" i="3"/>
  <c r="I293" i="3" s="1"/>
  <c r="M293" i="3"/>
  <c r="H296" i="3"/>
  <c r="I296" i="3" s="1"/>
  <c r="M296" i="3"/>
  <c r="M294" i="3"/>
  <c r="H291" i="3"/>
  <c r="I291" i="3" s="1"/>
  <c r="M291" i="3"/>
  <c r="H292" i="3"/>
  <c r="I292" i="3" s="1"/>
  <c r="M292" i="3"/>
  <c r="H290" i="3"/>
  <c r="I290" i="3" s="1"/>
  <c r="M290" i="3"/>
  <c r="H289" i="3"/>
  <c r="I289" i="3" s="1"/>
  <c r="M289" i="3"/>
  <c r="H288" i="3"/>
  <c r="I288" i="3" s="1"/>
  <c r="M288" i="3"/>
  <c r="H287" i="3"/>
  <c r="I287" i="3" s="1"/>
  <c r="M287" i="3"/>
  <c r="H286" i="3"/>
  <c r="I286" i="3" s="1"/>
  <c r="M286" i="3"/>
  <c r="H285" i="3"/>
  <c r="I285" i="3" s="1"/>
  <c r="M285" i="3"/>
  <c r="H280" i="3"/>
  <c r="I280" i="3" s="1"/>
  <c r="M280" i="3"/>
  <c r="H281" i="3"/>
  <c r="I281" i="3" s="1"/>
  <c r="M281" i="3"/>
  <c r="H283" i="3"/>
  <c r="I283" i="3" s="1"/>
  <c r="M283" i="3"/>
  <c r="H284" i="3"/>
  <c r="I284" i="3" s="1"/>
  <c r="M284" i="3"/>
  <c r="H282" i="3"/>
  <c r="I282" i="3" s="1"/>
  <c r="M282" i="3"/>
  <c r="H273" i="3"/>
  <c r="I273" i="3" s="1"/>
  <c r="M273" i="3"/>
  <c r="H279" i="3"/>
  <c r="I279" i="3" s="1"/>
  <c r="M279" i="3"/>
  <c r="H276" i="3"/>
  <c r="I276" i="3" s="1"/>
  <c r="M276" i="3"/>
  <c r="H278" i="3"/>
  <c r="I278" i="3" s="1"/>
  <c r="M278" i="3"/>
  <c r="H275" i="3"/>
  <c r="I275" i="3" s="1"/>
  <c r="M275" i="3"/>
  <c r="H274" i="3"/>
  <c r="I274" i="3" s="1"/>
  <c r="M274" i="3"/>
  <c r="H277" i="3"/>
  <c r="I277" i="3" s="1"/>
  <c r="M277" i="3"/>
  <c r="H269" i="3"/>
  <c r="I269" i="3" s="1"/>
  <c r="M269" i="3"/>
  <c r="H272" i="3"/>
  <c r="I272" i="3" s="1"/>
  <c r="M272" i="3"/>
  <c r="H267" i="3"/>
  <c r="I267" i="3" s="1"/>
  <c r="M267" i="3"/>
  <c r="H268" i="3"/>
  <c r="I268" i="3" s="1"/>
  <c r="M268" i="3"/>
  <c r="H270" i="3"/>
  <c r="I270" i="3" s="1"/>
  <c r="M270" i="3"/>
  <c r="H271" i="3"/>
  <c r="I271" i="3" s="1"/>
  <c r="M271" i="3"/>
  <c r="H266" i="3"/>
  <c r="I266" i="3" s="1"/>
  <c r="M266" i="3"/>
  <c r="H265" i="3"/>
  <c r="I265" i="3" s="1"/>
  <c r="M265" i="3"/>
  <c r="H264" i="3"/>
  <c r="I264" i="3" s="1"/>
  <c r="M264" i="3"/>
  <c r="H253" i="3"/>
  <c r="I253" i="3" s="1"/>
  <c r="M253" i="3"/>
  <c r="H263" i="3"/>
  <c r="I263" i="3" s="1"/>
  <c r="M263" i="3"/>
  <c r="H258" i="3"/>
  <c r="I258" i="3" s="1"/>
  <c r="M258" i="3"/>
  <c r="H257" i="3"/>
  <c r="I257" i="3" s="1"/>
  <c r="M257" i="3"/>
  <c r="H256" i="3"/>
  <c r="I256" i="3" s="1"/>
  <c r="M256" i="3"/>
  <c r="H260" i="3"/>
  <c r="I260" i="3" s="1"/>
  <c r="M260" i="3"/>
  <c r="H261" i="3"/>
  <c r="I261" i="3" s="1"/>
  <c r="M261" i="3"/>
  <c r="H259" i="3"/>
  <c r="I259" i="3" s="1"/>
  <c r="M259" i="3"/>
  <c r="H254" i="3"/>
  <c r="I254" i="3" s="1"/>
  <c r="M254" i="3"/>
  <c r="H262" i="3"/>
  <c r="I262" i="3" s="1"/>
  <c r="M262" i="3"/>
  <c r="H255" i="3"/>
  <c r="I255" i="3" s="1"/>
  <c r="M255" i="3"/>
  <c r="H252" i="3"/>
  <c r="I252" i="3" s="1"/>
  <c r="M252" i="3"/>
  <c r="H251" i="3"/>
  <c r="I251" i="3" s="1"/>
  <c r="M251" i="3"/>
  <c r="H250" i="3"/>
  <c r="I250" i="3" s="1"/>
  <c r="M250" i="3"/>
  <c r="H248" i="3"/>
  <c r="I248" i="3" s="1"/>
  <c r="M248" i="3"/>
  <c r="H247" i="3"/>
  <c r="I247" i="3" s="1"/>
  <c r="M247" i="3"/>
  <c r="H246" i="3"/>
  <c r="I246" i="3" s="1"/>
  <c r="M246" i="3"/>
  <c r="H245" i="3"/>
  <c r="I245" i="3" s="1"/>
  <c r="M245" i="3"/>
  <c r="H249" i="3"/>
  <c r="I249" i="3" s="1"/>
  <c r="M249" i="3"/>
  <c r="H239" i="3"/>
  <c r="I239" i="3" s="1"/>
  <c r="M239" i="3"/>
  <c r="H244" i="3"/>
  <c r="I244" i="3" s="1"/>
  <c r="M244" i="3"/>
  <c r="H238" i="3"/>
  <c r="I238" i="3" s="1"/>
  <c r="M238" i="3"/>
  <c r="H240" i="3"/>
  <c r="I240" i="3" s="1"/>
  <c r="M240" i="3"/>
  <c r="H242" i="3"/>
  <c r="I242" i="3" s="1"/>
  <c r="M242" i="3"/>
  <c r="H241" i="3"/>
  <c r="I241" i="3" s="1"/>
  <c r="M241" i="3"/>
  <c r="H237" i="3"/>
  <c r="I237" i="3" s="1"/>
  <c r="M237" i="3"/>
  <c r="H243" i="3"/>
  <c r="I243" i="3" s="1"/>
  <c r="M243" i="3"/>
  <c r="H233" i="3"/>
  <c r="I233" i="3" s="1"/>
  <c r="M233" i="3"/>
  <c r="H234" i="3"/>
  <c r="I234" i="3" s="1"/>
  <c r="M234" i="3"/>
  <c r="H235" i="3"/>
  <c r="I235" i="3" s="1"/>
  <c r="M235" i="3"/>
  <c r="H236" i="3"/>
  <c r="I236" i="3" s="1"/>
  <c r="M236" i="3"/>
  <c r="H232" i="3"/>
  <c r="I232" i="3" s="1"/>
  <c r="M232" i="3"/>
  <c r="H228" i="3"/>
  <c r="I228" i="3" s="1"/>
  <c r="M228" i="3"/>
  <c r="H231" i="3"/>
  <c r="I231" i="3" s="1"/>
  <c r="M231" i="3"/>
  <c r="H229" i="3"/>
  <c r="I229" i="3" s="1"/>
  <c r="M229" i="3"/>
  <c r="H227" i="3"/>
  <c r="I227" i="3" s="1"/>
  <c r="M227" i="3"/>
  <c r="H230" i="3"/>
  <c r="I230" i="3" s="1"/>
  <c r="M230" i="3"/>
  <c r="H223" i="3"/>
  <c r="I223" i="3" s="1"/>
  <c r="M223" i="3"/>
  <c r="H224" i="3"/>
  <c r="I224" i="3" s="1"/>
  <c r="M224" i="3"/>
  <c r="H221" i="3"/>
  <c r="I221" i="3" s="1"/>
  <c r="M221" i="3"/>
  <c r="H222" i="3"/>
  <c r="I222" i="3" s="1"/>
  <c r="M222" i="3"/>
  <c r="H225" i="3"/>
  <c r="I225" i="3" s="1"/>
  <c r="M225" i="3"/>
  <c r="H226" i="3"/>
  <c r="I226" i="3" s="1"/>
  <c r="M226" i="3"/>
  <c r="H220" i="3"/>
  <c r="I220" i="3" s="1"/>
  <c r="M220" i="3"/>
  <c r="H218" i="3"/>
  <c r="I218" i="3" s="1"/>
  <c r="M218" i="3"/>
  <c r="H216" i="3"/>
  <c r="I216" i="3" s="1"/>
  <c r="M216" i="3"/>
  <c r="H219" i="3"/>
  <c r="I219" i="3" s="1"/>
  <c r="M219" i="3"/>
  <c r="H217" i="3"/>
  <c r="I217" i="3" s="1"/>
  <c r="M217" i="3"/>
  <c r="H215" i="3"/>
  <c r="I215" i="3" s="1"/>
  <c r="M215" i="3"/>
  <c r="H214" i="3"/>
  <c r="I214" i="3" s="1"/>
  <c r="M214" i="3"/>
  <c r="H213" i="3"/>
  <c r="I213" i="3" s="1"/>
  <c r="M213" i="3"/>
  <c r="H212" i="3"/>
  <c r="I212" i="3" s="1"/>
  <c r="M212" i="3"/>
  <c r="H211" i="3"/>
  <c r="I211" i="3" s="1"/>
  <c r="M211" i="3"/>
  <c r="H209" i="3"/>
  <c r="I209" i="3" s="1"/>
  <c r="M209" i="3"/>
  <c r="H210" i="3"/>
  <c r="I210" i="3" s="1"/>
  <c r="M210" i="3"/>
  <c r="H208" i="3"/>
  <c r="I208" i="3" s="1"/>
  <c r="M208" i="3"/>
  <c r="H207" i="3"/>
  <c r="I207" i="3" s="1"/>
  <c r="M207" i="3"/>
  <c r="H205" i="3"/>
  <c r="I205" i="3" s="1"/>
  <c r="M205" i="3"/>
  <c r="H202" i="3"/>
  <c r="I202" i="3" s="1"/>
  <c r="M202" i="3"/>
  <c r="H201" i="3"/>
  <c r="I201" i="3" s="1"/>
  <c r="M201" i="3"/>
  <c r="H204" i="3"/>
  <c r="I204" i="3" s="1"/>
  <c r="M204" i="3"/>
  <c r="H206" i="3"/>
  <c r="I206" i="3" s="1"/>
  <c r="M206" i="3"/>
  <c r="H203" i="3"/>
  <c r="I203" i="3" s="1"/>
  <c r="M203" i="3"/>
  <c r="H200" i="3"/>
  <c r="I200" i="3" s="1"/>
  <c r="M200" i="3"/>
  <c r="H197" i="3"/>
  <c r="I197" i="3" s="1"/>
  <c r="M197" i="3"/>
  <c r="H198" i="3"/>
  <c r="I198" i="3" s="1"/>
  <c r="M198" i="3"/>
  <c r="H199" i="3"/>
  <c r="I199" i="3" s="1"/>
  <c r="M199" i="3"/>
  <c r="H195" i="3"/>
  <c r="I195" i="3" s="1"/>
  <c r="M195" i="3"/>
  <c r="H196" i="3"/>
  <c r="I196" i="3" s="1"/>
  <c r="M196" i="3"/>
  <c r="H194" i="3"/>
  <c r="I194" i="3" s="1"/>
  <c r="M194" i="3"/>
  <c r="H192" i="3"/>
  <c r="I192" i="3" s="1"/>
  <c r="M192" i="3"/>
  <c r="H193" i="3"/>
  <c r="I193" i="3" s="1"/>
  <c r="M193" i="3"/>
  <c r="H189" i="3"/>
  <c r="I189" i="3" s="1"/>
  <c r="M189" i="3"/>
  <c r="H191" i="3"/>
  <c r="I191" i="3" s="1"/>
  <c r="M191" i="3"/>
  <c r="H190" i="3"/>
  <c r="I190" i="3" s="1"/>
  <c r="M190" i="3"/>
  <c r="H188" i="3"/>
  <c r="I188" i="3" s="1"/>
  <c r="M188" i="3"/>
  <c r="H187" i="3"/>
  <c r="I187" i="3" s="1"/>
  <c r="M187" i="3"/>
  <c r="H186" i="3"/>
  <c r="I186" i="3" s="1"/>
  <c r="M186" i="3"/>
  <c r="H185" i="3"/>
  <c r="I185" i="3" s="1"/>
  <c r="M185" i="3"/>
  <c r="H183" i="3"/>
  <c r="I183" i="3" s="1"/>
  <c r="M183" i="3"/>
  <c r="H184" i="3"/>
  <c r="I184" i="3" s="1"/>
  <c r="M184" i="3"/>
  <c r="H182" i="3"/>
  <c r="I182" i="3" s="1"/>
  <c r="M182" i="3"/>
  <c r="H181" i="3"/>
  <c r="I181" i="3" s="1"/>
  <c r="M181" i="3"/>
  <c r="H175" i="3"/>
  <c r="I175" i="3" s="1"/>
  <c r="M175" i="3"/>
  <c r="H172" i="3"/>
  <c r="I172" i="3" s="1"/>
  <c r="M172" i="3"/>
  <c r="H174" i="3"/>
  <c r="I174" i="3" s="1"/>
  <c r="M174" i="3"/>
  <c r="H179" i="3"/>
  <c r="I179" i="3" s="1"/>
  <c r="M179" i="3"/>
  <c r="H170" i="3"/>
  <c r="I170" i="3" s="1"/>
  <c r="M170" i="3"/>
  <c r="H178" i="3"/>
  <c r="I178" i="3" s="1"/>
  <c r="M178" i="3"/>
  <c r="H176" i="3"/>
  <c r="I176" i="3" s="1"/>
  <c r="M176" i="3"/>
  <c r="H171" i="3"/>
  <c r="I171" i="3" s="1"/>
  <c r="M171" i="3"/>
  <c r="H180" i="3"/>
  <c r="I180" i="3" s="1"/>
  <c r="M180" i="3"/>
  <c r="H173" i="3"/>
  <c r="I173" i="3" s="1"/>
  <c r="M173" i="3"/>
  <c r="H168" i="3"/>
  <c r="I168" i="3" s="1"/>
  <c r="M168" i="3"/>
  <c r="H169" i="3"/>
  <c r="I169" i="3" s="1"/>
  <c r="M169" i="3"/>
  <c r="H177" i="3"/>
  <c r="I177" i="3" s="1"/>
  <c r="M177" i="3"/>
  <c r="H167" i="3"/>
  <c r="I167" i="3" s="1"/>
  <c r="M167" i="3"/>
  <c r="H163" i="3"/>
  <c r="I163" i="3" s="1"/>
  <c r="M163" i="3"/>
  <c r="H166" i="3"/>
  <c r="I166" i="3" s="1"/>
  <c r="M166" i="3"/>
  <c r="H164" i="3"/>
  <c r="I164" i="3" s="1"/>
  <c r="M164" i="3"/>
  <c r="H165" i="3"/>
  <c r="I165" i="3" s="1"/>
  <c r="M165" i="3"/>
  <c r="H162" i="3"/>
  <c r="I162" i="3" s="1"/>
  <c r="M162" i="3"/>
  <c r="H161" i="3"/>
  <c r="I161" i="3" s="1"/>
  <c r="M161" i="3"/>
  <c r="H159" i="3"/>
  <c r="I159" i="3" s="1"/>
  <c r="M159" i="3"/>
  <c r="H158" i="3"/>
  <c r="I158" i="3" s="1"/>
  <c r="M158" i="3"/>
  <c r="H154" i="3"/>
  <c r="I154" i="3" s="1"/>
  <c r="M154" i="3"/>
  <c r="H157" i="3"/>
  <c r="I157" i="3" s="1"/>
  <c r="M157" i="3"/>
  <c r="H156" i="3"/>
  <c r="I156" i="3" s="1"/>
  <c r="M156" i="3"/>
  <c r="H155" i="3"/>
  <c r="I155" i="3" s="1"/>
  <c r="M155" i="3"/>
  <c r="H160" i="3"/>
  <c r="I160" i="3" s="1"/>
  <c r="M160" i="3"/>
  <c r="H146" i="3"/>
  <c r="I146" i="3" s="1"/>
  <c r="M146" i="3"/>
  <c r="H152" i="3"/>
  <c r="I152" i="3" s="1"/>
  <c r="M152" i="3"/>
  <c r="H147" i="3"/>
  <c r="I147" i="3" s="1"/>
  <c r="M147" i="3"/>
  <c r="H151" i="3"/>
  <c r="I151" i="3" s="1"/>
  <c r="M151" i="3"/>
  <c r="H153" i="3"/>
  <c r="I153" i="3" s="1"/>
  <c r="M153" i="3"/>
  <c r="H149" i="3"/>
  <c r="I149" i="3" s="1"/>
  <c r="M149" i="3"/>
  <c r="H150" i="3"/>
  <c r="I150" i="3" s="1"/>
  <c r="M150" i="3"/>
  <c r="H148" i="3"/>
  <c r="I148" i="3" s="1"/>
  <c r="M148" i="3"/>
  <c r="H144" i="3"/>
  <c r="I144" i="3" s="1"/>
  <c r="M144" i="3"/>
  <c r="H145" i="3"/>
  <c r="I145" i="3" s="1"/>
  <c r="M145" i="3"/>
  <c r="H143" i="3"/>
  <c r="I143" i="3" s="1"/>
  <c r="M143" i="3"/>
  <c r="H141" i="3"/>
  <c r="I141" i="3" s="1"/>
  <c r="M141" i="3"/>
  <c r="H142" i="3"/>
  <c r="I142" i="3" s="1"/>
  <c r="M142" i="3"/>
  <c r="H139" i="3"/>
  <c r="I139" i="3" s="1"/>
  <c r="M139" i="3"/>
  <c r="H120" i="3"/>
  <c r="I120" i="3" s="1"/>
  <c r="M120" i="3"/>
  <c r="H136" i="3"/>
  <c r="I136" i="3" s="1"/>
  <c r="M136" i="3"/>
  <c r="H133" i="3"/>
  <c r="I133" i="3" s="1"/>
  <c r="M133" i="3"/>
  <c r="H140" i="3"/>
  <c r="I140" i="3" s="1"/>
  <c r="M140" i="3"/>
  <c r="H134" i="3"/>
  <c r="I134" i="3" s="1"/>
  <c r="M134" i="3"/>
  <c r="H135" i="3"/>
  <c r="I135" i="3" s="1"/>
  <c r="M135" i="3"/>
  <c r="H138" i="3"/>
  <c r="I138" i="3" s="1"/>
  <c r="M138" i="3"/>
  <c r="H137" i="3"/>
  <c r="I137" i="3" s="1"/>
  <c r="M137" i="3"/>
  <c r="H131" i="3"/>
  <c r="I131" i="3" s="1"/>
  <c r="M131" i="3"/>
  <c r="H132" i="3"/>
  <c r="I132" i="3" s="1"/>
  <c r="M132" i="3"/>
  <c r="H129" i="3"/>
  <c r="I129" i="3" s="1"/>
  <c r="M129" i="3"/>
  <c r="H130" i="3"/>
  <c r="I130" i="3" s="1"/>
  <c r="M130" i="3"/>
  <c r="H128" i="3"/>
  <c r="I128" i="3" s="1"/>
  <c r="M128" i="3"/>
  <c r="H126" i="3"/>
  <c r="I126" i="3" s="1"/>
  <c r="M126" i="3"/>
  <c r="H127" i="3"/>
  <c r="I127" i="3" s="1"/>
  <c r="M127" i="3"/>
  <c r="H122" i="3"/>
  <c r="I122" i="3" s="1"/>
  <c r="M122" i="3"/>
  <c r="H123" i="3"/>
  <c r="I123" i="3" s="1"/>
  <c r="M123" i="3"/>
  <c r="H125" i="3"/>
  <c r="I125" i="3" s="1"/>
  <c r="M125" i="3"/>
  <c r="H124" i="3"/>
  <c r="I124" i="3" s="1"/>
  <c r="M124" i="3"/>
  <c r="H121" i="3"/>
  <c r="I121" i="3" s="1"/>
  <c r="M121" i="3"/>
  <c r="H119" i="3"/>
  <c r="I119" i="3" s="1"/>
  <c r="M119" i="3"/>
  <c r="H117" i="3"/>
  <c r="I117" i="3" s="1"/>
  <c r="M117" i="3"/>
  <c r="H118" i="3"/>
  <c r="I118" i="3" s="1"/>
  <c r="M118" i="3"/>
  <c r="M99" i="3"/>
  <c r="H113" i="3"/>
  <c r="I113" i="3" s="1"/>
  <c r="M113" i="3"/>
  <c r="H115" i="3"/>
  <c r="I115" i="3" s="1"/>
  <c r="M115" i="3"/>
  <c r="H116" i="3"/>
  <c r="I116" i="3" s="1"/>
  <c r="M116" i="3"/>
  <c r="H114" i="3"/>
  <c r="I114" i="3" s="1"/>
  <c r="M114" i="3"/>
  <c r="H112" i="3"/>
  <c r="I112" i="3" s="1"/>
  <c r="M112" i="3"/>
  <c r="H108" i="3"/>
  <c r="I108" i="3" s="1"/>
  <c r="M108" i="3"/>
  <c r="H110" i="3"/>
  <c r="I110" i="3" s="1"/>
  <c r="M110" i="3"/>
  <c r="H111" i="3"/>
  <c r="I111" i="3" s="1"/>
  <c r="M111" i="3"/>
  <c r="H106" i="3"/>
  <c r="I106" i="3" s="1"/>
  <c r="M106" i="3"/>
  <c r="H107" i="3"/>
  <c r="I107" i="3" s="1"/>
  <c r="M107" i="3"/>
  <c r="H109" i="3"/>
  <c r="I109" i="3" s="1"/>
  <c r="M109" i="3"/>
  <c r="H101" i="3"/>
  <c r="I101" i="3" s="1"/>
  <c r="M101" i="3"/>
  <c r="H100" i="3"/>
  <c r="I100" i="3" s="1"/>
  <c r="M100" i="3"/>
  <c r="H103" i="3"/>
  <c r="I103" i="3" s="1"/>
  <c r="M103" i="3"/>
  <c r="H105" i="3"/>
  <c r="I105" i="3" s="1"/>
  <c r="M105" i="3"/>
  <c r="H104" i="3"/>
  <c r="I104" i="3" s="1"/>
  <c r="M104" i="3"/>
  <c r="H102" i="3"/>
  <c r="I102" i="3" s="1"/>
  <c r="M102" i="3"/>
  <c r="H99" i="3"/>
  <c r="I99" i="3" s="1"/>
  <c r="H95" i="3"/>
  <c r="I95" i="3" s="1"/>
  <c r="M95" i="3"/>
  <c r="H98" i="3"/>
  <c r="I98" i="3" s="1"/>
  <c r="M98" i="3"/>
  <c r="H97" i="3"/>
  <c r="I97" i="3" s="1"/>
  <c r="M97" i="3"/>
  <c r="H94" i="3"/>
  <c r="I94" i="3" s="1"/>
  <c r="M94" i="3"/>
  <c r="H96" i="3"/>
  <c r="I96" i="3" s="1"/>
  <c r="M96" i="3"/>
  <c r="H93" i="3"/>
  <c r="I93" i="3" s="1"/>
  <c r="M93" i="3"/>
  <c r="H92" i="3"/>
  <c r="I92" i="3" s="1"/>
  <c r="M92" i="3"/>
  <c r="H91" i="3"/>
  <c r="I91" i="3" s="1"/>
  <c r="M91" i="3"/>
  <c r="H88" i="3"/>
  <c r="I88" i="3" s="1"/>
  <c r="M88" i="3"/>
  <c r="H90" i="3"/>
  <c r="I90" i="3" s="1"/>
  <c r="M90" i="3"/>
  <c r="H84" i="3"/>
  <c r="I84" i="3" s="1"/>
  <c r="M84" i="3"/>
  <c r="H87" i="3"/>
  <c r="I87" i="3" s="1"/>
  <c r="M87" i="3"/>
  <c r="H86" i="3"/>
  <c r="I86" i="3" s="1"/>
  <c r="M86" i="3"/>
  <c r="H85" i="3"/>
  <c r="I85" i="3" s="1"/>
  <c r="M85" i="3"/>
  <c r="H89" i="3"/>
  <c r="I89" i="3" s="1"/>
  <c r="M89" i="3"/>
  <c r="H83" i="3"/>
  <c r="I83" i="3" s="1"/>
  <c r="M83" i="3"/>
  <c r="H78" i="3"/>
  <c r="I78" i="3" s="1"/>
  <c r="M78" i="3"/>
  <c r="H77" i="3"/>
  <c r="I77" i="3" s="1"/>
  <c r="M77" i="3"/>
  <c r="H82" i="3"/>
  <c r="I82" i="3" s="1"/>
  <c r="M82" i="3"/>
  <c r="H80" i="3"/>
  <c r="I80" i="3" s="1"/>
  <c r="M80" i="3"/>
  <c r="H76" i="3"/>
  <c r="I76" i="3" s="1"/>
  <c r="M76" i="3"/>
  <c r="H81" i="3"/>
  <c r="I81" i="3" s="1"/>
  <c r="M81" i="3"/>
  <c r="H79" i="3"/>
  <c r="I79" i="3" s="1"/>
  <c r="M79" i="3"/>
  <c r="H68" i="3"/>
  <c r="I68" i="3" s="1"/>
  <c r="M68" i="3"/>
  <c r="H69" i="3"/>
  <c r="I69" i="3" s="1"/>
  <c r="M69" i="3"/>
  <c r="H73" i="3"/>
  <c r="I73" i="3" s="1"/>
  <c r="M73" i="3"/>
  <c r="H74" i="3"/>
  <c r="I74" i="3" s="1"/>
  <c r="M74" i="3"/>
  <c r="H75" i="3"/>
  <c r="I75" i="3" s="1"/>
  <c r="M75" i="3"/>
  <c r="H70" i="3"/>
  <c r="I70" i="3" s="1"/>
  <c r="M70" i="3"/>
  <c r="H72" i="3"/>
  <c r="I72" i="3" s="1"/>
  <c r="M72" i="3"/>
  <c r="H71" i="3"/>
  <c r="I71" i="3" s="1"/>
  <c r="M71" i="3"/>
  <c r="H67" i="3"/>
  <c r="I67" i="3" s="1"/>
  <c r="M67" i="3"/>
  <c r="H60" i="3"/>
  <c r="I60" i="3" s="1"/>
  <c r="M60" i="3"/>
  <c r="H62" i="3"/>
  <c r="I62" i="3" s="1"/>
  <c r="M62" i="3"/>
  <c r="H61" i="3"/>
  <c r="I61" i="3" s="1"/>
  <c r="M61" i="3"/>
  <c r="H64" i="3"/>
  <c r="I64" i="3" s="1"/>
  <c r="M64" i="3"/>
  <c r="H66" i="3"/>
  <c r="I66" i="3" s="1"/>
  <c r="M66" i="3"/>
  <c r="H65" i="3"/>
  <c r="I65" i="3" s="1"/>
  <c r="M65" i="3"/>
  <c r="H63" i="3"/>
  <c r="I63" i="3" s="1"/>
  <c r="M63" i="3"/>
  <c r="H54" i="3"/>
  <c r="I54" i="3" s="1"/>
  <c r="M54" i="3"/>
  <c r="H55" i="3"/>
  <c r="I55" i="3" s="1"/>
  <c r="M55" i="3"/>
  <c r="H59" i="3"/>
  <c r="I59" i="3" s="1"/>
  <c r="M59" i="3"/>
  <c r="H58" i="3"/>
  <c r="I58" i="3" s="1"/>
  <c r="M58" i="3"/>
  <c r="H57" i="3"/>
  <c r="I57" i="3" s="1"/>
  <c r="M57" i="3"/>
  <c r="H56" i="3"/>
  <c r="I56" i="3" s="1"/>
  <c r="M56" i="3"/>
  <c r="H50" i="3"/>
  <c r="I50" i="3" s="1"/>
  <c r="M50" i="3"/>
  <c r="H53" i="3"/>
  <c r="I53" i="3" s="1"/>
  <c r="M53" i="3"/>
  <c r="H51" i="3"/>
  <c r="I51" i="3" s="1"/>
  <c r="M51" i="3"/>
  <c r="H52" i="3"/>
  <c r="I52" i="3" s="1"/>
  <c r="M52" i="3"/>
  <c r="H48" i="3"/>
  <c r="I48" i="3" s="1"/>
  <c r="M48" i="3"/>
  <c r="H49" i="3"/>
  <c r="I49" i="3" s="1"/>
  <c r="M49" i="3"/>
  <c r="H46" i="3"/>
  <c r="I46" i="3" s="1"/>
  <c r="M46" i="3"/>
  <c r="H47" i="3"/>
  <c r="I47" i="3" s="1"/>
  <c r="M47" i="3"/>
  <c r="H43" i="3"/>
  <c r="I43" i="3" s="1"/>
  <c r="M43" i="3"/>
  <c r="H44" i="3"/>
  <c r="I44" i="3" s="1"/>
  <c r="M44" i="3"/>
  <c r="H42" i="3"/>
  <c r="I42" i="3" s="1"/>
  <c r="M42" i="3"/>
  <c r="H41" i="3"/>
  <c r="I41" i="3" s="1"/>
  <c r="M41" i="3"/>
  <c r="H40" i="3"/>
  <c r="I40" i="3" s="1"/>
  <c r="M40" i="3"/>
  <c r="H37" i="3"/>
  <c r="I37" i="3" s="1"/>
  <c r="M37" i="3"/>
  <c r="M744" i="3" l="1"/>
  <c r="N744" i="3" s="1"/>
  <c r="O744" i="3" s="1"/>
  <c r="M743" i="3"/>
  <c r="N743" i="3" s="1"/>
  <c r="O743" i="3" s="1"/>
  <c r="M741" i="3"/>
  <c r="N741" i="3" s="1"/>
  <c r="O741" i="3" s="1"/>
  <c r="M742" i="3"/>
  <c r="N742" i="3" s="1"/>
  <c r="O742" i="3" s="1"/>
  <c r="M740" i="3"/>
  <c r="N740" i="3" s="1"/>
  <c r="O740" i="3" s="1"/>
  <c r="M739" i="3"/>
  <c r="N739" i="3" s="1"/>
  <c r="O739" i="3" s="1"/>
  <c r="M738" i="3"/>
  <c r="N738" i="3" s="1"/>
  <c r="O738" i="3" s="1"/>
  <c r="M737" i="3"/>
  <c r="N737" i="3" s="1"/>
  <c r="O737" i="3" s="1"/>
  <c r="I717" i="3"/>
  <c r="M736" i="3"/>
  <c r="N736" i="3" s="1"/>
  <c r="O736" i="3" s="1"/>
  <c r="M735" i="3"/>
  <c r="N735" i="3" s="1"/>
  <c r="O735" i="3" s="1"/>
  <c r="J712" i="3"/>
  <c r="M734" i="3"/>
  <c r="N734" i="3" s="1"/>
  <c r="O734" i="3" s="1"/>
  <c r="M733" i="3"/>
  <c r="N733" i="3" s="1"/>
  <c r="O733" i="3" s="1"/>
  <c r="M732" i="3"/>
  <c r="N732" i="3" s="1"/>
  <c r="O732" i="3" s="1"/>
  <c r="R712" i="3"/>
  <c r="J714" i="3"/>
  <c r="I720" i="3"/>
  <c r="J702" i="3"/>
  <c r="K714" i="3"/>
  <c r="K702" i="3"/>
  <c r="K718" i="3"/>
  <c r="I708" i="3"/>
  <c r="I710" i="3"/>
  <c r="J710" i="3"/>
  <c r="K710" i="3"/>
  <c r="L710" i="3"/>
  <c r="K709" i="3"/>
  <c r="K728" i="3"/>
  <c r="L716" i="3"/>
  <c r="K712" i="3"/>
  <c r="L718" i="3"/>
  <c r="L712" i="3"/>
  <c r="J713" i="3"/>
  <c r="K713" i="3"/>
  <c r="L713" i="3"/>
  <c r="I702" i="3"/>
  <c r="I714" i="3"/>
  <c r="I672" i="3"/>
  <c r="L702" i="3"/>
  <c r="L714" i="3"/>
  <c r="L709" i="3"/>
  <c r="J711" i="3"/>
  <c r="I716" i="3"/>
  <c r="I728" i="3"/>
  <c r="I718" i="3"/>
  <c r="J718" i="3"/>
  <c r="I711" i="3"/>
  <c r="K711" i="3"/>
  <c r="I727" i="3"/>
  <c r="J729" i="3"/>
  <c r="R709" i="3"/>
  <c r="I730" i="3"/>
  <c r="J730" i="3"/>
  <c r="K730" i="3"/>
  <c r="J672" i="3"/>
  <c r="J708" i="3"/>
  <c r="I724" i="3"/>
  <c r="I731" i="3"/>
  <c r="K672" i="3"/>
  <c r="K708" i="3"/>
  <c r="J724" i="3"/>
  <c r="K731" i="3"/>
  <c r="L730" i="3"/>
  <c r="L672" i="3"/>
  <c r="L708" i="3"/>
  <c r="K724" i="3"/>
  <c r="K707" i="3"/>
  <c r="L724" i="3"/>
  <c r="L729" i="3"/>
  <c r="J707" i="3"/>
  <c r="L711" i="3"/>
  <c r="J721" i="3"/>
  <c r="R725" i="3"/>
  <c r="L723" i="3"/>
  <c r="J709" i="3"/>
  <c r="I715" i="3"/>
  <c r="K721" i="3"/>
  <c r="J727" i="3"/>
  <c r="J715" i="3"/>
  <c r="K727" i="3"/>
  <c r="I707" i="3"/>
  <c r="L707" i="3"/>
  <c r="J716" i="3"/>
  <c r="J728" i="3"/>
  <c r="I713" i="3"/>
  <c r="K716" i="3"/>
  <c r="L728" i="3"/>
  <c r="L720" i="3"/>
  <c r="K723" i="3"/>
  <c r="L726" i="3"/>
  <c r="K715" i="3"/>
  <c r="K717" i="3"/>
  <c r="L721" i="3"/>
  <c r="L727" i="3"/>
  <c r="L715" i="3"/>
  <c r="L717" i="3"/>
  <c r="R721" i="3"/>
  <c r="I719" i="3"/>
  <c r="J725" i="3"/>
  <c r="J719" i="3"/>
  <c r="K725" i="3"/>
  <c r="J731" i="3"/>
  <c r="K719" i="3"/>
  <c r="L725" i="3"/>
  <c r="L719" i="3"/>
  <c r="I726" i="3"/>
  <c r="I729" i="3"/>
  <c r="L731" i="3"/>
  <c r="R717" i="3"/>
  <c r="J720" i="3"/>
  <c r="I723" i="3"/>
  <c r="J726" i="3"/>
  <c r="K729" i="3"/>
  <c r="K720" i="3"/>
  <c r="J723" i="3"/>
  <c r="K726" i="3"/>
  <c r="M722" i="3"/>
  <c r="N722" i="3" s="1"/>
  <c r="O722" i="3" s="1"/>
  <c r="I699" i="3"/>
  <c r="K699" i="3"/>
  <c r="J700" i="3"/>
  <c r="L700" i="3"/>
  <c r="J699" i="3"/>
  <c r="K703" i="3"/>
  <c r="L699" i="3"/>
  <c r="L703" i="3"/>
  <c r="I706" i="3"/>
  <c r="R700" i="3"/>
  <c r="L701" i="3"/>
  <c r="I700" i="3"/>
  <c r="J706" i="3"/>
  <c r="K706" i="3"/>
  <c r="J703" i="3"/>
  <c r="I704" i="3"/>
  <c r="J704" i="3"/>
  <c r="K704" i="3"/>
  <c r="L704" i="3"/>
  <c r="I703" i="3"/>
  <c r="L706" i="3"/>
  <c r="I701" i="3"/>
  <c r="R701" i="3"/>
  <c r="I705" i="3"/>
  <c r="J705" i="3"/>
  <c r="K705" i="3"/>
  <c r="L705" i="3"/>
  <c r="K701" i="3"/>
  <c r="K670" i="3"/>
  <c r="I689" i="3"/>
  <c r="L666" i="3"/>
  <c r="I668" i="3"/>
  <c r="J668" i="3"/>
  <c r="L670" i="3"/>
  <c r="R669" i="3"/>
  <c r="J677" i="3"/>
  <c r="J689" i="3"/>
  <c r="K689" i="3"/>
  <c r="J670" i="3"/>
  <c r="L689" i="3"/>
  <c r="J691" i="3"/>
  <c r="J688" i="3"/>
  <c r="K698" i="3"/>
  <c r="K666" i="3"/>
  <c r="I677" i="3"/>
  <c r="I670" i="3"/>
  <c r="J683" i="3"/>
  <c r="K691" i="3"/>
  <c r="K683" i="3"/>
  <c r="I684" i="3"/>
  <c r="I691" i="3"/>
  <c r="L668" i="3"/>
  <c r="L691" i="3"/>
  <c r="K668" i="3"/>
  <c r="I695" i="3"/>
  <c r="I666" i="3"/>
  <c r="K695" i="3"/>
  <c r="J666" i="3"/>
  <c r="R695" i="3"/>
  <c r="R745" i="3" s="1"/>
  <c r="I690" i="3"/>
  <c r="L675" i="3"/>
  <c r="I697" i="3"/>
  <c r="J697" i="3"/>
  <c r="L697" i="3"/>
  <c r="I678" i="3"/>
  <c r="I673" i="3"/>
  <c r="I688" i="3"/>
  <c r="L690" i="3"/>
  <c r="J674" i="3"/>
  <c r="L667" i="3"/>
  <c r="K678" i="3"/>
  <c r="R683" i="3"/>
  <c r="K671" i="3"/>
  <c r="L671" i="3"/>
  <c r="J671" i="3"/>
  <c r="J685" i="3"/>
  <c r="J690" i="3"/>
  <c r="J669" i="3"/>
  <c r="K693" i="3"/>
  <c r="L683" i="3"/>
  <c r="K677" i="3"/>
  <c r="K685" i="3"/>
  <c r="L677" i="3"/>
  <c r="L685" i="3"/>
  <c r="R678" i="3"/>
  <c r="R685" i="3"/>
  <c r="R671" i="3"/>
  <c r="L678" i="3"/>
  <c r="K688" i="3"/>
  <c r="K690" i="3"/>
  <c r="L688" i="3"/>
  <c r="K669" i="3"/>
  <c r="L695" i="3"/>
  <c r="J698" i="3"/>
  <c r="J673" i="3"/>
  <c r="L680" i="3"/>
  <c r="I676" i="3"/>
  <c r="K679" i="3"/>
  <c r="J667" i="3"/>
  <c r="J676" i="3"/>
  <c r="I696" i="3"/>
  <c r="K676" i="3"/>
  <c r="J696" i="3"/>
  <c r="K667" i="3"/>
  <c r="K675" i="3"/>
  <c r="J681" i="3"/>
  <c r="L693" i="3"/>
  <c r="K696" i="3"/>
  <c r="K687" i="3"/>
  <c r="I694" i="3"/>
  <c r="I674" i="3"/>
  <c r="K682" i="3"/>
  <c r="L687" i="3"/>
  <c r="J694" i="3"/>
  <c r="I667" i="3"/>
  <c r="K673" i="3"/>
  <c r="K674" i="3"/>
  <c r="R679" i="3"/>
  <c r="J684" i="3"/>
  <c r="I686" i="3"/>
  <c r="K694" i="3"/>
  <c r="K697" i="3"/>
  <c r="L698" i="3"/>
  <c r="L673" i="3"/>
  <c r="L674" i="3"/>
  <c r="I681" i="3"/>
  <c r="K684" i="3"/>
  <c r="J686" i="3"/>
  <c r="L694" i="3"/>
  <c r="I698" i="3"/>
  <c r="L684" i="3"/>
  <c r="K686" i="3"/>
  <c r="I692" i="3"/>
  <c r="L686" i="3"/>
  <c r="J692" i="3"/>
  <c r="K681" i="3"/>
  <c r="K692" i="3"/>
  <c r="L676" i="3"/>
  <c r="L681" i="3"/>
  <c r="I693" i="3"/>
  <c r="L692" i="3"/>
  <c r="L696" i="3"/>
  <c r="I675" i="3"/>
  <c r="I682" i="3"/>
  <c r="J680" i="3"/>
  <c r="I687" i="3"/>
  <c r="L669" i="3"/>
  <c r="J675" i="3"/>
  <c r="J679" i="3"/>
  <c r="J682" i="3"/>
  <c r="K680" i="3"/>
  <c r="J687" i="3"/>
  <c r="J693" i="3"/>
  <c r="L679" i="3"/>
  <c r="L682" i="3"/>
  <c r="R680" i="3"/>
  <c r="I540" i="3"/>
  <c r="K540" i="3"/>
  <c r="L540" i="3"/>
  <c r="R540" i="3"/>
  <c r="I566" i="3"/>
  <c r="K660" i="3"/>
  <c r="I656" i="3"/>
  <c r="L656" i="3"/>
  <c r="I654" i="3"/>
  <c r="K654" i="3"/>
  <c r="L654" i="3"/>
  <c r="I660" i="3"/>
  <c r="J660" i="3"/>
  <c r="L660" i="3"/>
  <c r="J664" i="3"/>
  <c r="J654" i="3"/>
  <c r="R658" i="3"/>
  <c r="I665" i="3"/>
  <c r="L566" i="3"/>
  <c r="R662" i="3"/>
  <c r="J566" i="3"/>
  <c r="K566" i="3"/>
  <c r="L662" i="3"/>
  <c r="J659" i="3"/>
  <c r="L664" i="3"/>
  <c r="K659" i="3"/>
  <c r="K663" i="3"/>
  <c r="L659" i="3"/>
  <c r="R664" i="3"/>
  <c r="R659" i="3"/>
  <c r="L663" i="3"/>
  <c r="J656" i="3"/>
  <c r="J662" i="3"/>
  <c r="K656" i="3"/>
  <c r="K662" i="3"/>
  <c r="J665" i="3"/>
  <c r="I641" i="3"/>
  <c r="K665" i="3"/>
  <c r="J641" i="3"/>
  <c r="L665" i="3"/>
  <c r="K641" i="3"/>
  <c r="L641" i="3"/>
  <c r="I657" i="3"/>
  <c r="J657" i="3"/>
  <c r="K657" i="3"/>
  <c r="K664" i="3"/>
  <c r="J653" i="3"/>
  <c r="L657" i="3"/>
  <c r="R653" i="3"/>
  <c r="K655" i="3"/>
  <c r="K653" i="3"/>
  <c r="L655" i="3"/>
  <c r="R655" i="3"/>
  <c r="J658" i="3"/>
  <c r="L653" i="3"/>
  <c r="J655" i="3"/>
  <c r="K658" i="3"/>
  <c r="L658" i="3"/>
  <c r="L638" i="3"/>
  <c r="K638" i="3"/>
  <c r="I663" i="3"/>
  <c r="J663" i="3"/>
  <c r="I661" i="3"/>
  <c r="J661" i="3"/>
  <c r="K661" i="3"/>
  <c r="I638" i="3"/>
  <c r="L661" i="3"/>
  <c r="E7" i="4"/>
  <c r="J638" i="3"/>
  <c r="F7" i="4"/>
  <c r="J645" i="3"/>
  <c r="K645" i="3"/>
  <c r="L648" i="3"/>
  <c r="J637" i="3"/>
  <c r="J640" i="3"/>
  <c r="I648" i="3"/>
  <c r="K640" i="3"/>
  <c r="J648" i="3"/>
  <c r="K648" i="3"/>
  <c r="I649" i="3"/>
  <c r="I609" i="3"/>
  <c r="L637" i="3"/>
  <c r="J609" i="3"/>
  <c r="J636" i="3"/>
  <c r="L609" i="3"/>
  <c r="R609" i="3"/>
  <c r="J624" i="3"/>
  <c r="K637" i="3"/>
  <c r="J639" i="3"/>
  <c r="I626" i="3"/>
  <c r="K626" i="3"/>
  <c r="J635" i="3"/>
  <c r="L626" i="3"/>
  <c r="L644" i="3"/>
  <c r="J642" i="3"/>
  <c r="I639" i="3"/>
  <c r="I642" i="3"/>
  <c r="K639" i="3"/>
  <c r="K642" i="3"/>
  <c r="L639" i="3"/>
  <c r="L642" i="3"/>
  <c r="I646" i="3"/>
  <c r="J630" i="3"/>
  <c r="K635" i="3"/>
  <c r="L635" i="3"/>
  <c r="J652" i="3"/>
  <c r="R635" i="3"/>
  <c r="L645" i="3"/>
  <c r="J644" i="3"/>
  <c r="J643" i="3"/>
  <c r="K643" i="3"/>
  <c r="J646" i="3"/>
  <c r="K646" i="3"/>
  <c r="L618" i="3"/>
  <c r="K651" i="3"/>
  <c r="K618" i="3"/>
  <c r="L630" i="3"/>
  <c r="K624" i="3"/>
  <c r="L646" i="3"/>
  <c r="I640" i="3"/>
  <c r="I644" i="3"/>
  <c r="L640" i="3"/>
  <c r="K644" i="3"/>
  <c r="J651" i="3"/>
  <c r="J618" i="3"/>
  <c r="J626" i="3"/>
  <c r="I637" i="3"/>
  <c r="I645" i="3"/>
  <c r="L649" i="3"/>
  <c r="L651" i="3"/>
  <c r="L624" i="3"/>
  <c r="R630" i="3"/>
  <c r="K636" i="3"/>
  <c r="R624" i="3"/>
  <c r="L636" i="3"/>
  <c r="I647" i="3"/>
  <c r="I652" i="3"/>
  <c r="L647" i="3"/>
  <c r="J650" i="3"/>
  <c r="K630" i="3"/>
  <c r="L643" i="3"/>
  <c r="K650" i="3"/>
  <c r="J649" i="3"/>
  <c r="K652" i="3"/>
  <c r="R636" i="3"/>
  <c r="L650" i="3"/>
  <c r="J647" i="3"/>
  <c r="K649" i="3"/>
  <c r="L652" i="3"/>
  <c r="I618" i="3"/>
  <c r="K647" i="3"/>
  <c r="R650" i="3"/>
  <c r="I651" i="3"/>
  <c r="I643" i="3"/>
  <c r="I556" i="3"/>
  <c r="K556" i="3"/>
  <c r="K607" i="3"/>
  <c r="L607" i="3"/>
  <c r="R607" i="3"/>
  <c r="J607" i="3"/>
  <c r="I610" i="3"/>
  <c r="L556" i="3"/>
  <c r="R556" i="3"/>
  <c r="J622" i="3"/>
  <c r="L592" i="3"/>
  <c r="L612" i="3"/>
  <c r="K628" i="3"/>
  <c r="J562" i="3"/>
  <c r="I562" i="3"/>
  <c r="I581" i="3"/>
  <c r="R628" i="3"/>
  <c r="K578" i="3"/>
  <c r="J610" i="3"/>
  <c r="J619" i="3"/>
  <c r="R632" i="3"/>
  <c r="J628" i="3"/>
  <c r="L628" i="3"/>
  <c r="K562" i="3"/>
  <c r="L615" i="3"/>
  <c r="R562" i="3"/>
  <c r="I622" i="3"/>
  <c r="I578" i="3"/>
  <c r="J581" i="3"/>
  <c r="K622" i="3"/>
  <c r="L622" i="3"/>
  <c r="K615" i="3"/>
  <c r="L581" i="3"/>
  <c r="R581" i="3"/>
  <c r="L578" i="3"/>
  <c r="J633" i="3"/>
  <c r="J578" i="3"/>
  <c r="I621" i="3"/>
  <c r="K612" i="3"/>
  <c r="I567" i="3"/>
  <c r="R567" i="3"/>
  <c r="J620" i="3"/>
  <c r="R611" i="3"/>
  <c r="K620" i="3"/>
  <c r="L567" i="3"/>
  <c r="L620" i="3"/>
  <c r="I617" i="3"/>
  <c r="R620" i="3"/>
  <c r="K610" i="3"/>
  <c r="J617" i="3"/>
  <c r="J632" i="3"/>
  <c r="K617" i="3"/>
  <c r="I612" i="3"/>
  <c r="L610" i="3"/>
  <c r="L617" i="3"/>
  <c r="K632" i="3"/>
  <c r="J567" i="3"/>
  <c r="J612" i="3"/>
  <c r="L632" i="3"/>
  <c r="K592" i="3"/>
  <c r="J615" i="3"/>
  <c r="L633" i="3"/>
  <c r="J613" i="3"/>
  <c r="K623" i="3"/>
  <c r="L580" i="3"/>
  <c r="K613" i="3"/>
  <c r="L623" i="3"/>
  <c r="L613" i="3"/>
  <c r="R613" i="3"/>
  <c r="I633" i="3"/>
  <c r="I615" i="3"/>
  <c r="K633" i="3"/>
  <c r="K619" i="3"/>
  <c r="J621" i="3"/>
  <c r="I631" i="3"/>
  <c r="L619" i="3"/>
  <c r="K621" i="3"/>
  <c r="J631" i="3"/>
  <c r="R619" i="3"/>
  <c r="L621" i="3"/>
  <c r="K631" i="3"/>
  <c r="L631" i="3"/>
  <c r="K629" i="3"/>
  <c r="L629" i="3"/>
  <c r="R629" i="3"/>
  <c r="R592" i="3"/>
  <c r="I625" i="3"/>
  <c r="J629" i="3"/>
  <c r="J614" i="3"/>
  <c r="K625" i="3"/>
  <c r="R627" i="3"/>
  <c r="K606" i="3"/>
  <c r="L625" i="3"/>
  <c r="K614" i="3"/>
  <c r="L606" i="3"/>
  <c r="I608" i="3"/>
  <c r="I616" i="3"/>
  <c r="J627" i="3"/>
  <c r="I634" i="3"/>
  <c r="R606" i="3"/>
  <c r="J608" i="3"/>
  <c r="J616" i="3"/>
  <c r="L627" i="3"/>
  <c r="J634" i="3"/>
  <c r="J606" i="3"/>
  <c r="L614" i="3"/>
  <c r="J611" i="3"/>
  <c r="K608" i="3"/>
  <c r="K616" i="3"/>
  <c r="K634" i="3"/>
  <c r="K611" i="3"/>
  <c r="L608" i="3"/>
  <c r="L616" i="3"/>
  <c r="I623" i="3"/>
  <c r="L634" i="3"/>
  <c r="J625" i="3"/>
  <c r="R614" i="3"/>
  <c r="L611" i="3"/>
  <c r="J623" i="3"/>
  <c r="K627" i="3"/>
  <c r="J592" i="3"/>
  <c r="J560" i="3"/>
  <c r="J548" i="3"/>
  <c r="J552" i="3"/>
  <c r="R600" i="3"/>
  <c r="L584" i="3"/>
  <c r="R560" i="3"/>
  <c r="J580" i="3"/>
  <c r="K580" i="3"/>
  <c r="K597" i="3"/>
  <c r="K542" i="3"/>
  <c r="J597" i="3"/>
  <c r="R597" i="3"/>
  <c r="R542" i="3"/>
  <c r="L542" i="3"/>
  <c r="L585" i="3"/>
  <c r="R585" i="3"/>
  <c r="I542" i="3"/>
  <c r="L597" i="3"/>
  <c r="I544" i="3"/>
  <c r="I580" i="3"/>
  <c r="I575" i="3"/>
  <c r="I554" i="3"/>
  <c r="L560" i="3"/>
  <c r="L541" i="3"/>
  <c r="J554" i="3"/>
  <c r="K541" i="3"/>
  <c r="J541" i="3"/>
  <c r="L554" i="3"/>
  <c r="I541" i="3"/>
  <c r="R575" i="3"/>
  <c r="K560" i="3"/>
  <c r="R594" i="3"/>
  <c r="K554" i="3"/>
  <c r="K575" i="3"/>
  <c r="J575" i="3"/>
  <c r="I565" i="3"/>
  <c r="L594" i="3"/>
  <c r="I572" i="3"/>
  <c r="J558" i="3"/>
  <c r="I546" i="3"/>
  <c r="J546" i="3"/>
  <c r="L553" i="3"/>
  <c r="K543" i="3"/>
  <c r="J586" i="3"/>
  <c r="I558" i="3"/>
  <c r="R598" i="3"/>
  <c r="K558" i="3"/>
  <c r="K572" i="3"/>
  <c r="R573" i="3"/>
  <c r="K584" i="3"/>
  <c r="L572" i="3"/>
  <c r="J572" i="3"/>
  <c r="I584" i="3"/>
  <c r="R584" i="3"/>
  <c r="L576" i="3"/>
  <c r="J565" i="3"/>
  <c r="J576" i="3"/>
  <c r="I547" i="3"/>
  <c r="R548" i="3"/>
  <c r="J547" i="3"/>
  <c r="K548" i="3"/>
  <c r="K547" i="3"/>
  <c r="R565" i="3"/>
  <c r="L565" i="3"/>
  <c r="R576" i="3"/>
  <c r="K576" i="3"/>
  <c r="K604" i="3"/>
  <c r="L548" i="3"/>
  <c r="R547" i="3"/>
  <c r="L604" i="3"/>
  <c r="R549" i="3"/>
  <c r="J550" i="3"/>
  <c r="I550" i="3"/>
  <c r="K549" i="3"/>
  <c r="R550" i="3"/>
  <c r="I583" i="3"/>
  <c r="L549" i="3"/>
  <c r="R583" i="3"/>
  <c r="L587" i="3"/>
  <c r="J549" i="3"/>
  <c r="L558" i="3"/>
  <c r="L545" i="3"/>
  <c r="J574" i="3"/>
  <c r="R579" i="3"/>
  <c r="R570" i="3"/>
  <c r="R553" i="3"/>
  <c r="J579" i="3"/>
  <c r="R587" i="3"/>
  <c r="K582" i="3"/>
  <c r="I561" i="3"/>
  <c r="R545" i="3"/>
  <c r="K546" i="3"/>
  <c r="I579" i="3"/>
  <c r="J570" i="3"/>
  <c r="J553" i="3"/>
  <c r="J587" i="3"/>
  <c r="J582" i="3"/>
  <c r="L583" i="3"/>
  <c r="I545" i="3"/>
  <c r="R546" i="3"/>
  <c r="K570" i="3"/>
  <c r="I570" i="3"/>
  <c r="I587" i="3"/>
  <c r="R582" i="3"/>
  <c r="K550" i="3"/>
  <c r="I553" i="3"/>
  <c r="J545" i="3"/>
  <c r="L574" i="3"/>
  <c r="L582" i="3"/>
  <c r="K574" i="3"/>
  <c r="L586" i="3"/>
  <c r="K579" i="3"/>
  <c r="J598" i="3"/>
  <c r="R574" i="3"/>
  <c r="R586" i="3"/>
  <c r="K598" i="3"/>
  <c r="J583" i="3"/>
  <c r="K586" i="3"/>
  <c r="L598" i="3"/>
  <c r="J605" i="3"/>
  <c r="L573" i="3"/>
  <c r="J600" i="3"/>
  <c r="J573" i="3"/>
  <c r="J555" i="3"/>
  <c r="I555" i="3"/>
  <c r="L600" i="3"/>
  <c r="R555" i="3"/>
  <c r="K600" i="3"/>
  <c r="K605" i="3"/>
  <c r="L552" i="3"/>
  <c r="K552" i="3"/>
  <c r="J604" i="3"/>
  <c r="I573" i="3"/>
  <c r="R552" i="3"/>
  <c r="K555" i="3"/>
  <c r="J563" i="3"/>
  <c r="J544" i="3"/>
  <c r="K563" i="3"/>
  <c r="R563" i="3"/>
  <c r="L559" i="3"/>
  <c r="L577" i="3"/>
  <c r="L544" i="3"/>
  <c r="J585" i="3"/>
  <c r="J571" i="3"/>
  <c r="I585" i="3"/>
  <c r="L563" i="3"/>
  <c r="L564" i="3"/>
  <c r="L603" i="3"/>
  <c r="K544" i="3"/>
  <c r="R564" i="3"/>
  <c r="K564" i="3"/>
  <c r="I605" i="3"/>
  <c r="J577" i="3"/>
  <c r="I577" i="3"/>
  <c r="L590" i="3"/>
  <c r="I569" i="3"/>
  <c r="L596" i="3"/>
  <c r="L605" i="3"/>
  <c r="I596" i="3"/>
  <c r="J551" i="3"/>
  <c r="L595" i="3"/>
  <c r="J559" i="3"/>
  <c r="J591" i="3"/>
  <c r="K603" i="3"/>
  <c r="I559" i="3"/>
  <c r="R559" i="3"/>
  <c r="R577" i="3"/>
  <c r="J564" i="3"/>
  <c r="K591" i="3"/>
  <c r="R588" i="3"/>
  <c r="J568" i="3"/>
  <c r="R590" i="3"/>
  <c r="L571" i="3"/>
  <c r="L589" i="3"/>
  <c r="I568" i="3"/>
  <c r="I187" i="1"/>
  <c r="J588" i="3"/>
  <c r="K588" i="3"/>
  <c r="I589" i="3"/>
  <c r="R569" i="3"/>
  <c r="L591" i="3"/>
  <c r="L551" i="3"/>
  <c r="I551" i="3"/>
  <c r="K596" i="3"/>
  <c r="R591" i="3"/>
  <c r="I601" i="3"/>
  <c r="I571" i="3"/>
  <c r="J589" i="3"/>
  <c r="J594" i="3"/>
  <c r="K601" i="3"/>
  <c r="L588" i="3"/>
  <c r="J590" i="3"/>
  <c r="L601" i="3"/>
  <c r="R571" i="3"/>
  <c r="R568" i="3"/>
  <c r="R551" i="3"/>
  <c r="L569" i="3"/>
  <c r="K594" i="3"/>
  <c r="R601" i="3"/>
  <c r="J569" i="3"/>
  <c r="L568" i="3"/>
  <c r="R589" i="3"/>
  <c r="R596" i="3"/>
  <c r="K590" i="3"/>
  <c r="R543" i="3"/>
  <c r="J599" i="3"/>
  <c r="J561" i="3"/>
  <c r="R595" i="3"/>
  <c r="I603" i="3"/>
  <c r="I599" i="3"/>
  <c r="R557" i="3"/>
  <c r="J603" i="3"/>
  <c r="R599" i="3"/>
  <c r="I557" i="3"/>
  <c r="J543" i="3"/>
  <c r="R561" i="3"/>
  <c r="J593" i="3"/>
  <c r="J602" i="3"/>
  <c r="L557" i="3"/>
  <c r="J595" i="3"/>
  <c r="K593" i="3"/>
  <c r="K602" i="3"/>
  <c r="L561" i="3"/>
  <c r="L599" i="3"/>
  <c r="L593" i="3"/>
  <c r="L602" i="3"/>
  <c r="J557" i="3"/>
  <c r="K595" i="3"/>
  <c r="R593" i="3"/>
  <c r="I604" i="3"/>
  <c r="R602" i="3"/>
  <c r="L543" i="3"/>
  <c r="I518" i="3"/>
  <c r="J534" i="3"/>
  <c r="I532" i="3"/>
  <c r="L528" i="3"/>
  <c r="K528" i="3"/>
  <c r="K504" i="3"/>
  <c r="I537" i="3"/>
  <c r="L524" i="3"/>
  <c r="J524" i="3"/>
  <c r="R530" i="3"/>
  <c r="L532" i="3"/>
  <c r="J532" i="3"/>
  <c r="L538" i="3"/>
  <c r="J538" i="3"/>
  <c r="K538" i="3"/>
  <c r="R538" i="3"/>
  <c r="I528" i="3"/>
  <c r="R520" i="3"/>
  <c r="K488" i="3"/>
  <c r="R488" i="3"/>
  <c r="I488" i="3"/>
  <c r="R528" i="3"/>
  <c r="K530" i="3"/>
  <c r="L534" i="3"/>
  <c r="L504" i="3"/>
  <c r="I504" i="3"/>
  <c r="I534" i="3"/>
  <c r="L480" i="3"/>
  <c r="R504" i="3"/>
  <c r="K534" i="3"/>
  <c r="I536" i="3"/>
  <c r="K536" i="3"/>
  <c r="K532" i="3"/>
  <c r="L488" i="3"/>
  <c r="J536" i="3"/>
  <c r="R536" i="3"/>
  <c r="I524" i="3"/>
  <c r="R524" i="3"/>
  <c r="I503" i="3"/>
  <c r="J503" i="3"/>
  <c r="J509" i="3"/>
  <c r="L475" i="3"/>
  <c r="K475" i="3"/>
  <c r="R506" i="3"/>
  <c r="I506" i="3"/>
  <c r="R475" i="3"/>
  <c r="J475" i="3"/>
  <c r="J535" i="3"/>
  <c r="I535" i="3"/>
  <c r="R503" i="3"/>
  <c r="R535" i="3"/>
  <c r="J464" i="3"/>
  <c r="K503" i="3"/>
  <c r="L535" i="3"/>
  <c r="L512" i="3"/>
  <c r="L530" i="3"/>
  <c r="J530" i="3"/>
  <c r="R499" i="3"/>
  <c r="L496" i="3"/>
  <c r="L527" i="3"/>
  <c r="I512" i="3"/>
  <c r="K512" i="3"/>
  <c r="L531" i="3"/>
  <c r="J507" i="3"/>
  <c r="R531" i="3"/>
  <c r="J499" i="3"/>
  <c r="K499" i="3"/>
  <c r="L502" i="3"/>
  <c r="R502" i="3"/>
  <c r="L539" i="3"/>
  <c r="R539" i="3"/>
  <c r="K539" i="3"/>
  <c r="K502" i="3"/>
  <c r="R512" i="3"/>
  <c r="K531" i="3"/>
  <c r="I539" i="3"/>
  <c r="J502" i="3"/>
  <c r="J531" i="3"/>
  <c r="I509" i="3"/>
  <c r="R537" i="3"/>
  <c r="J537" i="3"/>
  <c r="K537" i="3"/>
  <c r="I516" i="3"/>
  <c r="R525" i="3"/>
  <c r="I496" i="3"/>
  <c r="K496" i="3"/>
  <c r="R527" i="3"/>
  <c r="I525" i="3"/>
  <c r="K527" i="3"/>
  <c r="J496" i="3"/>
  <c r="J527" i="3"/>
  <c r="L525" i="3"/>
  <c r="J525" i="3"/>
  <c r="L529" i="3"/>
  <c r="R529" i="3"/>
  <c r="K529" i="3"/>
  <c r="J533" i="3"/>
  <c r="L526" i="3"/>
  <c r="R526" i="3"/>
  <c r="K526" i="3"/>
  <c r="J526" i="3"/>
  <c r="J529" i="3"/>
  <c r="L533" i="3"/>
  <c r="K533" i="3"/>
  <c r="I533" i="3"/>
  <c r="L505" i="3"/>
  <c r="K505" i="3"/>
  <c r="R505" i="3"/>
  <c r="J505" i="3"/>
  <c r="L461" i="3"/>
  <c r="L520" i="3"/>
  <c r="I520" i="3"/>
  <c r="K520" i="3"/>
  <c r="K492" i="3"/>
  <c r="J510" i="3"/>
  <c r="I507" i="3"/>
  <c r="R507" i="3"/>
  <c r="I510" i="3"/>
  <c r="R492" i="3"/>
  <c r="R513" i="3"/>
  <c r="R510" i="3"/>
  <c r="L513" i="3"/>
  <c r="L492" i="3"/>
  <c r="I513" i="3"/>
  <c r="I492" i="3"/>
  <c r="L510" i="3"/>
  <c r="L507" i="3"/>
  <c r="R473" i="3"/>
  <c r="I521" i="3"/>
  <c r="R521" i="3"/>
  <c r="R480" i="3"/>
  <c r="K506" i="3"/>
  <c r="J518" i="3"/>
  <c r="K473" i="3"/>
  <c r="J480" i="3"/>
  <c r="K518" i="3"/>
  <c r="J521" i="3"/>
  <c r="R515" i="3"/>
  <c r="I480" i="3"/>
  <c r="L518" i="3"/>
  <c r="K515" i="3"/>
  <c r="I473" i="3"/>
  <c r="K521" i="3"/>
  <c r="J515" i="3"/>
  <c r="R518" i="3"/>
  <c r="I515" i="3"/>
  <c r="R509" i="3"/>
  <c r="L511" i="3"/>
  <c r="K511" i="3"/>
  <c r="R511" i="3"/>
  <c r="J511" i="3"/>
  <c r="J473" i="3"/>
  <c r="K509" i="3"/>
  <c r="J506" i="3"/>
  <c r="L516" i="3"/>
  <c r="R516" i="3"/>
  <c r="K516" i="3"/>
  <c r="L508" i="3"/>
  <c r="R514" i="3"/>
  <c r="J517" i="3"/>
  <c r="I499" i="3"/>
  <c r="R517" i="3"/>
  <c r="J508" i="3"/>
  <c r="L514" i="3"/>
  <c r="I508" i="3"/>
  <c r="K514" i="3"/>
  <c r="K517" i="3"/>
  <c r="L517" i="3"/>
  <c r="J514" i="3"/>
  <c r="R500" i="3"/>
  <c r="K508" i="3"/>
  <c r="R484" i="3"/>
  <c r="L484" i="3"/>
  <c r="I481" i="3"/>
  <c r="J513" i="3"/>
  <c r="L477" i="3"/>
  <c r="L481" i="3"/>
  <c r="R478" i="3"/>
  <c r="K484" i="3"/>
  <c r="R476" i="3"/>
  <c r="I484" i="3"/>
  <c r="J522" i="3"/>
  <c r="R522" i="3"/>
  <c r="K519" i="3"/>
  <c r="L522" i="3"/>
  <c r="I523" i="3"/>
  <c r="L519" i="3"/>
  <c r="J478" i="3"/>
  <c r="I500" i="3"/>
  <c r="K523" i="3"/>
  <c r="K500" i="3"/>
  <c r="L500" i="3"/>
  <c r="J519" i="3"/>
  <c r="R474" i="3"/>
  <c r="R523" i="3"/>
  <c r="I522" i="3"/>
  <c r="J477" i="3"/>
  <c r="R477" i="3"/>
  <c r="I519" i="3"/>
  <c r="L478" i="3"/>
  <c r="L476" i="3"/>
  <c r="R481" i="3"/>
  <c r="I474" i="3"/>
  <c r="J523" i="3"/>
  <c r="K476" i="3"/>
  <c r="I477" i="3"/>
  <c r="K481" i="3"/>
  <c r="I476" i="3"/>
  <c r="K478" i="3"/>
  <c r="L474" i="3"/>
  <c r="J474" i="3"/>
  <c r="I501" i="3"/>
  <c r="J495" i="3"/>
  <c r="I495" i="3"/>
  <c r="R495" i="3"/>
  <c r="K498" i="3"/>
  <c r="I498" i="3"/>
  <c r="R490" i="3"/>
  <c r="L495" i="3"/>
  <c r="L494" i="3"/>
  <c r="J498" i="3"/>
  <c r="K491" i="3"/>
  <c r="J490" i="3"/>
  <c r="R493" i="3"/>
  <c r="L485" i="3"/>
  <c r="J494" i="3"/>
  <c r="R494" i="3"/>
  <c r="J491" i="3"/>
  <c r="I491" i="3"/>
  <c r="I489" i="3"/>
  <c r="R497" i="3"/>
  <c r="L497" i="3"/>
  <c r="K490" i="3"/>
  <c r="R491" i="3"/>
  <c r="J489" i="3"/>
  <c r="R501" i="3"/>
  <c r="L486" i="3"/>
  <c r="J486" i="3"/>
  <c r="K483" i="3"/>
  <c r="I483" i="3"/>
  <c r="L487" i="3"/>
  <c r="I494" i="3"/>
  <c r="R486" i="3"/>
  <c r="L493" i="3"/>
  <c r="R483" i="3"/>
  <c r="J493" i="3"/>
  <c r="L501" i="3"/>
  <c r="L483" i="3"/>
  <c r="R489" i="3"/>
  <c r="I497" i="3"/>
  <c r="L489" i="3"/>
  <c r="J487" i="3"/>
  <c r="R498" i="3"/>
  <c r="R487" i="3"/>
  <c r="K493" i="3"/>
  <c r="J501" i="3"/>
  <c r="I486" i="3"/>
  <c r="L490" i="3"/>
  <c r="I487" i="3"/>
  <c r="K497" i="3"/>
  <c r="J479" i="3"/>
  <c r="I485" i="3"/>
  <c r="R485" i="3"/>
  <c r="K482" i="3"/>
  <c r="K485" i="3"/>
  <c r="I479" i="3"/>
  <c r="K479" i="3"/>
  <c r="J482" i="3"/>
  <c r="L482" i="3"/>
  <c r="R482" i="3"/>
  <c r="R479" i="3"/>
  <c r="J466" i="3"/>
  <c r="R466" i="3"/>
  <c r="K471" i="3"/>
  <c r="J471" i="3"/>
  <c r="L458" i="3"/>
  <c r="K467" i="3"/>
  <c r="I467" i="3"/>
  <c r="I458" i="3"/>
  <c r="R458" i="3"/>
  <c r="J458" i="3"/>
  <c r="L467" i="3"/>
  <c r="R467" i="3"/>
  <c r="J470" i="3"/>
  <c r="I470" i="3"/>
  <c r="L470" i="3"/>
  <c r="R470" i="3"/>
  <c r="I471" i="3"/>
  <c r="K464" i="3"/>
  <c r="L464" i="3"/>
  <c r="R464" i="3"/>
  <c r="I466" i="3"/>
  <c r="L466" i="3"/>
  <c r="J469" i="3"/>
  <c r="R471" i="3"/>
  <c r="R461" i="3"/>
  <c r="I461" i="3"/>
  <c r="K461" i="3"/>
  <c r="J465" i="3"/>
  <c r="I465" i="3"/>
  <c r="R469" i="3"/>
  <c r="L472" i="3"/>
  <c r="J472" i="3"/>
  <c r="K472" i="3"/>
  <c r="R472" i="3"/>
  <c r="I469" i="3"/>
  <c r="K469" i="3"/>
  <c r="R465" i="3"/>
  <c r="K465" i="3"/>
  <c r="K463" i="3"/>
  <c r="R463" i="3"/>
  <c r="K462" i="3"/>
  <c r="J462" i="3"/>
  <c r="I462" i="3"/>
  <c r="R462" i="3"/>
  <c r="L463" i="3"/>
  <c r="J463" i="3"/>
  <c r="J468" i="3"/>
  <c r="I468" i="3"/>
  <c r="L468" i="3"/>
  <c r="R468" i="3"/>
  <c r="I438" i="3"/>
  <c r="R422" i="3"/>
  <c r="K422" i="3"/>
  <c r="K449" i="3"/>
  <c r="K438" i="3"/>
  <c r="I446" i="3"/>
  <c r="J456" i="3"/>
  <c r="J438" i="3"/>
  <c r="K446" i="3"/>
  <c r="R446" i="3"/>
  <c r="L446" i="3"/>
  <c r="L438" i="3"/>
  <c r="I456" i="3"/>
  <c r="R456" i="3"/>
  <c r="L456" i="3"/>
  <c r="I448" i="3"/>
  <c r="K452" i="3"/>
  <c r="I452" i="3"/>
  <c r="J452" i="3"/>
  <c r="I426" i="3"/>
  <c r="J426" i="3"/>
  <c r="I459" i="3"/>
  <c r="K426" i="3"/>
  <c r="K455" i="3"/>
  <c r="R455" i="3"/>
  <c r="L426" i="3"/>
  <c r="K459" i="3"/>
  <c r="K448" i="3"/>
  <c r="L459" i="3"/>
  <c r="J448" i="3"/>
  <c r="J459" i="3"/>
  <c r="L448" i="3"/>
  <c r="L451" i="3"/>
  <c r="L165" i="1"/>
  <c r="N165" i="1" s="1"/>
  <c r="L177" i="1"/>
  <c r="N177" i="1" s="1"/>
  <c r="L422" i="3"/>
  <c r="J422" i="3"/>
  <c r="I449" i="3"/>
  <c r="J449" i="3"/>
  <c r="L449" i="3"/>
  <c r="J451" i="3"/>
  <c r="I454" i="3"/>
  <c r="K454" i="3"/>
  <c r="K451" i="3"/>
  <c r="L452" i="3"/>
  <c r="R457" i="3"/>
  <c r="J450" i="3"/>
  <c r="L450" i="3"/>
  <c r="K450" i="3"/>
  <c r="I450" i="3"/>
  <c r="L455" i="3"/>
  <c r="I455" i="3"/>
  <c r="K460" i="3"/>
  <c r="J460" i="3"/>
  <c r="L460" i="3"/>
  <c r="I434" i="3"/>
  <c r="I460" i="3"/>
  <c r="K434" i="3"/>
  <c r="L434" i="3"/>
  <c r="L447" i="3"/>
  <c r="R434" i="3"/>
  <c r="K447" i="3"/>
  <c r="J447" i="3"/>
  <c r="I447" i="3"/>
  <c r="L174" i="1"/>
  <c r="N174" i="1" s="1"/>
  <c r="L186" i="1"/>
  <c r="N186" i="1" s="1"/>
  <c r="L139" i="1"/>
  <c r="N139" i="1" s="1"/>
  <c r="L178" i="1"/>
  <c r="N178" i="1" s="1"/>
  <c r="L167" i="1"/>
  <c r="N167" i="1" s="1"/>
  <c r="L179" i="1"/>
  <c r="N179" i="1" s="1"/>
  <c r="K453" i="3"/>
  <c r="J453" i="3"/>
  <c r="L176" i="1"/>
  <c r="N176" i="1" s="1"/>
  <c r="L453" i="3"/>
  <c r="L168" i="1"/>
  <c r="N168" i="1" s="1"/>
  <c r="L180" i="1"/>
  <c r="N180" i="1" s="1"/>
  <c r="I453" i="3"/>
  <c r="L171" i="1"/>
  <c r="N171" i="1" s="1"/>
  <c r="L183" i="1"/>
  <c r="N183" i="1" s="1"/>
  <c r="K457" i="3"/>
  <c r="L175" i="1"/>
  <c r="N175" i="1" s="1"/>
  <c r="I451" i="3"/>
  <c r="L169" i="1"/>
  <c r="N169" i="1" s="1"/>
  <c r="L181" i="1"/>
  <c r="N181" i="1" s="1"/>
  <c r="L170" i="1"/>
  <c r="N170" i="1" s="1"/>
  <c r="L182" i="1"/>
  <c r="N182" i="1" s="1"/>
  <c r="J454" i="3"/>
  <c r="K187" i="1"/>
  <c r="L457" i="3"/>
  <c r="L454" i="3"/>
  <c r="L172" i="1"/>
  <c r="N172" i="1" s="1"/>
  <c r="L184" i="1"/>
  <c r="N184" i="1" s="1"/>
  <c r="I457" i="3"/>
  <c r="L173" i="1"/>
  <c r="N173" i="1" s="1"/>
  <c r="L185" i="1"/>
  <c r="N185" i="1" s="1"/>
  <c r="L428" i="3"/>
  <c r="J428" i="3"/>
  <c r="I442" i="3"/>
  <c r="K442" i="3"/>
  <c r="R428" i="3"/>
  <c r="R442" i="3"/>
  <c r="R433" i="3"/>
  <c r="I433" i="3"/>
  <c r="L430" i="3"/>
  <c r="J430" i="3"/>
  <c r="K430" i="3"/>
  <c r="J433" i="3"/>
  <c r="L433" i="3"/>
  <c r="K429" i="3"/>
  <c r="K437" i="3"/>
  <c r="J437" i="3"/>
  <c r="L441" i="3"/>
  <c r="L437" i="3"/>
  <c r="I420" i="3"/>
  <c r="R420" i="3"/>
  <c r="K420" i="3"/>
  <c r="K441" i="3"/>
  <c r="J420" i="3"/>
  <c r="J429" i="3"/>
  <c r="R429" i="3"/>
  <c r="K425" i="3"/>
  <c r="I443" i="3"/>
  <c r="L429" i="3"/>
  <c r="R443" i="3"/>
  <c r="L443" i="3"/>
  <c r="K443" i="3"/>
  <c r="J445" i="3"/>
  <c r="J424" i="3"/>
  <c r="I445" i="3"/>
  <c r="R445" i="3"/>
  <c r="L445" i="3"/>
  <c r="R424" i="3"/>
  <c r="K424" i="3"/>
  <c r="K428" i="3"/>
  <c r="L442" i="3"/>
  <c r="R437" i="3"/>
  <c r="I441" i="3"/>
  <c r="R441" i="3"/>
  <c r="R425" i="3"/>
  <c r="L425" i="3"/>
  <c r="K439" i="3"/>
  <c r="J425" i="3"/>
  <c r="R430" i="3"/>
  <c r="J419" i="3"/>
  <c r="I439" i="3"/>
  <c r="K432" i="3"/>
  <c r="L439" i="3"/>
  <c r="R439" i="3"/>
  <c r="K435" i="3"/>
  <c r="J435" i="3"/>
  <c r="I435" i="3"/>
  <c r="R421" i="3"/>
  <c r="L421" i="3"/>
  <c r="J421" i="3"/>
  <c r="K421" i="3"/>
  <c r="L435" i="3"/>
  <c r="K440" i="3"/>
  <c r="L424" i="3"/>
  <c r="J427" i="3"/>
  <c r="L427" i="3"/>
  <c r="I440" i="3"/>
  <c r="L440" i="3"/>
  <c r="K427" i="3"/>
  <c r="I444" i="3"/>
  <c r="L436" i="3"/>
  <c r="J431" i="3"/>
  <c r="R427" i="3"/>
  <c r="K444" i="3"/>
  <c r="J423" i="3"/>
  <c r="L431" i="3"/>
  <c r="R423" i="3"/>
  <c r="K431" i="3"/>
  <c r="L423" i="3"/>
  <c r="I423" i="3"/>
  <c r="R431" i="3"/>
  <c r="R444" i="3"/>
  <c r="J444" i="3"/>
  <c r="L141" i="1"/>
  <c r="N141" i="1" s="1"/>
  <c r="K436" i="3"/>
  <c r="I436" i="3"/>
  <c r="J432" i="3"/>
  <c r="R419" i="3"/>
  <c r="R432" i="3"/>
  <c r="I432" i="3"/>
  <c r="L419" i="3"/>
  <c r="K419" i="3"/>
  <c r="R440" i="3"/>
  <c r="J436" i="3"/>
  <c r="L388" i="3"/>
  <c r="K8" i="3"/>
  <c r="L8" i="3" s="1"/>
  <c r="L146" i="1"/>
  <c r="N146" i="1" s="1"/>
  <c r="K411" i="3"/>
  <c r="I417" i="3"/>
  <c r="K9" i="3"/>
  <c r="L9" i="3" s="1"/>
  <c r="K11" i="3"/>
  <c r="L11" i="3" s="1"/>
  <c r="K26" i="3"/>
  <c r="L26" i="3" s="1"/>
  <c r="K34" i="3"/>
  <c r="L34" i="3" s="1"/>
  <c r="K5" i="3"/>
  <c r="L5" i="3" s="1"/>
  <c r="L387" i="3"/>
  <c r="K388" i="3"/>
  <c r="L409" i="3"/>
  <c r="I409" i="3"/>
  <c r="L417" i="3"/>
  <c r="R409" i="3"/>
  <c r="K409" i="3"/>
  <c r="R417" i="3"/>
  <c r="K417" i="3"/>
  <c r="K31" i="3"/>
  <c r="L31" i="3" s="1"/>
  <c r="K30" i="3"/>
  <c r="L30" i="3" s="1"/>
  <c r="L393" i="3"/>
  <c r="J387" i="3"/>
  <c r="K387" i="3"/>
  <c r="J393" i="3"/>
  <c r="K14" i="3"/>
  <c r="L14" i="3" s="1"/>
  <c r="J388" i="3"/>
  <c r="L418" i="3"/>
  <c r="K418" i="3"/>
  <c r="K393" i="3"/>
  <c r="K383" i="3"/>
  <c r="J418" i="3"/>
  <c r="K412" i="3"/>
  <c r="R418" i="3"/>
  <c r="R412" i="3"/>
  <c r="L412" i="3"/>
  <c r="J412" i="3"/>
  <c r="R415" i="3"/>
  <c r="L415" i="3"/>
  <c r="K415" i="3"/>
  <c r="J415" i="3"/>
  <c r="K33" i="3"/>
  <c r="L33" i="3" s="1"/>
  <c r="J411" i="3"/>
  <c r="R411" i="3"/>
  <c r="K39" i="3"/>
  <c r="L39" i="3" s="1"/>
  <c r="I411" i="3"/>
  <c r="I410" i="3"/>
  <c r="J383" i="3"/>
  <c r="R410" i="3"/>
  <c r="R416" i="3"/>
  <c r="J384" i="3"/>
  <c r="L410" i="3"/>
  <c r="L383" i="3"/>
  <c r="L416" i="3"/>
  <c r="I414" i="3"/>
  <c r="K15" i="3"/>
  <c r="L15" i="3" s="1"/>
  <c r="L121" i="1"/>
  <c r="N121" i="1" s="1"/>
  <c r="K384" i="3"/>
  <c r="K416" i="3"/>
  <c r="L414" i="3"/>
  <c r="J385" i="3"/>
  <c r="J416" i="3"/>
  <c r="K414" i="3"/>
  <c r="L384" i="3"/>
  <c r="J414" i="3"/>
  <c r="J413" i="3"/>
  <c r="K385" i="3"/>
  <c r="R413" i="3"/>
  <c r="R384" i="3"/>
  <c r="J410" i="3"/>
  <c r="L413" i="3"/>
  <c r="L385" i="3"/>
  <c r="I413" i="3"/>
  <c r="K17" i="3"/>
  <c r="L17" i="3" s="1"/>
  <c r="I400" i="3"/>
  <c r="I402" i="3"/>
  <c r="L402" i="3"/>
  <c r="R402" i="3"/>
  <c r="J402" i="3"/>
  <c r="R383" i="3"/>
  <c r="J382" i="3"/>
  <c r="L382" i="3"/>
  <c r="K382" i="3"/>
  <c r="K406" i="3"/>
  <c r="I382" i="3"/>
  <c r="K16" i="3"/>
  <c r="L16" i="3" s="1"/>
  <c r="I406" i="3"/>
  <c r="R406" i="3"/>
  <c r="L400" i="3"/>
  <c r="L406" i="3"/>
  <c r="L398" i="3"/>
  <c r="I398" i="3"/>
  <c r="R387" i="3"/>
  <c r="R388" i="3"/>
  <c r="J408" i="3"/>
  <c r="R385" i="3"/>
  <c r="R393" i="3"/>
  <c r="J394" i="3"/>
  <c r="R398" i="3"/>
  <c r="R408" i="3"/>
  <c r="J398" i="3"/>
  <c r="L408" i="3"/>
  <c r="I394" i="3"/>
  <c r="K405" i="3"/>
  <c r="L394" i="3"/>
  <c r="J405" i="3"/>
  <c r="I405" i="3"/>
  <c r="R405" i="3"/>
  <c r="K394" i="3"/>
  <c r="I408" i="3"/>
  <c r="J397" i="3"/>
  <c r="L390" i="3"/>
  <c r="R397" i="3"/>
  <c r="J392" i="3"/>
  <c r="I395" i="3"/>
  <c r="R401" i="3"/>
  <c r="K392" i="3"/>
  <c r="R392" i="3"/>
  <c r="K391" i="3"/>
  <c r="I397" i="3"/>
  <c r="K401" i="3"/>
  <c r="I390" i="3"/>
  <c r="R395" i="3"/>
  <c r="L391" i="3"/>
  <c r="L392" i="3"/>
  <c r="J390" i="3"/>
  <c r="L395" i="3"/>
  <c r="J400" i="3"/>
  <c r="K400" i="3"/>
  <c r="L401" i="3"/>
  <c r="K18" i="3"/>
  <c r="L18" i="3" s="1"/>
  <c r="L397" i="3"/>
  <c r="K395" i="3"/>
  <c r="J391" i="3"/>
  <c r="R391" i="3"/>
  <c r="K390" i="3"/>
  <c r="J401" i="3"/>
  <c r="M386" i="3"/>
  <c r="N386" i="3" s="1"/>
  <c r="O386" i="3" s="1"/>
  <c r="K10" i="3"/>
  <c r="L10" i="3" s="1"/>
  <c r="M399" i="3"/>
  <c r="N399" i="3" s="1"/>
  <c r="O399" i="3" s="1"/>
  <c r="I381" i="3"/>
  <c r="M407" i="3"/>
  <c r="N407" i="3" s="1"/>
  <c r="O407" i="3" s="1"/>
  <c r="M396" i="3"/>
  <c r="M403" i="3"/>
  <c r="N403" i="3" s="1"/>
  <c r="O403" i="3" s="1"/>
  <c r="M404" i="3"/>
  <c r="N404" i="3" s="1"/>
  <c r="O404" i="3" s="1"/>
  <c r="R380" i="3"/>
  <c r="L381" i="3"/>
  <c r="M389" i="3"/>
  <c r="N389" i="3" s="1"/>
  <c r="O389" i="3" s="1"/>
  <c r="R381" i="3"/>
  <c r="J381" i="3"/>
  <c r="L25" i="1"/>
  <c r="L47" i="1"/>
  <c r="N47" i="1" s="1"/>
  <c r="D5" i="4"/>
  <c r="J372" i="3"/>
  <c r="K32" i="3"/>
  <c r="L32" i="3" s="1"/>
  <c r="L28" i="1"/>
  <c r="N28" i="1" s="1"/>
  <c r="L74" i="1"/>
  <c r="N74" i="1" s="1"/>
  <c r="K28" i="3"/>
  <c r="L28" i="3" s="1"/>
  <c r="L40" i="1"/>
  <c r="N40" i="1" s="1"/>
  <c r="K7" i="3"/>
  <c r="L7" i="3" s="1"/>
  <c r="L379" i="3"/>
  <c r="R374" i="3"/>
  <c r="R365" i="3"/>
  <c r="L380" i="3"/>
  <c r="M366" i="3"/>
  <c r="K24" i="3"/>
  <c r="L24" i="3" s="1"/>
  <c r="K374" i="3"/>
  <c r="K20" i="3"/>
  <c r="L20" i="3" s="1"/>
  <c r="L91" i="1"/>
  <c r="N91" i="1" s="1"/>
  <c r="R372" i="3"/>
  <c r="K351" i="3"/>
  <c r="L351" i="3" s="1"/>
  <c r="L374" i="3"/>
  <c r="K380" i="3"/>
  <c r="I374" i="3"/>
  <c r="K21" i="3"/>
  <c r="L21" i="3" s="1"/>
  <c r="I365" i="3"/>
  <c r="I372" i="3"/>
  <c r="I380" i="3"/>
  <c r="K372" i="3"/>
  <c r="J379" i="3"/>
  <c r="K19" i="3"/>
  <c r="L19" i="3" s="1"/>
  <c r="K375" i="3"/>
  <c r="J375" i="3"/>
  <c r="L371" i="3"/>
  <c r="L29" i="1"/>
  <c r="N29" i="1" s="1"/>
  <c r="K369" i="3"/>
  <c r="E6" i="4"/>
  <c r="K38" i="3"/>
  <c r="L38" i="3" s="1"/>
  <c r="J369" i="3"/>
  <c r="D6" i="4"/>
  <c r="I371" i="3"/>
  <c r="I379" i="3"/>
  <c r="L375" i="3"/>
  <c r="K29" i="3"/>
  <c r="L29" i="3" s="1"/>
  <c r="R371" i="3"/>
  <c r="R379" i="3"/>
  <c r="N105" i="1"/>
  <c r="E5" i="4"/>
  <c r="R378" i="3"/>
  <c r="M367" i="3"/>
  <c r="M373" i="3"/>
  <c r="L365" i="3"/>
  <c r="I25" i="3"/>
  <c r="J25" i="3" s="1"/>
  <c r="I35" i="3"/>
  <c r="J35" i="3" s="1"/>
  <c r="I22" i="3"/>
  <c r="J22" i="3" s="1"/>
  <c r="L378" i="3"/>
  <c r="I369" i="3"/>
  <c r="I375" i="3"/>
  <c r="K365" i="3"/>
  <c r="K371" i="3"/>
  <c r="L369" i="3"/>
  <c r="I378" i="3"/>
  <c r="K378" i="3"/>
  <c r="K23" i="3"/>
  <c r="L23" i="3" s="1"/>
  <c r="I12" i="3"/>
  <c r="J12" i="3" s="1"/>
  <c r="M377" i="3"/>
  <c r="D16" i="4"/>
  <c r="M376" i="3"/>
  <c r="M370" i="3"/>
  <c r="M368" i="3"/>
  <c r="M364" i="3"/>
  <c r="N364" i="3" s="1"/>
  <c r="M363" i="3"/>
  <c r="K4" i="3"/>
  <c r="L4" i="3" s="1"/>
  <c r="J4" i="3"/>
  <c r="I352" i="3"/>
  <c r="E4" i="4"/>
  <c r="I350" i="3"/>
  <c r="J350" i="3" s="1"/>
  <c r="E14" i="4"/>
  <c r="F14" i="4" s="1"/>
  <c r="E15" i="4"/>
  <c r="F15" i="4" s="1"/>
  <c r="E13" i="4"/>
  <c r="F13" i="4" s="1"/>
  <c r="I349" i="3"/>
  <c r="J349" i="3" s="1"/>
  <c r="I348" i="3"/>
  <c r="J348" i="3" s="1"/>
  <c r="I347" i="3"/>
  <c r="J347" i="3" s="1"/>
  <c r="I346" i="3"/>
  <c r="J346" i="3" s="1"/>
  <c r="I345" i="3"/>
  <c r="J345" i="3" s="1"/>
  <c r="I344" i="3"/>
  <c r="J344" i="3" s="1"/>
  <c r="I343" i="3"/>
  <c r="J343" i="3" s="1"/>
  <c r="I342" i="3"/>
  <c r="J342" i="3" s="1"/>
  <c r="I341" i="3"/>
  <c r="J341" i="3" s="1"/>
  <c r="J340" i="3"/>
  <c r="K340" i="3"/>
  <c r="L340" i="3" s="1"/>
  <c r="J339" i="3"/>
  <c r="K339" i="3"/>
  <c r="L339" i="3" s="1"/>
  <c r="J338" i="3"/>
  <c r="K338" i="3"/>
  <c r="L338" i="3" s="1"/>
  <c r="J337" i="3"/>
  <c r="K337" i="3"/>
  <c r="L337" i="3" s="1"/>
  <c r="J334" i="3"/>
  <c r="K334" i="3"/>
  <c r="L334" i="3" s="1"/>
  <c r="J335" i="3"/>
  <c r="K335" i="3"/>
  <c r="L335" i="3" s="1"/>
  <c r="J336" i="3"/>
  <c r="K336" i="3"/>
  <c r="L336" i="3" s="1"/>
  <c r="J332" i="3"/>
  <c r="K332" i="3"/>
  <c r="L332" i="3" s="1"/>
  <c r="J333" i="3"/>
  <c r="K333" i="3"/>
  <c r="L333" i="3" s="1"/>
  <c r="J331" i="3"/>
  <c r="K331" i="3"/>
  <c r="L331" i="3" s="1"/>
  <c r="J330" i="3"/>
  <c r="K330" i="3"/>
  <c r="L330" i="3" s="1"/>
  <c r="J329" i="3"/>
  <c r="K329" i="3"/>
  <c r="L329" i="3" s="1"/>
  <c r="L4" i="1"/>
  <c r="D4" i="4"/>
  <c r="J328" i="3"/>
  <c r="K328" i="3"/>
  <c r="L328" i="3" s="1"/>
  <c r="J325" i="3"/>
  <c r="K325" i="3"/>
  <c r="L325" i="3" s="1"/>
  <c r="J327" i="3"/>
  <c r="K327" i="3"/>
  <c r="L327" i="3" s="1"/>
  <c r="J326" i="3"/>
  <c r="K326" i="3"/>
  <c r="L326" i="3" s="1"/>
  <c r="J320" i="3"/>
  <c r="K320" i="3"/>
  <c r="L320" i="3" s="1"/>
  <c r="J321" i="3"/>
  <c r="K321" i="3"/>
  <c r="L321" i="3" s="1"/>
  <c r="J323" i="3"/>
  <c r="K323" i="3"/>
  <c r="L323" i="3" s="1"/>
  <c r="J324" i="3"/>
  <c r="K324" i="3"/>
  <c r="L324" i="3" s="1"/>
  <c r="J322" i="3"/>
  <c r="K322" i="3"/>
  <c r="L322" i="3" s="1"/>
  <c r="J318" i="3"/>
  <c r="K318" i="3"/>
  <c r="L318" i="3" s="1"/>
  <c r="J317" i="3"/>
  <c r="K317" i="3"/>
  <c r="L317" i="3" s="1"/>
  <c r="J319" i="3"/>
  <c r="K319" i="3"/>
  <c r="L319" i="3" s="1"/>
  <c r="J316" i="3"/>
  <c r="K316" i="3"/>
  <c r="L316" i="3" s="1"/>
  <c r="J314" i="3"/>
  <c r="K314" i="3"/>
  <c r="L314" i="3" s="1"/>
  <c r="J312" i="3"/>
  <c r="K312" i="3"/>
  <c r="L312" i="3" s="1"/>
  <c r="J315" i="3"/>
  <c r="K315" i="3"/>
  <c r="L315" i="3" s="1"/>
  <c r="J313" i="3"/>
  <c r="K313" i="3"/>
  <c r="L313" i="3" s="1"/>
  <c r="J308" i="3"/>
  <c r="K308" i="3"/>
  <c r="L308" i="3" s="1"/>
  <c r="J307" i="3"/>
  <c r="K307" i="3"/>
  <c r="L307" i="3" s="1"/>
  <c r="J310" i="3"/>
  <c r="K310" i="3"/>
  <c r="L310" i="3" s="1"/>
  <c r="K294" i="3"/>
  <c r="J294" i="3"/>
  <c r="J296" i="3"/>
  <c r="K296" i="3"/>
  <c r="L296" i="3" s="1"/>
  <c r="J293" i="3"/>
  <c r="K293" i="3"/>
  <c r="L293" i="3" s="1"/>
  <c r="J295" i="3"/>
  <c r="K295" i="3"/>
  <c r="L295" i="3" s="1"/>
  <c r="J297" i="3"/>
  <c r="K297" i="3"/>
  <c r="L297" i="3" s="1"/>
  <c r="J298" i="3"/>
  <c r="K298" i="3"/>
  <c r="L298" i="3" s="1"/>
  <c r="J301" i="3"/>
  <c r="K301" i="3"/>
  <c r="L301" i="3" s="1"/>
  <c r="J300" i="3"/>
  <c r="K300" i="3"/>
  <c r="L300" i="3" s="1"/>
  <c r="J299" i="3"/>
  <c r="K299" i="3"/>
  <c r="L299" i="3" s="1"/>
  <c r="J304" i="3"/>
  <c r="K304" i="3"/>
  <c r="L304" i="3" s="1"/>
  <c r="J305" i="3"/>
  <c r="K305" i="3"/>
  <c r="L305" i="3" s="1"/>
  <c r="J303" i="3"/>
  <c r="K303" i="3"/>
  <c r="L303" i="3" s="1"/>
  <c r="J302" i="3"/>
  <c r="K302" i="3"/>
  <c r="L302" i="3" s="1"/>
  <c r="J306" i="3"/>
  <c r="K306" i="3"/>
  <c r="L306" i="3" s="1"/>
  <c r="J309" i="3"/>
  <c r="K309" i="3"/>
  <c r="L309" i="3" s="1"/>
  <c r="J311" i="3"/>
  <c r="K311" i="3"/>
  <c r="L311" i="3" s="1"/>
  <c r="J291" i="3"/>
  <c r="K291" i="3"/>
  <c r="L291" i="3" s="1"/>
  <c r="J292" i="3"/>
  <c r="K292" i="3"/>
  <c r="L292" i="3" s="1"/>
  <c r="J290" i="3"/>
  <c r="K290" i="3"/>
  <c r="L290" i="3" s="1"/>
  <c r="J289" i="3"/>
  <c r="K289" i="3"/>
  <c r="L289" i="3" s="1"/>
  <c r="J288" i="3"/>
  <c r="K288" i="3"/>
  <c r="L288" i="3" s="1"/>
  <c r="J287" i="3"/>
  <c r="K287" i="3"/>
  <c r="L287" i="3" s="1"/>
  <c r="J286" i="3"/>
  <c r="K286" i="3"/>
  <c r="L286" i="3" s="1"/>
  <c r="J285" i="3"/>
  <c r="K285" i="3"/>
  <c r="L285" i="3" s="1"/>
  <c r="J280" i="3"/>
  <c r="K280" i="3"/>
  <c r="L280" i="3" s="1"/>
  <c r="J281" i="3"/>
  <c r="K281" i="3"/>
  <c r="L281" i="3" s="1"/>
  <c r="J283" i="3"/>
  <c r="K283" i="3"/>
  <c r="L283" i="3" s="1"/>
  <c r="J284" i="3"/>
  <c r="K284" i="3"/>
  <c r="L284" i="3" s="1"/>
  <c r="J282" i="3"/>
  <c r="K282" i="3"/>
  <c r="L282" i="3" s="1"/>
  <c r="J273" i="3"/>
  <c r="K273" i="3"/>
  <c r="L273" i="3" s="1"/>
  <c r="J279" i="3"/>
  <c r="K279" i="3"/>
  <c r="L279" i="3" s="1"/>
  <c r="J276" i="3"/>
  <c r="K276" i="3"/>
  <c r="L276" i="3" s="1"/>
  <c r="J278" i="3"/>
  <c r="K278" i="3"/>
  <c r="L278" i="3" s="1"/>
  <c r="J275" i="3"/>
  <c r="K275" i="3"/>
  <c r="L275" i="3" s="1"/>
  <c r="J274" i="3"/>
  <c r="K274" i="3"/>
  <c r="L274" i="3" s="1"/>
  <c r="J277" i="3"/>
  <c r="K277" i="3"/>
  <c r="L277" i="3" s="1"/>
  <c r="J269" i="3"/>
  <c r="K269" i="3"/>
  <c r="L269" i="3" s="1"/>
  <c r="J272" i="3"/>
  <c r="K272" i="3"/>
  <c r="L272" i="3" s="1"/>
  <c r="J267" i="3"/>
  <c r="K267" i="3"/>
  <c r="L267" i="3" s="1"/>
  <c r="J268" i="3"/>
  <c r="K268" i="3"/>
  <c r="L268" i="3" s="1"/>
  <c r="J270" i="3"/>
  <c r="K270" i="3"/>
  <c r="L270" i="3" s="1"/>
  <c r="J271" i="3"/>
  <c r="K271" i="3"/>
  <c r="L271" i="3" s="1"/>
  <c r="J266" i="3"/>
  <c r="K266" i="3"/>
  <c r="L266" i="3" s="1"/>
  <c r="J265" i="3"/>
  <c r="K265" i="3"/>
  <c r="L265" i="3" s="1"/>
  <c r="J264" i="3"/>
  <c r="K264" i="3"/>
  <c r="L264" i="3" s="1"/>
  <c r="J253" i="3"/>
  <c r="K253" i="3"/>
  <c r="L253" i="3" s="1"/>
  <c r="J263" i="3"/>
  <c r="K263" i="3"/>
  <c r="L263" i="3" s="1"/>
  <c r="J258" i="3"/>
  <c r="K258" i="3"/>
  <c r="L258" i="3" s="1"/>
  <c r="J257" i="3"/>
  <c r="K257" i="3"/>
  <c r="L257" i="3" s="1"/>
  <c r="J256" i="3"/>
  <c r="K256" i="3"/>
  <c r="L256" i="3" s="1"/>
  <c r="J260" i="3"/>
  <c r="K260" i="3"/>
  <c r="L260" i="3" s="1"/>
  <c r="J261" i="3"/>
  <c r="K261" i="3"/>
  <c r="L261" i="3" s="1"/>
  <c r="J259" i="3"/>
  <c r="K259" i="3"/>
  <c r="L259" i="3" s="1"/>
  <c r="J254" i="3"/>
  <c r="K254" i="3"/>
  <c r="L254" i="3" s="1"/>
  <c r="J262" i="3"/>
  <c r="K262" i="3"/>
  <c r="L262" i="3" s="1"/>
  <c r="J255" i="3"/>
  <c r="K255" i="3"/>
  <c r="L255" i="3" s="1"/>
  <c r="J252" i="3"/>
  <c r="K252" i="3"/>
  <c r="L252" i="3" s="1"/>
  <c r="J251" i="3"/>
  <c r="K251" i="3"/>
  <c r="L251" i="3" s="1"/>
  <c r="J250" i="3"/>
  <c r="K250" i="3"/>
  <c r="L250" i="3" s="1"/>
  <c r="J248" i="3"/>
  <c r="K248" i="3"/>
  <c r="L248" i="3" s="1"/>
  <c r="J247" i="3"/>
  <c r="K247" i="3"/>
  <c r="L247" i="3" s="1"/>
  <c r="J246" i="3"/>
  <c r="K246" i="3"/>
  <c r="L246" i="3" s="1"/>
  <c r="J245" i="3"/>
  <c r="K245" i="3"/>
  <c r="L245" i="3" s="1"/>
  <c r="J249" i="3"/>
  <c r="K249" i="3"/>
  <c r="L249" i="3" s="1"/>
  <c r="J239" i="3"/>
  <c r="K239" i="3"/>
  <c r="L239" i="3" s="1"/>
  <c r="J244" i="3"/>
  <c r="K244" i="3"/>
  <c r="L244" i="3" s="1"/>
  <c r="J238" i="3"/>
  <c r="K238" i="3"/>
  <c r="L238" i="3" s="1"/>
  <c r="J240" i="3"/>
  <c r="K240" i="3"/>
  <c r="L240" i="3" s="1"/>
  <c r="J242" i="3"/>
  <c r="K242" i="3"/>
  <c r="L242" i="3" s="1"/>
  <c r="J241" i="3"/>
  <c r="K241" i="3"/>
  <c r="L241" i="3" s="1"/>
  <c r="J237" i="3"/>
  <c r="K237" i="3"/>
  <c r="L237" i="3" s="1"/>
  <c r="J243" i="3"/>
  <c r="K243" i="3"/>
  <c r="L243" i="3" s="1"/>
  <c r="J233" i="3"/>
  <c r="K233" i="3"/>
  <c r="L233" i="3" s="1"/>
  <c r="J234" i="3"/>
  <c r="K234" i="3"/>
  <c r="L234" i="3" s="1"/>
  <c r="J235" i="3"/>
  <c r="K235" i="3"/>
  <c r="L235" i="3" s="1"/>
  <c r="J236" i="3"/>
  <c r="K236" i="3"/>
  <c r="L236" i="3" s="1"/>
  <c r="J232" i="3"/>
  <c r="K232" i="3"/>
  <c r="L232" i="3" s="1"/>
  <c r="J228" i="3"/>
  <c r="K228" i="3"/>
  <c r="L228" i="3" s="1"/>
  <c r="J231" i="3"/>
  <c r="K231" i="3"/>
  <c r="L231" i="3" s="1"/>
  <c r="J229" i="3"/>
  <c r="K229" i="3"/>
  <c r="L229" i="3" s="1"/>
  <c r="J227" i="3"/>
  <c r="K227" i="3"/>
  <c r="L227" i="3" s="1"/>
  <c r="J230" i="3"/>
  <c r="K230" i="3"/>
  <c r="L230" i="3" s="1"/>
  <c r="J223" i="3"/>
  <c r="K223" i="3"/>
  <c r="L223" i="3" s="1"/>
  <c r="J224" i="3"/>
  <c r="K224" i="3"/>
  <c r="L224" i="3" s="1"/>
  <c r="J221" i="3"/>
  <c r="K221" i="3"/>
  <c r="L221" i="3" s="1"/>
  <c r="J222" i="3"/>
  <c r="K222" i="3"/>
  <c r="L222" i="3" s="1"/>
  <c r="J225" i="3"/>
  <c r="K225" i="3"/>
  <c r="L225" i="3" s="1"/>
  <c r="J226" i="3"/>
  <c r="K226" i="3"/>
  <c r="L226" i="3" s="1"/>
  <c r="J220" i="3"/>
  <c r="K220" i="3"/>
  <c r="L220" i="3" s="1"/>
  <c r="J218" i="3"/>
  <c r="K218" i="3"/>
  <c r="L218" i="3" s="1"/>
  <c r="J216" i="3"/>
  <c r="K216" i="3"/>
  <c r="L216" i="3" s="1"/>
  <c r="J219" i="3"/>
  <c r="K219" i="3"/>
  <c r="L219" i="3" s="1"/>
  <c r="J217" i="3"/>
  <c r="K217" i="3"/>
  <c r="L217" i="3" s="1"/>
  <c r="J215" i="3"/>
  <c r="K215" i="3"/>
  <c r="L215" i="3" s="1"/>
  <c r="J214" i="3"/>
  <c r="K214" i="3"/>
  <c r="L214" i="3" s="1"/>
  <c r="J213" i="3"/>
  <c r="K213" i="3"/>
  <c r="L213" i="3" s="1"/>
  <c r="J212" i="3"/>
  <c r="K212" i="3"/>
  <c r="L212" i="3" s="1"/>
  <c r="J211" i="3"/>
  <c r="K211" i="3"/>
  <c r="L211" i="3" s="1"/>
  <c r="J209" i="3"/>
  <c r="K209" i="3"/>
  <c r="L209" i="3" s="1"/>
  <c r="J210" i="3"/>
  <c r="K210" i="3"/>
  <c r="L210" i="3" s="1"/>
  <c r="J208" i="3"/>
  <c r="K208" i="3"/>
  <c r="L208" i="3" s="1"/>
  <c r="J207" i="3"/>
  <c r="K207" i="3"/>
  <c r="L207" i="3" s="1"/>
  <c r="J205" i="3"/>
  <c r="K205" i="3"/>
  <c r="L205" i="3" s="1"/>
  <c r="J202" i="3"/>
  <c r="K202" i="3"/>
  <c r="L202" i="3" s="1"/>
  <c r="J201" i="3"/>
  <c r="K201" i="3"/>
  <c r="L201" i="3" s="1"/>
  <c r="J204" i="3"/>
  <c r="K204" i="3"/>
  <c r="L204" i="3" s="1"/>
  <c r="J206" i="3"/>
  <c r="K206" i="3"/>
  <c r="L206" i="3" s="1"/>
  <c r="J203" i="3"/>
  <c r="K203" i="3"/>
  <c r="L203" i="3" s="1"/>
  <c r="J200" i="3"/>
  <c r="K200" i="3"/>
  <c r="L200" i="3" s="1"/>
  <c r="J197" i="3"/>
  <c r="K197" i="3"/>
  <c r="L197" i="3" s="1"/>
  <c r="J198" i="3"/>
  <c r="K198" i="3"/>
  <c r="L198" i="3" s="1"/>
  <c r="J199" i="3"/>
  <c r="K199" i="3"/>
  <c r="L199" i="3" s="1"/>
  <c r="J195" i="3"/>
  <c r="K195" i="3"/>
  <c r="L195" i="3" s="1"/>
  <c r="J196" i="3"/>
  <c r="K196" i="3"/>
  <c r="L196" i="3" s="1"/>
  <c r="J194" i="3"/>
  <c r="K194" i="3"/>
  <c r="L194" i="3" s="1"/>
  <c r="J192" i="3"/>
  <c r="K192" i="3"/>
  <c r="L192" i="3" s="1"/>
  <c r="J193" i="3"/>
  <c r="K193" i="3"/>
  <c r="L193" i="3" s="1"/>
  <c r="J189" i="3"/>
  <c r="K189" i="3"/>
  <c r="L189" i="3" s="1"/>
  <c r="J191" i="3"/>
  <c r="K191" i="3"/>
  <c r="L191" i="3" s="1"/>
  <c r="J190" i="3"/>
  <c r="K190" i="3"/>
  <c r="L190" i="3" s="1"/>
  <c r="J188" i="3"/>
  <c r="K188" i="3"/>
  <c r="L188" i="3" s="1"/>
  <c r="J187" i="3"/>
  <c r="K187" i="3"/>
  <c r="L187" i="3" s="1"/>
  <c r="J186" i="3"/>
  <c r="K186" i="3"/>
  <c r="L186" i="3" s="1"/>
  <c r="J185" i="3"/>
  <c r="K185" i="3"/>
  <c r="L185" i="3" s="1"/>
  <c r="J183" i="3"/>
  <c r="K183" i="3"/>
  <c r="L183" i="3" s="1"/>
  <c r="J184" i="3"/>
  <c r="K184" i="3"/>
  <c r="L184" i="3" s="1"/>
  <c r="J182" i="3"/>
  <c r="K182" i="3"/>
  <c r="L182" i="3" s="1"/>
  <c r="J181" i="3"/>
  <c r="K181" i="3"/>
  <c r="L181" i="3" s="1"/>
  <c r="J175" i="3"/>
  <c r="K175" i="3"/>
  <c r="L175" i="3" s="1"/>
  <c r="J172" i="3"/>
  <c r="K172" i="3"/>
  <c r="L172" i="3" s="1"/>
  <c r="J174" i="3"/>
  <c r="K174" i="3"/>
  <c r="L174" i="3" s="1"/>
  <c r="J179" i="3"/>
  <c r="K179" i="3"/>
  <c r="L179" i="3" s="1"/>
  <c r="J170" i="3"/>
  <c r="K170" i="3"/>
  <c r="L170" i="3" s="1"/>
  <c r="J178" i="3"/>
  <c r="K178" i="3"/>
  <c r="L178" i="3" s="1"/>
  <c r="J176" i="3"/>
  <c r="K176" i="3"/>
  <c r="L176" i="3" s="1"/>
  <c r="J171" i="3"/>
  <c r="K171" i="3"/>
  <c r="L171" i="3" s="1"/>
  <c r="J180" i="3"/>
  <c r="K180" i="3"/>
  <c r="L180" i="3" s="1"/>
  <c r="J173" i="3"/>
  <c r="K173" i="3"/>
  <c r="L173" i="3" s="1"/>
  <c r="J168" i="3"/>
  <c r="K168" i="3"/>
  <c r="L168" i="3" s="1"/>
  <c r="J169" i="3"/>
  <c r="K169" i="3"/>
  <c r="L169" i="3" s="1"/>
  <c r="J177" i="3"/>
  <c r="K177" i="3"/>
  <c r="L177" i="3" s="1"/>
  <c r="J167" i="3"/>
  <c r="K167" i="3"/>
  <c r="L167" i="3" s="1"/>
  <c r="J163" i="3"/>
  <c r="K163" i="3"/>
  <c r="L163" i="3" s="1"/>
  <c r="J166" i="3"/>
  <c r="K166" i="3"/>
  <c r="L166" i="3" s="1"/>
  <c r="J164" i="3"/>
  <c r="K164" i="3"/>
  <c r="L164" i="3" s="1"/>
  <c r="J165" i="3"/>
  <c r="K165" i="3"/>
  <c r="L165" i="3" s="1"/>
  <c r="J162" i="3"/>
  <c r="K162" i="3"/>
  <c r="L162" i="3" s="1"/>
  <c r="J161" i="3"/>
  <c r="K161" i="3"/>
  <c r="L161" i="3" s="1"/>
  <c r="J159" i="3"/>
  <c r="K159" i="3"/>
  <c r="L159" i="3" s="1"/>
  <c r="J158" i="3"/>
  <c r="K158" i="3"/>
  <c r="L158" i="3" s="1"/>
  <c r="J154" i="3"/>
  <c r="K154" i="3"/>
  <c r="L154" i="3" s="1"/>
  <c r="J157" i="3"/>
  <c r="K157" i="3"/>
  <c r="L157" i="3" s="1"/>
  <c r="J156" i="3"/>
  <c r="K156" i="3"/>
  <c r="L156" i="3" s="1"/>
  <c r="J155" i="3"/>
  <c r="K155" i="3"/>
  <c r="L155" i="3" s="1"/>
  <c r="J160" i="3"/>
  <c r="K160" i="3"/>
  <c r="L160" i="3" s="1"/>
  <c r="J146" i="3"/>
  <c r="K146" i="3"/>
  <c r="L146" i="3" s="1"/>
  <c r="J152" i="3"/>
  <c r="K152" i="3"/>
  <c r="L152" i="3" s="1"/>
  <c r="J147" i="3"/>
  <c r="K147" i="3"/>
  <c r="L147" i="3" s="1"/>
  <c r="J151" i="3"/>
  <c r="K151" i="3"/>
  <c r="L151" i="3" s="1"/>
  <c r="J153" i="3"/>
  <c r="K153" i="3"/>
  <c r="L153" i="3" s="1"/>
  <c r="J149" i="3"/>
  <c r="K149" i="3"/>
  <c r="L149" i="3" s="1"/>
  <c r="J150" i="3"/>
  <c r="K150" i="3"/>
  <c r="L150" i="3" s="1"/>
  <c r="J148" i="3"/>
  <c r="K148" i="3"/>
  <c r="L148" i="3" s="1"/>
  <c r="J144" i="3"/>
  <c r="K144" i="3"/>
  <c r="L144" i="3" s="1"/>
  <c r="J145" i="3"/>
  <c r="K145" i="3"/>
  <c r="L145" i="3" s="1"/>
  <c r="J143" i="3"/>
  <c r="K143" i="3"/>
  <c r="L143" i="3" s="1"/>
  <c r="J141" i="3"/>
  <c r="K141" i="3"/>
  <c r="L141" i="3" s="1"/>
  <c r="J142" i="3"/>
  <c r="K142" i="3"/>
  <c r="L142" i="3" s="1"/>
  <c r="J139" i="3"/>
  <c r="K139" i="3"/>
  <c r="L139" i="3" s="1"/>
  <c r="J120" i="3"/>
  <c r="K120" i="3"/>
  <c r="L120" i="3" s="1"/>
  <c r="J136" i="3"/>
  <c r="K136" i="3"/>
  <c r="L136" i="3" s="1"/>
  <c r="J133" i="3"/>
  <c r="K133" i="3"/>
  <c r="L133" i="3" s="1"/>
  <c r="J140" i="3"/>
  <c r="K140" i="3"/>
  <c r="L140" i="3" s="1"/>
  <c r="J134" i="3"/>
  <c r="K134" i="3"/>
  <c r="L134" i="3" s="1"/>
  <c r="J135" i="3"/>
  <c r="K135" i="3"/>
  <c r="L135" i="3" s="1"/>
  <c r="J138" i="3"/>
  <c r="K138" i="3"/>
  <c r="L138" i="3" s="1"/>
  <c r="J137" i="3"/>
  <c r="K137" i="3"/>
  <c r="L137" i="3" s="1"/>
  <c r="J131" i="3"/>
  <c r="K131" i="3"/>
  <c r="L131" i="3" s="1"/>
  <c r="J132" i="3"/>
  <c r="K132" i="3"/>
  <c r="L132" i="3" s="1"/>
  <c r="J129" i="3"/>
  <c r="K129" i="3"/>
  <c r="L129" i="3" s="1"/>
  <c r="J130" i="3"/>
  <c r="K130" i="3"/>
  <c r="L130" i="3" s="1"/>
  <c r="J128" i="3"/>
  <c r="K128" i="3"/>
  <c r="L128" i="3" s="1"/>
  <c r="J126" i="3"/>
  <c r="K126" i="3"/>
  <c r="L126" i="3" s="1"/>
  <c r="J127" i="3"/>
  <c r="K127" i="3"/>
  <c r="L127" i="3" s="1"/>
  <c r="J122" i="3"/>
  <c r="K122" i="3"/>
  <c r="L122" i="3" s="1"/>
  <c r="J123" i="3"/>
  <c r="K123" i="3"/>
  <c r="L123" i="3" s="1"/>
  <c r="J125" i="3"/>
  <c r="K125" i="3"/>
  <c r="L125" i="3" s="1"/>
  <c r="J124" i="3"/>
  <c r="K124" i="3"/>
  <c r="L124" i="3" s="1"/>
  <c r="J121" i="3"/>
  <c r="K121" i="3"/>
  <c r="L121" i="3" s="1"/>
  <c r="J119" i="3"/>
  <c r="K119" i="3"/>
  <c r="L119" i="3" s="1"/>
  <c r="J117" i="3"/>
  <c r="K117" i="3"/>
  <c r="L117" i="3" s="1"/>
  <c r="J118" i="3"/>
  <c r="K118" i="3"/>
  <c r="L118" i="3" s="1"/>
  <c r="J113" i="3"/>
  <c r="K113" i="3"/>
  <c r="L113" i="3" s="1"/>
  <c r="J115" i="3"/>
  <c r="K115" i="3"/>
  <c r="L115" i="3" s="1"/>
  <c r="J116" i="3"/>
  <c r="K116" i="3"/>
  <c r="L116" i="3" s="1"/>
  <c r="J114" i="3"/>
  <c r="K114" i="3"/>
  <c r="L114" i="3" s="1"/>
  <c r="J112" i="3"/>
  <c r="K112" i="3"/>
  <c r="L112" i="3" s="1"/>
  <c r="J108" i="3"/>
  <c r="K108" i="3"/>
  <c r="L108" i="3" s="1"/>
  <c r="J110" i="3"/>
  <c r="K110" i="3"/>
  <c r="L110" i="3" s="1"/>
  <c r="J111" i="3"/>
  <c r="K111" i="3"/>
  <c r="L111" i="3" s="1"/>
  <c r="J106" i="3"/>
  <c r="K106" i="3"/>
  <c r="L106" i="3" s="1"/>
  <c r="J107" i="3"/>
  <c r="K107" i="3"/>
  <c r="L107" i="3" s="1"/>
  <c r="J109" i="3"/>
  <c r="K109" i="3"/>
  <c r="L109" i="3" s="1"/>
  <c r="J101" i="3"/>
  <c r="K101" i="3"/>
  <c r="L101" i="3" s="1"/>
  <c r="J100" i="3"/>
  <c r="K100" i="3"/>
  <c r="L100" i="3" s="1"/>
  <c r="J103" i="3"/>
  <c r="K103" i="3"/>
  <c r="L103" i="3" s="1"/>
  <c r="J105" i="3"/>
  <c r="K105" i="3"/>
  <c r="L105" i="3" s="1"/>
  <c r="J104" i="3"/>
  <c r="K104" i="3"/>
  <c r="L104" i="3" s="1"/>
  <c r="J102" i="3"/>
  <c r="K102" i="3"/>
  <c r="L102" i="3" s="1"/>
  <c r="J99" i="3"/>
  <c r="K99" i="3"/>
  <c r="L99" i="3" s="1"/>
  <c r="J95" i="3"/>
  <c r="K95" i="3"/>
  <c r="L95" i="3" s="1"/>
  <c r="J98" i="3"/>
  <c r="K98" i="3"/>
  <c r="L98" i="3" s="1"/>
  <c r="J97" i="3"/>
  <c r="K97" i="3"/>
  <c r="L97" i="3" s="1"/>
  <c r="J94" i="3"/>
  <c r="K94" i="3"/>
  <c r="L94" i="3" s="1"/>
  <c r="J96" i="3"/>
  <c r="K96" i="3"/>
  <c r="L96" i="3" s="1"/>
  <c r="J93" i="3"/>
  <c r="K93" i="3"/>
  <c r="L93" i="3" s="1"/>
  <c r="J92" i="3"/>
  <c r="K92" i="3"/>
  <c r="L92" i="3" s="1"/>
  <c r="J91" i="3"/>
  <c r="K91" i="3"/>
  <c r="L91" i="3" s="1"/>
  <c r="J88" i="3"/>
  <c r="K88" i="3"/>
  <c r="L88" i="3" s="1"/>
  <c r="J90" i="3"/>
  <c r="K90" i="3"/>
  <c r="L90" i="3" s="1"/>
  <c r="J84" i="3"/>
  <c r="K84" i="3"/>
  <c r="L84" i="3" s="1"/>
  <c r="J87" i="3"/>
  <c r="K87" i="3"/>
  <c r="L87" i="3" s="1"/>
  <c r="J86" i="3"/>
  <c r="K86" i="3"/>
  <c r="L86" i="3" s="1"/>
  <c r="J85" i="3"/>
  <c r="K85" i="3"/>
  <c r="L85" i="3" s="1"/>
  <c r="J89" i="3"/>
  <c r="K89" i="3"/>
  <c r="L89" i="3" s="1"/>
  <c r="J83" i="3"/>
  <c r="K83" i="3"/>
  <c r="L83" i="3" s="1"/>
  <c r="J78" i="3"/>
  <c r="K78" i="3"/>
  <c r="L78" i="3" s="1"/>
  <c r="J77" i="3"/>
  <c r="K77" i="3"/>
  <c r="L77" i="3" s="1"/>
  <c r="J82" i="3"/>
  <c r="K82" i="3"/>
  <c r="L82" i="3" s="1"/>
  <c r="J80" i="3"/>
  <c r="K80" i="3"/>
  <c r="L80" i="3" s="1"/>
  <c r="J76" i="3"/>
  <c r="K76" i="3"/>
  <c r="L76" i="3" s="1"/>
  <c r="J81" i="3"/>
  <c r="K81" i="3"/>
  <c r="L81" i="3" s="1"/>
  <c r="J79" i="3"/>
  <c r="K79" i="3"/>
  <c r="L79" i="3" s="1"/>
  <c r="J68" i="3"/>
  <c r="K68" i="3"/>
  <c r="L68" i="3" s="1"/>
  <c r="J69" i="3"/>
  <c r="K69" i="3"/>
  <c r="L69" i="3" s="1"/>
  <c r="J73" i="3"/>
  <c r="K73" i="3"/>
  <c r="L73" i="3" s="1"/>
  <c r="J74" i="3"/>
  <c r="K74" i="3"/>
  <c r="L74" i="3" s="1"/>
  <c r="J75" i="3"/>
  <c r="K75" i="3"/>
  <c r="L75" i="3" s="1"/>
  <c r="J70" i="3"/>
  <c r="K70" i="3"/>
  <c r="L70" i="3" s="1"/>
  <c r="J72" i="3"/>
  <c r="K72" i="3"/>
  <c r="L72" i="3" s="1"/>
  <c r="J71" i="3"/>
  <c r="K71" i="3"/>
  <c r="L71" i="3" s="1"/>
  <c r="J67" i="3"/>
  <c r="K67" i="3"/>
  <c r="L67" i="3" s="1"/>
  <c r="J60" i="3"/>
  <c r="K60" i="3"/>
  <c r="L60" i="3" s="1"/>
  <c r="J62" i="3"/>
  <c r="K62" i="3"/>
  <c r="L62" i="3" s="1"/>
  <c r="J61" i="3"/>
  <c r="K61" i="3"/>
  <c r="L61" i="3" s="1"/>
  <c r="J64" i="3"/>
  <c r="K64" i="3"/>
  <c r="L64" i="3" s="1"/>
  <c r="J66" i="3"/>
  <c r="K66" i="3"/>
  <c r="L66" i="3" s="1"/>
  <c r="J65" i="3"/>
  <c r="K65" i="3"/>
  <c r="L65" i="3" s="1"/>
  <c r="J63" i="3"/>
  <c r="K63" i="3"/>
  <c r="L63" i="3" s="1"/>
  <c r="J54" i="3"/>
  <c r="K54" i="3"/>
  <c r="L54" i="3" s="1"/>
  <c r="J55" i="3"/>
  <c r="K55" i="3"/>
  <c r="L55" i="3" s="1"/>
  <c r="J59" i="3"/>
  <c r="K59" i="3"/>
  <c r="L59" i="3" s="1"/>
  <c r="J58" i="3"/>
  <c r="K58" i="3"/>
  <c r="L58" i="3" s="1"/>
  <c r="J57" i="3"/>
  <c r="K57" i="3"/>
  <c r="L57" i="3" s="1"/>
  <c r="J56" i="3"/>
  <c r="K56" i="3"/>
  <c r="L56" i="3" s="1"/>
  <c r="J50" i="3"/>
  <c r="K50" i="3"/>
  <c r="L50" i="3" s="1"/>
  <c r="J53" i="3"/>
  <c r="K53" i="3"/>
  <c r="L53" i="3" s="1"/>
  <c r="J51" i="3"/>
  <c r="K51" i="3"/>
  <c r="L51" i="3" s="1"/>
  <c r="J52" i="3"/>
  <c r="K52" i="3"/>
  <c r="L52" i="3" s="1"/>
  <c r="J48" i="3"/>
  <c r="K48" i="3"/>
  <c r="L48" i="3" s="1"/>
  <c r="J49" i="3"/>
  <c r="K49" i="3"/>
  <c r="L49" i="3" s="1"/>
  <c r="J46" i="3"/>
  <c r="K46" i="3"/>
  <c r="L46" i="3" s="1"/>
  <c r="J47" i="3"/>
  <c r="K47" i="3"/>
  <c r="L47" i="3" s="1"/>
  <c r="J43" i="3"/>
  <c r="K43" i="3"/>
  <c r="L43" i="3" s="1"/>
  <c r="J44" i="3"/>
  <c r="K44" i="3"/>
  <c r="L44" i="3" s="1"/>
  <c r="J42" i="3"/>
  <c r="K42" i="3"/>
  <c r="L42" i="3" s="1"/>
  <c r="J41" i="3"/>
  <c r="K41" i="3"/>
  <c r="L41" i="3" s="1"/>
  <c r="J40" i="3"/>
  <c r="K40" i="3"/>
  <c r="L40" i="3" s="1"/>
  <c r="J37" i="3"/>
  <c r="K37" i="3"/>
  <c r="L37" i="3" s="1"/>
  <c r="P744" i="3" l="1"/>
  <c r="Q744" i="3" s="1"/>
  <c r="L745" i="3"/>
  <c r="K745" i="3"/>
  <c r="P743" i="3"/>
  <c r="Q743" i="3" s="1"/>
  <c r="P741" i="3"/>
  <c r="Q741" i="3" s="1"/>
  <c r="P742" i="3"/>
  <c r="Q742" i="3" s="1"/>
  <c r="P740" i="3"/>
  <c r="Q740" i="3" s="1"/>
  <c r="P739" i="3"/>
  <c r="Q739" i="3" s="1"/>
  <c r="P738" i="3"/>
  <c r="Q738" i="3" s="1"/>
  <c r="P737" i="3"/>
  <c r="Q737" i="3" s="1"/>
  <c r="P736" i="3"/>
  <c r="Q736" i="3" s="1"/>
  <c r="P735" i="3"/>
  <c r="Q735" i="3" s="1"/>
  <c r="P734" i="3"/>
  <c r="Q734" i="3" s="1"/>
  <c r="P732" i="3"/>
  <c r="Q732" i="3" s="1"/>
  <c r="M710" i="3"/>
  <c r="N710" i="3" s="1"/>
  <c r="O710" i="3" s="1"/>
  <c r="P733" i="3"/>
  <c r="Q733" i="3" s="1"/>
  <c r="M712" i="3"/>
  <c r="N712" i="3" s="1"/>
  <c r="O712" i="3" s="1"/>
  <c r="M709" i="3"/>
  <c r="N709" i="3" s="1"/>
  <c r="O709" i="3" s="1"/>
  <c r="M713" i="3"/>
  <c r="N713" i="3" s="1"/>
  <c r="O713" i="3" s="1"/>
  <c r="M714" i="3"/>
  <c r="N714" i="3" s="1"/>
  <c r="O714" i="3" s="1"/>
  <c r="M702" i="3"/>
  <c r="N702" i="3" s="1"/>
  <c r="O702" i="3" s="1"/>
  <c r="M718" i="3"/>
  <c r="N718" i="3" s="1"/>
  <c r="O718" i="3" s="1"/>
  <c r="M707" i="3"/>
  <c r="N707" i="3" s="1"/>
  <c r="O707" i="3" s="1"/>
  <c r="M724" i="3"/>
  <c r="N724" i="3" s="1"/>
  <c r="O724" i="3" s="1"/>
  <c r="M730" i="3"/>
  <c r="N730" i="3" s="1"/>
  <c r="O730" i="3" s="1"/>
  <c r="M725" i="3"/>
  <c r="N725" i="3" s="1"/>
  <c r="O725" i="3" s="1"/>
  <c r="M708" i="3"/>
  <c r="N708" i="3" s="1"/>
  <c r="O708" i="3" s="1"/>
  <c r="M716" i="3"/>
  <c r="N716" i="3" s="1"/>
  <c r="O716" i="3" s="1"/>
  <c r="M711" i="3"/>
  <c r="N711" i="3" s="1"/>
  <c r="O711" i="3" s="1"/>
  <c r="M672" i="3"/>
  <c r="N672" i="3" s="1"/>
  <c r="O672" i="3" s="1"/>
  <c r="M717" i="3"/>
  <c r="N717" i="3" s="1"/>
  <c r="O717" i="3" s="1"/>
  <c r="M731" i="3"/>
  <c r="N731" i="3" s="1"/>
  <c r="O731" i="3" s="1"/>
  <c r="M728" i="3"/>
  <c r="N728" i="3" s="1"/>
  <c r="O728" i="3" s="1"/>
  <c r="M723" i="3"/>
  <c r="N723" i="3" s="1"/>
  <c r="O723" i="3" s="1"/>
  <c r="M720" i="3"/>
  <c r="N720" i="3" s="1"/>
  <c r="O720" i="3" s="1"/>
  <c r="M719" i="3"/>
  <c r="N719" i="3" s="1"/>
  <c r="O719" i="3" s="1"/>
  <c r="M729" i="3"/>
  <c r="N729" i="3" s="1"/>
  <c r="O729" i="3" s="1"/>
  <c r="M715" i="3"/>
  <c r="N715" i="3" s="1"/>
  <c r="O715" i="3" s="1"/>
  <c r="M726" i="3"/>
  <c r="N726" i="3" s="1"/>
  <c r="O726" i="3" s="1"/>
  <c r="M727" i="3"/>
  <c r="N727" i="3" s="1"/>
  <c r="O727" i="3" s="1"/>
  <c r="M721" i="3"/>
  <c r="N721" i="3" s="1"/>
  <c r="O721" i="3" s="1"/>
  <c r="P722" i="3"/>
  <c r="Q722" i="3" s="1"/>
  <c r="M699" i="3"/>
  <c r="N699" i="3" s="1"/>
  <c r="O699" i="3" s="1"/>
  <c r="M700" i="3"/>
  <c r="N700" i="3" s="1"/>
  <c r="O700" i="3" s="1"/>
  <c r="M704" i="3"/>
  <c r="N704" i="3" s="1"/>
  <c r="O704" i="3" s="1"/>
  <c r="M701" i="3"/>
  <c r="N701" i="3" s="1"/>
  <c r="O701" i="3" s="1"/>
  <c r="M703" i="3"/>
  <c r="N703" i="3" s="1"/>
  <c r="O703" i="3" s="1"/>
  <c r="M706" i="3"/>
  <c r="N706" i="3" s="1"/>
  <c r="O706" i="3" s="1"/>
  <c r="M705" i="3"/>
  <c r="N705" i="3" s="1"/>
  <c r="O705" i="3" s="1"/>
  <c r="M668" i="3"/>
  <c r="N668" i="3" s="1"/>
  <c r="O668" i="3" s="1"/>
  <c r="M689" i="3"/>
  <c r="N689" i="3" s="1"/>
  <c r="O689" i="3" s="1"/>
  <c r="M670" i="3"/>
  <c r="N670" i="3" s="1"/>
  <c r="O670" i="3" s="1"/>
  <c r="M695" i="3"/>
  <c r="N695" i="3" s="1"/>
  <c r="O695" i="3" s="1"/>
  <c r="M691" i="3"/>
  <c r="M697" i="3"/>
  <c r="N697" i="3" s="1"/>
  <c r="O697" i="3" s="1"/>
  <c r="M671" i="3"/>
  <c r="N671" i="3" s="1"/>
  <c r="O671" i="3" s="1"/>
  <c r="M683" i="3"/>
  <c r="N683" i="3" s="1"/>
  <c r="O683" i="3" s="1"/>
  <c r="M666" i="3"/>
  <c r="N666" i="3" s="1"/>
  <c r="O666" i="3" s="1"/>
  <c r="M686" i="3"/>
  <c r="N686" i="3" s="1"/>
  <c r="O686" i="3" s="1"/>
  <c r="M690" i="3"/>
  <c r="N690" i="3" s="1"/>
  <c r="O690" i="3" s="1"/>
  <c r="M687" i="3"/>
  <c r="N687" i="3" s="1"/>
  <c r="O687" i="3" s="1"/>
  <c r="M677" i="3"/>
  <c r="N677" i="3" s="1"/>
  <c r="O677" i="3" s="1"/>
  <c r="M688" i="3"/>
  <c r="N688" i="3" s="1"/>
  <c r="O688" i="3" s="1"/>
  <c r="M678" i="3"/>
  <c r="N678" i="3" s="1"/>
  <c r="O678" i="3" s="1"/>
  <c r="M685" i="3"/>
  <c r="N685" i="3" s="1"/>
  <c r="O685" i="3" s="1"/>
  <c r="M669" i="3"/>
  <c r="N669" i="3" s="1"/>
  <c r="O669" i="3" s="1"/>
  <c r="M693" i="3"/>
  <c r="N693" i="3" s="1"/>
  <c r="O693" i="3" s="1"/>
  <c r="M676" i="3"/>
  <c r="N676" i="3" s="1"/>
  <c r="O676" i="3" s="1"/>
  <c r="M696" i="3"/>
  <c r="N696" i="3" s="1"/>
  <c r="O696" i="3" s="1"/>
  <c r="M675" i="3"/>
  <c r="N675" i="3" s="1"/>
  <c r="O675" i="3" s="1"/>
  <c r="M673" i="3"/>
  <c r="N673" i="3" s="1"/>
  <c r="O673" i="3" s="1"/>
  <c r="M680" i="3"/>
  <c r="N680" i="3" s="1"/>
  <c r="O680" i="3" s="1"/>
  <c r="M667" i="3"/>
  <c r="N667" i="3" s="1"/>
  <c r="O667" i="3" s="1"/>
  <c r="M681" i="3"/>
  <c r="N681" i="3" s="1"/>
  <c r="O681" i="3" s="1"/>
  <c r="M679" i="3"/>
  <c r="N679" i="3" s="1"/>
  <c r="O679" i="3" s="1"/>
  <c r="M674" i="3"/>
  <c r="N674" i="3" s="1"/>
  <c r="O674" i="3" s="1"/>
  <c r="M698" i="3"/>
  <c r="N698" i="3" s="1"/>
  <c r="O698" i="3" s="1"/>
  <c r="M692" i="3"/>
  <c r="N692" i="3" s="1"/>
  <c r="O692" i="3" s="1"/>
  <c r="M694" i="3"/>
  <c r="N694" i="3" s="1"/>
  <c r="O694" i="3" s="1"/>
  <c r="M682" i="3"/>
  <c r="N682" i="3" s="1"/>
  <c r="O682" i="3" s="1"/>
  <c r="M684" i="3"/>
  <c r="N684" i="3" s="1"/>
  <c r="O684" i="3" s="1"/>
  <c r="M540" i="3"/>
  <c r="N540" i="3" s="1"/>
  <c r="O540" i="3" s="1"/>
  <c r="M660" i="3"/>
  <c r="N660" i="3" s="1"/>
  <c r="O660" i="3" s="1"/>
  <c r="M566" i="3"/>
  <c r="N566" i="3" s="1"/>
  <c r="O566" i="3" s="1"/>
  <c r="M654" i="3"/>
  <c r="N654" i="3" s="1"/>
  <c r="O654" i="3" s="1"/>
  <c r="M659" i="3"/>
  <c r="N659" i="3" s="1"/>
  <c r="O659" i="3" s="1"/>
  <c r="M656" i="3"/>
  <c r="N656" i="3" s="1"/>
  <c r="O656" i="3" s="1"/>
  <c r="M665" i="3"/>
  <c r="N665" i="3" s="1"/>
  <c r="O665" i="3" s="1"/>
  <c r="M664" i="3"/>
  <c r="N664" i="3" s="1"/>
  <c r="O664" i="3" s="1"/>
  <c r="M662" i="3"/>
  <c r="N662" i="3" s="1"/>
  <c r="O662" i="3" s="1"/>
  <c r="M653" i="3"/>
  <c r="N653" i="3" s="1"/>
  <c r="O653" i="3" s="1"/>
  <c r="M663" i="3"/>
  <c r="N663" i="3" s="1"/>
  <c r="O663" i="3" s="1"/>
  <c r="M641" i="3"/>
  <c r="N641" i="3" s="1"/>
  <c r="O641" i="3" s="1"/>
  <c r="M638" i="3"/>
  <c r="N638" i="3" s="1"/>
  <c r="O638" i="3" s="1"/>
  <c r="M655" i="3"/>
  <c r="N655" i="3" s="1"/>
  <c r="O655" i="3" s="1"/>
  <c r="M657" i="3"/>
  <c r="N657" i="3" s="1"/>
  <c r="O657" i="3" s="1"/>
  <c r="M658" i="3"/>
  <c r="N658" i="3" s="1"/>
  <c r="O658" i="3" s="1"/>
  <c r="M661" i="3"/>
  <c r="N661" i="3" s="1"/>
  <c r="O661" i="3" s="1"/>
  <c r="M648" i="3"/>
  <c r="N648" i="3" s="1"/>
  <c r="O648" i="3" s="1"/>
  <c r="M637" i="3"/>
  <c r="N637" i="3" s="1"/>
  <c r="O637" i="3" s="1"/>
  <c r="M609" i="3"/>
  <c r="N609" i="3" s="1"/>
  <c r="O609" i="3" s="1"/>
  <c r="M636" i="3"/>
  <c r="N636" i="3" s="1"/>
  <c r="O636" i="3" s="1"/>
  <c r="M642" i="3"/>
  <c r="N642" i="3" s="1"/>
  <c r="O642" i="3" s="1"/>
  <c r="M639" i="3"/>
  <c r="N639" i="3" s="1"/>
  <c r="O639" i="3" s="1"/>
  <c r="M635" i="3"/>
  <c r="N635" i="3" s="1"/>
  <c r="O635" i="3" s="1"/>
  <c r="M626" i="3"/>
  <c r="N626" i="3" s="1"/>
  <c r="O626" i="3" s="1"/>
  <c r="M640" i="3"/>
  <c r="N640" i="3" s="1"/>
  <c r="O640" i="3" s="1"/>
  <c r="M644" i="3"/>
  <c r="N644" i="3" s="1"/>
  <c r="O644" i="3" s="1"/>
  <c r="M646" i="3"/>
  <c r="N646" i="3" s="1"/>
  <c r="O646" i="3" s="1"/>
  <c r="M624" i="3"/>
  <c r="N624" i="3" s="1"/>
  <c r="O624" i="3" s="1"/>
  <c r="M630" i="3"/>
  <c r="N630" i="3" s="1"/>
  <c r="O630" i="3" s="1"/>
  <c r="M645" i="3"/>
  <c r="N645" i="3" s="1"/>
  <c r="O645" i="3" s="1"/>
  <c r="M651" i="3"/>
  <c r="N651" i="3" s="1"/>
  <c r="O651" i="3" s="1"/>
  <c r="M618" i="3"/>
  <c r="N618" i="3" s="1"/>
  <c r="O618" i="3" s="1"/>
  <c r="M650" i="3"/>
  <c r="N650" i="3" s="1"/>
  <c r="O650" i="3" s="1"/>
  <c r="M652" i="3"/>
  <c r="N652" i="3" s="1"/>
  <c r="O652" i="3" s="1"/>
  <c r="M647" i="3"/>
  <c r="N647" i="3" s="1"/>
  <c r="O647" i="3" s="1"/>
  <c r="M643" i="3"/>
  <c r="N643" i="3" s="1"/>
  <c r="O643" i="3" s="1"/>
  <c r="M649" i="3"/>
  <c r="N649" i="3" s="1"/>
  <c r="O649" i="3" s="1"/>
  <c r="M556" i="3"/>
  <c r="N556" i="3" s="1"/>
  <c r="O556" i="3" s="1"/>
  <c r="M607" i="3"/>
  <c r="N607" i="3" s="1"/>
  <c r="O607" i="3" s="1"/>
  <c r="M562" i="3"/>
  <c r="N562" i="3" s="1"/>
  <c r="O562" i="3" s="1"/>
  <c r="M628" i="3"/>
  <c r="N628" i="3" s="1"/>
  <c r="O628" i="3" s="1"/>
  <c r="M613" i="3"/>
  <c r="N613" i="3" s="1"/>
  <c r="O613" i="3" s="1"/>
  <c r="M567" i="3"/>
  <c r="N567" i="3" s="1"/>
  <c r="O567" i="3" s="1"/>
  <c r="M581" i="3"/>
  <c r="N581" i="3" s="1"/>
  <c r="O581" i="3" s="1"/>
  <c r="M619" i="3"/>
  <c r="N619" i="3" s="1"/>
  <c r="O619" i="3" s="1"/>
  <c r="M578" i="3"/>
  <c r="N578" i="3" s="1"/>
  <c r="O578" i="3" s="1"/>
  <c r="M622" i="3"/>
  <c r="N622" i="3" s="1"/>
  <c r="O622" i="3" s="1"/>
  <c r="M620" i="3"/>
  <c r="N620" i="3" s="1"/>
  <c r="O620" i="3" s="1"/>
  <c r="M612" i="3"/>
  <c r="N612" i="3" s="1"/>
  <c r="O612" i="3" s="1"/>
  <c r="M632" i="3"/>
  <c r="N632" i="3" s="1"/>
  <c r="O632" i="3" s="1"/>
  <c r="M610" i="3"/>
  <c r="N610" i="3" s="1"/>
  <c r="O610" i="3" s="1"/>
  <c r="M633" i="3"/>
  <c r="N633" i="3" s="1"/>
  <c r="O633" i="3" s="1"/>
  <c r="M615" i="3"/>
  <c r="N615" i="3" s="1"/>
  <c r="O615" i="3" s="1"/>
  <c r="M617" i="3"/>
  <c r="N617" i="3" s="1"/>
  <c r="O617" i="3" s="1"/>
  <c r="M621" i="3"/>
  <c r="N621" i="3" s="1"/>
  <c r="O621" i="3" s="1"/>
  <c r="M592" i="3"/>
  <c r="N592" i="3" s="1"/>
  <c r="O592" i="3" s="1"/>
  <c r="M623" i="3"/>
  <c r="N623" i="3" s="1"/>
  <c r="O623" i="3" s="1"/>
  <c r="M611" i="3"/>
  <c r="N611" i="3" s="1"/>
  <c r="O611" i="3" s="1"/>
  <c r="M627" i="3"/>
  <c r="N627" i="3" s="1"/>
  <c r="O627" i="3" s="1"/>
  <c r="M629" i="3"/>
  <c r="N629" i="3" s="1"/>
  <c r="O629" i="3" s="1"/>
  <c r="M631" i="3"/>
  <c r="N631" i="3" s="1"/>
  <c r="O631" i="3" s="1"/>
  <c r="M634" i="3"/>
  <c r="N634" i="3" s="1"/>
  <c r="O634" i="3" s="1"/>
  <c r="M614" i="3"/>
  <c r="N614" i="3" s="1"/>
  <c r="O614" i="3" s="1"/>
  <c r="M625" i="3"/>
  <c r="N625" i="3" s="1"/>
  <c r="O625" i="3" s="1"/>
  <c r="M606" i="3"/>
  <c r="N606" i="3" s="1"/>
  <c r="O606" i="3" s="1"/>
  <c r="M608" i="3"/>
  <c r="N608" i="3" s="1"/>
  <c r="O608" i="3" s="1"/>
  <c r="M616" i="3"/>
  <c r="N616" i="3" s="1"/>
  <c r="O616" i="3" s="1"/>
  <c r="M575" i="3"/>
  <c r="N575" i="3" s="1"/>
  <c r="O575" i="3" s="1"/>
  <c r="M554" i="3"/>
  <c r="N554" i="3" s="1"/>
  <c r="O554" i="3" s="1"/>
  <c r="M580" i="3"/>
  <c r="N580" i="3" s="1"/>
  <c r="O580" i="3" s="1"/>
  <c r="M541" i="3"/>
  <c r="N541" i="3" s="1"/>
  <c r="O541" i="3" s="1"/>
  <c r="M542" i="3"/>
  <c r="N542" i="3" s="1"/>
  <c r="O542" i="3" s="1"/>
  <c r="M560" i="3"/>
  <c r="N560" i="3" s="1"/>
  <c r="O560" i="3" s="1"/>
  <c r="M597" i="3"/>
  <c r="N597" i="3" s="1"/>
  <c r="O597" i="3" s="1"/>
  <c r="M546" i="3"/>
  <c r="N546" i="3" s="1"/>
  <c r="O546" i="3" s="1"/>
  <c r="M576" i="3"/>
  <c r="N576" i="3" s="1"/>
  <c r="O576" i="3" s="1"/>
  <c r="M558" i="3"/>
  <c r="N558" i="3" s="1"/>
  <c r="O558" i="3" s="1"/>
  <c r="M572" i="3"/>
  <c r="N572" i="3" s="1"/>
  <c r="O572" i="3" s="1"/>
  <c r="M584" i="3"/>
  <c r="N584" i="3" s="1"/>
  <c r="O584" i="3" s="1"/>
  <c r="M574" i="3"/>
  <c r="N574" i="3" s="1"/>
  <c r="O574" i="3" s="1"/>
  <c r="M547" i="3"/>
  <c r="N547" i="3" s="1"/>
  <c r="O547" i="3" s="1"/>
  <c r="M587" i="3"/>
  <c r="N587" i="3" s="1"/>
  <c r="O587" i="3" s="1"/>
  <c r="M583" i="3"/>
  <c r="N583" i="3" s="1"/>
  <c r="O583" i="3" s="1"/>
  <c r="M565" i="3"/>
  <c r="N565" i="3" s="1"/>
  <c r="O565" i="3" s="1"/>
  <c r="M582" i="3"/>
  <c r="N582" i="3" s="1"/>
  <c r="O582" i="3" s="1"/>
  <c r="M550" i="3"/>
  <c r="N550" i="3" s="1"/>
  <c r="O550" i="3" s="1"/>
  <c r="M548" i="3"/>
  <c r="N548" i="3" s="1"/>
  <c r="O548" i="3" s="1"/>
  <c r="M552" i="3"/>
  <c r="N552" i="3" s="1"/>
  <c r="O552" i="3" s="1"/>
  <c r="M586" i="3"/>
  <c r="N586" i="3" s="1"/>
  <c r="O586" i="3" s="1"/>
  <c r="M553" i="3"/>
  <c r="N553" i="3" s="1"/>
  <c r="O553" i="3" s="1"/>
  <c r="M545" i="3"/>
  <c r="N545" i="3" s="1"/>
  <c r="O545" i="3" s="1"/>
  <c r="M600" i="3"/>
  <c r="N600" i="3" s="1"/>
  <c r="O600" i="3" s="1"/>
  <c r="M549" i="3"/>
  <c r="N549" i="3" s="1"/>
  <c r="O549" i="3" s="1"/>
  <c r="M585" i="3"/>
  <c r="N585" i="3" s="1"/>
  <c r="O585" i="3" s="1"/>
  <c r="M573" i="3"/>
  <c r="N573" i="3" s="1"/>
  <c r="O573" i="3" s="1"/>
  <c r="M571" i="3"/>
  <c r="N571" i="3" s="1"/>
  <c r="O571" i="3" s="1"/>
  <c r="M598" i="3"/>
  <c r="N598" i="3" s="1"/>
  <c r="O598" i="3" s="1"/>
  <c r="M555" i="3"/>
  <c r="N555" i="3" s="1"/>
  <c r="O555" i="3" s="1"/>
  <c r="M579" i="3"/>
  <c r="N579" i="3" s="1"/>
  <c r="O579" i="3" s="1"/>
  <c r="M570" i="3"/>
  <c r="N570" i="3" s="1"/>
  <c r="O570" i="3" s="1"/>
  <c r="M543" i="3"/>
  <c r="N543" i="3" s="1"/>
  <c r="O543" i="3" s="1"/>
  <c r="M544" i="3"/>
  <c r="N544" i="3" s="1"/>
  <c r="O544" i="3" s="1"/>
  <c r="M559" i="3"/>
  <c r="N559" i="3" s="1"/>
  <c r="O559" i="3" s="1"/>
  <c r="M577" i="3"/>
  <c r="N577" i="3" s="1"/>
  <c r="O577" i="3" s="1"/>
  <c r="M561" i="3"/>
  <c r="N561" i="3" s="1"/>
  <c r="O561" i="3" s="1"/>
  <c r="M551" i="3"/>
  <c r="N551" i="3" s="1"/>
  <c r="O551" i="3" s="1"/>
  <c r="M596" i="3"/>
  <c r="N596" i="3" s="1"/>
  <c r="O596" i="3" s="1"/>
  <c r="M563" i="3"/>
  <c r="N563" i="3" s="1"/>
  <c r="O563" i="3" s="1"/>
  <c r="M589" i="3"/>
  <c r="N589" i="3" s="1"/>
  <c r="O589" i="3" s="1"/>
  <c r="M564" i="3"/>
  <c r="N564" i="3" s="1"/>
  <c r="O564" i="3" s="1"/>
  <c r="M604" i="3"/>
  <c r="N604" i="3" s="1"/>
  <c r="O604" i="3" s="1"/>
  <c r="M605" i="3"/>
  <c r="N605" i="3" s="1"/>
  <c r="O605" i="3" s="1"/>
  <c r="M591" i="3"/>
  <c r="N591" i="3" s="1"/>
  <c r="O591" i="3" s="1"/>
  <c r="M590" i="3"/>
  <c r="N590" i="3" s="1"/>
  <c r="O590" i="3" s="1"/>
  <c r="M599" i="3"/>
  <c r="N599" i="3" s="1"/>
  <c r="O599" i="3" s="1"/>
  <c r="M569" i="3"/>
  <c r="N569" i="3" s="1"/>
  <c r="O569" i="3" s="1"/>
  <c r="M595" i="3"/>
  <c r="N595" i="3" s="1"/>
  <c r="O595" i="3" s="1"/>
  <c r="M601" i="3"/>
  <c r="N601" i="3" s="1"/>
  <c r="O601" i="3" s="1"/>
  <c r="M593" i="3"/>
  <c r="N593" i="3" s="1"/>
  <c r="O593" i="3" s="1"/>
  <c r="M568" i="3"/>
  <c r="N568" i="3" s="1"/>
  <c r="O568" i="3" s="1"/>
  <c r="M594" i="3"/>
  <c r="N594" i="3" s="1"/>
  <c r="O594" i="3" s="1"/>
  <c r="M588" i="3"/>
  <c r="N588" i="3" s="1"/>
  <c r="O588" i="3" s="1"/>
  <c r="M557" i="3"/>
  <c r="N557" i="3" s="1"/>
  <c r="O557" i="3" s="1"/>
  <c r="M603" i="3"/>
  <c r="N603" i="3" s="1"/>
  <c r="O603" i="3" s="1"/>
  <c r="M602" i="3"/>
  <c r="N602" i="3" s="1"/>
  <c r="O602" i="3" s="1"/>
  <c r="M528" i="3"/>
  <c r="N528" i="3" s="1"/>
  <c r="O528" i="3" s="1"/>
  <c r="M524" i="3"/>
  <c r="N524" i="3" s="1"/>
  <c r="O524" i="3" s="1"/>
  <c r="M538" i="3"/>
  <c r="N538" i="3" s="1"/>
  <c r="O538" i="3" s="1"/>
  <c r="M532" i="3"/>
  <c r="N532" i="3" s="1"/>
  <c r="O532" i="3" s="1"/>
  <c r="M488" i="3"/>
  <c r="N488" i="3" s="1"/>
  <c r="O488" i="3" s="1"/>
  <c r="M504" i="3"/>
  <c r="N504" i="3" s="1"/>
  <c r="O504" i="3" s="1"/>
  <c r="M534" i="3"/>
  <c r="N534" i="3" s="1"/>
  <c r="O534" i="3" s="1"/>
  <c r="M536" i="3"/>
  <c r="N536" i="3" s="1"/>
  <c r="O536" i="3" s="1"/>
  <c r="M475" i="3"/>
  <c r="N475" i="3" s="1"/>
  <c r="O475" i="3" s="1"/>
  <c r="M535" i="3"/>
  <c r="N535" i="3" s="1"/>
  <c r="O535" i="3" s="1"/>
  <c r="M503" i="3"/>
  <c r="N503" i="3" s="1"/>
  <c r="O503" i="3" s="1"/>
  <c r="M512" i="3"/>
  <c r="N512" i="3" s="1"/>
  <c r="O512" i="3" s="1"/>
  <c r="M530" i="3"/>
  <c r="N530" i="3" s="1"/>
  <c r="O530" i="3" s="1"/>
  <c r="M531" i="3"/>
  <c r="N531" i="3" s="1"/>
  <c r="O531" i="3" s="1"/>
  <c r="M502" i="3"/>
  <c r="N502" i="3" s="1"/>
  <c r="O502" i="3" s="1"/>
  <c r="M499" i="3"/>
  <c r="N499" i="3" s="1"/>
  <c r="O499" i="3" s="1"/>
  <c r="M539" i="3"/>
  <c r="N539" i="3" s="1"/>
  <c r="O539" i="3" s="1"/>
  <c r="M509" i="3"/>
  <c r="N509" i="3" s="1"/>
  <c r="O509" i="3" s="1"/>
  <c r="M537" i="3"/>
  <c r="N537" i="3" s="1"/>
  <c r="O537" i="3" s="1"/>
  <c r="M527" i="3"/>
  <c r="N527" i="3" s="1"/>
  <c r="O527" i="3" s="1"/>
  <c r="M526" i="3"/>
  <c r="N526" i="3" s="1"/>
  <c r="O526" i="3" s="1"/>
  <c r="M525" i="3"/>
  <c r="N525" i="3" s="1"/>
  <c r="O525" i="3" s="1"/>
  <c r="M496" i="3"/>
  <c r="N496" i="3" s="1"/>
  <c r="O496" i="3" s="1"/>
  <c r="M520" i="3"/>
  <c r="N520" i="3" s="1"/>
  <c r="O520" i="3" s="1"/>
  <c r="M533" i="3"/>
  <c r="N533" i="3" s="1"/>
  <c r="O533" i="3" s="1"/>
  <c r="M529" i="3"/>
  <c r="N529" i="3" s="1"/>
  <c r="O529" i="3" s="1"/>
  <c r="M505" i="3"/>
  <c r="N505" i="3" s="1"/>
  <c r="O505" i="3" s="1"/>
  <c r="M510" i="3"/>
  <c r="N510" i="3" s="1"/>
  <c r="O510" i="3" s="1"/>
  <c r="M507" i="3"/>
  <c r="N507" i="3" s="1"/>
  <c r="O507" i="3" s="1"/>
  <c r="M521" i="3"/>
  <c r="N521" i="3" s="1"/>
  <c r="O521" i="3" s="1"/>
  <c r="M518" i="3"/>
  <c r="N518" i="3" s="1"/>
  <c r="O518" i="3" s="1"/>
  <c r="M515" i="3"/>
  <c r="N515" i="3" s="1"/>
  <c r="O515" i="3" s="1"/>
  <c r="M473" i="3"/>
  <c r="N473" i="3" s="1"/>
  <c r="O473" i="3" s="1"/>
  <c r="M492" i="3"/>
  <c r="N492" i="3" s="1"/>
  <c r="O492" i="3" s="1"/>
  <c r="M513" i="3"/>
  <c r="N513" i="3" s="1"/>
  <c r="O513" i="3" s="1"/>
  <c r="M511" i="3"/>
  <c r="N511" i="3" s="1"/>
  <c r="O511" i="3" s="1"/>
  <c r="M480" i="3"/>
  <c r="N480" i="3" s="1"/>
  <c r="O480" i="3" s="1"/>
  <c r="M506" i="3"/>
  <c r="N506" i="3" s="1"/>
  <c r="M508" i="3"/>
  <c r="N508" i="3" s="1"/>
  <c r="O508" i="3" s="1"/>
  <c r="M517" i="3"/>
  <c r="N517" i="3" s="1"/>
  <c r="O517" i="3" s="1"/>
  <c r="M514" i="3"/>
  <c r="N514" i="3" s="1"/>
  <c r="O514" i="3" s="1"/>
  <c r="M516" i="3"/>
  <c r="N516" i="3" s="1"/>
  <c r="O516" i="3" s="1"/>
  <c r="M481" i="3"/>
  <c r="N481" i="3" s="1"/>
  <c r="O481" i="3" s="1"/>
  <c r="M478" i="3"/>
  <c r="N478" i="3" s="1"/>
  <c r="O478" i="3" s="1"/>
  <c r="M477" i="3"/>
  <c r="N477" i="3" s="1"/>
  <c r="O477" i="3" s="1"/>
  <c r="M484" i="3"/>
  <c r="N484" i="3" s="1"/>
  <c r="O484" i="3" s="1"/>
  <c r="M500" i="3"/>
  <c r="N500" i="3" s="1"/>
  <c r="O500" i="3" s="1"/>
  <c r="M523" i="3"/>
  <c r="N523" i="3" s="1"/>
  <c r="O523" i="3" s="1"/>
  <c r="M522" i="3"/>
  <c r="N522" i="3" s="1"/>
  <c r="O522" i="3" s="1"/>
  <c r="M476" i="3"/>
  <c r="N476" i="3" s="1"/>
  <c r="O476" i="3" s="1"/>
  <c r="M519" i="3"/>
  <c r="N519" i="3" s="1"/>
  <c r="O519" i="3" s="1"/>
  <c r="M474" i="3"/>
  <c r="N474" i="3" s="1"/>
  <c r="O474" i="3" s="1"/>
  <c r="M495" i="3"/>
  <c r="N495" i="3" s="1"/>
  <c r="O495" i="3" s="1"/>
  <c r="M498" i="3"/>
  <c r="N498" i="3" s="1"/>
  <c r="O498" i="3" s="1"/>
  <c r="M490" i="3"/>
  <c r="N490" i="3" s="1"/>
  <c r="O490" i="3" s="1"/>
  <c r="M491" i="3"/>
  <c r="N491" i="3" s="1"/>
  <c r="O491" i="3" s="1"/>
  <c r="M497" i="3"/>
  <c r="N497" i="3" s="1"/>
  <c r="O497" i="3" s="1"/>
  <c r="M483" i="3"/>
  <c r="N483" i="3" s="1"/>
  <c r="O483" i="3" s="1"/>
  <c r="M489" i="3"/>
  <c r="N489" i="3" s="1"/>
  <c r="O489" i="3" s="1"/>
  <c r="M501" i="3"/>
  <c r="N501" i="3" s="1"/>
  <c r="O501" i="3" s="1"/>
  <c r="M485" i="3"/>
  <c r="N485" i="3" s="1"/>
  <c r="O485" i="3" s="1"/>
  <c r="M494" i="3"/>
  <c r="N494" i="3" s="1"/>
  <c r="O494" i="3" s="1"/>
  <c r="M486" i="3"/>
  <c r="N486" i="3" s="1"/>
  <c r="O486" i="3" s="1"/>
  <c r="M493" i="3"/>
  <c r="N493" i="3" s="1"/>
  <c r="O493" i="3" s="1"/>
  <c r="M479" i="3"/>
  <c r="N479" i="3" s="1"/>
  <c r="O479" i="3" s="1"/>
  <c r="M482" i="3"/>
  <c r="N482" i="3" s="1"/>
  <c r="O482" i="3" s="1"/>
  <c r="M487" i="3"/>
  <c r="N487" i="3" s="1"/>
  <c r="O487" i="3" s="1"/>
  <c r="M471" i="3"/>
  <c r="N471" i="3" s="1"/>
  <c r="O471" i="3" s="1"/>
  <c r="M458" i="3"/>
  <c r="N458" i="3" s="1"/>
  <c r="O458" i="3" s="1"/>
  <c r="M467" i="3"/>
  <c r="N467" i="3" s="1"/>
  <c r="O467" i="3" s="1"/>
  <c r="M470" i="3"/>
  <c r="N470" i="3" s="1"/>
  <c r="O470" i="3" s="1"/>
  <c r="M464" i="3"/>
  <c r="N464" i="3" s="1"/>
  <c r="O464" i="3" s="1"/>
  <c r="M461" i="3"/>
  <c r="N461" i="3" s="1"/>
  <c r="O461" i="3" s="1"/>
  <c r="M466" i="3"/>
  <c r="N466" i="3" s="1"/>
  <c r="O466" i="3" s="1"/>
  <c r="M465" i="3"/>
  <c r="N465" i="3" s="1"/>
  <c r="O465" i="3" s="1"/>
  <c r="M469" i="3"/>
  <c r="N469" i="3" s="1"/>
  <c r="O469" i="3" s="1"/>
  <c r="M472" i="3"/>
  <c r="N472" i="3" s="1"/>
  <c r="O472" i="3" s="1"/>
  <c r="M462" i="3"/>
  <c r="N462" i="3" s="1"/>
  <c r="O462" i="3" s="1"/>
  <c r="M468" i="3"/>
  <c r="N468" i="3" s="1"/>
  <c r="O468" i="3" s="1"/>
  <c r="M463" i="3"/>
  <c r="N463" i="3" s="1"/>
  <c r="O463" i="3" s="1"/>
  <c r="M438" i="3"/>
  <c r="N438" i="3" s="1"/>
  <c r="O438" i="3" s="1"/>
  <c r="M446" i="3"/>
  <c r="N446" i="3" s="1"/>
  <c r="O446" i="3" s="1"/>
  <c r="M456" i="3"/>
  <c r="N456" i="3" s="1"/>
  <c r="O456" i="3" s="1"/>
  <c r="M452" i="3"/>
  <c r="N452" i="3" s="1"/>
  <c r="O452" i="3" s="1"/>
  <c r="M426" i="3"/>
  <c r="N426" i="3" s="1"/>
  <c r="O426" i="3" s="1"/>
  <c r="M459" i="3"/>
  <c r="N459" i="3" s="1"/>
  <c r="O459" i="3" s="1"/>
  <c r="M448" i="3"/>
  <c r="N448" i="3" s="1"/>
  <c r="O448" i="3" s="1"/>
  <c r="M449" i="3"/>
  <c r="N449" i="3" s="1"/>
  <c r="O449" i="3" s="1"/>
  <c r="M451" i="3"/>
  <c r="N451" i="3" s="1"/>
  <c r="O451" i="3" s="1"/>
  <c r="M422" i="3"/>
  <c r="N422" i="3" s="1"/>
  <c r="O422" i="3" s="1"/>
  <c r="M455" i="3"/>
  <c r="N455" i="3" s="1"/>
  <c r="O455" i="3" s="1"/>
  <c r="M434" i="3"/>
  <c r="N434" i="3" s="1"/>
  <c r="O434" i="3" s="1"/>
  <c r="M450" i="3"/>
  <c r="N450" i="3" s="1"/>
  <c r="O450" i="3" s="1"/>
  <c r="M447" i="3"/>
  <c r="N447" i="3" s="1"/>
  <c r="O447" i="3" s="1"/>
  <c r="M457" i="3"/>
  <c r="N457" i="3" s="1"/>
  <c r="O457" i="3" s="1"/>
  <c r="M453" i="3"/>
  <c r="N453" i="3" s="1"/>
  <c r="O453" i="3" s="1"/>
  <c r="M460" i="3"/>
  <c r="N460" i="3" s="1"/>
  <c r="O460" i="3" s="1"/>
  <c r="M454" i="3"/>
  <c r="N454" i="3" s="1"/>
  <c r="O454" i="3" s="1"/>
  <c r="L187" i="1"/>
  <c r="M442" i="3"/>
  <c r="N442" i="3" s="1"/>
  <c r="O442" i="3" s="1"/>
  <c r="M428" i="3"/>
  <c r="N428" i="3" s="1"/>
  <c r="O428" i="3" s="1"/>
  <c r="M430" i="3"/>
  <c r="N430" i="3" s="1"/>
  <c r="O430" i="3" s="1"/>
  <c r="M420" i="3"/>
  <c r="N420" i="3" s="1"/>
  <c r="O420" i="3" s="1"/>
  <c r="M429" i="3"/>
  <c r="N429" i="3" s="1"/>
  <c r="O429" i="3" s="1"/>
  <c r="M433" i="3"/>
  <c r="N433" i="3" s="1"/>
  <c r="O433" i="3" s="1"/>
  <c r="M441" i="3"/>
  <c r="N441" i="3" s="1"/>
  <c r="O441" i="3" s="1"/>
  <c r="M437" i="3"/>
  <c r="N437" i="3" s="1"/>
  <c r="O437" i="3" s="1"/>
  <c r="M445" i="3"/>
  <c r="N445" i="3" s="1"/>
  <c r="O445" i="3" s="1"/>
  <c r="M443" i="3"/>
  <c r="N443" i="3" s="1"/>
  <c r="O443" i="3" s="1"/>
  <c r="M424" i="3"/>
  <c r="N424" i="3" s="1"/>
  <c r="O424" i="3" s="1"/>
  <c r="M425" i="3"/>
  <c r="N425" i="3" s="1"/>
  <c r="O425" i="3" s="1"/>
  <c r="M439" i="3"/>
  <c r="N439" i="3" s="1"/>
  <c r="O439" i="3" s="1"/>
  <c r="M421" i="3"/>
  <c r="N421" i="3" s="1"/>
  <c r="O421" i="3" s="1"/>
  <c r="M435" i="3"/>
  <c r="N435" i="3" s="1"/>
  <c r="O435" i="3" s="1"/>
  <c r="M423" i="3"/>
  <c r="N423" i="3" s="1"/>
  <c r="O423" i="3" s="1"/>
  <c r="M440" i="3"/>
  <c r="N440" i="3" s="1"/>
  <c r="O440" i="3" s="1"/>
  <c r="M427" i="3"/>
  <c r="N427" i="3" s="1"/>
  <c r="O427" i="3" s="1"/>
  <c r="M436" i="3"/>
  <c r="N436" i="3" s="1"/>
  <c r="O436" i="3" s="1"/>
  <c r="M444" i="3"/>
  <c r="N444" i="3" s="1"/>
  <c r="O444" i="3" s="1"/>
  <c r="M419" i="3"/>
  <c r="N419" i="3" s="1"/>
  <c r="O419" i="3" s="1"/>
  <c r="M432" i="3"/>
  <c r="N432" i="3" s="1"/>
  <c r="O432" i="3" s="1"/>
  <c r="M431" i="3"/>
  <c r="N431" i="3" s="1"/>
  <c r="O431" i="3" s="1"/>
  <c r="M409" i="3"/>
  <c r="N409" i="3" s="1"/>
  <c r="O409" i="3" s="1"/>
  <c r="M388" i="3"/>
  <c r="N388" i="3" s="1"/>
  <c r="O388" i="3" s="1"/>
  <c r="M417" i="3"/>
  <c r="N417" i="3" s="1"/>
  <c r="O417" i="3" s="1"/>
  <c r="M393" i="3"/>
  <c r="N393" i="3" s="1"/>
  <c r="O393" i="3" s="1"/>
  <c r="M387" i="3"/>
  <c r="N387" i="3" s="1"/>
  <c r="O387" i="3" s="1"/>
  <c r="M418" i="3"/>
  <c r="N418" i="3" s="1"/>
  <c r="O418" i="3" s="1"/>
  <c r="M413" i="3"/>
  <c r="N413" i="3" s="1"/>
  <c r="O413" i="3" s="1"/>
  <c r="M383" i="3"/>
  <c r="N383" i="3" s="1"/>
  <c r="O383" i="3" s="1"/>
  <c r="M412" i="3"/>
  <c r="N412" i="3" s="1"/>
  <c r="O412" i="3" s="1"/>
  <c r="F5" i="4"/>
  <c r="M385" i="3"/>
  <c r="N385" i="3" s="1"/>
  <c r="O385" i="3" s="1"/>
  <c r="M411" i="3"/>
  <c r="N411" i="3" s="1"/>
  <c r="O411" i="3" s="1"/>
  <c r="M416" i="3"/>
  <c r="N416" i="3" s="1"/>
  <c r="O416" i="3" s="1"/>
  <c r="M414" i="3"/>
  <c r="N414" i="3" s="1"/>
  <c r="O414" i="3" s="1"/>
  <c r="M415" i="3"/>
  <c r="N415" i="3" s="1"/>
  <c r="O415" i="3" s="1"/>
  <c r="M410" i="3"/>
  <c r="N410" i="3" s="1"/>
  <c r="O410" i="3" s="1"/>
  <c r="M384" i="3"/>
  <c r="N384" i="3" s="1"/>
  <c r="O384" i="3" s="1"/>
  <c r="F6" i="4"/>
  <c r="M402" i="3"/>
  <c r="N402" i="3" s="1"/>
  <c r="O402" i="3" s="1"/>
  <c r="M382" i="3"/>
  <c r="N382" i="3" s="1"/>
  <c r="M406" i="3"/>
  <c r="N406" i="3" s="1"/>
  <c r="O406" i="3" s="1"/>
  <c r="M392" i="3"/>
  <c r="N392" i="3" s="1"/>
  <c r="O392" i="3" s="1"/>
  <c r="M398" i="3"/>
  <c r="N398" i="3" s="1"/>
  <c r="O398" i="3" s="1"/>
  <c r="M405" i="3"/>
  <c r="N405" i="3" s="1"/>
  <c r="O405" i="3" s="1"/>
  <c r="M394" i="3"/>
  <c r="N394" i="3" s="1"/>
  <c r="O394" i="3" s="1"/>
  <c r="M401" i="3"/>
  <c r="N401" i="3" s="1"/>
  <c r="O401" i="3" s="1"/>
  <c r="M400" i="3"/>
  <c r="N400" i="3" s="1"/>
  <c r="O400" i="3" s="1"/>
  <c r="M395" i="3"/>
  <c r="N395" i="3" s="1"/>
  <c r="O395" i="3" s="1"/>
  <c r="M391" i="3"/>
  <c r="N391" i="3" s="1"/>
  <c r="O391" i="3" s="1"/>
  <c r="M390" i="3"/>
  <c r="N390" i="3" s="1"/>
  <c r="O390" i="3" s="1"/>
  <c r="M408" i="3"/>
  <c r="N408" i="3" s="1"/>
  <c r="O408" i="3" s="1"/>
  <c r="M397" i="3"/>
  <c r="N397" i="3" s="1"/>
  <c r="O397" i="3" s="1"/>
  <c r="N396" i="3"/>
  <c r="O396" i="3" s="1"/>
  <c r="M381" i="3"/>
  <c r="N381" i="3" s="1"/>
  <c r="P404" i="3"/>
  <c r="Q404" i="3" s="1"/>
  <c r="P399" i="3"/>
  <c r="Q399" i="3" s="1"/>
  <c r="P386" i="3"/>
  <c r="Q386" i="3" s="1"/>
  <c r="P407" i="3"/>
  <c r="Q407" i="3" s="1"/>
  <c r="P389" i="3"/>
  <c r="Q389" i="3" s="1"/>
  <c r="P403" i="3"/>
  <c r="Q403" i="3" s="1"/>
  <c r="N25" i="1"/>
  <c r="M379" i="3"/>
  <c r="N379" i="3" s="1"/>
  <c r="K350" i="3"/>
  <c r="L350" i="3" s="1"/>
  <c r="M380" i="3"/>
  <c r="N380" i="3" s="1"/>
  <c r="M369" i="3"/>
  <c r="N369" i="3" s="1"/>
  <c r="K25" i="3"/>
  <c r="L25" i="3" s="1"/>
  <c r="M374" i="3"/>
  <c r="N374" i="3" s="1"/>
  <c r="M371" i="3"/>
  <c r="N371" i="3" s="1"/>
  <c r="E9" i="4"/>
  <c r="K345" i="3"/>
  <c r="L345" i="3" s="1"/>
  <c r="M378" i="3"/>
  <c r="N378" i="3" s="1"/>
  <c r="K347" i="3"/>
  <c r="L347" i="3" s="1"/>
  <c r="M375" i="3"/>
  <c r="N375" i="3" s="1"/>
  <c r="D9" i="4"/>
  <c r="K12" i="3"/>
  <c r="L12" i="3" s="1"/>
  <c r="M372" i="3"/>
  <c r="N372" i="3" s="1"/>
  <c r="K343" i="3"/>
  <c r="L343" i="3" s="1"/>
  <c r="M365" i="3"/>
  <c r="N365" i="3" s="1"/>
  <c r="K22" i="3"/>
  <c r="L22" i="3" s="1"/>
  <c r="K35" i="3"/>
  <c r="L35" i="3" s="1"/>
  <c r="F16" i="4"/>
  <c r="E16" i="4"/>
  <c r="O364" i="3"/>
  <c r="P364" i="3"/>
  <c r="Q364" i="3" s="1"/>
  <c r="N377" i="3"/>
  <c r="N376" i="3"/>
  <c r="N373" i="3"/>
  <c r="N370" i="3"/>
  <c r="N368" i="3"/>
  <c r="N367" i="3"/>
  <c r="O367" i="3" s="1"/>
  <c r="N366" i="3"/>
  <c r="N363" i="3"/>
  <c r="O363" i="3" s="1"/>
  <c r="K352" i="3"/>
  <c r="L352" i="3" s="1"/>
  <c r="J352" i="3"/>
  <c r="J353" i="3" s="1"/>
  <c r="N4" i="1"/>
  <c r="K341" i="3"/>
  <c r="L341" i="3" s="1"/>
  <c r="K349" i="3"/>
  <c r="L349" i="3" s="1"/>
  <c r="K342" i="3"/>
  <c r="L342" i="3" s="1"/>
  <c r="K344" i="3"/>
  <c r="L344" i="3" s="1"/>
  <c r="K346" i="3"/>
  <c r="L346" i="3" s="1"/>
  <c r="K348" i="3"/>
  <c r="L348" i="3" s="1"/>
  <c r="F4" i="4"/>
  <c r="L294" i="3"/>
  <c r="G14" i="4"/>
  <c r="H14" i="4" s="1"/>
  <c r="I14" i="4"/>
  <c r="J14" i="4" s="1"/>
  <c r="I13" i="4"/>
  <c r="O745" i="3" l="1"/>
  <c r="P716" i="3"/>
  <c r="Q716" i="3" s="1"/>
  <c r="P713" i="3"/>
  <c r="Q713" i="3" s="1"/>
  <c r="P712" i="3"/>
  <c r="Q712" i="3" s="1"/>
  <c r="P714" i="3"/>
  <c r="Q714" i="3" s="1"/>
  <c r="P702" i="3"/>
  <c r="Q702" i="3" s="1"/>
  <c r="P709" i="3"/>
  <c r="Q709" i="3" s="1"/>
  <c r="P707" i="3"/>
  <c r="Q707" i="3" s="1"/>
  <c r="P724" i="3"/>
  <c r="Q724" i="3" s="1"/>
  <c r="P718" i="3"/>
  <c r="Q718" i="3" s="1"/>
  <c r="P730" i="3"/>
  <c r="Q730" i="3" s="1"/>
  <c r="P711" i="3"/>
  <c r="Q711" i="3" s="1"/>
  <c r="P672" i="3"/>
  <c r="Q672" i="3" s="1"/>
  <c r="P725" i="3"/>
  <c r="Q725" i="3" s="1"/>
  <c r="P708" i="3"/>
  <c r="Q708" i="3" s="1"/>
  <c r="P723" i="3"/>
  <c r="Q723" i="3" s="1"/>
  <c r="P717" i="3"/>
  <c r="Q717" i="3" s="1"/>
  <c r="P726" i="3"/>
  <c r="Q726" i="3" s="1"/>
  <c r="P729" i="3"/>
  <c r="Q729" i="3" s="1"/>
  <c r="P715" i="3"/>
  <c r="Q715" i="3" s="1"/>
  <c r="P728" i="3"/>
  <c r="Q728" i="3" s="1"/>
  <c r="P721" i="3"/>
  <c r="Q721" i="3" s="1"/>
  <c r="P731" i="3"/>
  <c r="Q731" i="3" s="1"/>
  <c r="P727" i="3"/>
  <c r="Q727" i="3" s="1"/>
  <c r="P720" i="3"/>
  <c r="Q720" i="3" s="1"/>
  <c r="P719" i="3"/>
  <c r="Q719" i="3" s="1"/>
  <c r="P700" i="3"/>
  <c r="Q700" i="3" s="1"/>
  <c r="P699" i="3"/>
  <c r="Q699" i="3" s="1"/>
  <c r="P704" i="3"/>
  <c r="Q704" i="3" s="1"/>
  <c r="P710" i="3"/>
  <c r="Q710" i="3" s="1"/>
  <c r="P703" i="3"/>
  <c r="Q703" i="3" s="1"/>
  <c r="P701" i="3"/>
  <c r="Q701" i="3" s="1"/>
  <c r="P706" i="3"/>
  <c r="Q706" i="3" s="1"/>
  <c r="P705" i="3"/>
  <c r="Q705" i="3" s="1"/>
  <c r="P671" i="3"/>
  <c r="Q671" i="3" s="1"/>
  <c r="P668" i="3"/>
  <c r="Q668" i="3" s="1"/>
  <c r="P670" i="3"/>
  <c r="Q670" i="3" s="1"/>
  <c r="P689" i="3"/>
  <c r="Q689" i="3" s="1"/>
  <c r="P695" i="3"/>
  <c r="Q695" i="3" s="1"/>
  <c r="P697" i="3"/>
  <c r="Q697" i="3" s="1"/>
  <c r="P683" i="3"/>
  <c r="Q683" i="3" s="1"/>
  <c r="P690" i="3"/>
  <c r="Q690" i="3" s="1"/>
  <c r="P688" i="3"/>
  <c r="Q688" i="3" s="1"/>
  <c r="P678" i="3"/>
  <c r="Q678" i="3" s="1"/>
  <c r="P677" i="3"/>
  <c r="Q677" i="3" s="1"/>
  <c r="P666" i="3"/>
  <c r="Q666" i="3" s="1"/>
  <c r="P687" i="3"/>
  <c r="Q687" i="3" s="1"/>
  <c r="P675" i="3"/>
  <c r="Q675" i="3" s="1"/>
  <c r="P674" i="3"/>
  <c r="Q674" i="3" s="1"/>
  <c r="P696" i="3"/>
  <c r="Q696" i="3" s="1"/>
  <c r="P681" i="3"/>
  <c r="Q681" i="3" s="1"/>
  <c r="P685" i="3"/>
  <c r="Q685" i="3" s="1"/>
  <c r="P693" i="3"/>
  <c r="Q693" i="3" s="1"/>
  <c r="P669" i="3"/>
  <c r="Q669" i="3" s="1"/>
  <c r="P667" i="3"/>
  <c r="Q667" i="3" s="1"/>
  <c r="P676" i="3"/>
  <c r="Q676" i="3" s="1"/>
  <c r="P692" i="3"/>
  <c r="Q692" i="3" s="1"/>
  <c r="P698" i="3"/>
  <c r="Q698" i="3" s="1"/>
  <c r="P673" i="3"/>
  <c r="Q673" i="3" s="1"/>
  <c r="P679" i="3"/>
  <c r="Q679" i="3" s="1"/>
  <c r="P684" i="3"/>
  <c r="Q684" i="3" s="1"/>
  <c r="P694" i="3"/>
  <c r="Q694" i="3" s="1"/>
  <c r="P691" i="3"/>
  <c r="Q691" i="3" s="1"/>
  <c r="P686" i="3"/>
  <c r="Q686" i="3" s="1"/>
  <c r="P540" i="3"/>
  <c r="Q540" i="3" s="1"/>
  <c r="P682" i="3"/>
  <c r="Q682" i="3" s="1"/>
  <c r="P680" i="3"/>
  <c r="Q680" i="3" s="1"/>
  <c r="P660" i="3"/>
  <c r="Q660" i="3" s="1"/>
  <c r="P654" i="3"/>
  <c r="Q654" i="3" s="1"/>
  <c r="P566" i="3"/>
  <c r="Q566" i="3" s="1"/>
  <c r="P664" i="3"/>
  <c r="Q664" i="3" s="1"/>
  <c r="P659" i="3"/>
  <c r="Q659" i="3" s="1"/>
  <c r="P655" i="3"/>
  <c r="Q655" i="3" s="1"/>
  <c r="P665" i="3"/>
  <c r="Q665" i="3" s="1"/>
  <c r="P641" i="3"/>
  <c r="Q641" i="3" s="1"/>
  <c r="P662" i="3"/>
  <c r="Q662" i="3" s="1"/>
  <c r="P656" i="3"/>
  <c r="Q656" i="3" s="1"/>
  <c r="P653" i="3"/>
  <c r="Q653" i="3" s="1"/>
  <c r="P663" i="3"/>
  <c r="Q663" i="3" s="1"/>
  <c r="P661" i="3"/>
  <c r="Q661" i="3" s="1"/>
  <c r="P658" i="3"/>
  <c r="Q658" i="3" s="1"/>
  <c r="P657" i="3"/>
  <c r="Q657" i="3" s="1"/>
  <c r="F9" i="4"/>
  <c r="P636" i="3"/>
  <c r="Q636" i="3" s="1"/>
  <c r="P609" i="3"/>
  <c r="Q609" i="3" s="1"/>
  <c r="P624" i="3"/>
  <c r="Q624" i="3" s="1"/>
  <c r="P556" i="3"/>
  <c r="Q556" i="3" s="1"/>
  <c r="P648" i="3"/>
  <c r="Q648" i="3" s="1"/>
  <c r="P639" i="3"/>
  <c r="Q639" i="3" s="1"/>
  <c r="P640" i="3"/>
  <c r="Q640" i="3" s="1"/>
  <c r="P630" i="3"/>
  <c r="Q630" i="3" s="1"/>
  <c r="P637" i="3"/>
  <c r="Q637" i="3" s="1"/>
  <c r="P626" i="3"/>
  <c r="Q626" i="3" s="1"/>
  <c r="P642" i="3"/>
  <c r="Q642" i="3" s="1"/>
  <c r="P635" i="3"/>
  <c r="Q635" i="3" s="1"/>
  <c r="P646" i="3"/>
  <c r="Q646" i="3" s="1"/>
  <c r="P644" i="3"/>
  <c r="Q644" i="3" s="1"/>
  <c r="P645" i="3"/>
  <c r="Q645" i="3" s="1"/>
  <c r="P650" i="3"/>
  <c r="Q650" i="3" s="1"/>
  <c r="P652" i="3"/>
  <c r="Q652" i="3" s="1"/>
  <c r="P651" i="3"/>
  <c r="Q651" i="3" s="1"/>
  <c r="P643" i="3"/>
  <c r="Q643" i="3" s="1"/>
  <c r="P567" i="3"/>
  <c r="Q567" i="3" s="1"/>
  <c r="P649" i="3"/>
  <c r="Q649" i="3" s="1"/>
  <c r="P607" i="3"/>
  <c r="Q607" i="3" s="1"/>
  <c r="P562" i="3"/>
  <c r="Q562" i="3" s="1"/>
  <c r="P647" i="3"/>
  <c r="Q647" i="3" s="1"/>
  <c r="P613" i="3"/>
  <c r="Q613" i="3" s="1"/>
  <c r="P581" i="3"/>
  <c r="Q581" i="3" s="1"/>
  <c r="P638" i="3"/>
  <c r="Q638" i="3" s="1"/>
  <c r="P628" i="3"/>
  <c r="Q628" i="3" s="1"/>
  <c r="P620" i="3"/>
  <c r="Q620" i="3" s="1"/>
  <c r="P578" i="3"/>
  <c r="Q578" i="3" s="1"/>
  <c r="P619" i="3"/>
  <c r="Q619" i="3" s="1"/>
  <c r="P622" i="3"/>
  <c r="Q622" i="3" s="1"/>
  <c r="P612" i="3"/>
  <c r="Q612" i="3" s="1"/>
  <c r="P610" i="3"/>
  <c r="Q610" i="3" s="1"/>
  <c r="P633" i="3"/>
  <c r="Q633" i="3" s="1"/>
  <c r="P617" i="3"/>
  <c r="Q617" i="3" s="1"/>
  <c r="P629" i="3"/>
  <c r="Q629" i="3" s="1"/>
  <c r="P592" i="3"/>
  <c r="Q592" i="3" s="1"/>
  <c r="P621" i="3"/>
  <c r="Q621" i="3" s="1"/>
  <c r="P615" i="3"/>
  <c r="Q615" i="3" s="1"/>
  <c r="P611" i="3"/>
  <c r="Q611" i="3" s="1"/>
  <c r="P627" i="3"/>
  <c r="Q627" i="3" s="1"/>
  <c r="P608" i="3"/>
  <c r="Q608" i="3" s="1"/>
  <c r="P606" i="3"/>
  <c r="Q606" i="3" s="1"/>
  <c r="P631" i="3"/>
  <c r="Q631" i="3" s="1"/>
  <c r="P614" i="3"/>
  <c r="Q614" i="3" s="1"/>
  <c r="P634" i="3"/>
  <c r="Q634" i="3" s="1"/>
  <c r="P616" i="3"/>
  <c r="Q616" i="3" s="1"/>
  <c r="P625" i="3"/>
  <c r="Q625" i="3" s="1"/>
  <c r="P632" i="3"/>
  <c r="Q632" i="3" s="1"/>
  <c r="P575" i="3"/>
  <c r="Q575" i="3" s="1"/>
  <c r="P623" i="3"/>
  <c r="Q623" i="3" s="1"/>
  <c r="P580" i="3"/>
  <c r="Q580" i="3" s="1"/>
  <c r="P560" i="3"/>
  <c r="Q560" i="3" s="1"/>
  <c r="P542" i="3"/>
  <c r="Q542" i="3" s="1"/>
  <c r="P597" i="3"/>
  <c r="Q597" i="3" s="1"/>
  <c r="P554" i="3"/>
  <c r="Q554" i="3" s="1"/>
  <c r="P618" i="3"/>
  <c r="Q618" i="3" s="1"/>
  <c r="P546" i="3"/>
  <c r="Q546" i="3" s="1"/>
  <c r="P576" i="3"/>
  <c r="Q576" i="3" s="1"/>
  <c r="P586" i="3"/>
  <c r="Q586" i="3" s="1"/>
  <c r="P558" i="3"/>
  <c r="Q558" i="3" s="1"/>
  <c r="P574" i="3"/>
  <c r="Q574" i="3" s="1"/>
  <c r="P572" i="3"/>
  <c r="Q572" i="3" s="1"/>
  <c r="P547" i="3"/>
  <c r="Q547" i="3" s="1"/>
  <c r="P584" i="3"/>
  <c r="Q584" i="3" s="1"/>
  <c r="P551" i="3"/>
  <c r="Q551" i="3" s="1"/>
  <c r="P573" i="3"/>
  <c r="Q573" i="3" s="1"/>
  <c r="P565" i="3"/>
  <c r="Q565" i="3" s="1"/>
  <c r="P585" i="3"/>
  <c r="Q585" i="3" s="1"/>
  <c r="P583" i="3"/>
  <c r="Q583" i="3" s="1"/>
  <c r="P587" i="3"/>
  <c r="Q587" i="3" s="1"/>
  <c r="P582" i="3"/>
  <c r="Q582" i="3" s="1"/>
  <c r="P555" i="3"/>
  <c r="Q555" i="3" s="1"/>
  <c r="P548" i="3"/>
  <c r="Q548" i="3" s="1"/>
  <c r="P550" i="3"/>
  <c r="Q550" i="3" s="1"/>
  <c r="P570" i="3"/>
  <c r="Q570" i="3" s="1"/>
  <c r="P543" i="3"/>
  <c r="Q543" i="3" s="1"/>
  <c r="P553" i="3"/>
  <c r="Q553" i="3" s="1"/>
  <c r="P545" i="3"/>
  <c r="Q545" i="3" s="1"/>
  <c r="P549" i="3"/>
  <c r="Q549" i="3" s="1"/>
  <c r="P600" i="3"/>
  <c r="Q600" i="3" s="1"/>
  <c r="P571" i="3"/>
  <c r="Q571" i="3" s="1"/>
  <c r="P579" i="3"/>
  <c r="Q579" i="3" s="1"/>
  <c r="P598" i="3"/>
  <c r="Q598" i="3" s="1"/>
  <c r="P569" i="3"/>
  <c r="Q569" i="3" s="1"/>
  <c r="P561" i="3"/>
  <c r="Q561" i="3" s="1"/>
  <c r="P599" i="3"/>
  <c r="Q599" i="3" s="1"/>
  <c r="P559" i="3"/>
  <c r="Q559" i="3" s="1"/>
  <c r="P577" i="3"/>
  <c r="Q577" i="3" s="1"/>
  <c r="P605" i="3"/>
  <c r="Q605" i="3" s="1"/>
  <c r="P596" i="3"/>
  <c r="Q596" i="3" s="1"/>
  <c r="P563" i="3"/>
  <c r="Q563" i="3" s="1"/>
  <c r="P564" i="3"/>
  <c r="Q564" i="3" s="1"/>
  <c r="P595" i="3"/>
  <c r="Q595" i="3" s="1"/>
  <c r="P589" i="3"/>
  <c r="Q589" i="3" s="1"/>
  <c r="P588" i="3"/>
  <c r="Q588" i="3" s="1"/>
  <c r="P568" i="3"/>
  <c r="Q568" i="3" s="1"/>
  <c r="P604" i="3"/>
  <c r="Q604" i="3" s="1"/>
  <c r="P591" i="3"/>
  <c r="Q591" i="3" s="1"/>
  <c r="P590" i="3"/>
  <c r="Q590" i="3" s="1"/>
  <c r="P594" i="3"/>
  <c r="Q594" i="3" s="1"/>
  <c r="P593" i="3"/>
  <c r="Q593" i="3" s="1"/>
  <c r="P602" i="3"/>
  <c r="Q602" i="3" s="1"/>
  <c r="P557" i="3"/>
  <c r="Q557" i="3" s="1"/>
  <c r="P601" i="3"/>
  <c r="Q601" i="3" s="1"/>
  <c r="P603" i="3"/>
  <c r="Q603" i="3" s="1"/>
  <c r="P528" i="3"/>
  <c r="Q528" i="3" s="1"/>
  <c r="P524" i="3"/>
  <c r="Q524" i="3" s="1"/>
  <c r="P488" i="3"/>
  <c r="Q488" i="3" s="1"/>
  <c r="P532" i="3"/>
  <c r="Q532" i="3" s="1"/>
  <c r="P534" i="3"/>
  <c r="Q534" i="3" s="1"/>
  <c r="P504" i="3"/>
  <c r="Q504" i="3" s="1"/>
  <c r="P536" i="3"/>
  <c r="Q536" i="3" s="1"/>
  <c r="P535" i="3"/>
  <c r="Q535" i="3" s="1"/>
  <c r="P530" i="3"/>
  <c r="Q530" i="3" s="1"/>
  <c r="P475" i="3"/>
  <c r="Q475" i="3" s="1"/>
  <c r="P503" i="3"/>
  <c r="Q503" i="3" s="1"/>
  <c r="P512" i="3"/>
  <c r="Q512" i="3" s="1"/>
  <c r="P537" i="3"/>
  <c r="Q537" i="3" s="1"/>
  <c r="P531" i="3"/>
  <c r="Q531" i="3" s="1"/>
  <c r="P527" i="3"/>
  <c r="Q527" i="3" s="1"/>
  <c r="P502" i="3"/>
  <c r="Q502" i="3" s="1"/>
  <c r="P539" i="3"/>
  <c r="Q539" i="3" s="1"/>
  <c r="P526" i="3"/>
  <c r="Q526" i="3" s="1"/>
  <c r="P525" i="3"/>
  <c r="Q525" i="3" s="1"/>
  <c r="P533" i="3"/>
  <c r="Q533" i="3" s="1"/>
  <c r="P499" i="3"/>
  <c r="Q499" i="3" s="1"/>
  <c r="P510" i="3"/>
  <c r="Q510" i="3" s="1"/>
  <c r="P529" i="3"/>
  <c r="Q529" i="3" s="1"/>
  <c r="P496" i="3"/>
  <c r="Q496" i="3" s="1"/>
  <c r="P520" i="3"/>
  <c r="Q520" i="3" s="1"/>
  <c r="P505" i="3"/>
  <c r="Q505" i="3" s="1"/>
  <c r="P492" i="3"/>
  <c r="Q492" i="3" s="1"/>
  <c r="P518" i="3"/>
  <c r="Q518" i="3" s="1"/>
  <c r="P507" i="3"/>
  <c r="Q507" i="3" s="1"/>
  <c r="P473" i="3"/>
  <c r="Q473" i="3" s="1"/>
  <c r="P480" i="3"/>
  <c r="Q480" i="3" s="1"/>
  <c r="P511" i="3"/>
  <c r="Q511" i="3" s="1"/>
  <c r="P521" i="3"/>
  <c r="Q521" i="3" s="1"/>
  <c r="P506" i="3"/>
  <c r="Q506" i="3" s="1"/>
  <c r="P515" i="3"/>
  <c r="Q515" i="3" s="1"/>
  <c r="P513" i="3"/>
  <c r="Q513" i="3" s="1"/>
  <c r="P516" i="3"/>
  <c r="Q516" i="3" s="1"/>
  <c r="P508" i="3"/>
  <c r="Q508" i="3" s="1"/>
  <c r="P517" i="3"/>
  <c r="Q517" i="3" s="1"/>
  <c r="P514" i="3"/>
  <c r="Q514" i="3" s="1"/>
  <c r="P481" i="3"/>
  <c r="Q481" i="3" s="1"/>
  <c r="P477" i="3"/>
  <c r="Q477" i="3" s="1"/>
  <c r="P500" i="3"/>
  <c r="Q500" i="3" s="1"/>
  <c r="P474" i="3"/>
  <c r="Q474" i="3" s="1"/>
  <c r="P485" i="3"/>
  <c r="Q485" i="3" s="1"/>
  <c r="P522" i="3"/>
  <c r="Q522" i="3" s="1"/>
  <c r="P495" i="3"/>
  <c r="Q495" i="3" s="1"/>
  <c r="P519" i="3"/>
  <c r="Q519" i="3" s="1"/>
  <c r="P476" i="3"/>
  <c r="Q476" i="3" s="1"/>
  <c r="P491" i="3"/>
  <c r="Q491" i="3" s="1"/>
  <c r="P484" i="3"/>
  <c r="Q484" i="3" s="1"/>
  <c r="P498" i="3"/>
  <c r="Q498" i="3" s="1"/>
  <c r="P478" i="3"/>
  <c r="Q478" i="3" s="1"/>
  <c r="P490" i="3"/>
  <c r="Q490" i="3" s="1"/>
  <c r="P523" i="3"/>
  <c r="Q523" i="3" s="1"/>
  <c r="P483" i="3"/>
  <c r="Q483" i="3" s="1"/>
  <c r="P489" i="3"/>
  <c r="Q489" i="3" s="1"/>
  <c r="P501" i="3"/>
  <c r="Q501" i="3" s="1"/>
  <c r="P486" i="3"/>
  <c r="Q486" i="3" s="1"/>
  <c r="P482" i="3"/>
  <c r="Q482" i="3" s="1"/>
  <c r="P494" i="3"/>
  <c r="Q494" i="3" s="1"/>
  <c r="P487" i="3"/>
  <c r="Q487" i="3" s="1"/>
  <c r="P479" i="3"/>
  <c r="Q479" i="3" s="1"/>
  <c r="P493" i="3"/>
  <c r="Q493" i="3" s="1"/>
  <c r="P470" i="3"/>
  <c r="Q470" i="3" s="1"/>
  <c r="P467" i="3"/>
  <c r="Q467" i="3" s="1"/>
  <c r="P464" i="3"/>
  <c r="Q464" i="3" s="1"/>
  <c r="P461" i="3"/>
  <c r="Q461" i="3" s="1"/>
  <c r="P466" i="3"/>
  <c r="Q466" i="3" s="1"/>
  <c r="P468" i="3"/>
  <c r="Q468" i="3" s="1"/>
  <c r="P463" i="3"/>
  <c r="Q463" i="3" s="1"/>
  <c r="P465" i="3"/>
  <c r="Q465" i="3" s="1"/>
  <c r="P462" i="3"/>
  <c r="Q462" i="3" s="1"/>
  <c r="P434" i="3"/>
  <c r="Q434" i="3" s="1"/>
  <c r="P472" i="3"/>
  <c r="Q472" i="3" s="1"/>
  <c r="P452" i="3"/>
  <c r="Q452" i="3" s="1"/>
  <c r="P456" i="3"/>
  <c r="Q456" i="3" s="1"/>
  <c r="P426" i="3"/>
  <c r="Q426" i="3" s="1"/>
  <c r="P446" i="3"/>
  <c r="Q446" i="3" s="1"/>
  <c r="P438" i="3"/>
  <c r="Q438" i="3" s="1"/>
  <c r="P459" i="3"/>
  <c r="Q459" i="3" s="1"/>
  <c r="P448" i="3"/>
  <c r="Q448" i="3" s="1"/>
  <c r="P451" i="3"/>
  <c r="Q451" i="3" s="1"/>
  <c r="P449" i="3"/>
  <c r="Q449" i="3" s="1"/>
  <c r="P422" i="3"/>
  <c r="Q422" i="3" s="1"/>
  <c r="P455" i="3"/>
  <c r="Q455" i="3" s="1"/>
  <c r="P454" i="3"/>
  <c r="Q454" i="3" s="1"/>
  <c r="P453" i="3"/>
  <c r="Q453" i="3" s="1"/>
  <c r="P450" i="3"/>
  <c r="Q450" i="3" s="1"/>
  <c r="P460" i="3"/>
  <c r="Q460" i="3" s="1"/>
  <c r="P442" i="3"/>
  <c r="Q442" i="3" s="1"/>
  <c r="P420" i="3"/>
  <c r="Q420" i="3" s="1"/>
  <c r="P430" i="3"/>
  <c r="Q430" i="3" s="1"/>
  <c r="P429" i="3"/>
  <c r="Q429" i="3" s="1"/>
  <c r="P437" i="3"/>
  <c r="Q437" i="3" s="1"/>
  <c r="P441" i="3"/>
  <c r="Q441" i="3" s="1"/>
  <c r="P433" i="3"/>
  <c r="Q433" i="3" s="1"/>
  <c r="P445" i="3"/>
  <c r="Q445" i="3" s="1"/>
  <c r="P424" i="3"/>
  <c r="Q424" i="3" s="1"/>
  <c r="P443" i="3"/>
  <c r="Q443" i="3" s="1"/>
  <c r="P435" i="3"/>
  <c r="Q435" i="3" s="1"/>
  <c r="P439" i="3"/>
  <c r="Q439" i="3" s="1"/>
  <c r="P421" i="3"/>
  <c r="Q421" i="3" s="1"/>
  <c r="P440" i="3"/>
  <c r="Q440" i="3" s="1"/>
  <c r="P444" i="3"/>
  <c r="Q444" i="3" s="1"/>
  <c r="P425" i="3"/>
  <c r="Q425" i="3" s="1"/>
  <c r="P427" i="3"/>
  <c r="Q427" i="3" s="1"/>
  <c r="P423" i="3"/>
  <c r="Q423" i="3" s="1"/>
  <c r="P419" i="3"/>
  <c r="Q419" i="3" s="1"/>
  <c r="P432" i="3"/>
  <c r="Q432" i="3" s="1"/>
  <c r="P436" i="3"/>
  <c r="Q436" i="3" s="1"/>
  <c r="P431" i="3"/>
  <c r="Q431" i="3" s="1"/>
  <c r="P412" i="3"/>
  <c r="Q412" i="3" s="1"/>
  <c r="P393" i="3"/>
  <c r="Q393" i="3" s="1"/>
  <c r="P402" i="3"/>
  <c r="Q402" i="3" s="1"/>
  <c r="P409" i="3"/>
  <c r="Q409" i="3" s="1"/>
  <c r="P417" i="3"/>
  <c r="Q417" i="3" s="1"/>
  <c r="P388" i="3"/>
  <c r="Q388" i="3" s="1"/>
  <c r="P413" i="3"/>
  <c r="Q413" i="3" s="1"/>
  <c r="P383" i="3"/>
  <c r="Q383" i="3" s="1"/>
  <c r="P387" i="3"/>
  <c r="Q387" i="3" s="1"/>
  <c r="P418" i="3"/>
  <c r="Q418" i="3" s="1"/>
  <c r="P385" i="3"/>
  <c r="Q385" i="3" s="1"/>
  <c r="P410" i="3"/>
  <c r="Q410" i="3" s="1"/>
  <c r="P416" i="3"/>
  <c r="Q416" i="3" s="1"/>
  <c r="P405" i="3"/>
  <c r="Q405" i="3" s="1"/>
  <c r="P411" i="3"/>
  <c r="Q411" i="3" s="1"/>
  <c r="P384" i="3"/>
  <c r="Q384" i="3" s="1"/>
  <c r="P415" i="3"/>
  <c r="Q415" i="3" s="1"/>
  <c r="P406" i="3"/>
  <c r="Q406" i="3" s="1"/>
  <c r="P414" i="3"/>
  <c r="Q414" i="3" s="1"/>
  <c r="P398" i="3"/>
  <c r="Q398" i="3" s="1"/>
  <c r="P391" i="3"/>
  <c r="Q391" i="3" s="1"/>
  <c r="P394" i="3"/>
  <c r="Q394" i="3" s="1"/>
  <c r="P392" i="3"/>
  <c r="Q392" i="3" s="1"/>
  <c r="P395" i="3"/>
  <c r="Q395" i="3" s="1"/>
  <c r="P401" i="3"/>
  <c r="Q401" i="3" s="1"/>
  <c r="P390" i="3"/>
  <c r="Q390" i="3" s="1"/>
  <c r="P397" i="3"/>
  <c r="Q397" i="3" s="1"/>
  <c r="P408" i="3"/>
  <c r="Q408" i="3" s="1"/>
  <c r="P538" i="3"/>
  <c r="Q538" i="3" s="1"/>
  <c r="I15" i="4"/>
  <c r="J15" i="4" s="1"/>
  <c r="P552" i="3"/>
  <c r="Q552" i="3" s="1"/>
  <c r="P541" i="3"/>
  <c r="Q541" i="3" s="1"/>
  <c r="P544" i="3"/>
  <c r="Q544" i="3" s="1"/>
  <c r="P458" i="3"/>
  <c r="Q458" i="3" s="1"/>
  <c r="P396" i="3"/>
  <c r="Q396" i="3" s="1"/>
  <c r="P428" i="3"/>
  <c r="Q428" i="3" s="1"/>
  <c r="P509" i="3"/>
  <c r="Q509" i="3" s="1"/>
  <c r="P497" i="3"/>
  <c r="Q497" i="3" s="1"/>
  <c r="P447" i="3"/>
  <c r="Q447" i="3" s="1"/>
  <c r="P471" i="3"/>
  <c r="Q471" i="3" s="1"/>
  <c r="P400" i="3"/>
  <c r="Q400" i="3" s="1"/>
  <c r="P469" i="3"/>
  <c r="Q469" i="3" s="1"/>
  <c r="P457" i="3"/>
  <c r="Q457" i="3" s="1"/>
  <c r="G13" i="4"/>
  <c r="H13" i="4" s="1"/>
  <c r="H16" i="4" s="1"/>
  <c r="P363" i="3"/>
  <c r="Q363" i="3" s="1"/>
  <c r="O365" i="3"/>
  <c r="P365" i="3"/>
  <c r="Q365" i="3" s="1"/>
  <c r="O366" i="3"/>
  <c r="P366" i="3"/>
  <c r="Q366" i="3" s="1"/>
  <c r="P367" i="3"/>
  <c r="Q367" i="3" s="1"/>
  <c r="O368" i="3"/>
  <c r="P368" i="3"/>
  <c r="Q368" i="3" s="1"/>
  <c r="O369" i="3"/>
  <c r="P369" i="3"/>
  <c r="Q369" i="3" s="1"/>
  <c r="O370" i="3"/>
  <c r="P370" i="3"/>
  <c r="Q370" i="3" s="1"/>
  <c r="O371" i="3"/>
  <c r="P371" i="3"/>
  <c r="Q371" i="3" s="1"/>
  <c r="O372" i="3"/>
  <c r="P372" i="3"/>
  <c r="Q372" i="3" s="1"/>
  <c r="O373" i="3"/>
  <c r="P373" i="3"/>
  <c r="O374" i="3"/>
  <c r="P374" i="3"/>
  <c r="Q374" i="3" s="1"/>
  <c r="O375" i="3"/>
  <c r="P375" i="3"/>
  <c r="Q375" i="3" s="1"/>
  <c r="O376" i="3"/>
  <c r="P376" i="3"/>
  <c r="Q376" i="3" s="1"/>
  <c r="O377" i="3"/>
  <c r="P377" i="3"/>
  <c r="Q377" i="3" s="1"/>
  <c r="O378" i="3"/>
  <c r="P378" i="3"/>
  <c r="Q378" i="3" s="1"/>
  <c r="O379" i="3"/>
  <c r="P379" i="3"/>
  <c r="Q379" i="3" s="1"/>
  <c r="O380" i="3"/>
  <c r="P380" i="3"/>
  <c r="Q380" i="3" s="1"/>
  <c r="O381" i="3"/>
  <c r="P381" i="3"/>
  <c r="Q381" i="3" s="1"/>
  <c r="O382" i="3"/>
  <c r="P382" i="3"/>
  <c r="Q382" i="3" s="1"/>
  <c r="L353" i="3"/>
  <c r="G15" i="4"/>
  <c r="H15" i="4" s="1"/>
  <c r="J13" i="4"/>
  <c r="J16" i="4" s="1"/>
  <c r="Q745" i="3" l="1"/>
  <c r="I16" i="4"/>
  <c r="Q373" i="3"/>
  <c r="G20" i="4" s="1"/>
  <c r="G16" i="4"/>
  <c r="I20" i="4"/>
  <c r="P745" i="3"/>
  <c r="E20" i="4"/>
  <c r="J745" i="3"/>
  <c r="I745" i="3"/>
  <c r="D20" i="4"/>
  <c r="H745" i="3"/>
  <c r="F72" i="1"/>
  <c r="G72" i="1" s="1"/>
  <c r="F4" i="1"/>
  <c r="G4" i="1" s="1"/>
  <c r="F86" i="1"/>
  <c r="G86" i="1" s="1"/>
  <c r="F33" i="1"/>
  <c r="G33" i="1" s="1"/>
  <c r="F85" i="1"/>
  <c r="G85" i="1" s="1"/>
  <c r="F122" i="1"/>
  <c r="G122" i="1" s="1"/>
  <c r="F55" i="1"/>
  <c r="G55" i="1" s="1"/>
  <c r="F97" i="1"/>
  <c r="G97" i="1" s="1"/>
  <c r="F27" i="1"/>
  <c r="G27" i="1" s="1"/>
  <c r="F59" i="1"/>
  <c r="G59" i="1" s="1"/>
  <c r="F144" i="1"/>
  <c r="G144" i="1" s="1"/>
  <c r="F165" i="1"/>
  <c r="G165" i="1" s="1"/>
  <c r="F181" i="1"/>
  <c r="G181" i="1" s="1"/>
  <c r="F45" i="1"/>
  <c r="G45" i="1" s="1"/>
  <c r="F169" i="1"/>
  <c r="G169" i="1" s="1"/>
  <c r="F119" i="1"/>
  <c r="G119" i="1" s="1"/>
  <c r="F26" i="1"/>
  <c r="G26" i="1" s="1"/>
  <c r="F30" i="1"/>
  <c r="G30" i="1" s="1"/>
  <c r="F32" i="1"/>
  <c r="G32" i="1" s="1"/>
  <c r="F114" i="1"/>
  <c r="G114" i="1" s="1"/>
  <c r="F14" i="1"/>
  <c r="G14" i="1" s="1"/>
  <c r="F29" i="1"/>
  <c r="G29" i="1" s="1"/>
  <c r="F145" i="1"/>
  <c r="G145" i="1" s="1"/>
  <c r="F162" i="1"/>
  <c r="G162" i="1" s="1"/>
  <c r="F139" i="1"/>
  <c r="G139" i="1" s="1"/>
  <c r="F176" i="1"/>
  <c r="G176" i="1" s="1"/>
  <c r="F178" i="1"/>
  <c r="G178" i="1" s="1"/>
  <c r="F52" i="1"/>
  <c r="G52" i="1" s="1"/>
  <c r="F115" i="1"/>
  <c r="G115" i="1" s="1"/>
  <c r="F120" i="1"/>
  <c r="G120" i="1" s="1"/>
  <c r="F21" i="1"/>
  <c r="G21" i="1" s="1"/>
  <c r="F16" i="1"/>
  <c r="G16" i="1" s="1"/>
  <c r="F75" i="1"/>
  <c r="G75" i="1" s="1"/>
  <c r="F74" i="1"/>
  <c r="G74" i="1" s="1"/>
  <c r="F40" i="1"/>
  <c r="G40" i="1" s="1"/>
  <c r="F126" i="1"/>
  <c r="G126" i="1" s="1"/>
  <c r="F157" i="1"/>
  <c r="G157" i="1" s="1"/>
  <c r="F141" i="1"/>
  <c r="G141" i="1" s="1"/>
  <c r="F161" i="1"/>
  <c r="G161" i="1" s="1"/>
  <c r="F167" i="1"/>
  <c r="G167" i="1" s="1"/>
  <c r="F173" i="1"/>
  <c r="G173" i="1" s="1"/>
  <c r="F13" i="1"/>
  <c r="G13" i="1" s="1"/>
  <c r="F12" i="1"/>
  <c r="G12" i="1" s="1"/>
  <c r="F35" i="1"/>
  <c r="G35" i="1" s="1"/>
  <c r="F22" i="1"/>
  <c r="G22" i="1" s="1"/>
  <c r="F17" i="1"/>
  <c r="G17" i="1" s="1"/>
  <c r="F100" i="1"/>
  <c r="G100" i="1" s="1"/>
  <c r="F109" i="1"/>
  <c r="G109" i="1" s="1"/>
  <c r="F116" i="1"/>
  <c r="G116" i="1" s="1"/>
  <c r="F94" i="1"/>
  <c r="G94" i="1" s="1"/>
  <c r="F39" i="1"/>
  <c r="G39" i="1" s="1"/>
  <c r="F68" i="1"/>
  <c r="G68" i="1" s="1"/>
  <c r="F38" i="1"/>
  <c r="G38" i="1" s="1"/>
  <c r="F28" i="1"/>
  <c r="G28" i="1" s="1"/>
  <c r="F129" i="1"/>
  <c r="G129" i="1" s="1"/>
  <c r="F138" i="1"/>
  <c r="G138" i="1" s="1"/>
  <c r="F127" i="1"/>
  <c r="G127" i="1" s="1"/>
  <c r="F170" i="1"/>
  <c r="G170" i="1" s="1"/>
  <c r="F185" i="1"/>
  <c r="G185" i="1" s="1"/>
  <c r="F48" i="1"/>
  <c r="G48" i="1" s="1"/>
  <c r="F46" i="1"/>
  <c r="G46" i="1" s="1"/>
  <c r="F88" i="1"/>
  <c r="G88" i="1" s="1"/>
  <c r="F137" i="1"/>
  <c r="G137" i="1" s="1"/>
  <c r="F105" i="1"/>
  <c r="G105" i="1" s="1"/>
  <c r="F50" i="1"/>
  <c r="G50" i="1" s="1"/>
  <c r="F117" i="1"/>
  <c r="G117" i="1" s="1"/>
  <c r="F98" i="1"/>
  <c r="G98" i="1" s="1"/>
  <c r="F107" i="1"/>
  <c r="G107" i="1" s="1"/>
  <c r="F67" i="1"/>
  <c r="G67" i="1" s="1"/>
  <c r="F63" i="1"/>
  <c r="G63" i="1" s="1"/>
  <c r="F18" i="1"/>
  <c r="G18" i="1" s="1"/>
  <c r="F164" i="1"/>
  <c r="G164" i="1" s="1"/>
  <c r="F149" i="1"/>
  <c r="G149" i="1" s="1"/>
  <c r="F64" i="1"/>
  <c r="G64" i="1" s="1"/>
  <c r="F133" i="1"/>
  <c r="G133" i="1" s="1"/>
  <c r="F148" i="1"/>
  <c r="G148" i="1" s="1"/>
  <c r="F124" i="1"/>
  <c r="G124" i="1" s="1"/>
  <c r="F182" i="1"/>
  <c r="G182" i="1" s="1"/>
  <c r="F168" i="1"/>
  <c r="G168" i="1" s="1"/>
  <c r="G21" i="4"/>
  <c r="H21" i="4" s="1"/>
  <c r="I21" i="4"/>
  <c r="J21" i="4" s="1"/>
  <c r="E21" i="4"/>
  <c r="F21" i="4" s="1"/>
  <c r="D21" i="4"/>
  <c r="F89" i="1"/>
  <c r="G89" i="1" s="1"/>
  <c r="F9" i="1"/>
  <c r="G9" i="1" s="1"/>
  <c r="F31" i="1"/>
  <c r="G31" i="1" s="1"/>
  <c r="F87" i="1"/>
  <c r="G87" i="1" s="1"/>
  <c r="F101" i="1"/>
  <c r="G101" i="1" s="1"/>
  <c r="F53" i="1"/>
  <c r="G53" i="1" s="1"/>
  <c r="F83" i="1"/>
  <c r="G83" i="1" s="1"/>
  <c r="F10" i="1"/>
  <c r="G10" i="1" s="1"/>
  <c r="F152" i="1"/>
  <c r="G152" i="1" s="1"/>
  <c r="F156" i="1"/>
  <c r="G156" i="1" s="1"/>
  <c r="F132" i="1"/>
  <c r="G132" i="1" s="1"/>
  <c r="F136" i="1"/>
  <c r="G136" i="1" s="1"/>
  <c r="F159" i="1"/>
  <c r="G159" i="1" s="1"/>
  <c r="F146" i="1"/>
  <c r="G146" i="1" s="1"/>
  <c r="F172" i="1"/>
  <c r="G172" i="1" s="1"/>
  <c r="F180" i="1"/>
  <c r="G180" i="1" s="1"/>
  <c r="F147" i="1"/>
  <c r="G147" i="1" s="1"/>
  <c r="F134" i="1"/>
  <c r="G134" i="1" s="1"/>
  <c r="F175" i="1"/>
  <c r="G175" i="1" s="1"/>
  <c r="F103" i="1"/>
  <c r="G103" i="1" s="1"/>
  <c r="F60" i="1"/>
  <c r="G60" i="1" s="1"/>
  <c r="F20" i="1"/>
  <c r="G20" i="1" s="1"/>
  <c r="F77" i="1"/>
  <c r="G77" i="1" s="1"/>
  <c r="F79" i="1"/>
  <c r="G79" i="1" s="1"/>
  <c r="F84" i="1"/>
  <c r="G84" i="1" s="1"/>
  <c r="F81" i="1"/>
  <c r="G81" i="1" s="1"/>
  <c r="F57" i="1"/>
  <c r="G57" i="1" s="1"/>
  <c r="F41" i="1"/>
  <c r="G41" i="1" s="1"/>
  <c r="F69" i="1"/>
  <c r="G69" i="1" s="1"/>
  <c r="F6" i="1"/>
  <c r="G6" i="1" s="1"/>
  <c r="F140" i="1"/>
  <c r="G140" i="1" s="1"/>
  <c r="F135" i="1"/>
  <c r="G135" i="1" s="1"/>
  <c r="F54" i="1"/>
  <c r="G54" i="1" s="1"/>
  <c r="F130" i="1"/>
  <c r="G130" i="1" s="1"/>
  <c r="F128" i="1"/>
  <c r="G128" i="1" s="1"/>
  <c r="F166" i="1"/>
  <c r="G166" i="1" s="1"/>
  <c r="F184" i="1"/>
  <c r="G184" i="1" s="1"/>
  <c r="F177" i="1"/>
  <c r="G177" i="1" s="1"/>
  <c r="F95" i="1"/>
  <c r="G95" i="1" s="1"/>
  <c r="F102" i="1"/>
  <c r="G102" i="1" s="1"/>
  <c r="F99" i="1"/>
  <c r="G99" i="1" s="1"/>
  <c r="F56" i="1"/>
  <c r="G56" i="1" s="1"/>
  <c r="F66" i="1"/>
  <c r="G66" i="1" s="1"/>
  <c r="F118" i="1"/>
  <c r="G118" i="1" s="1"/>
  <c r="F70" i="1"/>
  <c r="G70" i="1" s="1"/>
  <c r="F25" i="1"/>
  <c r="G25" i="1" s="1"/>
  <c r="F8" i="1"/>
  <c r="G8" i="1" s="1"/>
  <c r="F143" i="1"/>
  <c r="G143" i="1" s="1"/>
  <c r="F142" i="1"/>
  <c r="G142" i="1" s="1"/>
  <c r="F154" i="1"/>
  <c r="G154" i="1" s="1"/>
  <c r="F179" i="1"/>
  <c r="G179" i="1" s="1"/>
  <c r="F171" i="1"/>
  <c r="G171" i="1" s="1"/>
  <c r="F90" i="1"/>
  <c r="G90" i="1" s="1"/>
  <c r="F24" i="1"/>
  <c r="G24" i="1" s="1"/>
  <c r="F108" i="1"/>
  <c r="G108" i="1" s="1"/>
  <c r="F51" i="1"/>
  <c r="G51" i="1" s="1"/>
  <c r="F80" i="1"/>
  <c r="G80" i="1" s="1"/>
  <c r="F112" i="1"/>
  <c r="G112" i="1" s="1"/>
  <c r="F73" i="1"/>
  <c r="G73" i="1" s="1"/>
  <c r="F34" i="1"/>
  <c r="G34" i="1" s="1"/>
  <c r="F91" i="1"/>
  <c r="G91" i="1" s="1"/>
  <c r="F61" i="1"/>
  <c r="G61" i="1" s="1"/>
  <c r="F49" i="1"/>
  <c r="G49" i="1" s="1"/>
  <c r="F121" i="1"/>
  <c r="G121" i="1" s="1"/>
  <c r="F44" i="1"/>
  <c r="G44" i="1" s="1"/>
  <c r="F71" i="1"/>
  <c r="G71" i="1" s="1"/>
  <c r="F155" i="1"/>
  <c r="G155" i="1" s="1"/>
  <c r="F160" i="1"/>
  <c r="G160" i="1" s="1"/>
  <c r="F174" i="1"/>
  <c r="G174" i="1" s="1"/>
  <c r="G745" i="3"/>
  <c r="F58" i="1"/>
  <c r="G58" i="1" s="1"/>
  <c r="F96" i="1"/>
  <c r="G96" i="1" s="1"/>
  <c r="F15" i="1"/>
  <c r="G15" i="1" s="1"/>
  <c r="F78" i="1"/>
  <c r="G78" i="1" s="1"/>
  <c r="F47" i="1"/>
  <c r="G47" i="1" s="1"/>
  <c r="F93" i="1"/>
  <c r="G93" i="1" s="1"/>
  <c r="F82" i="1"/>
  <c r="G82" i="1" s="1"/>
  <c r="F110" i="1"/>
  <c r="G110" i="1" s="1"/>
  <c r="F37" i="1"/>
  <c r="G37" i="1" s="1"/>
  <c r="F19" i="1"/>
  <c r="G19" i="1" s="1"/>
  <c r="F65" i="1"/>
  <c r="G65" i="1" s="1"/>
  <c r="F5" i="1"/>
  <c r="G5" i="1" s="1"/>
  <c r="F7" i="1"/>
  <c r="G7" i="1" s="1"/>
  <c r="F92" i="1"/>
  <c r="G92" i="1" s="1"/>
  <c r="F151" i="1"/>
  <c r="G151" i="1" s="1"/>
  <c r="F153" i="1"/>
  <c r="G153" i="1" s="1"/>
  <c r="F163" i="1"/>
  <c r="G163" i="1" s="1"/>
  <c r="F186" i="1"/>
  <c r="G186" i="1" s="1"/>
  <c r="F23" i="1"/>
  <c r="G23" i="1" s="1"/>
  <c r="F125" i="1"/>
  <c r="G125" i="1" s="1"/>
  <c r="F62" i="1"/>
  <c r="G62" i="1" s="1"/>
  <c r="F111" i="1"/>
  <c r="G111" i="1" s="1"/>
  <c r="F113" i="1"/>
  <c r="G113" i="1" s="1"/>
  <c r="F43" i="1"/>
  <c r="G43" i="1" s="1"/>
  <c r="F36" i="1"/>
  <c r="G36" i="1" s="1"/>
  <c r="F42" i="1"/>
  <c r="G42" i="1" s="1"/>
  <c r="F106" i="1"/>
  <c r="G106" i="1" s="1"/>
  <c r="F76" i="1"/>
  <c r="G76" i="1" s="1"/>
  <c r="F123" i="1"/>
  <c r="G123" i="1" s="1"/>
  <c r="F11" i="1"/>
  <c r="G11" i="1" s="1"/>
  <c r="F131" i="1"/>
  <c r="G131" i="1" s="1"/>
  <c r="F104" i="1"/>
  <c r="G104" i="1" s="1"/>
  <c r="F150" i="1"/>
  <c r="G150" i="1" s="1"/>
  <c r="F158" i="1"/>
  <c r="G158" i="1" s="1"/>
  <c r="F183" i="1"/>
  <c r="G183" i="1" s="1"/>
  <c r="T745" i="3"/>
  <c r="E22" i="4" l="1"/>
  <c r="I22" i="4"/>
  <c r="G22" i="4"/>
  <c r="D22" i="4"/>
  <c r="J20" i="4"/>
  <c r="J22" i="4" s="1"/>
  <c r="H20" i="4"/>
  <c r="H22" i="4" s="1"/>
  <c r="F20" i="4"/>
  <c r="F22" i="4" s="1"/>
  <c r="F353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<sst xmlns="http://schemas.openxmlformats.org/spreadsheetml/2006/main" count="3083" uniqueCount="504">
  <si>
    <t xml:space="preserve">Control de Inventario Gyro's Store </t>
  </si>
  <si>
    <t xml:space="preserve">Codigo del producto </t>
  </si>
  <si>
    <t>Nombre del producto</t>
  </si>
  <si>
    <t>Fecha</t>
  </si>
  <si>
    <t>ID Lote</t>
  </si>
  <si>
    <t>Entradas</t>
  </si>
  <si>
    <t>Salidas</t>
  </si>
  <si>
    <t>Stock</t>
  </si>
  <si>
    <t>Precio Unitario ($)</t>
  </si>
  <si>
    <t>Precio Total (Sin Envios - $)</t>
  </si>
  <si>
    <t>Costo de envio unitario</t>
  </si>
  <si>
    <t>Coste de envio total</t>
  </si>
  <si>
    <t>Precio Total (Con Envios - $)</t>
  </si>
  <si>
    <t>Precio de compra unitario</t>
  </si>
  <si>
    <t>Precio de compra total (C$)</t>
  </si>
  <si>
    <t>Precio de venta sugerido</t>
  </si>
  <si>
    <t>Precio final</t>
  </si>
  <si>
    <t>Comentarios</t>
  </si>
  <si>
    <t>IN001</t>
  </si>
  <si>
    <t>IN002</t>
  </si>
  <si>
    <t>IN003</t>
  </si>
  <si>
    <t>1- por regalia</t>
  </si>
  <si>
    <t>IN004</t>
  </si>
  <si>
    <t>IN005</t>
  </si>
  <si>
    <t>C$420</t>
  </si>
  <si>
    <t>IN006</t>
  </si>
  <si>
    <t>IN007</t>
  </si>
  <si>
    <t>IN008</t>
  </si>
  <si>
    <t>IN009</t>
  </si>
  <si>
    <t>IN010</t>
  </si>
  <si>
    <t>IN011</t>
  </si>
  <si>
    <t>IN012</t>
  </si>
  <si>
    <t>IN013</t>
  </si>
  <si>
    <t>IN014</t>
  </si>
  <si>
    <t>IN015</t>
  </si>
  <si>
    <t>IN016</t>
  </si>
  <si>
    <t>IN017</t>
  </si>
  <si>
    <t>IN018</t>
  </si>
  <si>
    <t>IN019</t>
  </si>
  <si>
    <t>IN020</t>
  </si>
  <si>
    <t>IN021</t>
  </si>
  <si>
    <t>IN022</t>
  </si>
  <si>
    <t>IN023</t>
  </si>
  <si>
    <t>IN024</t>
  </si>
  <si>
    <t>IN025</t>
  </si>
  <si>
    <t>IN026</t>
  </si>
  <si>
    <t>IN027</t>
  </si>
  <si>
    <t>IN028</t>
  </si>
  <si>
    <t>IN029</t>
  </si>
  <si>
    <t>IN030</t>
  </si>
  <si>
    <t>IN031</t>
  </si>
  <si>
    <t>IN032</t>
  </si>
  <si>
    <t>IN033</t>
  </si>
  <si>
    <t>IN034</t>
  </si>
  <si>
    <t>IN035</t>
  </si>
  <si>
    <t>IN036</t>
  </si>
  <si>
    <t>IN037</t>
  </si>
  <si>
    <t>IN038</t>
  </si>
  <si>
    <t>IN039</t>
  </si>
  <si>
    <t>IN040</t>
  </si>
  <si>
    <t>IN041</t>
  </si>
  <si>
    <t>IN042</t>
  </si>
  <si>
    <t>IN043</t>
  </si>
  <si>
    <t>IN044</t>
  </si>
  <si>
    <t>IN045</t>
  </si>
  <si>
    <t>IN046</t>
  </si>
  <si>
    <t>IN047</t>
  </si>
  <si>
    <t>IN048</t>
  </si>
  <si>
    <t>IN049</t>
  </si>
  <si>
    <t>IN050</t>
  </si>
  <si>
    <t>IN051</t>
  </si>
  <si>
    <t>IN052</t>
  </si>
  <si>
    <t>IN053</t>
  </si>
  <si>
    <t>1 dañado</t>
  </si>
  <si>
    <t>IN054</t>
  </si>
  <si>
    <t>IN055</t>
  </si>
  <si>
    <t>IN056</t>
  </si>
  <si>
    <t>IN057</t>
  </si>
  <si>
    <t>IN058</t>
  </si>
  <si>
    <t>IN059</t>
  </si>
  <si>
    <t>IN060</t>
  </si>
  <si>
    <t>IN061</t>
  </si>
  <si>
    <t>IN062</t>
  </si>
  <si>
    <t>IN063</t>
  </si>
  <si>
    <t>IN064</t>
  </si>
  <si>
    <t>IN065</t>
  </si>
  <si>
    <t>IN066</t>
  </si>
  <si>
    <t>IN067</t>
  </si>
  <si>
    <t>IN068</t>
  </si>
  <si>
    <t>IN069</t>
  </si>
  <si>
    <t>IN070</t>
  </si>
  <si>
    <t>IN071</t>
  </si>
  <si>
    <t>IN072</t>
  </si>
  <si>
    <t>IN073</t>
  </si>
  <si>
    <t>IN074</t>
  </si>
  <si>
    <t>IN075</t>
  </si>
  <si>
    <t>IN076</t>
  </si>
  <si>
    <t>IN077</t>
  </si>
  <si>
    <t>IN078</t>
  </si>
  <si>
    <t>IN079</t>
  </si>
  <si>
    <t>IN080</t>
  </si>
  <si>
    <t>IN081</t>
  </si>
  <si>
    <t>IN082</t>
  </si>
  <si>
    <t>IN083</t>
  </si>
  <si>
    <t>IN084</t>
  </si>
  <si>
    <t>IN085</t>
  </si>
  <si>
    <t>IN086</t>
  </si>
  <si>
    <t>IN087</t>
  </si>
  <si>
    <t>IN088</t>
  </si>
  <si>
    <t>IN089</t>
  </si>
  <si>
    <t>IN090</t>
  </si>
  <si>
    <t>IN091</t>
  </si>
  <si>
    <t>IN092</t>
  </si>
  <si>
    <t>IN093</t>
  </si>
  <si>
    <t>IN094</t>
  </si>
  <si>
    <t>IN095</t>
  </si>
  <si>
    <t>IN096</t>
  </si>
  <si>
    <t>IN097</t>
  </si>
  <si>
    <t>IN098</t>
  </si>
  <si>
    <t>IN099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</si>
  <si>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</si>
  <si>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</si>
  <si>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</si>
  <si>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</si>
  <si>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</si>
  <si>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</si>
  <si>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</si>
  <si>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</si>
  <si>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</si>
  <si>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</si>
  <si>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</si>
  <si>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</si>
  <si>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</si>
  <si>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</si>
  <si>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</si>
  <si>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</si>
  <si>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</si>
  <si>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</si>
  <si>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</si>
  <si>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</si>
  <si>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</si>
  <si>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</si>
  <si>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</si>
  <si>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</si>
  <si>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</si>
  <si>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</si>
  <si>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</si>
  <si>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</si>
  <si>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</si>
  <si>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</si>
  <si>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</si>
  <si>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</si>
  <si>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</si>
  <si>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</si>
  <si>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</si>
  <si>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</si>
  <si>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</si>
  <si>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</si>
  <si>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IN138</t>
  </si>
  <si>
    <t>IN139</t>
  </si>
  <si>
    <t>IN140</t>
  </si>
  <si>
    <t>IN141</t>
  </si>
  <si>
    <t>IN142</t>
  </si>
  <si>
    <t>IN143</t>
  </si>
  <si>
    <t>IN144</t>
  </si>
  <si>
    <t>IN145</t>
  </si>
  <si>
    <t>IN146</t>
  </si>
  <si>
    <t>IN147</t>
  </si>
  <si>
    <t>IN148</t>
  </si>
  <si>
    <t>IN149</t>
  </si>
  <si>
    <t>IN150</t>
  </si>
  <si>
    <t>IN151</t>
  </si>
  <si>
    <t>IN152</t>
  </si>
  <si>
    <t>IN153</t>
  </si>
  <si>
    <t>IN154</t>
  </si>
  <si>
    <t>IN155</t>
  </si>
  <si>
    <t>IN156</t>
  </si>
  <si>
    <t>IN157</t>
  </si>
  <si>
    <t>IN158</t>
  </si>
  <si>
    <t>IN159</t>
  </si>
  <si>
    <t>IN160</t>
  </si>
  <si>
    <t>IN161</t>
  </si>
  <si>
    <t>IN162</t>
  </si>
  <si>
    <t>IN163</t>
  </si>
  <si>
    <t>IN164</t>
  </si>
  <si>
    <t>Total</t>
  </si>
  <si>
    <t>Control de entradas a inventario Geox Store</t>
  </si>
  <si>
    <t>Codigo del Producto</t>
  </si>
  <si>
    <t>Cantidad</t>
  </si>
  <si>
    <t xml:space="preserve">Comentarios </t>
  </si>
  <si>
    <t>Mouse Inalambrico Shark attack X11</t>
  </si>
  <si>
    <t>LT01</t>
  </si>
  <si>
    <t>Estuche Protecto KZ</t>
  </si>
  <si>
    <t>Holder/cargador para moto</t>
  </si>
  <si>
    <t xml:space="preserve">Nintendo Switch Pro controller </t>
  </si>
  <si>
    <t>KZ EDX PRO X</t>
  </si>
  <si>
    <t>Sharck Attack R1 Negro</t>
  </si>
  <si>
    <t>KZ ZSN PRO X</t>
  </si>
  <si>
    <t>KZ Castor PRO Improved Bass</t>
  </si>
  <si>
    <t>Headset Bluetooth para moto</t>
  </si>
  <si>
    <t>KZ AZ09 Bluetooth Adapter</t>
  </si>
  <si>
    <t>KZ Saga Bass</t>
  </si>
  <si>
    <t>Cargadores USB para moto</t>
  </si>
  <si>
    <t>LT02</t>
  </si>
  <si>
    <t>Sharck Attack X11 Blanco</t>
  </si>
  <si>
    <t>Teclado Mecanico EPOMaker Galaxy100 Lite</t>
  </si>
  <si>
    <t>LT03</t>
  </si>
  <si>
    <t>Halogenos Grandes</t>
  </si>
  <si>
    <t xml:space="preserve">Adaptador DAC </t>
  </si>
  <si>
    <t>Halogenos para moto</t>
  </si>
  <si>
    <t>Mouse R1 Blanco</t>
  </si>
  <si>
    <t>KZ Castor Improved Bass</t>
  </si>
  <si>
    <t>Pantalla para moto 5 inch</t>
  </si>
  <si>
    <t>Teclado Mecanico CK600</t>
  </si>
  <si>
    <t>Headset L80 Negro</t>
  </si>
  <si>
    <t>NYXI Pro controller (Orange)</t>
  </si>
  <si>
    <t>LT04</t>
  </si>
  <si>
    <t>Cargadores USB para moto (Sin pantalla)</t>
  </si>
  <si>
    <t>Teclado Mecanico K500 60%</t>
  </si>
  <si>
    <t>Monitor 34 3440x1440</t>
  </si>
  <si>
    <t>Teclado Mecanico EPOMaker Galaxy100 Lite - White</t>
  </si>
  <si>
    <t>Teclado Mecanico EPOMaker Galaxy100 Lite - Black</t>
  </si>
  <si>
    <t>NUBWO G06</t>
  </si>
  <si>
    <t>Monitor 1080 27 pulgadas</t>
  </si>
  <si>
    <t>LT05</t>
  </si>
  <si>
    <t>Onikuma B90</t>
  </si>
  <si>
    <t>Monter MQT39</t>
  </si>
  <si>
    <t>FIFINE Headset PC</t>
  </si>
  <si>
    <t>Cable de Repuesto KZ Tipo C</t>
  </si>
  <si>
    <t>BL100 Pro HeadSet</t>
  </si>
  <si>
    <t>Estuche para Switch</t>
  </si>
  <si>
    <t>Kit con Estuche para Switch</t>
  </si>
  <si>
    <t>Pro Controller Switch</t>
  </si>
  <si>
    <t>Pide Via</t>
  </si>
  <si>
    <t xml:space="preserve">RedDragon K631 </t>
  </si>
  <si>
    <t>RedDragon H510 Zeus</t>
  </si>
  <si>
    <t xml:space="preserve">Perfume Issey Miyake </t>
  </si>
  <si>
    <t>Perfume Club de Nuite Urban Men</t>
  </si>
  <si>
    <t>Perfume Khamrah</t>
  </si>
  <si>
    <t>NYXI Pro controller (Black)</t>
  </si>
  <si>
    <t>Shark Attack L80</t>
  </si>
  <si>
    <t>Yara</t>
  </si>
  <si>
    <t>LT06</t>
  </si>
  <si>
    <t>NYXI Hyperion Pro controller</t>
  </si>
  <si>
    <t>Anker Nano 10,000 mA 30W</t>
  </si>
  <si>
    <t>Afan Supremacy</t>
  </si>
  <si>
    <t>Afan 9 PM Elixir</t>
  </si>
  <si>
    <t>Yara Candy Black</t>
  </si>
  <si>
    <t>Yara Candy Pink</t>
  </si>
  <si>
    <t>Asan bourbun</t>
  </si>
  <si>
    <t>Teclado EPOMaker Galaxy 100 Lite negro</t>
  </si>
  <si>
    <t>LT07</t>
  </si>
  <si>
    <t xml:space="preserve">Shark Attack Mouse X11 Black </t>
  </si>
  <si>
    <t>Shark Attack Mouse X11 white</t>
  </si>
  <si>
    <t>Arzopa Monitor 27 Inch 2K</t>
  </si>
  <si>
    <t>Shark Attack Mouse X11 Black</t>
  </si>
  <si>
    <t>Watch case</t>
  </si>
  <si>
    <t>Teclado Mecanico Machenike K500</t>
  </si>
  <si>
    <t>LT08</t>
  </si>
  <si>
    <t>Teclado EPOMaker Galaxy 100 Lite blanco</t>
  </si>
  <si>
    <t>Mojave Ghost</t>
  </si>
  <si>
    <t xml:space="preserve">Versache eros flame </t>
  </si>
  <si>
    <t>LT09</t>
  </si>
  <si>
    <t>Nubwo G06</t>
  </si>
  <si>
    <t>LT10</t>
  </si>
  <si>
    <t xml:space="preserve">LinYubo Switch controller </t>
  </si>
  <si>
    <t>Cargador Samsung 45W</t>
  </si>
  <si>
    <t>Cable USB 45W</t>
  </si>
  <si>
    <t xml:space="preserve">Mouse ReDragon M991 </t>
  </si>
  <si>
    <t xml:space="preserve">Lataffa Khamrah </t>
  </si>
  <si>
    <t>Acqua di gio giorgio Armani</t>
  </si>
  <si>
    <t>Shark Attack Mouse X6</t>
  </si>
  <si>
    <t>9PM</t>
  </si>
  <si>
    <t>Mandarin Sky</t>
  </si>
  <si>
    <t>LT11</t>
  </si>
  <si>
    <t>Headset Bluetooth para moto (Regular)</t>
  </si>
  <si>
    <t>LT12</t>
  </si>
  <si>
    <t>Headset Bluetooth para moto (Camores)</t>
  </si>
  <si>
    <t>Headset Bluetooth para moto (Y20)</t>
  </si>
  <si>
    <t>Headset Bluetooth para moto (C50)</t>
  </si>
  <si>
    <t>Headset Bluetooth para moto (Y12)</t>
  </si>
  <si>
    <t>Headset Bluetooth para moto (Y10)</t>
  </si>
  <si>
    <t>KZ castor Pro</t>
  </si>
  <si>
    <t>KZ EDX Pro X</t>
  </si>
  <si>
    <t>KZ Castor Pro</t>
  </si>
  <si>
    <t>Kit Estuche para Nintendo Switch</t>
  </si>
  <si>
    <t>Holder para carro</t>
  </si>
  <si>
    <t xml:space="preserve">Attack Shark Mouse X11 negro </t>
  </si>
  <si>
    <t>Attack Shark Mouse X11 Rojo</t>
  </si>
  <si>
    <t>KZ AZ09</t>
  </si>
  <si>
    <t>KZ EDX lite</t>
  </si>
  <si>
    <t>Pantalla para moto de 5 pulgadas</t>
  </si>
  <si>
    <t>KZ Libra</t>
  </si>
  <si>
    <t xml:space="preserve">KZ EDC Pro </t>
  </si>
  <si>
    <t>KZ EDA</t>
  </si>
  <si>
    <t xml:space="preserve">Cargadores para carro </t>
  </si>
  <si>
    <t>Bolso Protector Audifonos KZ</t>
  </si>
  <si>
    <t>LT13</t>
  </si>
  <si>
    <t>Pantalla para moto C5000 con camaras</t>
  </si>
  <si>
    <t>Mouse AJAZZ AJ179 Pro</t>
  </si>
  <si>
    <t>KZ AE01</t>
  </si>
  <si>
    <t xml:space="preserve">KZ Krilla </t>
  </si>
  <si>
    <t>KZ ZSN PRO 2</t>
  </si>
  <si>
    <t>KZ Castor</t>
  </si>
  <si>
    <t xml:space="preserve">KZ ZST </t>
  </si>
  <si>
    <t>KZ DQS</t>
  </si>
  <si>
    <t>KZ SKS</t>
  </si>
  <si>
    <t>KZ AZ15</t>
  </si>
  <si>
    <t>Mouse Attack Shark R6</t>
  </si>
  <si>
    <t>KZ PRX</t>
  </si>
  <si>
    <t>Control de ventas Geox Store</t>
  </si>
  <si>
    <t>Brian</t>
  </si>
  <si>
    <t>Pagado</t>
  </si>
  <si>
    <t>Mama</t>
  </si>
  <si>
    <t>Se deposito 968.36</t>
  </si>
  <si>
    <t>Gerald</t>
  </si>
  <si>
    <t>Yolanda</t>
  </si>
  <si>
    <t>Pagado 190</t>
  </si>
  <si>
    <t>Pagado 420</t>
  </si>
  <si>
    <t xml:space="preserve">Depositado 1522 </t>
  </si>
  <si>
    <t>Camilo cancelado</t>
  </si>
  <si>
    <t>Sergio</t>
  </si>
  <si>
    <t>Larry cancelado</t>
  </si>
  <si>
    <t>Chino cancelado</t>
  </si>
  <si>
    <t xml:space="preserve">Marcos cancelado </t>
  </si>
  <si>
    <t xml:space="preserve">se cancelo 2021 </t>
  </si>
  <si>
    <t>Pague 2930 cordobas</t>
  </si>
  <si>
    <t>Guisel</t>
  </si>
  <si>
    <t>Chino OLK cancelado</t>
  </si>
  <si>
    <t>Ricardo cancelado</t>
  </si>
  <si>
    <t>Niquirana cancelado</t>
  </si>
  <si>
    <t>Fernando cancelado</t>
  </si>
  <si>
    <t>Francisco Pagado</t>
  </si>
  <si>
    <t>Francisco cancelado</t>
  </si>
  <si>
    <t xml:space="preserve">Pagado </t>
  </si>
  <si>
    <t>Papa</t>
  </si>
  <si>
    <t xml:space="preserve">Sergio </t>
  </si>
  <si>
    <t>Sherda Pagado</t>
  </si>
  <si>
    <t>Pagado 1690</t>
  </si>
  <si>
    <t>Chino SPO cancelado</t>
  </si>
  <si>
    <t>Oscar SME cancelado</t>
  </si>
  <si>
    <t>Katherine cancelado</t>
  </si>
  <si>
    <t xml:space="preserve">Manuel cancelado </t>
  </si>
  <si>
    <t>Pagado 440</t>
  </si>
  <si>
    <t>Dwayne debe C$1200</t>
  </si>
  <si>
    <t>Pagado 1201</t>
  </si>
  <si>
    <t>Jorge cancelado</t>
  </si>
  <si>
    <t>Sherda Cancelado</t>
  </si>
  <si>
    <t>Gerald Debe $60</t>
  </si>
  <si>
    <t>Pagado 3173</t>
  </si>
  <si>
    <t>Chino debe C$1200</t>
  </si>
  <si>
    <t>Inyoung cancelado</t>
  </si>
  <si>
    <t xml:space="preserve">Gerald </t>
  </si>
  <si>
    <t xml:space="preserve">Jaoska </t>
  </si>
  <si>
    <t>Jaoska</t>
  </si>
  <si>
    <t>Pendiente</t>
  </si>
  <si>
    <t>Dina pendiente $70</t>
  </si>
  <si>
    <t>Gerald debe C$700</t>
  </si>
  <si>
    <t>Gerald debe C$1400</t>
  </si>
  <si>
    <t xml:space="preserve">Guisel </t>
  </si>
  <si>
    <t xml:space="preserve"> </t>
  </si>
  <si>
    <t>Gastos Fijos del mes</t>
  </si>
  <si>
    <t>Porcentaje</t>
  </si>
  <si>
    <t>Prestamo Mama (PM)</t>
  </si>
  <si>
    <t>Gastos basciso de la casa (GC)</t>
  </si>
  <si>
    <t>Prestamo Carro (PC)</t>
  </si>
  <si>
    <t>Utiles (U)</t>
  </si>
  <si>
    <t>Vendedor</t>
  </si>
  <si>
    <t>Codigo del producto</t>
  </si>
  <si>
    <t>Cantidad vendida</t>
  </si>
  <si>
    <t>Precio de venta</t>
  </si>
  <si>
    <t>Importe Total a Tienda</t>
  </si>
  <si>
    <t>Ganancia (UB)</t>
  </si>
  <si>
    <t>PM</t>
  </si>
  <si>
    <t>GC</t>
  </si>
  <si>
    <t>PC</t>
  </si>
  <si>
    <t>U</t>
  </si>
  <si>
    <t>Ganancia (N)</t>
  </si>
  <si>
    <t>Ganancia (UV)</t>
  </si>
  <si>
    <t>Ganacia (TV)</t>
  </si>
  <si>
    <t>Ganancia individual (Tienda)</t>
  </si>
  <si>
    <t>Ganancia total (Tienda)</t>
  </si>
  <si>
    <t>Coste de inversion recuperado</t>
  </si>
  <si>
    <t xml:space="preserve">Estado </t>
  </si>
  <si>
    <t>Comentario</t>
  </si>
  <si>
    <t>Jerry debe $110</t>
  </si>
  <si>
    <t>Yolanda debe C$1800</t>
  </si>
  <si>
    <t xml:space="preserve">Braulio </t>
  </si>
  <si>
    <t>Angel cancelado</t>
  </si>
  <si>
    <t>Angel debe C$90</t>
  </si>
  <si>
    <t>Camilo debe C$ 700</t>
  </si>
  <si>
    <t>.</t>
  </si>
  <si>
    <t xml:space="preserve">Reporteria para control de inversion </t>
  </si>
  <si>
    <t xml:space="preserve">Fecha Referfencia Inicio </t>
  </si>
  <si>
    <t>Fecha Referfencia Fin</t>
  </si>
  <si>
    <t>Mes</t>
  </si>
  <si>
    <t>Total Pagado en productos (Sin Envios)</t>
  </si>
  <si>
    <t>Coste Total Pagado en envios</t>
  </si>
  <si>
    <t>Total pagado con envios</t>
  </si>
  <si>
    <t xml:space="preserve">Fecha Referencia Inicio </t>
  </si>
  <si>
    <t>Importe Total A La Tienda</t>
  </si>
  <si>
    <t>Coste De Inversion Recuperado</t>
  </si>
  <si>
    <t>Coste De Inversion Recuperado $</t>
  </si>
  <si>
    <t>Ganancia de la tienda</t>
  </si>
  <si>
    <t>Ganancia de la tienda ($)</t>
  </si>
  <si>
    <t xml:space="preserve">Coste total pagado en vendedores </t>
  </si>
  <si>
    <t>Coste total pagado en vendedores ($)</t>
  </si>
  <si>
    <t>Gastos sacados de la tienda</t>
  </si>
  <si>
    <t>-65 Dolares Disk drive
-3100 cordobas cocina y telefono</t>
  </si>
  <si>
    <t>-3100 cordobas cocina y telefono
-2790 cordobas de pintura del cuarto</t>
  </si>
  <si>
    <t>-750 cordobas publicidad 
-1800 cocina
$100 dolares regalo de mama</t>
  </si>
  <si>
    <t>ID</t>
  </si>
  <si>
    <t>Nombre del Producto</t>
  </si>
  <si>
    <t>Cantidades</t>
  </si>
  <si>
    <t>Precio total pagado</t>
  </si>
  <si>
    <t>Purchased Date</t>
  </si>
  <si>
    <t>Tracking Number</t>
  </si>
  <si>
    <t>Status</t>
  </si>
  <si>
    <t>P1</t>
  </si>
  <si>
    <t>EPOMAKER Galaxy100 Lite Blanco</t>
  </si>
  <si>
    <t>P2</t>
  </si>
  <si>
    <t>KZ Castor Pro Improved Bass</t>
  </si>
  <si>
    <t>P3</t>
  </si>
  <si>
    <t xml:space="preserve">KZ EDX Pro X </t>
  </si>
  <si>
    <t>P4</t>
  </si>
  <si>
    <t xml:space="preserve">KZ AZ09 </t>
  </si>
  <si>
    <t>P5</t>
  </si>
  <si>
    <t>Headset Bluetooth moto</t>
  </si>
  <si>
    <t>P6</t>
  </si>
  <si>
    <t>EPOMAKER Galaxy100 Lite Negro</t>
  </si>
  <si>
    <t>P7</t>
  </si>
  <si>
    <t>Shark Attack X11 Blanco</t>
  </si>
  <si>
    <t>P8</t>
  </si>
  <si>
    <t>Cargador USB para moto</t>
  </si>
  <si>
    <t>P9</t>
  </si>
  <si>
    <t>Adaptador DAC</t>
  </si>
  <si>
    <t>P10</t>
  </si>
  <si>
    <t>Kit de Halogenos</t>
  </si>
  <si>
    <t>P11</t>
  </si>
  <si>
    <t>P12</t>
  </si>
  <si>
    <t>P13</t>
  </si>
  <si>
    <t>Shark Attack Mouse R1 trimode</t>
  </si>
  <si>
    <t>P14</t>
  </si>
  <si>
    <t>Halogenos Grande</t>
  </si>
  <si>
    <t>P15</t>
  </si>
  <si>
    <t xml:space="preserve">Headset L80 Shark Attack </t>
  </si>
  <si>
    <t>P16</t>
  </si>
  <si>
    <t xml:space="preserve">Teclado Machenike CK600 </t>
  </si>
  <si>
    <t>P17</t>
  </si>
  <si>
    <t>Pantallas para moto 5 inch</t>
  </si>
  <si>
    <t>P18</t>
  </si>
  <si>
    <t xml:space="preserve">Monitor curvo 34 inch </t>
  </si>
  <si>
    <t>P19</t>
  </si>
  <si>
    <t>P20</t>
  </si>
  <si>
    <t>P21</t>
  </si>
  <si>
    <t>P22</t>
  </si>
  <si>
    <t>P23</t>
  </si>
  <si>
    <t>Monitor Arzopa 27 inch</t>
  </si>
  <si>
    <t>P24</t>
  </si>
  <si>
    <t>Garden Monitor 27 inch</t>
  </si>
  <si>
    <t>P25</t>
  </si>
  <si>
    <t xml:space="preserve">Headset NUBWO </t>
  </si>
  <si>
    <t>P26</t>
  </si>
  <si>
    <t xml:space="preserve">NYXI Control </t>
  </si>
  <si>
    <t>P27</t>
  </si>
  <si>
    <t>Machenike CK600</t>
  </si>
  <si>
    <t>P28</t>
  </si>
  <si>
    <t>P29</t>
  </si>
  <si>
    <t xml:space="preserve">EPOMAKER Galaxy100 Lite </t>
  </si>
  <si>
    <t>P30</t>
  </si>
  <si>
    <t>Machenike K500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</si>
  <si>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</si>
  <si>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</si>
  <si>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</si>
  <si>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</si>
  <si>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</si>
  <si>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</si>
  <si>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</si>
  <si>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</si>
  <si>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</si>
  <si>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</si>
  <si>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</si>
  <si>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</si>
  <si>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</si>
  <si>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</si>
  <si>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</si>
  <si>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</si>
  <si>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</si>
  <si>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</si>
  <si>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</si>
  <si>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</si>
  <si>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</si>
  <si>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</si>
  <si>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</si>
  <si>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IN165</t>
  </si>
  <si>
    <t>LT14</t>
  </si>
  <si>
    <t>Shark Attack Mouse X11 White</t>
  </si>
  <si>
    <t>Chino Pendiente C$800</t>
  </si>
  <si>
    <t>Chino Pendiente C$1000</t>
  </si>
  <si>
    <t>Juan Pendiente C$650</t>
  </si>
  <si>
    <t>1 fue regalado</t>
  </si>
  <si>
    <t>Regalia por Cumpleaños Gerald</t>
  </si>
  <si>
    <t>1 regresado por daño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</si>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</sst>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C$&quot;#,##0.00"/>
    <numFmt numFmtId="165" formatCode="[$-409]d\-mmm\-yyyy;@"/>
    <numFmt numFmtId="166" formatCode="mmmm"/>
    <numFmt numFmtId="167" formatCode="_([$$-409]* #,##0.00_);_([$$-409]* \(#,##0.00\);_([$$-409]* &quot;-&quot;??_);_(@_)"/>
  </numFmts>
  <fonts count="2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36"/>
      <color theme="0"/>
      <name val="Segoe UI Light"/>
      <family val="2"/>
    </font>
    <font>
      <b/>
      <sz val="48"/>
      <color theme="0"/>
      <name val="Segoe UI Light"/>
      <family val="2"/>
    </font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0"/>
      <name val="Segoe UI"/>
    </font>
    <font>
      <b/>
      <sz val="12"/>
      <color rgb="FF000000"/>
      <name val="Segoe UI"/>
    </font>
    <font>
      <b/>
      <sz val="11"/>
      <color theme="1"/>
      <name val="Segoe UI"/>
    </font>
    <font>
      <sz val="11"/>
      <color theme="0"/>
      <name val="Aptos Narrow"/>
      <family val="2"/>
      <scheme val="minor"/>
    </font>
    <font>
      <sz val="22"/>
      <color theme="0"/>
      <name val="Segoe UI"/>
      <family val="2"/>
    </font>
    <font>
      <b/>
      <sz val="11"/>
      <color theme="1"/>
      <name val="Aptos Narrow"/>
      <scheme val="minor"/>
    </font>
    <font>
      <sz val="11"/>
      <color rgb="FF000000"/>
      <name val="Segoe UI"/>
      <charset val="1"/>
    </font>
    <font>
      <sz val="11"/>
      <color theme="1"/>
      <name val="Segoe UI"/>
    </font>
    <font>
      <b/>
      <sz val="12"/>
      <color theme="1"/>
      <name val="Segoe UI"/>
    </font>
    <font>
      <b/>
      <sz val="11"/>
      <name val="Segoe UI"/>
      <family val="2"/>
    </font>
    <font>
      <b/>
      <sz val="48"/>
      <name val="Segoe UI"/>
      <family val="2"/>
    </font>
    <font>
      <b/>
      <sz val="48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medium">
        <color theme="0"/>
      </bottom>
      <diagonal/>
    </border>
    <border>
      <left style="thin">
        <color theme="8"/>
      </left>
      <right style="thin">
        <color theme="8"/>
      </right>
      <top/>
      <bottom style="medium">
        <color theme="8"/>
      </bottom>
      <diagonal/>
    </border>
    <border>
      <left/>
      <right/>
      <top style="thin">
        <color theme="5"/>
      </top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99">
    <xf numFmtId="0" fontId="0" fillId="0" borderId="0" xfId="0"/>
    <xf numFmtId="164" fontId="2" fillId="0" borderId="0" xfId="0" applyNumberFormat="1" applyFont="1"/>
    <xf numFmtId="0" fontId="8" fillId="0" borderId="0" xfId="0" applyFont="1"/>
    <xf numFmtId="0" fontId="7" fillId="0" borderId="0" xfId="0" applyFont="1"/>
    <xf numFmtId="165" fontId="7" fillId="0" borderId="0" xfId="0" applyNumberFormat="1" applyFont="1"/>
    <xf numFmtId="0" fontId="7" fillId="3" borderId="0" xfId="0" applyFont="1" applyFill="1" applyAlignment="1">
      <alignment horizontal="center" vertical="center"/>
    </xf>
    <xf numFmtId="14" fontId="7" fillId="0" borderId="0" xfId="0" applyNumberFormat="1" applyFont="1"/>
    <xf numFmtId="0" fontId="10" fillId="0" borderId="0" xfId="0" applyFont="1"/>
    <xf numFmtId="0" fontId="10" fillId="0" borderId="1" xfId="0" applyFont="1" applyBorder="1"/>
    <xf numFmtId="0" fontId="11" fillId="0" borderId="0" xfId="0" applyFont="1"/>
    <xf numFmtId="164" fontId="10" fillId="0" borderId="0" xfId="0" applyNumberFormat="1" applyFont="1"/>
    <xf numFmtId="164" fontId="11" fillId="0" borderId="0" xfId="0" applyNumberFormat="1" applyFont="1"/>
    <xf numFmtId="0" fontId="7" fillId="0" borderId="0" xfId="0" applyFont="1" applyAlignment="1">
      <alignment horizontal="center" vertical="center"/>
    </xf>
    <xf numFmtId="0" fontId="12" fillId="5" borderId="0" xfId="0" applyFont="1" applyFill="1"/>
    <xf numFmtId="0" fontId="12" fillId="0" borderId="0" xfId="0" applyFont="1"/>
    <xf numFmtId="14" fontId="12" fillId="0" borderId="0" xfId="0" applyNumberFormat="1" applyFont="1" applyAlignment="1">
      <alignment vertical="top"/>
    </xf>
    <xf numFmtId="166" fontId="12" fillId="0" borderId="0" xfId="0" applyNumberFormat="1" applyFont="1"/>
    <xf numFmtId="44" fontId="12" fillId="0" borderId="0" xfId="1" applyFont="1"/>
    <xf numFmtId="44" fontId="12" fillId="0" borderId="0" xfId="0" applyNumberFormat="1" applyFont="1"/>
    <xf numFmtId="0" fontId="12" fillId="0" borderId="0" xfId="0" applyFont="1" applyAlignment="1">
      <alignment vertical="top"/>
    </xf>
    <xf numFmtId="0" fontId="14" fillId="0" borderId="0" xfId="0" applyFont="1"/>
    <xf numFmtId="0" fontId="2" fillId="0" borderId="0" xfId="0" applyFont="1"/>
    <xf numFmtId="164" fontId="14" fillId="0" borderId="0" xfId="0" applyNumberFormat="1" applyFont="1"/>
    <xf numFmtId="164" fontId="0" fillId="0" borderId="0" xfId="0" applyNumberFormat="1"/>
    <xf numFmtId="0" fontId="15" fillId="0" borderId="0" xfId="0" applyFont="1"/>
    <xf numFmtId="167" fontId="0" fillId="0" borderId="0" xfId="0" applyNumberFormat="1"/>
    <xf numFmtId="0" fontId="0" fillId="0" borderId="0" xfId="0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0" xfId="0" applyFont="1" applyFill="1" applyAlignment="1">
      <alignment vertical="center"/>
    </xf>
    <xf numFmtId="14" fontId="12" fillId="0" borderId="0" xfId="0" applyNumberFormat="1" applyFont="1" applyAlignment="1">
      <alignment vertical="center"/>
    </xf>
    <xf numFmtId="166" fontId="12" fillId="0" borderId="0" xfId="0" applyNumberFormat="1" applyFont="1" applyAlignment="1">
      <alignment horizontal="left" vertical="center"/>
    </xf>
    <xf numFmtId="164" fontId="0" fillId="0" borderId="0" xfId="1" applyNumberFormat="1" applyFont="1" applyAlignment="1">
      <alignment vertical="center"/>
    </xf>
    <xf numFmtId="167" fontId="0" fillId="0" borderId="0" xfId="1" applyNumberFormat="1" applyFont="1" applyAlignment="1">
      <alignment vertical="center"/>
    </xf>
    <xf numFmtId="164" fontId="12" fillId="7" borderId="0" xfId="1" applyNumberFormat="1" applyFont="1" applyFill="1" applyAlignment="1">
      <alignment vertical="center"/>
    </xf>
    <xf numFmtId="167" fontId="12" fillId="7" borderId="0" xfId="1" applyNumberFormat="1" applyFont="1" applyFill="1" applyAlignment="1">
      <alignment vertical="center"/>
    </xf>
    <xf numFmtId="164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164" fontId="11" fillId="0" borderId="0" xfId="0" applyNumberFormat="1" applyFont="1" applyAlignment="1">
      <alignment wrapText="1"/>
    </xf>
    <xf numFmtId="14" fontId="10" fillId="0" borderId="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14" fontId="10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left" vertical="top"/>
    </xf>
    <xf numFmtId="0" fontId="10" fillId="8" borderId="0" xfId="0" applyFont="1" applyFill="1"/>
    <xf numFmtId="164" fontId="10" fillId="8" borderId="0" xfId="0" applyNumberFormat="1" applyFont="1" applyFill="1"/>
    <xf numFmtId="164" fontId="2" fillId="8" borderId="0" xfId="0" applyNumberFormat="1" applyFont="1" applyFill="1"/>
    <xf numFmtId="14" fontId="10" fillId="8" borderId="0" xfId="0" applyNumberFormat="1" applyFont="1" applyFill="1" applyAlignment="1">
      <alignment vertical="center"/>
    </xf>
    <xf numFmtId="14" fontId="16" fillId="0" borderId="0" xfId="0" applyNumberFormat="1" applyFont="1"/>
    <xf numFmtId="164" fontId="17" fillId="8" borderId="0" xfId="0" applyNumberFormat="1" applyFont="1" applyFill="1"/>
    <xf numFmtId="14" fontId="17" fillId="8" borderId="0" xfId="0" applyNumberFormat="1" applyFont="1" applyFill="1" applyAlignment="1">
      <alignment vertical="center"/>
    </xf>
    <xf numFmtId="0" fontId="17" fillId="8" borderId="0" xfId="0" applyFont="1" applyFill="1"/>
    <xf numFmtId="0" fontId="0" fillId="8" borderId="0" xfId="0" applyFill="1"/>
    <xf numFmtId="164" fontId="17" fillId="0" borderId="0" xfId="0" applyNumberFormat="1" applyFont="1"/>
    <xf numFmtId="14" fontId="17" fillId="0" borderId="0" xfId="0" applyNumberFormat="1" applyFont="1" applyAlignment="1">
      <alignment vertical="center"/>
    </xf>
    <xf numFmtId="0" fontId="17" fillId="0" borderId="0" xfId="0" applyFont="1"/>
    <xf numFmtId="0" fontId="9" fillId="0" borderId="0" xfId="0" applyFont="1"/>
    <xf numFmtId="0" fontId="1" fillId="0" borderId="0" xfId="0" applyFont="1"/>
    <xf numFmtId="0" fontId="14" fillId="8" borderId="0" xfId="0" applyFont="1" applyFill="1"/>
    <xf numFmtId="164" fontId="14" fillId="8" borderId="0" xfId="0" applyNumberFormat="1" applyFont="1" applyFill="1"/>
    <xf numFmtId="0" fontId="18" fillId="0" borderId="0" xfId="0" applyFont="1"/>
    <xf numFmtId="0" fontId="18" fillId="0" borderId="0" xfId="0" applyFont="1" applyAlignment="1">
      <alignment wrapText="1"/>
    </xf>
    <xf numFmtId="44" fontId="7" fillId="0" borderId="0" xfId="1" applyFont="1" applyFill="1"/>
    <xf numFmtId="164" fontId="7" fillId="0" borderId="0" xfId="0" applyNumberFormat="1" applyFont="1"/>
    <xf numFmtId="164" fontId="7" fillId="0" borderId="0" xfId="0" applyNumberFormat="1" applyFont="1" applyAlignment="1">
      <alignment horizontal="right"/>
    </xf>
    <xf numFmtId="44" fontId="7" fillId="0" borderId="0" xfId="1" applyFont="1" applyFill="1" applyAlignment="1">
      <alignment wrapText="1"/>
    </xf>
    <xf numFmtId="9" fontId="0" fillId="0" borderId="0" xfId="0" applyNumberFormat="1"/>
    <xf numFmtId="0" fontId="11" fillId="0" borderId="3" xfId="0" applyFont="1" applyBorder="1"/>
    <xf numFmtId="0" fontId="2" fillId="0" borderId="3" xfId="0" applyFont="1" applyBorder="1"/>
    <xf numFmtId="14" fontId="0" fillId="0" borderId="0" xfId="0" applyNumberFormat="1"/>
    <xf numFmtId="14" fontId="10" fillId="0" borderId="1" xfId="0" applyNumberFormat="1" applyFont="1" applyBorder="1"/>
    <xf numFmtId="14" fontId="10" fillId="0" borderId="0" xfId="0" applyNumberFormat="1" applyFont="1"/>
    <xf numFmtId="14" fontId="9" fillId="0" borderId="0" xfId="0" applyNumberFormat="1" applyFont="1" applyAlignment="1">
      <alignment vertical="center"/>
    </xf>
    <xf numFmtId="14" fontId="11" fillId="0" borderId="3" xfId="0" applyNumberFormat="1" applyFont="1" applyBorder="1" applyAlignment="1">
      <alignment vertical="center"/>
    </xf>
    <xf numFmtId="14" fontId="11" fillId="0" borderId="0" xfId="0" applyNumberFormat="1" applyFont="1" applyAlignment="1">
      <alignment vertical="center"/>
    </xf>
    <xf numFmtId="0" fontId="0" fillId="0" borderId="4" xfId="0" applyBorder="1" applyAlignment="1">
      <alignment horizontal="left"/>
    </xf>
    <xf numFmtId="9" fontId="0" fillId="0" borderId="4" xfId="0" applyNumberFormat="1" applyBorder="1" applyAlignment="1">
      <alignment horizontal="left"/>
    </xf>
    <xf numFmtId="0" fontId="11" fillId="8" borderId="0" xfId="0" applyFont="1" applyFill="1"/>
    <xf numFmtId="14" fontId="11" fillId="8" borderId="0" xfId="0" applyNumberFormat="1" applyFont="1" applyFill="1" applyAlignment="1">
      <alignment vertical="center"/>
    </xf>
    <xf numFmtId="164" fontId="11" fillId="8" borderId="0" xfId="0" applyNumberFormat="1" applyFont="1" applyFill="1"/>
    <xf numFmtId="0" fontId="2" fillId="8" borderId="0" xfId="0" applyFont="1" applyFill="1"/>
    <xf numFmtId="0" fontId="7" fillId="0" borderId="0" xfId="0" quotePrefix="1" applyFont="1"/>
    <xf numFmtId="0" fontId="11" fillId="9" borderId="0" xfId="0" applyFont="1" applyFill="1"/>
    <xf numFmtId="14" fontId="11" fillId="9" borderId="0" xfId="0" applyNumberFormat="1" applyFont="1" applyFill="1" applyAlignment="1">
      <alignment vertical="center"/>
    </xf>
    <xf numFmtId="164" fontId="11" fillId="9" borderId="0" xfId="0" applyNumberFormat="1" applyFont="1" applyFill="1"/>
    <xf numFmtId="164" fontId="2" fillId="9" borderId="0" xfId="0" applyNumberFormat="1" applyFont="1" applyFill="1"/>
    <xf numFmtId="0" fontId="2" fillId="9" borderId="0" xfId="0" applyFont="1" applyFill="1"/>
    <xf numFmtId="0" fontId="0" fillId="9" borderId="0" xfId="0" applyFill="1"/>
    <xf numFmtId="14" fontId="8" fillId="0" borderId="0" xfId="0" applyNumberFormat="1" applyFont="1" applyAlignment="1">
      <alignment vertical="center"/>
    </xf>
    <xf numFmtId="164" fontId="8" fillId="0" borderId="0" xfId="0" applyNumberFormat="1" applyFont="1"/>
    <xf numFmtId="164" fontId="8" fillId="0" borderId="0" xfId="0" applyNumberFormat="1" applyFont="1" applyAlignment="1">
      <alignment vertical="center"/>
    </xf>
    <xf numFmtId="0" fontId="0" fillId="4" borderId="0" xfId="0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20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  <alignment horizontal="general" vertical="center" textRotation="0" wrapText="0" indent="0" justifyLastLine="0" shrinkToFit="0" readingOrder="0"/>
    </dxf>
    <dxf>
      <numFmt numFmtId="19" formatCode="m/d/yyyy"/>
      <alignment horizontal="left" vertical="center" textRotation="0" wrapText="0" indent="0" justifyLastLine="0" shrinkToFit="0" readingOrder="0"/>
    </dxf>
    <dxf>
      <numFmt numFmtId="19" formatCode="m/d/yyyy"/>
      <alignment horizontal="left" vertical="center" textRotation="0" wrapText="0" indent="0" justifyLastLine="0" shrinkToFit="0" readingOrder="0"/>
    </dxf>
    <dxf>
      <numFmt numFmtId="167" formatCode="_([$$-409]* #,##0.00_);_([$$-409]* \(#,##0.00\);_([$$-409]* &quot;-&quot;??_);_(@_)"/>
      <alignment horizontal="left" vertical="center" textRotation="0" wrapText="0" indent="0" justifyLastLine="0" shrinkToFit="0" readingOrder="0"/>
    </dxf>
    <dxf>
      <numFmt numFmtId="167" formatCode="_([$$-409]* #,##0.00_);_([$$-409]* \(#,##0.00\);_([$$-409]* &quot;-&quot;??_);_(@_)"/>
      <alignment horizontal="left" vertical="center" textRotation="0" wrapText="0" indent="0" justifyLastLine="0" shrinkToFit="0" readingOrder="0"/>
    </dxf>
    <dxf>
      <alignment vertical="center"/>
    </dxf>
    <dxf>
      <numFmt numFmtId="167" formatCode="_([$$-409]* #,##0.00_);_([$$-409]* \(#,##0.00\);_([$$-409]* &quot;-&quot;??_);_(@_)"/>
    </dxf>
    <dxf>
      <numFmt numFmtId="167" formatCode="_([$$-409]* #,##0.00_);_([$$-409]* \(#,##0.00\);_([$$-409]* &quot;-&quot;??_);_(@_)"/>
      <alignment vertical="center"/>
    </dxf>
    <dxf>
      <numFmt numFmtId="164" formatCode="&quot;C$&quot;#,##0.00"/>
    </dxf>
    <dxf>
      <numFmt numFmtId="164" formatCode="&quot;C$&quot;#,##0.00"/>
      <alignment vertical="center"/>
    </dxf>
    <dxf>
      <numFmt numFmtId="167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7" formatCode="_([$$-409]* #,##0.00_);_([$$-409]* \(#,##0.00\);_([$$-409]* &quot;-&quot;??_);_(@_)"/>
      <fill>
        <patternFill patternType="solid">
          <fgColor theme="4" tint="-0.249977111117893"/>
          <bgColor theme="4" tint="-0.249977111117893"/>
        </patternFill>
      </fill>
      <alignment vertical="center"/>
    </dxf>
    <dxf>
      <numFmt numFmtId="164" formatCode="&quot;C$&quot;#,##0.00"/>
    </dxf>
    <dxf>
      <numFmt numFmtId="164" formatCode="&quot;C$&quot;#,##0.00"/>
      <alignment vertical="center"/>
    </dxf>
    <dxf>
      <numFmt numFmtId="167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([$$-409]* #,##0.00_);_([$$-409]* \(#,##0.00\);_([$$-409]* &quot;-&quot;??_);_(@_)"/>
      <alignment vertical="center"/>
    </dxf>
    <dxf>
      <numFmt numFmtId="164" formatCode="&quot;C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  <alignment vertical="center"/>
    </dxf>
    <dxf>
      <numFmt numFmtId="164" formatCode="&quot;C$&quot;#,##0.00"/>
    </dxf>
    <dxf>
      <numFmt numFmtId="164" formatCode="&quot;C$&quot;#,##0.00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mmmm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9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9" formatCode="m/d/yyyy"/>
      <alignment horizontal="general" vertical="center" textRotation="0" wrapText="0" indent="0" justifyLastLine="0" shrinkToFit="0" readingOrder="0"/>
    </dxf>
    <dxf>
      <alignment vertical="center"/>
    </dxf>
    <dxf>
      <alignment vertical="center"/>
    </dxf>
    <dxf>
      <numFmt numFmtId="167" formatCode="_([$$-409]* #,##0.00_);_([$$-409]* \(#,##0.00\);_([$$-409]* &quot;-&quot;??_);_(@_)"/>
    </dxf>
    <dxf>
      <numFmt numFmtId="167" formatCode="_([$$-409]* #,##0.00_);_([$$-409]* \(#,##0.00\);_([$$-409]* &quot;-&quot;??_);_(@_)"/>
      <alignment vertical="center"/>
    </dxf>
    <dxf>
      <numFmt numFmtId="164" formatCode="&quot;C$&quot;#,##0.00"/>
    </dxf>
    <dxf>
      <numFmt numFmtId="164" formatCode="&quot;C$&quot;#,##0.00"/>
      <alignment vertical="center"/>
    </dxf>
    <dxf>
      <numFmt numFmtId="167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7" formatCode="_([$$-409]* #,##0.00_);_([$$-409]* \(#,##0.00\);_([$$-409]* &quot;-&quot;??_);_(@_)"/>
      <fill>
        <patternFill patternType="solid">
          <fgColor theme="4" tint="-0.249977111117893"/>
          <bgColor theme="4" tint="-0.249977111117893"/>
        </patternFill>
      </fill>
      <alignment vertical="center"/>
    </dxf>
    <dxf>
      <numFmt numFmtId="164" formatCode="&quot;C$&quot;#,##0.00"/>
    </dxf>
    <dxf>
      <numFmt numFmtId="164" formatCode="&quot;C$&quot;#,##0.00"/>
      <alignment vertical="center"/>
    </dxf>
    <dxf>
      <numFmt numFmtId="167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([$$-409]* #,##0.00_);_([$$-409]* \(#,##0.00\);_([$$-409]* &quot;-&quot;??_);_(@_)"/>
      <alignment vertical="center"/>
    </dxf>
    <dxf>
      <numFmt numFmtId="164" formatCode="&quot;C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  <alignment vertical="center"/>
    </dxf>
    <dxf>
      <numFmt numFmtId="164" formatCode="&quot;C$&quot;#,##0.00"/>
    </dxf>
    <dxf>
      <numFmt numFmtId="164" formatCode="&quot;C$&quot;#,##0.00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mmmm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9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9" formatCode="m/d/yyyy"/>
      <alignment horizontal="general" vertical="center" textRotation="0" wrapText="0" indent="0" justifyLastLine="0" shrinkToFit="0" readingOrder="0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color theme="0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color theme="0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theme="0"/>
      </font>
      <numFmt numFmtId="166" formatCode="m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theme="0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theme="0"/>
      </font>
      <numFmt numFmtId="19" formatCode="m/d/yyyy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b/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left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/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  <fill>
        <patternFill patternType="none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  <fill>
        <patternFill patternType="none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  <fill>
        <patternFill patternType="none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64" formatCode="&quot;C$&quot;#,##0.00"/>
      <fill>
        <patternFill patternType="none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64" formatCode="&quot;C$&quot;#,##0.00"/>
      <fill>
        <patternFill patternType="none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64" formatCode="&quot;C$&quot;#,##0.0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64" formatCode="&quot;C$&quot;#,##0.00"/>
      <fill>
        <patternFill patternType="none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64" formatCode="&quot;C$&quot;#,##0.0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64" formatCode="&quot;C$&quot;#,##0.0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64" formatCode="&quot;C$&quot;#,##0.0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64" formatCode="&quot;C$&quot;#,##0.0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64" formatCode="&quot;C$&quot;#,##0.00"/>
      <fill>
        <patternFill patternType="none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64" formatCode="&quot;C$&quot;#,##0.00"/>
      <fill>
        <patternFill patternType="none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fill>
        <patternFill patternType="none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fill>
        <patternFill patternType="none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fill>
        <patternFill patternType="none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9" formatCode="m/d/yyyy"/>
      <fill>
        <patternFill patternType="none">
          <fgColor indexed="64"/>
          <bgColor theme="8" tint="-0.499984740745262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fill>
        <patternFill patternType="none">
          <fgColor indexed="64"/>
          <bgColor theme="8" tint="-0.499984740745262"/>
        </patternFill>
      </fill>
    </dxf>
    <dxf>
      <numFmt numFmtId="164" formatCode="&quot;C$&quot;#,##0.00"/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theme="8" tint="-0.499984740745262"/>
        </patternFill>
      </fill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theme="8" tint="-0.499984740745262"/>
        </patternFill>
      </fill>
      <border diagonalUp="0" diagonalDown="0">
        <left style="thin">
          <color theme="8"/>
        </left>
        <right style="thin">
          <color theme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"/>
        <scheme val="minor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fill>
        <patternFill patternType="solid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"/>
        <scheme val="minor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fill>
        <patternFill patternType="solid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fill>
        <patternFill patternType="solid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&quot;C$&quot;#,##0.00"/>
    </dxf>
    <dxf>
      <font>
        <b/>
        <strike val="0"/>
        <outline val="0"/>
        <shadow val="0"/>
        <u val="none"/>
        <vertAlign val="baseline"/>
        <sz val="11"/>
        <color theme="1"/>
        <name val="Segoe UI"/>
        <scheme val="minor"/>
      </font>
      <numFmt numFmtId="164" formatCode="&quot;C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fill>
        <patternFill patternType="solid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scheme val="none"/>
      </font>
    </dxf>
    <dxf>
      <font>
        <b/>
        <strike val="0"/>
        <outline val="0"/>
        <shadow val="0"/>
        <u val="none"/>
        <vertAlign val="baseline"/>
        <sz val="12"/>
        <color rgb="FF000000"/>
        <name val="Segoe UI"/>
        <scheme val="none"/>
      </font>
      <numFmt numFmtId="164" formatCode="&quot;C$&quot;#,##0.0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fill>
        <patternFill patternType="solid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scheme val="none"/>
      </font>
    </dxf>
    <dxf>
      <font>
        <b/>
        <strike val="0"/>
        <outline val="0"/>
        <shadow val="0"/>
        <u val="none"/>
        <vertAlign val="baseline"/>
        <sz val="12"/>
        <color rgb="FF000000"/>
        <name val="Segoe UI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fill>
        <patternFill patternType="solid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fill>
        <patternFill patternType="solid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scheme val="none"/>
      </font>
    </dxf>
    <dxf>
      <font>
        <b/>
        <strike val="0"/>
        <outline val="0"/>
        <shadow val="0"/>
        <u val="none"/>
        <vertAlign val="baseline"/>
        <sz val="12"/>
        <color rgb="FF000000"/>
        <name val="Segoe UI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fill>
        <patternFill patternType="solid">
          <fgColor indexed="64"/>
          <bgColor theme="8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scheme val="none"/>
      </font>
      <numFmt numFmtId="19" formatCode="m/d/yyyy"/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0000"/>
        <name val="Segoe UI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scheme val="none"/>
      </font>
    </dxf>
    <dxf>
      <font>
        <b/>
        <strike val="0"/>
        <outline val="0"/>
        <shadow val="0"/>
        <u val="none"/>
        <vertAlign val="baseline"/>
        <sz val="12"/>
        <color rgb="FF000000"/>
        <name val="Segoe UI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fill>
        <patternFill patternType="solid">
          <fgColor indexed="64"/>
          <bgColor theme="8" tint="-0.499984740745262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</dxf>
  </dxfs>
  <tableStyles count="0" defaultTableStyle="TableStyleMedium2" defaultPivotStyle="PivotStyleLight16"/>
  <colors>
    <mruColors>
      <color rgb="FFFFFF00"/>
      <color rgb="FFE3E314"/>
      <color rgb="FF00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1">
    <fb t="e">#REF!</fb>
    <v>3</v>
    <v>1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error">
    <k n="errorType" t="i"/>
    <k n="subType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A5D674-2422-4563-A58B-D68F7BF0C786}" name="Stock" displayName="Stock" ref="A3:Q187" totalsRowCount="1" headerRowDxfId="112" dataDxfId="111" totalsRowDxfId="110">
  <autoFilter ref="A3:Q186" xr:uid="{F4A5D674-2422-4563-A58B-D68F7BF0C786}">
    <filterColumn colId="6">
      <filters>
        <filter val="1"/>
        <filter val="10"/>
        <filter val="12"/>
        <filter val="14"/>
        <filter val="19"/>
        <filter val="2"/>
        <filter val="3"/>
        <filter val="4"/>
        <filter val="5"/>
        <filter val="8"/>
        <filter val="9"/>
      </filters>
    </filterColumn>
    <filterColumn colId="16">
      <filters blank="1">
        <filter val="1 fue regalado"/>
      </filters>
    </filterColumn>
  </autoFilter>
  <sortState xmlns:xlrd2="http://schemas.microsoft.com/office/spreadsheetml/2017/richdata2" ref="A134:Q166">
    <sortCondition descending="1" ref="O3:O186"/>
  </sortState>
  <tableColumns count="17">
    <tableColumn id="1" xr3:uid="{F3DB7AAC-34BD-4F6E-AA5B-E6246EA7EE39}" name="Codigo del producto " totalsRowLabel="Total" dataDxfId="109" totalsRowDxfId="108"/>
    <tableColumn id="2" xr3:uid="{BBDA0CEF-CD49-4301-97C1-143DA2CF5405}" name="Nombre del producto" dataDxfId="107" totalsRowDxfId="106">
      <calculatedColumnFormula>VLOOKUP(Stock[[#This Row],[Codigo del producto ]],Entradas[],3,FALSE)</calculatedColumnFormula>
    </tableColumn>
    <tableColumn id="11" xr3:uid="{01162A93-455C-4CE6-8B8D-6D6FFBC7588F}" name="Fecha" dataDxfId="105" totalsRowDxfId="104">
      <calculatedColumnFormula>VLOOKUP(Stock[[#This Row],[Codigo del producto ]],Entradas[],2,FALSE)</calculatedColumnFormula>
    </tableColumn>
    <tableColumn id="3" xr3:uid="{37BF592F-6967-40D6-BCE5-AE0363F4F2BB}" name="ID Lote" dataDxfId="103" totalsRowDxfId="102">
      <calculatedColumnFormula>IFERROR(VLOOKUP(Stock[[#This Row],[Codigo del producto ]],Entradas[],4,FALSE),"-")</calculatedColumnFormula>
    </tableColumn>
    <tableColumn id="4" xr3:uid="{56209912-5D45-44B6-B520-F6788BDE85F0}" name="Entradas" dataDxfId="101" totalsRowDxfId="100">
      <calculatedColumnFormula>IFERROR(VLOOKUP(Stock[[#This Row],[Codigo del producto ]],Entradas[],5,FALSE),"-")</calculatedColumnFormula>
    </tableColumn>
    <tableColumn id="5" xr3:uid="{BB7CF799-9DFD-4EBF-B357-7169E36A184D}" name="Salidas" dataDxfId="99" totalsRowDxfId="98">
      <calculatedColumnFormula>IFERROR(SUMIFS(Pagos[Cantidad vendida], Pagos[Codigo del producto], Stock[[#This Row],[Codigo del producto ]]) + SUMIFS(PagosV2[Cantidad vendida], PagosV2[Codigo del producto], Stock[[#This Row],[Codigo del producto ]]), "-")</calculatedColumnFormula>
    </tableColumn>
    <tableColumn id="6" xr3:uid="{9BEAC8B4-9CEA-443C-A6AE-9430026385DD}" name="Stock" dataDxfId="97" totalsRowDxfId="96">
      <calculatedColumnFormula>IFERROR(Stock[[#This Row],[Entradas]]-Stock[[#This Row],[Salidas]],"-")</calculatedColumnFormula>
    </tableColumn>
    <tableColumn id="7" xr3:uid="{C2454C90-FC27-4446-BA15-BF0362018000}" name="Precio Unitario ($)" dataDxfId="95" totalsRowDxfId="94" dataCellStyle="Currency"/>
    <tableColumn id="15" xr3:uid="{41CAEAD4-789B-4655-90D0-543900F960E1}" name="Precio Total (Sin Envios - $)" totalsRowFunction="custom" dataDxfId="93" totalsRowDxfId="92" dataCellStyle="Currency">
      <calculatedColumnFormula>Stock[[#This Row],[Entradas]]*Stock[[#This Row],[Precio Unitario ($)]]</calculatedColumnFormula>
      <totalsRowFormula>SUBTOTAL(109,I4:I186)</totalsRowFormula>
    </tableColumn>
    <tableColumn id="8" xr3:uid="{23EBE053-AFB0-414D-8911-A408FEED0359}" name="Costo de envio unitario" dataDxfId="91" totalsRowDxfId="90" dataCellStyle="Currency"/>
    <tableColumn id="16" xr3:uid="{A52FE01B-7C0A-4236-B184-80F7465B9D59}" name="Coste de envio total" totalsRowFunction="custom" dataDxfId="89" totalsRowDxfId="88" dataCellStyle="Currency">
      <calculatedColumnFormula>Stock[[#This Row],[Entradas]]*Stock[[#This Row],[Costo de envio unitario]]</calculatedColumnFormula>
      <totalsRowFormula>SUBTOTAL(109,K4:K186)</totalsRowFormula>
    </tableColumn>
    <tableColumn id="9" xr3:uid="{76891CCF-6F6E-4C24-9674-9EA7A2773408}" name="Precio Total (Con Envios - $)" totalsRowFunction="custom" dataDxfId="87" totalsRowDxfId="86" dataCellStyle="Currency">
      <calculatedColumnFormula>IFERROR(Stock[[#This Row],[Precio Total (Sin Envios - $)]]+Stock[[#This Row],[Coste de envio total]],"-")</calculatedColumnFormula>
      <totalsRowFormula>SUBTOTAL(109,L4:L186)</totalsRowFormula>
    </tableColumn>
    <tableColumn id="19" xr3:uid="{9A5B61BD-7EF8-4AB5-987B-4AF73277127F}" name="Precio de compra unitario" dataDxfId="85" totalsRowDxfId="84" dataCellStyle="Currency">
      <calculatedColumnFormula>(Stock[[#This Row],[Precio Unitario ($)]]+Stock[[#This Row],[Costo de envio unitario]])*36.85</calculatedColumnFormula>
    </tableColumn>
    <tableColumn id="18" xr3:uid="{AF30AC20-499E-47BD-ADB6-BBBBD0DCD4C2}" name="Precio de compra total (C$)" dataDxfId="83" totalsRowDxfId="82">
      <calculatedColumnFormula>(Stock[[#This Row],[Precio Total (Con Envios - $)]])*36.85</calculatedColumnFormula>
    </tableColumn>
    <tableColumn id="10" xr3:uid="{8C7BF5AB-C15E-4EF3-9549-B43348DEACA9}" name="Precio de venta sugerido" dataDxfId="81" totalsRowDxfId="80">
      <calculatedColumnFormula>Stock[[#This Row],[Precio de compra unitario]]+0.55*Stock[[#This Row],[Precio de compra unitario]]</calculatedColumnFormula>
    </tableColumn>
    <tableColumn id="12" xr3:uid="{50759374-14E5-4155-A008-6A25F77A6C01}" name="Precio final" dataDxfId="79" totalsRowDxfId="78"/>
    <tableColumn id="13" xr3:uid="{3111E5CA-B59E-4757-942E-F4CEEA30AD67}" name="Comentarios" totalsRowFunction="count" dataDxfId="77" totalsRowDxfId="7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D93F9-732E-41E8-8A5D-7D81553772CB}" name="Entradas" displayName="Entradas" ref="A3:F168" headerRowDxfId="75" dataDxfId="74">
  <autoFilter ref="A3:F168" xr:uid="{64BD93F9-732E-41E8-8A5D-7D81553772CB}"/>
  <tableColumns count="6">
    <tableColumn id="3" xr3:uid="{FF56D599-346B-46FC-BB90-E68B29829D15}" name="Codigo del Producto" dataDxfId="73" totalsRowDxfId="72"/>
    <tableColumn id="1" xr3:uid="{6095122A-DB4C-4331-9BA2-E08A538DE437}" name="Fecha" dataDxfId="71" totalsRowDxfId="70"/>
    <tableColumn id="4" xr3:uid="{DE99491A-BDEF-40F8-9E27-B332D968CB32}" name="Nombre del producto" dataDxfId="69" totalsRowDxfId="68"/>
    <tableColumn id="5" xr3:uid="{C113E558-D6BD-4A7F-8DB8-9345A9071DAB}" name="ID Lote" dataDxfId="67" totalsRowDxfId="66"/>
    <tableColumn id="6" xr3:uid="{3AD5F112-1D0F-4975-9D9F-612EF82325C9}" name="Cantidad" dataDxfId="65" totalsRowDxfId="64"/>
    <tableColumn id="7" xr3:uid="{B653C68C-85B0-4B5D-940A-0F8A2E4C1BB2}" name="Comentarios " totalsRowFunction="count" dataDxfId="63" totalsRowDxfId="6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916597-7504-44CA-81A6-10CB0BBC3AAE}" name="Pagos" displayName="Pagos" ref="A4:O353" headerRowCount="0" totalsRowCount="1" headerRowDxfId="205" dataDxfId="204">
  <sortState xmlns:xlrd2="http://schemas.microsoft.com/office/spreadsheetml/2017/richdata2" ref="A4:O336">
    <sortCondition ref="B3:B336"/>
  </sortState>
  <tableColumns count="15">
    <tableColumn id="1" xr3:uid="{CE79E2F1-FF87-4878-92AD-98BB838699A9}" name="Vendedor" totalsRowLabel="Total" headerRowDxfId="203" dataDxfId="202" totalsRowDxfId="201"/>
    <tableColumn id="2" xr3:uid="{F71BD910-6BF8-4773-8AFD-AFAB05565EE2}" name="Fecha" headerRowDxfId="200" dataDxfId="199" totalsRowDxfId="198"/>
    <tableColumn id="3" xr3:uid="{ACA05AE8-437E-4CBE-B4FD-E31942D88D52}" name="Codigo del producto" headerRowDxfId="197" dataDxfId="196" totalsRowDxfId="195"/>
    <tableColumn id="4" xr3:uid="{02ABA0D1-3BEB-4F39-8419-0312F1923CCD}" name="Nombre del producto" headerRowDxfId="194" dataDxfId="193" totalsRowDxfId="192">
      <calculatedColumnFormula>IFERROR(VLOOKUP(Pagos[[#This Row],[Codigo del producto]],Entradas[],3,FALSE),"No existe")</calculatedColumnFormula>
    </tableColumn>
    <tableColumn id="5" xr3:uid="{0852417F-C19B-46EA-AA2C-53E6F0D2370A}" name="Cantidad vendida" totalsRowFunction="custom" headerRowDxfId="191" dataDxfId="190" totalsRowDxfId="189">
      <totalsRowFormula>SUBTOTAL(109,E4:E352)</totalsRowFormula>
    </tableColumn>
    <tableColumn id="6" xr3:uid="{8063353F-E84C-4DE2-A6DD-70902F154B7F}" name="Precio de venta" totalsRowFunction="custom" headerRowDxfId="188" dataDxfId="187" totalsRowDxfId="186">
      <totalsRowFormula>SUBTOTAL(109,F9:F354)</totalsRowFormula>
    </tableColumn>
    <tableColumn id="7" xr3:uid="{76575DC1-DADD-4477-B964-2CD43CEFE83E}" name="Importe Total a Tienda" totalsRowFunction="custom" headerRowDxfId="185" dataDxfId="184" totalsRowDxfId="183">
      <calculatedColumnFormula>IFERROR(Pagos[[#This Row],[Cantidad vendida]]*Pagos[[#This Row],[Precio de venta]],"-")</calculatedColumnFormula>
      <totalsRowFormula>SUBTOTAL(109,G4:G352)</totalsRowFormula>
    </tableColumn>
    <tableColumn id="20" xr3:uid="{40EA6091-4B86-49EC-B6C8-5E564EBE5AFD}" name="Ganancia unitaria" headerRowDxfId="182" totalsRowDxfId="181">
      <calculatedColumnFormula>IFERROR(Pagos[[#This Row],[Precio de venta]]-VLOOKUP(Pagos[[#This Row],[Codigo del producto]],Stock[],13,FALSE),"-")</calculatedColumnFormula>
    </tableColumn>
    <tableColumn id="8" xr3:uid="{5A958AAD-F216-479F-97AF-D85BCE501588}" name="Ganancia unitaria (Vendedor)" headerRowDxfId="180" dataDxfId="179" totalsRowDxfId="178">
      <calculatedColumnFormula>IFERROR(
  IF(H4&lt;=0,"-",
    IF(H4&lt;=300, H4*0.45,
      IF(H4&lt;=600, H4*0.4,
        IF(H4&lt;=900, H4*0.38,
          IF(H4&lt;=1000, H4*0.35,
            IF(H4&lt;=1400, H4*0.32,
              IF(H4&lt;=1800, H4*0.3,
                IF(H4&gt;=2000, H4*0.28,
                  "-"
                )
              )
            )
          )
        )
      )
    )
  ),
  "-"
)</calculatedColumnFormula>
    </tableColumn>
    <tableColumn id="9" xr3:uid="{7692149E-655C-40CF-83AF-DEF5A7F9A9EF}" name="Ganancia total (Vendedor)" totalsRowFunction="custom" headerRowDxfId="177" dataDxfId="176" totalsRowDxfId="175">
      <calculatedColumnFormula>IFERROR(Pagos[[#This Row],[Cantidad vendida]]*Pagos[[#This Row],[Ganancia unitaria (Vendedor)]],"-")</calculatedColumnFormula>
      <totalsRowFormula>SUBTOTAL(109,J4:J352)</totalsRowFormula>
    </tableColumn>
    <tableColumn id="10" xr3:uid="{9D487D9C-4EF9-45E3-8B9B-167FA61D53C9}" name="Ganancia individual (Tienda)" headerRowDxfId="174" dataDxfId="173" totalsRowDxfId="172">
      <calculatedColumnFormula>IFERROR(Pagos[[#This Row],[Ganancia unitaria]]-Pagos[[#This Row],[Ganancia unitaria (Vendedor)]],"-")</calculatedColumnFormula>
    </tableColumn>
    <tableColumn id="11" xr3:uid="{816E7BC8-FB68-4E2E-A32F-09E3F57D49C3}" name="Ganancia total (Tienda)" totalsRowFunction="custom" headerRowDxfId="171" dataDxfId="170">
      <calculatedColumnFormula>IFERROR(Pagos[[#This Row],[Cantidad vendida]]*(Pagos[[#This Row],[Ganancia individual (Tienda)]]),"-")</calculatedColumnFormula>
      <totalsRowFormula>SUBTOTAL(109,L4:L352)</totalsRowFormula>
    </tableColumn>
    <tableColumn id="21" xr3:uid="{5EEE9EFA-AAC8-4EB0-BCB3-EFF111FDDBBC}" name="Coste de inversion recuperado" headerRowDxfId="169" dataDxfId="168" totalsRowDxfId="167">
      <calculatedColumnFormula>(VLOOKUP(Pagos[[#This Row],[Codigo del producto]],Stock[],13,FALSE))*Pagos[[#This Row],[Cantidad vendida]]</calculatedColumnFormula>
    </tableColumn>
    <tableColumn id="13" xr3:uid="{6B2AED52-FA51-495E-B5B6-B7C33B717F51}" name="Estado " headerRowDxfId="166" dataDxfId="165" totalsRowDxfId="164"/>
    <tableColumn id="12" xr3:uid="{A35405F9-7449-4558-9650-0BAB2C6BC92B}" name="Comentario" totalsRowFunction="count" headerRowDxfId="163" dataDxfId="162" totalsRowDxfId="161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CCD431-DD87-458E-86D8-419E399830F5}" name="PagosV2" displayName="PagosV2" ref="A362:T745" insertRowShift="1" totalsRowCount="1" headerRowDxfId="160" dataDxfId="158" totalsRowDxfId="156" headerRowBorderDxfId="159" tableBorderDxfId="157">
  <autoFilter ref="A362:T744" xr:uid="{83CCD431-DD87-458E-86D8-419E399830F5}">
    <filterColumn colId="1">
      <filters>
        <dateGroupItem year="2026" month="6" dateTimeGrouping="month"/>
      </filters>
    </filterColumn>
  </autoFilter>
  <tableColumns count="20">
    <tableColumn id="1" xr3:uid="{14BED867-58DF-4CB1-81D3-DD1F09816E66}" name="Vendedor" totalsRowLabel="Total" dataDxfId="155" totalsRowDxfId="154"/>
    <tableColumn id="2" xr3:uid="{962971A0-C66B-4F2F-B91E-CA05C8DC454E}" name="Fecha" dataDxfId="153" totalsRowDxfId="0"/>
    <tableColumn id="3" xr3:uid="{1FB6649B-91D3-4B82-B47A-0062CD437CD0}" name="Codigo del producto" dataDxfId="152" totalsRowDxfId="151"/>
    <tableColumn id="4" xr3:uid="{D688FBC5-B37E-4E3A-AC71-A3257727194D}" name="Nombre del producto" dataDxfId="150" totalsRowDxfId="149">
      <calculatedColumnFormula>IFERROR(VLOOKUP(PagosV2[[#This Row],[Codigo del producto]],Entradas[],3,FALSE),"No existe")</calculatedColumnFormula>
    </tableColumn>
    <tableColumn id="5" xr3:uid="{195A36F6-21A7-464F-BC04-6E405FFCFA0C}" name="Cantidad vendida" dataDxfId="148" totalsRowDxfId="147"/>
    <tableColumn id="6" xr3:uid="{BEEE0D93-21EB-45F8-B202-D437AD6CD563}" name="Precio de venta" dataDxfId="146" totalsRowDxfId="145"/>
    <tableColumn id="7" xr3:uid="{28F1085A-878D-400F-9690-707E3645B1FC}" name="Importe Total a Tienda" totalsRowFunction="sum" dataDxfId="144" totalsRowDxfId="143">
      <calculatedColumnFormula>IFERROR(PagosV2[[#This Row],[Cantidad vendida]]*PagosV2[[#This Row],[Precio de venta]],"-")</calculatedColumnFormula>
    </tableColumn>
    <tableColumn id="16" xr3:uid="{C5F5A507-862A-482C-A897-C3E06A673F24}" name="Ganancia (UB)" totalsRowFunction="sum" dataDxfId="142" totalsRowDxfId="141">
      <calculatedColumnFormula>IFERROR(PagosV2[[#This Row],[Precio de venta]]-VLOOKUP(PagosV2[[#This Row],[Codigo del producto]],Stock[],13,FALSE),"-")</calculatedColumnFormula>
    </tableColumn>
    <tableColumn id="19" xr3:uid="{78825833-090B-44E4-92CC-50CD6D6FFF53}" name="PM" totalsRowFunction="sum" dataDxfId="140" totalsRowDxfId="139">
      <calculatedColumnFormula>IFERROR(PagosV2[[#This Row],[Ganancia (UB)]]*$B$357,0)</calculatedColumnFormula>
    </tableColumn>
    <tableColumn id="18" xr3:uid="{2D4FBAAD-3F42-4018-BDD9-C0966BD426FE}" name="GC" totalsRowFunction="sum" dataDxfId="138" totalsRowDxfId="137">
      <calculatedColumnFormula>IFERROR(PagosV2[[#This Row],[Ganancia (UB)]]*$B$358,0)</calculatedColumnFormula>
    </tableColumn>
    <tableColumn id="17" xr3:uid="{5A9F54A3-050F-4A02-8273-7510211EEE26}" name="PC" totalsRowFunction="custom" dataDxfId="136" totalsRowDxfId="135">
      <calculatedColumnFormula>IFERROR(PagosV2[[#This Row],[Ganancia (UB)]]*$B$359,0)</calculatedColumnFormula>
      <totalsRowFormula>SUBTOTAL(109,K363:K744)</totalsRowFormula>
    </tableColumn>
    <tableColumn id="8" xr3:uid="{E8F1592E-10B4-4E09-B67C-2E2E497F101A}" name="U" totalsRowFunction="custom" dataDxfId="134" totalsRowDxfId="133">
      <calculatedColumnFormula>IFERROR(PagosV2[[#This Row],[Ganancia (UB)]]*$B$360,0)</calculatedColumnFormula>
      <totalsRowFormula>SUBTOTAL(109,L363:L744)</totalsRowFormula>
    </tableColumn>
    <tableColumn id="20" xr3:uid="{2ABF0D81-7008-4AC3-8039-67845C3BEA76}" name="Ganancia (N)" dataDxfId="132" totalsRowDxfId="131">
      <calculatedColumnFormula>IFERROR(PagosV2[[#This Row],[Ganancia (UB)]]-PagosV2[[#This Row],[PM]]-PagosV2[[#This Row],[GC]]-PagosV2[[#This Row],[PC]]-PagosV2[[#This Row],[U]],0)</calculatedColumnFormula>
    </tableColumn>
    <tableColumn id="9" xr3:uid="{C85EBFB3-05F9-43E6-A740-1F4FB2A1F96A}" name="Ganancia (UV)" dataDxfId="130" totalsRowDxfId="129">
      <calculatedColumnFormula>IFERROR(
  IF(M363&lt;=0,"-",
    IF(M363&lt;=300, M363*0.45,
      IF(M363&lt;=600, M363*0.4,
        IF(M363&lt;=900, M363*0.38,
          IF(M363&lt;=1000, M363*0.35,
            IF(M363&lt;=1400, M363*0.32,
              IF(M363&lt;=1800, HM363*0.3,
                IF(M363&gt;=2000, M363*0.28,
                  "-"
                )
              )
            )
          )
        )
      )
    )
  ),
  "-"
)</calculatedColumnFormula>
    </tableColumn>
    <tableColumn id="10" xr3:uid="{80A713B3-3F0B-4D72-A1FF-6AC437DAE006}" name="Ganacia (TV)" totalsRowFunction="custom" dataDxfId="128" totalsRowDxfId="127">
      <calculatedColumnFormula>IFERROR(PagosV2[[#This Row],[Ganancia (UV)]]*PagosV2[[#This Row],[Cantidad vendida]],0)</calculatedColumnFormula>
      <totalsRowFormula>SUBTOTAL(109,O363:O744)</totalsRowFormula>
    </tableColumn>
    <tableColumn id="11" xr3:uid="{CD78466B-1CB6-4132-804B-E2C85A048509}" name="Ganancia individual (Tienda)" totalsRowFunction="sum" dataDxfId="126" totalsRowDxfId="125">
      <calculatedColumnFormula>IFERROR(PagosV2[[#This Row],[Ganancia (N)]]-PagosV2[[#This Row],[Ganancia (UV)]],0)</calculatedColumnFormula>
    </tableColumn>
    <tableColumn id="12" xr3:uid="{344D51FB-6240-4EC3-A8C3-2E8C51F3393A}" name="Ganancia total (Tienda)" totalsRowFunction="custom" dataDxfId="124" totalsRowDxfId="123">
      <calculatedColumnFormula>IFERROR(PagosV2[[#This Row],[Ganancia individual (Tienda)]]*PagosV2[[#This Row],[Cantidad vendida]],0)</calculatedColumnFormula>
      <totalsRowFormula>SUBTOTAL(109,Q363:Q744)</totalsRowFormula>
    </tableColumn>
    <tableColumn id="13" xr3:uid="{6A47B23A-561A-4A65-BE22-B0A300FCB790}" name="Coste de inversion recuperado" totalsRowFunction="custom" dataDxfId="122" totalsRowDxfId="121">
      <calculatedColumnFormula>IFERROR((PagosV2[[#This Row],[Precio de venta]]-PagosV2[[#This Row],[Ganancia (UB)]])*PagosV2[[#This Row],[Cantidad vendida]],0)</calculatedColumnFormula>
      <totalsRowFormula>SUBTOTAL(109,R363:R744)</totalsRowFormula>
    </tableColumn>
    <tableColumn id="14" xr3:uid="{9E84BA1D-FED1-4915-8139-0CC093AFC79C}" name="Estado " dataDxfId="120" totalsRowDxfId="119"/>
    <tableColumn id="15" xr3:uid="{8F185B88-6970-43D3-B665-EEF42D6FFAE7}" name="Comentario" totalsRowFunction="count" dataDxfId="118" totalsRowDxfId="117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198202-3AEB-41BB-BBC8-226BB9B8A274}" name="Table9" displayName="Table9" ref="A356:B360" totalsRowShown="0" dataDxfId="116" tableBorderDxfId="115">
  <autoFilter ref="A356:B360" xr:uid="{50198202-3AEB-41BB-BBC8-226BB9B8A274}"/>
  <tableColumns count="2">
    <tableColumn id="1" xr3:uid="{3EE098D6-1277-4D1D-9633-92C188294BEF}" name="Gastos Fijos del mes" dataDxfId="114"/>
    <tableColumn id="2" xr3:uid="{AE38FD14-20B3-4EE2-B84F-3B70683920A6}" name="Porcentaje" dataDxfId="113"/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825132-C854-4652-A626-F94F4A59BAB6}" name="Reporteria" displayName="Reporteria" ref="A3:F9" totalsRowCount="1" headerRowDxfId="61" dataDxfId="60" totalsRowDxfId="59">
  <autoFilter ref="A3:F8" xr:uid="{30825132-C854-4652-A626-F94F4A59BAB6}"/>
  <tableColumns count="6">
    <tableColumn id="15" xr3:uid="{9772713E-8AF9-412F-8621-7F2AC0FF4882}" name="Fecha Referfencia Inicio " dataDxfId="58" totalsRowDxfId="57"/>
    <tableColumn id="14" xr3:uid="{6CDA85FC-98C4-43C4-9F9A-C9524AEB77A8}" name="Fecha Referfencia Fin" dataDxfId="56" totalsRowDxfId="55"/>
    <tableColumn id="1" xr3:uid="{CF5D6A5D-EA51-451D-8F42-391B0312AF96}" name="Mes" totalsRowLabel="Total" dataDxfId="54" totalsRowDxfId="53"/>
    <tableColumn id="2" xr3:uid="{D2A72E9F-7D2C-41A3-81F1-FAED6876CFFC}" name="Total Pagado en productos (Sin Envios)" totalsRowFunction="sum" dataDxfId="52" totalsRowDxfId="51" dataCellStyle="Currency">
      <calculatedColumnFormula>SUMIFS(Stock[Precio Total (Sin Envios - $)], Stock[Fecha], "&gt;="&amp;Reporteria[[#This Row],[Fecha Referfencia Inicio ]], Stock[Fecha], "&lt;="&amp;Reporteria[[#This Row],[Fecha Referfencia Fin]])</calculatedColumnFormula>
    </tableColumn>
    <tableColumn id="3" xr3:uid="{59C2743D-98CF-4B3E-A01D-B2405EDE90D8}" name="Coste Total Pagado en envios" totalsRowFunction="sum" dataDxfId="50" totalsRowDxfId="49">
      <calculatedColumnFormula>SUMIFS(Stock[Coste de envio total], Stock[Fecha], "&gt;="&amp;Reporteria[[#This Row],[Fecha Referfencia Inicio ]], Stock[Fecha], "&lt;="&amp;Reporteria[[#This Row],[Fecha Referfencia Fin]])</calculatedColumnFormula>
    </tableColumn>
    <tableColumn id="4" xr3:uid="{CD1689FE-836E-4409-A306-2363621D70A8}" name="Total pagado con envios" totalsRowFunction="custom" dataDxfId="48" totalsRowDxfId="47" dataCellStyle="Currency">
      <calculatedColumnFormula>SUMIFS(Stock[Precio Total (Con Envios - $)], Stock[Fecha], "&gt;="&amp;Reporteria[[#This Row],[Fecha Referfencia Inicio ]], Stock[Fecha], "&lt;="&amp;Reporteria[[#This Row],[Fecha Referfencia Fin]])</calculatedColumnFormula>
      <totalsRowFormula>SUBTOTAL(109,F4:F8)</totalsRowFormula>
    </tableColumn>
  </tableColumns>
  <tableStyleInfo name="TableStyleDark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FAF7AF-ED01-40C7-9FD6-10D239588173}" name="Table5" displayName="Table5" ref="A12:K16" totalsRowCount="1" headerRowDxfId="46">
  <autoFilter ref="A12:K15" xr:uid="{30FAF7AF-ED01-40C7-9FD6-10D239588173}"/>
  <tableColumns count="11">
    <tableColumn id="1" xr3:uid="{80925F5C-6213-4DF5-9249-ED0C8FBF2FB2}" name="Fecha Referencia Inicio " totalsRowLabel="Total" dataDxfId="45" totalsRowDxfId="44"/>
    <tableColumn id="2" xr3:uid="{CBCD12FC-67A4-4700-B941-C3DF2EC862F5}" name="Fecha Referfencia Fin" dataDxfId="43" totalsRowDxfId="42"/>
    <tableColumn id="3" xr3:uid="{AF8BE951-2347-4B84-BD1F-52F9CB8047E7}" name="Mes" totalsRowLabel="Total" dataDxfId="41"/>
    <tableColumn id="4" xr3:uid="{ED5DEC23-240C-4412-9E29-87B33109E582}" name="Importe Total A La Tienda" totalsRowFunction="sum" dataDxfId="40" totalsRowDxfId="39" dataCellStyle="Currency">
      <calculatedColumnFormula>SUMIFS(Pagos[Importe Total a Tienda],Pagos[Fecha], "&gt;="&amp;Table5[[#This Row],[Fecha Referencia Inicio ]], Pagos[Fecha], "&lt;="&amp;Table5[[#This Row],[Fecha Referfencia Fin]])</calculatedColumnFormula>
    </tableColumn>
    <tableColumn id="8" xr3:uid="{BC72F04A-D855-4605-ABF5-1ABD5A68AFF3}" name="Coste De Inversion Recuperado" totalsRowFunction="custom" dataDxfId="38" totalsRowDxfId="37" dataCellStyle="Currency">
      <calculatedColumnFormula>SUMIFS(Pagos[Coste de inversion recuperado],Pagos[Fecha], "&gt;="&amp;Table5[[#This Row],[Fecha Referencia Inicio ]], Pagos[Fecha], "&lt;="&amp;Table5[[#This Row],[Fecha Referfencia Fin]])</calculatedColumnFormula>
      <totalsRowFormula>SUBTOTAL(109,E13:E14)</totalsRowFormula>
    </tableColumn>
    <tableColumn id="9" xr3:uid="{A1C2CA52-2D1F-49AA-9E34-6F3706EE308A}" name="Coste De Inversion Recuperado $" totalsRowFunction="custom" dataDxfId="36" totalsRowDxfId="35" dataCellStyle="Currency">
      <calculatedColumnFormula>Table5[[#This Row],[Coste De Inversion Recuperado]]/36.65</calculatedColumnFormula>
      <totalsRowFormula>SUBTOTAL(109,F13:F14)</totalsRowFormula>
    </tableColumn>
    <tableColumn id="5" xr3:uid="{5A0017BF-4956-4470-BCDB-B2E5D9E2B849}" name="Ganancia de la tienda" totalsRowFunction="sum" dataDxfId="34" totalsRowDxfId="33">
      <calculatedColumnFormula>SUMIFS(Pagos[Ganancia total (Tienda)],Pagos[Fecha], "&gt;="&amp;Table5[[#This Row],[Fecha Referencia Inicio ]], Pagos[Fecha], "&lt;="&amp;Table5[[#This Row],[Fecha Referfencia Fin]])</calculatedColumnFormula>
    </tableColumn>
    <tableColumn id="10" xr3:uid="{0585EFAF-7521-4769-BBCC-8F459FA9085A}" name="Ganancia de la tienda ($)" totalsRowFunction="custom" dataDxfId="32" totalsRowDxfId="31" dataCellStyle="Currency">
      <calculatedColumnFormula>Table5[[#This Row],[Ganancia de la tienda]]/36.65</calculatedColumnFormula>
      <totalsRowFormula>SUBTOTAL(109,H13:H14)</totalsRowFormula>
    </tableColumn>
    <tableColumn id="6" xr3:uid="{82A616CD-0F62-4E46-A70B-B06D9FAB9DE2}" name="Coste total pagado en vendedores " totalsRowFunction="sum" dataDxfId="30" totalsRowDxfId="29">
      <calculatedColumnFormula>SUMIFS(Pagos[Ganancia total (Vendedor)],Pagos[Fecha], "&gt;="&amp;Table5[[#This Row],[Fecha Referencia Inicio ]], Pagos[Fecha], "&lt;="&amp;Table5[[#This Row],[Fecha Referfencia Fin]])</calculatedColumnFormula>
    </tableColumn>
    <tableColumn id="7" xr3:uid="{BED3F9C9-7121-43F0-A7A9-E4F268BD316C}" name="Coste total pagado en vendedores ($)" totalsRowFunction="custom" dataDxfId="28" totalsRowDxfId="27">
      <calculatedColumnFormula>Table5[[#This Row],[Coste total pagado en vendedores ]]/36.65</calculatedColumnFormula>
      <totalsRowFormula>SUBTOTAL(109,J13:J14)</totalsRowFormula>
    </tableColumn>
    <tableColumn id="11" xr3:uid="{338E0243-FCD0-4D04-9CDE-F9726DC749EC}" name="Gastos sacados de la tienda" dataDxfId="26"/>
  </tableColumns>
  <tableStyleInfo name="TableStyleDark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038845-0DEE-4583-96A1-F7D16E4B5DD7}" name="Table58" displayName="Table58" ref="A19:K22" totalsRowCount="1" headerRowDxfId="25">
  <autoFilter ref="A19:K21" xr:uid="{0E038845-0DEE-4583-96A1-F7D16E4B5DD7}"/>
  <tableColumns count="11">
    <tableColumn id="1" xr3:uid="{98218A02-038E-4CDD-8301-4846511BF38C}" name="Fecha Referencia Inicio " totalsRowLabel="Total" dataDxfId="24" totalsRowDxfId="23"/>
    <tableColumn id="2" xr3:uid="{77CABEBB-1FD2-4C75-BAF3-33603ACB4779}" name="Fecha Referfencia Fin" dataDxfId="22" totalsRowDxfId="21"/>
    <tableColumn id="3" xr3:uid="{691507CF-67D5-46CC-8F2B-6CBFF47BD56C}" name="Mes" totalsRowLabel="Total" dataDxfId="20"/>
    <tableColumn id="4" xr3:uid="{97158317-9A37-4DD0-B081-FEA78064CCCA}" name="Importe Total A La Tienda" totalsRowFunction="sum" dataDxfId="19" totalsRowDxfId="18" dataCellStyle="Currency">
      <calculatedColumnFormula>SUMIFS(PagosV2[Importe Total a Tienda],PagosV2[Fecha], "&gt;="&amp;Table58[[#This Row],[Fecha Referencia Inicio ]], PagosV2[Fecha], "&lt;="&amp;Table58[[#This Row],[Fecha Referfencia Fin]])</calculatedColumnFormula>
    </tableColumn>
    <tableColumn id="8" xr3:uid="{5A0E3CA1-E06A-4EFF-B467-8233DC56D1E9}" name="Coste De Inversion Recuperado" totalsRowFunction="custom" dataDxfId="17" totalsRowDxfId="16" dataCellStyle="Currency">
      <calculatedColumnFormula>SUMIFS(PagosV2[Coste de inversion recuperado],PagosV2[Fecha], "&gt;="&amp;Table58[[#This Row],[Fecha Referencia Inicio ]], PagosV2[Fecha], "&lt;="&amp;Table58[[#This Row],[Fecha Referfencia Fin]])</calculatedColumnFormula>
      <totalsRowFormula>SUBTOTAL(109,E20:E21)</totalsRowFormula>
    </tableColumn>
    <tableColumn id="9" xr3:uid="{E2C29D22-E96F-4768-B058-EE6A0C5C9679}" name="Coste De Inversion Recuperado $" totalsRowFunction="custom" dataDxfId="15" totalsRowDxfId="14" dataCellStyle="Currency">
      <calculatedColumnFormula>Table58[[#This Row],[Coste De Inversion Recuperado]]/36.65</calculatedColumnFormula>
      <totalsRowFormula>SUBTOTAL(109,F20:F21)</totalsRowFormula>
    </tableColumn>
    <tableColumn id="5" xr3:uid="{0F4135AE-48E5-4AE3-BBA5-2893359EE5A7}" name="Ganancia de la tienda" totalsRowFunction="sum" dataDxfId="13" totalsRowDxfId="12">
      <calculatedColumnFormula>SUMIFS(PagosV2[Ganancia total (Tienda)],PagosV2[Fecha], "&gt;="&amp;Table58[[#This Row],[Fecha Referencia Inicio ]], PagosV2[Fecha], "&lt;="&amp;Table58[[#This Row],[Fecha Referfencia Fin]])</calculatedColumnFormula>
    </tableColumn>
    <tableColumn id="10" xr3:uid="{1630AC0D-0EAC-4C3B-AF88-2AF5D24FD717}" name="Ganancia de la tienda ($)" totalsRowFunction="custom" dataDxfId="11" totalsRowDxfId="10" dataCellStyle="Currency">
      <calculatedColumnFormula>Table58[[#This Row],[Ganancia de la tienda]]/36.65</calculatedColumnFormula>
      <totalsRowFormula>SUBTOTAL(109,H20:H21)</totalsRowFormula>
    </tableColumn>
    <tableColumn id="6" xr3:uid="{CAB6AFC0-DE95-431D-9466-92D94AA70DA9}" name="Coste total pagado en vendedores " totalsRowFunction="sum" dataDxfId="9" totalsRowDxfId="8">
      <calculatedColumnFormula>SUMIFS(PagosV2[Ganacia (TV)],PagosV2[Fecha], "&gt;="&amp;Table58[[#This Row],[Fecha Referencia Inicio ]], PagosV2[Fecha], "&lt;="&amp;Table58[[#This Row],[Fecha Referfencia Fin]])</calculatedColumnFormula>
    </tableColumn>
    <tableColumn id="7" xr3:uid="{448B412B-DEF0-4057-84AA-7892A4538318}" name="Coste total pagado en vendedores ($)" totalsRowFunction="custom" dataDxfId="7" totalsRowDxfId="6">
      <calculatedColumnFormula>Table58[[#This Row],[Coste total pagado en vendedores ]]/36.65</calculatedColumnFormula>
      <totalsRowFormula>SUBTOTAL(109,J20:J21)</totalsRowFormula>
    </tableColumn>
    <tableColumn id="11" xr3:uid="{8BA108ED-9B02-47ED-813A-E053BBF66950}" name="Gastos sacados de la tienda" dataDxfId="5"/>
  </tableColumns>
  <tableStyleInfo name="TableStyleDark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2F3C17-23A2-46B5-A3B4-EAA9C986E319}" name="Table57" displayName="Table57" ref="A1:G54" totalsRowShown="0">
  <autoFilter ref="A1:G54" xr:uid="{B32F3C17-23A2-46B5-A3B4-EAA9C986E319}"/>
  <tableColumns count="7">
    <tableColumn id="1" xr3:uid="{ED278F2E-93D2-4B66-A323-F96912EC4F8B}" name="ID"/>
    <tableColumn id="2" xr3:uid="{222DE7AA-D2E8-4537-8138-6F5559013369}" name="Nombre del Producto"/>
    <tableColumn id="3" xr3:uid="{30BEF847-9F7C-4A27-85F6-125BDC124A1A}" name="Cantidades"/>
    <tableColumn id="4" xr3:uid="{BF0686C4-8BDD-4F1A-8291-B2B2A7977EE1}" name="Precio total pagado" dataDxfId="4" totalsRowDxfId="3"/>
    <tableColumn id="6" xr3:uid="{B80FA24A-9FCB-4216-B4B6-0FA9C3E8995F}" name="Purchased Date" dataDxfId="2" totalsRowDxfId="1"/>
    <tableColumn id="5" xr3:uid="{33963F5F-E541-4955-9D25-C16D6EB7F6BE}" name="Tracking Number"/>
    <tableColumn id="7" xr3:uid="{5759DC39-10BF-4BB2-BE2E-BFA0D2A32B09}" name="Status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2F89-C942-4901-8BE0-38875FEDB244}">
  <sheetPr>
    <tabColor rgb="FFFF0000"/>
  </sheetPr>
  <dimension ref="A1:Q187"/>
  <sheetViews>
    <sheetView topLeftCell="C1" zoomScale="80" zoomScaleNormal="80" workbookViewId="0">
      <selection activeCell="A126" sqref="A126:XFD126"/>
    </sheetView>
  </sheetViews>
  <sheetFormatPr defaultRowHeight="16.5" x14ac:dyDescent="0.3"/>
  <cols>
    <col min="1" max="1" width="24.85546875" style="3" customWidth="1"/>
    <col min="2" max="2" width="51.5703125" style="3" bestFit="1" customWidth="1"/>
    <col min="3" max="4" width="10.140625" style="3" customWidth="1"/>
    <col min="5" max="5" width="12.85546875" style="3" customWidth="1"/>
    <col min="6" max="6" width="10.5703125" style="3" customWidth="1"/>
    <col min="7" max="7" width="9.28515625" style="3" customWidth="1"/>
    <col min="8" max="8" width="22.28515625" style="3" bestFit="1" customWidth="1"/>
    <col min="9" max="9" width="31.5703125" style="3" bestFit="1" customWidth="1"/>
    <col min="10" max="10" width="36.5703125" style="3" bestFit="1" customWidth="1"/>
    <col min="11" max="11" width="23.7109375" style="3" bestFit="1" customWidth="1"/>
    <col min="12" max="12" width="32.5703125" style="3" bestFit="1" customWidth="1"/>
    <col min="13" max="13" width="29.85546875" bestFit="1" customWidth="1"/>
    <col min="14" max="14" width="31.5703125" bestFit="1" customWidth="1"/>
    <col min="15" max="15" width="28.7109375" bestFit="1" customWidth="1"/>
    <col min="16" max="16" width="16.42578125" bestFit="1" customWidth="1"/>
    <col min="17" max="17" width="23.5703125" bestFit="1" customWidth="1"/>
  </cols>
  <sheetData>
    <row r="1" spans="1:17" ht="231" customHeight="1" x14ac:dyDescent="0.25">
      <c r="A1" s="95" t="e" vm="1">
        <v>#VALUE!</v>
      </c>
      <c r="B1" s="95"/>
      <c r="C1" s="95"/>
      <c r="D1" s="95"/>
      <c r="E1" s="96" t="s">
        <v>0</v>
      </c>
      <c r="F1" s="96"/>
      <c r="G1" s="96"/>
      <c r="H1" s="96"/>
      <c r="I1" s="96"/>
      <c r="J1" s="96"/>
      <c r="K1" s="96"/>
      <c r="L1" s="96"/>
      <c r="M1" s="96"/>
      <c r="N1" s="96"/>
    </row>
    <row r="2" spans="1:17" ht="13.5" customHeight="1" x14ac:dyDescent="0.3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</row>
    <row r="3" spans="1:17" x14ac:dyDescent="0.3">
      <c r="A3" s="61" t="s">
        <v>1</v>
      </c>
      <c r="B3" s="61" t="s">
        <v>2</v>
      </c>
      <c r="C3" s="61" t="s">
        <v>3</v>
      </c>
      <c r="D3" s="61" t="s">
        <v>4</v>
      </c>
      <c r="E3" s="62" t="s">
        <v>5</v>
      </c>
      <c r="F3" s="61" t="s">
        <v>6</v>
      </c>
      <c r="G3" s="61" t="s">
        <v>7</v>
      </c>
      <c r="H3" s="61" t="s">
        <v>8</v>
      </c>
      <c r="I3" s="61" t="s">
        <v>9</v>
      </c>
      <c r="J3" s="61" t="s">
        <v>10</v>
      </c>
      <c r="K3" s="61" t="s">
        <v>11</v>
      </c>
      <c r="L3" s="61" t="s">
        <v>12</v>
      </c>
      <c r="M3" s="61" t="s">
        <v>13</v>
      </c>
      <c r="N3" s="61" t="s">
        <v>14</v>
      </c>
      <c r="O3" s="61" t="s">
        <v>15</v>
      </c>
      <c r="P3" s="61" t="s">
        <v>16</v>
      </c>
      <c r="Q3" s="61" t="s">
        <v>17</v>
      </c>
    </row>
    <row r="4" spans="1:17" hidden="1" x14ac:dyDescent="0.3">
      <c r="A4" s="3" t="s">
        <v>18</v>
      </c>
      <c r="B4" s="3" t="str">
        <f>VLOOKUP(Stock[[#This Row],[Codigo del producto ]],Entradas[],3,FALSE)</f>
        <v>Mouse Inalambrico Shark attack X11</v>
      </c>
      <c r="C4" s="6">
        <f>VLOOKUP(Stock[[#This Row],[Codigo del producto ]],Entradas[],2,FALSE)</f>
        <v>46023</v>
      </c>
      <c r="D4" s="3" t="str">
        <f>IFERROR(VLOOKUP(Stock[[#This Row],[Codigo del producto ]],Entradas[],4,FALSE),"-")</f>
        <v>LT01</v>
      </c>
      <c r="E4" s="3">
        <f>IFERROR(VLOOKUP(Stock[[#This Row],[Codigo del producto ]],Entradas[],5,FALSE),"-")</f>
        <v>5</v>
      </c>
      <c r="F4" s="3">
        <f>IFERROR(SUMIFS(Pagos[Cantidad vendida], Pagos[Codigo del producto], Stock[[#This Row],[Codigo del producto ]]) + SUMIFS(PagosV2[Cantidad vendida], PagosV2[Codigo del producto], Stock[[#This Row],[Codigo del producto ]]), "-")</f>
        <v>5</v>
      </c>
      <c r="G4" s="3">
        <f>IFERROR(Stock[[#This Row],[Entradas]]-Stock[[#This Row],[Salidas]],"-")</f>
        <v>0</v>
      </c>
      <c r="H4" s="63">
        <v>21.71</v>
      </c>
      <c r="I4" s="63">
        <f>Stock[[#This Row],[Entradas]]*Stock[[#This Row],[Precio Unitario ($)]]</f>
        <v>108.55000000000001</v>
      </c>
      <c r="J4" s="63">
        <v>1</v>
      </c>
      <c r="K4" s="63">
        <f>Stock[[#This Row],[Entradas]]*Stock[[#This Row],[Costo de envio unitario]]</f>
        <v>5</v>
      </c>
      <c r="L4" s="63">
        <f>IFERROR(Stock[[#This Row],[Precio Total (Sin Envios - $)]]+Stock[[#This Row],[Coste de envio total]],"-")</f>
        <v>113.55000000000001</v>
      </c>
      <c r="M4" s="63">
        <f>(Stock[[#This Row],[Precio Unitario ($)]]+Stock[[#This Row],[Costo de envio unitario]])*36.85</f>
        <v>836.86350000000004</v>
      </c>
      <c r="N4" s="64">
        <f>(Stock[[#This Row],[Precio Total (Con Envios - $)]])*36.85</f>
        <v>4184.317500000001</v>
      </c>
      <c r="O4" s="64">
        <f>Stock[[#This Row],[Precio de compra unitario]]+0.55*Stock[[#This Row],[Precio de compra unitario]]</f>
        <v>1297.1384250000001</v>
      </c>
      <c r="P4" s="64">
        <v>1200</v>
      </c>
      <c r="Q4" s="3"/>
    </row>
    <row r="5" spans="1:17" hidden="1" x14ac:dyDescent="0.3">
      <c r="A5" s="3" t="s">
        <v>19</v>
      </c>
      <c r="B5" s="3" t="str">
        <f>VLOOKUP(Stock[[#This Row],[Codigo del producto ]],Entradas[],3,FALSE)</f>
        <v>Estuche Protecto KZ</v>
      </c>
      <c r="C5" s="6">
        <f>VLOOKUP(Stock[[#This Row],[Codigo del producto ]],Entradas[],2,FALSE)</f>
        <v>46023</v>
      </c>
      <c r="D5" s="3" t="str">
        <f>IFERROR(VLOOKUP(Stock[[#This Row],[Codigo del producto ]],Entradas[],4,FALSE),"-")</f>
        <v>LT01</v>
      </c>
      <c r="E5" s="3">
        <f>IFERROR(VLOOKUP(Stock[[#This Row],[Codigo del producto ]],Entradas[],5,FALSE),"-")</f>
        <v>3</v>
      </c>
      <c r="F5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5" s="3">
        <f>IFERROR(Stock[[#This Row],[Entradas]]-Stock[[#This Row],[Salidas]],"-")</f>
        <v>0</v>
      </c>
      <c r="H5" s="63">
        <v>1.77</v>
      </c>
      <c r="I5" s="63">
        <f>Stock[[#This Row],[Entradas]]*Stock[[#This Row],[Precio Unitario ($)]]</f>
        <v>5.3100000000000005</v>
      </c>
      <c r="J5" s="63">
        <v>0.4</v>
      </c>
      <c r="K5" s="63">
        <f>Stock[[#This Row],[Entradas]]*Stock[[#This Row],[Costo de envio unitario]]</f>
        <v>1.2000000000000002</v>
      </c>
      <c r="L5" s="63">
        <f>IFERROR(Stock[[#This Row],[Precio Total (Sin Envios - $)]]+Stock[[#This Row],[Coste de envio total]],"-")</f>
        <v>6.5100000000000007</v>
      </c>
      <c r="M5" s="63">
        <f>(Stock[[#This Row],[Precio Unitario ($)]]+Stock[[#This Row],[Costo de envio unitario]])*36.85</f>
        <v>79.964500000000001</v>
      </c>
      <c r="N5" s="64">
        <f>(Stock[[#This Row],[Precio Total (Con Envios - $)]])*36.85</f>
        <v>239.89350000000005</v>
      </c>
      <c r="O5" s="64">
        <f>Stock[[#This Row],[Precio de compra unitario]]+0.55*Stock[[#This Row],[Precio de compra unitario]]</f>
        <v>123.944975</v>
      </c>
      <c r="P5" s="64">
        <v>150</v>
      </c>
      <c r="Q5" s="3"/>
    </row>
    <row r="6" spans="1:17" hidden="1" x14ac:dyDescent="0.3">
      <c r="A6" s="3" t="s">
        <v>20</v>
      </c>
      <c r="B6" s="3" t="str">
        <f>VLOOKUP(Stock[[#This Row],[Codigo del producto ]],Entradas[],3,FALSE)</f>
        <v>Holder/cargador para moto</v>
      </c>
      <c r="C6" s="6">
        <f>VLOOKUP(Stock[[#This Row],[Codigo del producto ]],Entradas[],2,FALSE)</f>
        <v>46023</v>
      </c>
      <c r="D6" s="3" t="str">
        <f>IFERROR(VLOOKUP(Stock[[#This Row],[Codigo del producto ]],Entradas[],4,FALSE),"-")</f>
        <v>LT01</v>
      </c>
      <c r="E6" s="3">
        <f>IFERROR(VLOOKUP(Stock[[#This Row],[Codigo del producto ]],Entradas[],5,FALSE),"-")</f>
        <v>3</v>
      </c>
      <c r="F6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6" s="3">
        <f>IFERROR(Stock[[#This Row],[Entradas]]-Stock[[#This Row],[Salidas]],"-")</f>
        <v>1</v>
      </c>
      <c r="H6" s="63">
        <v>11.33</v>
      </c>
      <c r="I6" s="63">
        <f>Stock[[#This Row],[Entradas]]*Stock[[#This Row],[Precio Unitario ($)]]</f>
        <v>33.99</v>
      </c>
      <c r="J6" s="63">
        <v>0.8</v>
      </c>
      <c r="K6" s="63">
        <f>Stock[[#This Row],[Entradas]]*Stock[[#This Row],[Costo de envio unitario]]</f>
        <v>2.4000000000000004</v>
      </c>
      <c r="L6" s="63">
        <f>IFERROR(Stock[[#This Row],[Precio Total (Sin Envios - $)]]+Stock[[#This Row],[Coste de envio total]],"-")</f>
        <v>36.39</v>
      </c>
      <c r="M6" s="63">
        <f>(Stock[[#This Row],[Precio Unitario ($)]]+Stock[[#This Row],[Costo de envio unitario]])*36.85</f>
        <v>446.99050000000005</v>
      </c>
      <c r="N6" s="64">
        <f>(Stock[[#This Row],[Precio Total (Con Envios - $)]])*36.85</f>
        <v>1340.9715000000001</v>
      </c>
      <c r="O6" s="64">
        <f>Stock[[#This Row],[Precio de compra unitario]]+0.55*Stock[[#This Row],[Precio de compra unitario]]</f>
        <v>692.83527500000014</v>
      </c>
      <c r="P6" s="64">
        <v>700</v>
      </c>
      <c r="Q6" s="3" t="s">
        <v>21</v>
      </c>
    </row>
    <row r="7" spans="1:17" hidden="1" x14ac:dyDescent="0.3">
      <c r="A7" s="3" t="s">
        <v>22</v>
      </c>
      <c r="B7" s="3" t="str">
        <f>VLOOKUP(Stock[[#This Row],[Codigo del producto ]],Entradas[],3,FALSE)</f>
        <v xml:space="preserve">Nintendo Switch Pro controller </v>
      </c>
      <c r="C7" s="6">
        <f>VLOOKUP(Stock[[#This Row],[Codigo del producto ]],Entradas[],2,FALSE)</f>
        <v>46023</v>
      </c>
      <c r="D7" s="3" t="str">
        <f>IFERROR(VLOOKUP(Stock[[#This Row],[Codigo del producto ]],Entradas[],4,FALSE),"-")</f>
        <v>LT01</v>
      </c>
      <c r="E7" s="3">
        <f>IFERROR(VLOOKUP(Stock[[#This Row],[Codigo del producto ]],Entradas[],5,FALSE),"-")</f>
        <v>1</v>
      </c>
      <c r="F7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7" s="3">
        <f>IFERROR(Stock[[#This Row],[Entradas]]-Stock[[#This Row],[Salidas]],"-")</f>
        <v>0</v>
      </c>
      <c r="H7" s="63">
        <v>17.13</v>
      </c>
      <c r="I7" s="63">
        <f>Stock[[#This Row],[Entradas]]*Stock[[#This Row],[Precio Unitario ($)]]</f>
        <v>17.13</v>
      </c>
      <c r="J7" s="63">
        <v>1.33</v>
      </c>
      <c r="K7" s="63">
        <f>Stock[[#This Row],[Entradas]]*Stock[[#This Row],[Costo de envio unitario]]</f>
        <v>1.33</v>
      </c>
      <c r="L7" s="63">
        <f>IFERROR(Stock[[#This Row],[Precio Total (Sin Envios - $)]]+Stock[[#This Row],[Coste de envio total]],"-")</f>
        <v>18.46</v>
      </c>
      <c r="M7" s="63">
        <f>(Stock[[#This Row],[Precio Unitario ($)]]+Stock[[#This Row],[Costo de envio unitario]])*36.85</f>
        <v>680.25100000000009</v>
      </c>
      <c r="N7" s="64">
        <f>(Stock[[#This Row],[Precio Total (Con Envios - $)]])*36.85</f>
        <v>680.25100000000009</v>
      </c>
      <c r="O7" s="64">
        <f>Stock[[#This Row],[Precio de compra unitario]]+0.55*Stock[[#This Row],[Precio de compra unitario]]</f>
        <v>1054.3890500000002</v>
      </c>
      <c r="P7" s="64">
        <v>1050</v>
      </c>
      <c r="Q7" s="3"/>
    </row>
    <row r="8" spans="1:17" hidden="1" x14ac:dyDescent="0.3">
      <c r="A8" s="3" t="s">
        <v>23</v>
      </c>
      <c r="B8" s="3" t="str">
        <f>VLOOKUP(Stock[[#This Row],[Codigo del producto ]],Entradas[],3,FALSE)</f>
        <v>KZ EDX PRO X</v>
      </c>
      <c r="C8" s="6">
        <f>VLOOKUP(Stock[[#This Row],[Codigo del producto ]],Entradas[],2,FALSE)</f>
        <v>46023</v>
      </c>
      <c r="D8" s="3" t="str">
        <f>IFERROR(VLOOKUP(Stock[[#This Row],[Codigo del producto ]],Entradas[],4,FALSE),"-")</f>
        <v>LT01</v>
      </c>
      <c r="E8" s="3">
        <f>IFERROR(VLOOKUP(Stock[[#This Row],[Codigo del producto ]],Entradas[],5,FALSE),"-")</f>
        <v>11</v>
      </c>
      <c r="F8" s="3">
        <f>IFERROR(SUMIFS(Pagos[Cantidad vendida], Pagos[Codigo del producto], Stock[[#This Row],[Codigo del producto ]]) + SUMIFS(PagosV2[Cantidad vendida], PagosV2[Codigo del producto], Stock[[#This Row],[Codigo del producto ]]), "-")</f>
        <v>11</v>
      </c>
      <c r="G8" s="3">
        <f>IFERROR(Stock[[#This Row],[Entradas]]-Stock[[#This Row],[Salidas]],"-")</f>
        <v>0</v>
      </c>
      <c r="H8" s="63">
        <v>4.26</v>
      </c>
      <c r="I8" s="63">
        <f>Stock[[#This Row],[Entradas]]*Stock[[#This Row],[Precio Unitario ($)]]</f>
        <v>46.86</v>
      </c>
      <c r="J8" s="63">
        <v>0.3</v>
      </c>
      <c r="K8" s="63">
        <f>Stock[[#This Row],[Entradas]]*Stock[[#This Row],[Costo de envio unitario]]</f>
        <v>3.3</v>
      </c>
      <c r="L8" s="63">
        <f>IFERROR(Stock[[#This Row],[Precio Total (Sin Envios - $)]]+Stock[[#This Row],[Coste de envio total]],"-")</f>
        <v>50.16</v>
      </c>
      <c r="M8" s="63">
        <f>(Stock[[#This Row],[Precio Unitario ($)]]+Stock[[#This Row],[Costo de envio unitario]])*36.85</f>
        <v>168.036</v>
      </c>
      <c r="N8" s="64">
        <f>(Stock[[#This Row],[Precio Total (Con Envios - $)]])*36.85</f>
        <v>1848.396</v>
      </c>
      <c r="O8" s="64">
        <f>Stock[[#This Row],[Precio de compra unitario]]+0.55*Stock[[#This Row],[Precio de compra unitario]]</f>
        <v>260.45580000000001</v>
      </c>
      <c r="P8" s="65" t="s">
        <v>24</v>
      </c>
      <c r="Q8" s="3"/>
    </row>
    <row r="9" spans="1:17" hidden="1" x14ac:dyDescent="0.3">
      <c r="A9" s="3" t="s">
        <v>25</v>
      </c>
      <c r="B9" s="3" t="str">
        <f>VLOOKUP(Stock[[#This Row],[Codigo del producto ]],Entradas[],3,FALSE)</f>
        <v>Sharck Attack R1 Negro</v>
      </c>
      <c r="C9" s="6">
        <f>VLOOKUP(Stock[[#This Row],[Codigo del producto ]],Entradas[],2,FALSE)</f>
        <v>46023</v>
      </c>
      <c r="D9" s="3" t="str">
        <f>IFERROR(VLOOKUP(Stock[[#This Row],[Codigo del producto ]],Entradas[],4,FALSE),"-")</f>
        <v>LT01</v>
      </c>
      <c r="E9" s="3">
        <f>IFERROR(VLOOKUP(Stock[[#This Row],[Codigo del producto ]],Entradas[],5,FALSE),"-")</f>
        <v>10</v>
      </c>
      <c r="F9" s="3">
        <f>IFERROR(SUMIFS(Pagos[Cantidad vendida], Pagos[Codigo del producto], Stock[[#This Row],[Codigo del producto ]]) + SUMIFS(PagosV2[Cantidad vendida], PagosV2[Codigo del producto], Stock[[#This Row],[Codigo del producto ]]), "-")</f>
        <v>10</v>
      </c>
      <c r="G9" s="3">
        <f>IFERROR(Stock[[#This Row],[Entradas]]-Stock[[#This Row],[Salidas]],"-")</f>
        <v>0</v>
      </c>
      <c r="H9" s="63">
        <v>18.32</v>
      </c>
      <c r="I9" s="63">
        <f>Stock[[#This Row],[Entradas]]*Stock[[#This Row],[Precio Unitario ($)]]</f>
        <v>183.2</v>
      </c>
      <c r="J9" s="63">
        <v>0.4</v>
      </c>
      <c r="K9" s="63">
        <f>Stock[[#This Row],[Entradas]]*Stock[[#This Row],[Costo de envio unitario]]</f>
        <v>4</v>
      </c>
      <c r="L9" s="63">
        <f>IFERROR(Stock[[#This Row],[Precio Total (Sin Envios - $)]]+Stock[[#This Row],[Coste de envio total]],"-")</f>
        <v>187.2</v>
      </c>
      <c r="M9" s="63">
        <f>(Stock[[#This Row],[Precio Unitario ($)]]+Stock[[#This Row],[Costo de envio unitario]])*36.85</f>
        <v>689.83199999999999</v>
      </c>
      <c r="N9" s="64">
        <f>(Stock[[#This Row],[Precio Total (Con Envios - $)]])*36.85</f>
        <v>6898.32</v>
      </c>
      <c r="O9" s="64">
        <f>Stock[[#This Row],[Precio de compra unitario]]+0.55*Stock[[#This Row],[Precio de compra unitario]]</f>
        <v>1069.2395999999999</v>
      </c>
      <c r="P9" s="65">
        <v>1050</v>
      </c>
      <c r="Q9" s="3"/>
    </row>
    <row r="10" spans="1:17" hidden="1" x14ac:dyDescent="0.3">
      <c r="A10" s="3" t="s">
        <v>26</v>
      </c>
      <c r="B10" s="3" t="str">
        <f>VLOOKUP(Stock[[#This Row],[Codigo del producto ]],Entradas[],3,FALSE)</f>
        <v>KZ ZSN PRO X</v>
      </c>
      <c r="C10" s="6">
        <f>VLOOKUP(Stock[[#This Row],[Codigo del producto ]],Entradas[],2,FALSE)</f>
        <v>46023</v>
      </c>
      <c r="D10" s="3" t="str">
        <f>IFERROR(VLOOKUP(Stock[[#This Row],[Codigo del producto ]],Entradas[],4,FALSE),"-")</f>
        <v>LT01</v>
      </c>
      <c r="E10" s="3">
        <f>IFERROR(VLOOKUP(Stock[[#This Row],[Codigo del producto ]],Entradas[],5,FALSE),"-")</f>
        <v>3</v>
      </c>
      <c r="F10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10" s="3">
        <f>IFERROR(Stock[[#This Row],[Entradas]]-Stock[[#This Row],[Salidas]],"-")</f>
        <v>0</v>
      </c>
      <c r="H10" s="63">
        <v>12.55</v>
      </c>
      <c r="I10" s="63">
        <f>Stock[[#This Row],[Entradas]]*Stock[[#This Row],[Precio Unitario ($)]]</f>
        <v>37.650000000000006</v>
      </c>
      <c r="J10" s="63">
        <v>0.78</v>
      </c>
      <c r="K10" s="63">
        <f>Stock[[#This Row],[Entradas]]*Stock[[#This Row],[Costo de envio unitario]]</f>
        <v>2.34</v>
      </c>
      <c r="L10" s="63">
        <f>IFERROR(Stock[[#This Row],[Precio Total (Sin Envios - $)]]+Stock[[#This Row],[Coste de envio total]],"-")</f>
        <v>39.990000000000009</v>
      </c>
      <c r="M10" s="63">
        <f>(Stock[[#This Row],[Precio Unitario ($)]]+Stock[[#This Row],[Costo de envio unitario]])*36.85</f>
        <v>491.21050000000002</v>
      </c>
      <c r="N10" s="64">
        <f>(Stock[[#This Row],[Precio Total (Con Envios - $)]])*36.85</f>
        <v>1473.6315000000004</v>
      </c>
      <c r="O10" s="64">
        <f>Stock[[#This Row],[Precio de compra unitario]]+0.55*Stock[[#This Row],[Precio de compra unitario]]</f>
        <v>761.37627500000008</v>
      </c>
      <c r="P10" s="65">
        <v>750</v>
      </c>
      <c r="Q10" s="3"/>
    </row>
    <row r="11" spans="1:17" hidden="1" x14ac:dyDescent="0.3">
      <c r="A11" s="3" t="s">
        <v>27</v>
      </c>
      <c r="B11" s="3" t="str">
        <f>VLOOKUP(Stock[[#This Row],[Codigo del producto ]],Entradas[],3,FALSE)</f>
        <v>KZ Castor PRO Improved Bass</v>
      </c>
      <c r="C11" s="6">
        <f>VLOOKUP(Stock[[#This Row],[Codigo del producto ]],Entradas[],2,FALSE)</f>
        <v>46023</v>
      </c>
      <c r="D11" s="3" t="str">
        <f>IFERROR(VLOOKUP(Stock[[#This Row],[Codigo del producto ]],Entradas[],4,FALSE),"-")</f>
        <v>LT01</v>
      </c>
      <c r="E11" s="3">
        <f>IFERROR(VLOOKUP(Stock[[#This Row],[Codigo del producto ]],Entradas[],5,FALSE),"-")</f>
        <v>15</v>
      </c>
      <c r="F11" s="3">
        <f>IFERROR(SUMIFS(Pagos[Cantidad vendida], Pagos[Codigo del producto], Stock[[#This Row],[Codigo del producto ]]) + SUMIFS(PagosV2[Cantidad vendida], PagosV2[Codigo del producto], Stock[[#This Row],[Codigo del producto ]]), "-")</f>
        <v>15</v>
      </c>
      <c r="G11" s="3">
        <f>IFERROR(Stock[[#This Row],[Entradas]]-Stock[[#This Row],[Salidas]],"-")</f>
        <v>0</v>
      </c>
      <c r="H11" s="63">
        <v>9.4</v>
      </c>
      <c r="I11" s="63">
        <f>Stock[[#This Row],[Entradas]]*Stock[[#This Row],[Precio Unitario ($)]]</f>
        <v>141</v>
      </c>
      <c r="J11" s="63">
        <v>0.28999999999999998</v>
      </c>
      <c r="K11" s="63">
        <f>Stock[[#This Row],[Entradas]]*Stock[[#This Row],[Costo de envio unitario]]</f>
        <v>4.3499999999999996</v>
      </c>
      <c r="L11" s="63">
        <f>IFERROR(Stock[[#This Row],[Precio Total (Sin Envios - $)]]+Stock[[#This Row],[Coste de envio total]],"-")</f>
        <v>145.35</v>
      </c>
      <c r="M11" s="63">
        <f>(Stock[[#This Row],[Precio Unitario ($)]]+Stock[[#This Row],[Costo de envio unitario]])*36.85</f>
        <v>357.07650000000001</v>
      </c>
      <c r="N11" s="64">
        <f>(Stock[[#This Row],[Precio Total (Con Envios - $)]])*36.85</f>
        <v>5356.1475</v>
      </c>
      <c r="O11" s="64">
        <f>Stock[[#This Row],[Precio de compra unitario]]+0.55*Stock[[#This Row],[Precio de compra unitario]]</f>
        <v>553.4685750000001</v>
      </c>
      <c r="P11" s="65">
        <v>900</v>
      </c>
      <c r="Q11" s="3"/>
    </row>
    <row r="12" spans="1:17" hidden="1" x14ac:dyDescent="0.3">
      <c r="A12" s="3" t="s">
        <v>28</v>
      </c>
      <c r="B12" s="3" t="str">
        <f>VLOOKUP(Stock[[#This Row],[Codigo del producto ]],Entradas[],3,FALSE)</f>
        <v>Headset Bluetooth para moto</v>
      </c>
      <c r="C12" s="6">
        <f>VLOOKUP(Stock[[#This Row],[Codigo del producto ]],Entradas[],2,FALSE)</f>
        <v>46023</v>
      </c>
      <c r="D12" s="3" t="str">
        <f>IFERROR(VLOOKUP(Stock[[#This Row],[Codigo del producto ]],Entradas[],4,FALSE),"-")</f>
        <v>LT01</v>
      </c>
      <c r="E12" s="3">
        <f>IFERROR(VLOOKUP(Stock[[#This Row],[Codigo del producto ]],Entradas[],5,FALSE),"-")</f>
        <v>9</v>
      </c>
      <c r="F12" s="3">
        <f>IFERROR(SUMIFS(Pagos[Cantidad vendida], Pagos[Codigo del producto], Stock[[#This Row],[Codigo del producto ]]) + SUMIFS(PagosV2[Cantidad vendida], PagosV2[Codigo del producto], Stock[[#This Row],[Codigo del producto ]]), "-")</f>
        <v>9</v>
      </c>
      <c r="G12" s="3">
        <f>IFERROR(Stock[[#This Row],[Entradas]]-Stock[[#This Row],[Salidas]],"-")</f>
        <v>0</v>
      </c>
      <c r="H12" s="63">
        <v>4.4400000000000004</v>
      </c>
      <c r="I12" s="63">
        <f>Stock[[#This Row],[Entradas]]*Stock[[#This Row],[Precio Unitario ($)]]</f>
        <v>39.96</v>
      </c>
      <c r="J12" s="63">
        <v>0.45</v>
      </c>
      <c r="K12" s="63">
        <f>Stock[[#This Row],[Entradas]]*Stock[[#This Row],[Costo de envio unitario]]</f>
        <v>4.05</v>
      </c>
      <c r="L12" s="63">
        <f>IFERROR(Stock[[#This Row],[Precio Total (Sin Envios - $)]]+Stock[[#This Row],[Coste de envio total]],"-")</f>
        <v>44.01</v>
      </c>
      <c r="M12" s="63">
        <f>(Stock[[#This Row],[Precio Unitario ($)]]+Stock[[#This Row],[Costo de envio unitario]])*36.85</f>
        <v>180.19650000000001</v>
      </c>
      <c r="N12" s="64">
        <f>(Stock[[#This Row],[Precio Total (Con Envios - $)]])*36.85</f>
        <v>1621.7684999999999</v>
      </c>
      <c r="O12" s="64">
        <f>Stock[[#This Row],[Precio de compra unitario]]+0.55*Stock[[#This Row],[Precio de compra unitario]]</f>
        <v>279.304575</v>
      </c>
      <c r="P12" s="65">
        <v>500</v>
      </c>
      <c r="Q12" s="3"/>
    </row>
    <row r="13" spans="1:17" hidden="1" x14ac:dyDescent="0.3">
      <c r="A13" s="3" t="s">
        <v>29</v>
      </c>
      <c r="B13" s="3" t="str">
        <f>VLOOKUP(Stock[[#This Row],[Codigo del producto ]],Entradas[],3,FALSE)</f>
        <v>KZ EDX PRO X</v>
      </c>
      <c r="C13" s="6">
        <f>VLOOKUP(Stock[[#This Row],[Codigo del producto ]],Entradas[],2,FALSE)</f>
        <v>46023</v>
      </c>
      <c r="D13" s="3" t="str">
        <f>IFERROR(VLOOKUP(Stock[[#This Row],[Codigo del producto ]],Entradas[],4,FALSE),"-")</f>
        <v>LT01</v>
      </c>
      <c r="E13" s="3">
        <f>IFERROR(VLOOKUP(Stock[[#This Row],[Codigo del producto ]],Entradas[],5,FALSE),"-")</f>
        <v>20</v>
      </c>
      <c r="F13" s="3">
        <f>IFERROR(SUMIFS(Pagos[Cantidad vendida], Pagos[Codigo del producto], Stock[[#This Row],[Codigo del producto ]]) + SUMIFS(PagosV2[Cantidad vendida], PagosV2[Codigo del producto], Stock[[#This Row],[Codigo del producto ]]), "-")</f>
        <v>20</v>
      </c>
      <c r="G13" s="3">
        <f>IFERROR(Stock[[#This Row],[Entradas]]-Stock[[#This Row],[Salidas]],"-")</f>
        <v>0</v>
      </c>
      <c r="H13" s="63">
        <v>3.93</v>
      </c>
      <c r="I13" s="63">
        <f>Stock[[#This Row],[Entradas]]*Stock[[#This Row],[Precio Unitario ($)]]</f>
        <v>78.600000000000009</v>
      </c>
      <c r="J13" s="63">
        <v>0.45</v>
      </c>
      <c r="K13" s="63">
        <f>Stock[[#This Row],[Entradas]]*Stock[[#This Row],[Costo de envio unitario]]</f>
        <v>9</v>
      </c>
      <c r="L13" s="63">
        <f>IFERROR(Stock[[#This Row],[Precio Total (Sin Envios - $)]]+Stock[[#This Row],[Coste de envio total]],"-")</f>
        <v>87.600000000000009</v>
      </c>
      <c r="M13" s="63">
        <f>(Stock[[#This Row],[Precio Unitario ($)]]+Stock[[#This Row],[Costo de envio unitario]])*36.85</f>
        <v>161.40299999999999</v>
      </c>
      <c r="N13" s="64">
        <f>(Stock[[#This Row],[Precio Total (Con Envios - $)]])*36.85</f>
        <v>3228.0600000000004</v>
      </c>
      <c r="O13" s="64">
        <f>Stock[[#This Row],[Precio de compra unitario]]+0.55*Stock[[#This Row],[Precio de compra unitario]]</f>
        <v>250.17464999999999</v>
      </c>
      <c r="P13" s="65">
        <v>420</v>
      </c>
      <c r="Q13" s="3"/>
    </row>
    <row r="14" spans="1:17" hidden="1" x14ac:dyDescent="0.3">
      <c r="A14" s="3" t="s">
        <v>30</v>
      </c>
      <c r="B14" s="3" t="str">
        <f>VLOOKUP(Stock[[#This Row],[Codigo del producto ]],Entradas[],3,FALSE)</f>
        <v>KZ AZ09 Bluetooth Adapter</v>
      </c>
      <c r="C14" s="6">
        <f>VLOOKUP(Stock[[#This Row],[Codigo del producto ]],Entradas[],2,FALSE)</f>
        <v>46024</v>
      </c>
      <c r="D14" s="3" t="str">
        <f>IFERROR(VLOOKUP(Stock[[#This Row],[Codigo del producto ]],Entradas[],4,FALSE),"-")</f>
        <v>LT01</v>
      </c>
      <c r="E14" s="3">
        <f>IFERROR(VLOOKUP(Stock[[#This Row],[Codigo del producto ]],Entradas[],5,FALSE),"-")</f>
        <v>13</v>
      </c>
      <c r="F14" s="3">
        <f>IFERROR(SUMIFS(Pagos[Cantidad vendida], Pagos[Codigo del producto], Stock[[#This Row],[Codigo del producto ]]) + SUMIFS(PagosV2[Cantidad vendida], PagosV2[Codigo del producto], Stock[[#This Row],[Codigo del producto ]]), "-")</f>
        <v>13</v>
      </c>
      <c r="G14" s="3">
        <f>IFERROR(Stock[[#This Row],[Entradas]]-Stock[[#This Row],[Salidas]],"-")</f>
        <v>0</v>
      </c>
      <c r="H14" s="63">
        <v>11.71</v>
      </c>
      <c r="I14" s="63">
        <f>Stock[[#This Row],[Entradas]]*Stock[[#This Row],[Precio Unitario ($)]]</f>
        <v>152.23000000000002</v>
      </c>
      <c r="J14" s="63">
        <v>0.45</v>
      </c>
      <c r="K14" s="63">
        <f>Stock[[#This Row],[Entradas]]*Stock[[#This Row],[Costo de envio unitario]]</f>
        <v>5.8500000000000005</v>
      </c>
      <c r="L14" s="63">
        <f>IFERROR(Stock[[#This Row],[Precio Total (Sin Envios - $)]]+Stock[[#This Row],[Coste de envio total]],"-")</f>
        <v>158.08000000000001</v>
      </c>
      <c r="M14" s="63">
        <f>(Stock[[#This Row],[Precio Unitario ($)]]+Stock[[#This Row],[Costo de envio unitario]])*36.85</f>
        <v>448.096</v>
      </c>
      <c r="N14" s="64">
        <f>(Stock[[#This Row],[Precio Total (Con Envios - $)]])*36.85</f>
        <v>5825.2480000000005</v>
      </c>
      <c r="O14" s="64">
        <f>Stock[[#This Row],[Precio de compra unitario]]+0.55*Stock[[#This Row],[Precio de compra unitario]]</f>
        <v>694.54880000000003</v>
      </c>
      <c r="P14" s="65">
        <v>900</v>
      </c>
      <c r="Q14" s="3"/>
    </row>
    <row r="15" spans="1:17" hidden="1" x14ac:dyDescent="0.3">
      <c r="A15" s="3" t="s">
        <v>31</v>
      </c>
      <c r="B15" s="3" t="str">
        <f>VLOOKUP(Stock[[#This Row],[Codigo del producto ]],Entradas[],3,FALSE)</f>
        <v>KZ Saga Bass</v>
      </c>
      <c r="C15" s="6">
        <f>VLOOKUP(Stock[[#This Row],[Codigo del producto ]],Entradas[],2,FALSE)</f>
        <v>46025</v>
      </c>
      <c r="D15" s="3" t="str">
        <f>IFERROR(VLOOKUP(Stock[[#This Row],[Codigo del producto ]],Entradas[],4,FALSE),"-")</f>
        <v>LT01</v>
      </c>
      <c r="E15" s="3">
        <f>IFERROR(VLOOKUP(Stock[[#This Row],[Codigo del producto ]],Entradas[],5,FALSE),"-")</f>
        <v>1</v>
      </c>
      <c r="F15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15" s="3">
        <f>IFERROR(Stock[[#This Row],[Entradas]]-Stock[[#This Row],[Salidas]],"-")</f>
        <v>0</v>
      </c>
      <c r="H15" s="63">
        <v>12.1</v>
      </c>
      <c r="I15" s="63">
        <f>Stock[[#This Row],[Entradas]]*Stock[[#This Row],[Precio Unitario ($)]]</f>
        <v>12.1</v>
      </c>
      <c r="J15" s="63">
        <v>0.8</v>
      </c>
      <c r="K15" s="63">
        <f>Stock[[#This Row],[Entradas]]*Stock[[#This Row],[Costo de envio unitario]]</f>
        <v>0.8</v>
      </c>
      <c r="L15" s="63">
        <f>IFERROR(Stock[[#This Row],[Precio Total (Sin Envios - $)]]+Stock[[#This Row],[Coste de envio total]],"-")</f>
        <v>12.9</v>
      </c>
      <c r="M15" s="63">
        <f>(Stock[[#This Row],[Precio Unitario ($)]]+Stock[[#This Row],[Costo de envio unitario]])*36.85</f>
        <v>475.36500000000001</v>
      </c>
      <c r="N15" s="64">
        <f>(Stock[[#This Row],[Precio Total (Con Envios - $)]])*36.85</f>
        <v>475.36500000000001</v>
      </c>
      <c r="O15" s="64">
        <f>Stock[[#This Row],[Precio de compra unitario]]+0.55*Stock[[#This Row],[Precio de compra unitario]]</f>
        <v>736.81574999999998</v>
      </c>
      <c r="P15" s="65">
        <v>700</v>
      </c>
      <c r="Q15" s="3"/>
    </row>
    <row r="16" spans="1:17" hidden="1" x14ac:dyDescent="0.3">
      <c r="A16" s="3" t="s">
        <v>32</v>
      </c>
      <c r="B16" s="3" t="str">
        <f>VLOOKUP(Stock[[#This Row],[Codigo del producto ]],Entradas[],3,FALSE)</f>
        <v>Cargadores USB para moto</v>
      </c>
      <c r="C16" s="6">
        <f>VLOOKUP(Stock[[#This Row],[Codigo del producto ]],Entradas[],2,FALSE)</f>
        <v>46029</v>
      </c>
      <c r="D16" s="3" t="str">
        <f>IFERROR(VLOOKUP(Stock[[#This Row],[Codigo del producto ]],Entradas[],4,FALSE),"-")</f>
        <v>LT02</v>
      </c>
      <c r="E16" s="3">
        <f>IFERROR(VLOOKUP(Stock[[#This Row],[Codigo del producto ]],Entradas[],5,FALSE),"-")</f>
        <v>20</v>
      </c>
      <c r="F16" s="3">
        <f>IFERROR(SUMIFS(Pagos[Cantidad vendida], Pagos[Codigo del producto], Stock[[#This Row],[Codigo del producto ]]) + SUMIFS(PagosV2[Cantidad vendida], PagosV2[Codigo del producto], Stock[[#This Row],[Codigo del producto ]]), "-")</f>
        <v>20</v>
      </c>
      <c r="G16" s="3">
        <f>IFERROR(Stock[[#This Row],[Entradas]]-Stock[[#This Row],[Salidas]],"-")</f>
        <v>0</v>
      </c>
      <c r="H16" s="63">
        <v>7.16</v>
      </c>
      <c r="I16" s="63">
        <f>Stock[[#This Row],[Entradas]]*Stock[[#This Row],[Precio Unitario ($)]]</f>
        <v>143.19999999999999</v>
      </c>
      <c r="J16" s="63">
        <v>0.6</v>
      </c>
      <c r="K16" s="63">
        <f>Stock[[#This Row],[Entradas]]*Stock[[#This Row],[Costo de envio unitario]]</f>
        <v>12</v>
      </c>
      <c r="L16" s="63">
        <f>IFERROR(Stock[[#This Row],[Precio Total (Sin Envios - $)]]+Stock[[#This Row],[Coste de envio total]],"-")</f>
        <v>155.19999999999999</v>
      </c>
      <c r="M16" s="63">
        <f>(Stock[[#This Row],[Precio Unitario ($)]]+Stock[[#This Row],[Costo de envio unitario]])*36.85</f>
        <v>285.95600000000002</v>
      </c>
      <c r="N16" s="64">
        <f>(Stock[[#This Row],[Precio Total (Con Envios - $)]])*36.85</f>
        <v>5719.12</v>
      </c>
      <c r="O16" s="64">
        <f>Stock[[#This Row],[Precio de compra unitario]]+0.55*Stock[[#This Row],[Precio de compra unitario]]</f>
        <v>443.23180000000002</v>
      </c>
      <c r="P16" s="65">
        <v>500</v>
      </c>
      <c r="Q16" s="3"/>
    </row>
    <row r="17" spans="1:17" hidden="1" x14ac:dyDescent="0.3">
      <c r="A17" s="3" t="s">
        <v>33</v>
      </c>
      <c r="B17" s="3" t="str">
        <f>VLOOKUP(Stock[[#This Row],[Codigo del producto ]],Entradas[],3,FALSE)</f>
        <v>Sharck Attack X11 Blanco</v>
      </c>
      <c r="C17" s="6">
        <f>VLOOKUP(Stock[[#This Row],[Codigo del producto ]],Entradas[],2,FALSE)</f>
        <v>46029</v>
      </c>
      <c r="D17" s="3" t="str">
        <f>IFERROR(VLOOKUP(Stock[[#This Row],[Codigo del producto ]],Entradas[],4,FALSE),"-")</f>
        <v>LT02</v>
      </c>
      <c r="E17" s="3">
        <f>IFERROR(VLOOKUP(Stock[[#This Row],[Codigo del producto ]],Entradas[],5,FALSE),"-")</f>
        <v>10</v>
      </c>
      <c r="F17" s="3">
        <f>IFERROR(SUMIFS(Pagos[Cantidad vendida], Pagos[Codigo del producto], Stock[[#This Row],[Codigo del producto ]]) + SUMIFS(PagosV2[Cantidad vendida], PagosV2[Codigo del producto], Stock[[#This Row],[Codigo del producto ]]), "-")</f>
        <v>10</v>
      </c>
      <c r="G17" s="3">
        <f>IFERROR(Stock[[#This Row],[Entradas]]-Stock[[#This Row],[Salidas]],"-")</f>
        <v>0</v>
      </c>
      <c r="H17" s="63">
        <v>15.21</v>
      </c>
      <c r="I17" s="63">
        <f>Stock[[#This Row],[Entradas]]*Stock[[#This Row],[Precio Unitario ($)]]</f>
        <v>152.10000000000002</v>
      </c>
      <c r="J17" s="63">
        <v>1</v>
      </c>
      <c r="K17" s="63">
        <f>Stock[[#This Row],[Entradas]]*Stock[[#This Row],[Costo de envio unitario]]</f>
        <v>10</v>
      </c>
      <c r="L17" s="63">
        <f>IFERROR(Stock[[#This Row],[Precio Total (Sin Envios - $)]]+Stock[[#This Row],[Coste de envio total]],"-")</f>
        <v>162.10000000000002</v>
      </c>
      <c r="M17" s="63">
        <f>(Stock[[#This Row],[Precio Unitario ($)]]+Stock[[#This Row],[Costo de envio unitario]])*36.85</f>
        <v>597.33850000000007</v>
      </c>
      <c r="N17" s="64">
        <f>(Stock[[#This Row],[Precio Total (Con Envios - $)]])*36.85</f>
        <v>5973.3850000000011</v>
      </c>
      <c r="O17" s="64">
        <f>Stock[[#This Row],[Precio de compra unitario]]+0.55*Stock[[#This Row],[Precio de compra unitario]]</f>
        <v>925.87467500000014</v>
      </c>
      <c r="P17" s="65">
        <v>1200</v>
      </c>
      <c r="Q17" s="3"/>
    </row>
    <row r="18" spans="1:17" hidden="1" x14ac:dyDescent="0.3">
      <c r="A18" s="3" t="s">
        <v>34</v>
      </c>
      <c r="B18" s="3" t="str">
        <f>VLOOKUP(Stock[[#This Row],[Codigo del producto ]],Entradas[],3,FALSE)</f>
        <v>Teclado Mecanico EPOMaker Galaxy100 Lite</v>
      </c>
      <c r="C18" s="6">
        <f>VLOOKUP(Stock[[#This Row],[Codigo del producto ]],Entradas[],2,FALSE)</f>
        <v>46029</v>
      </c>
      <c r="D18" s="3" t="str">
        <f>IFERROR(VLOOKUP(Stock[[#This Row],[Codigo del producto ]],Entradas[],4,FALSE),"-")</f>
        <v>LT02</v>
      </c>
      <c r="E18" s="3">
        <f>IFERROR(VLOOKUP(Stock[[#This Row],[Codigo del producto ]],Entradas[],5,FALSE),"-")</f>
        <v>1</v>
      </c>
      <c r="F18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18" s="3">
        <f>IFERROR(Stock[[#This Row],[Entradas]]-Stock[[#This Row],[Salidas]],"-")</f>
        <v>0</v>
      </c>
      <c r="H18" s="63">
        <v>57.64</v>
      </c>
      <c r="I18" s="63">
        <f>Stock[[#This Row],[Entradas]]*Stock[[#This Row],[Precio Unitario ($)]]</f>
        <v>57.64</v>
      </c>
      <c r="J18" s="63">
        <v>10</v>
      </c>
      <c r="K18" s="63">
        <f>Stock[[#This Row],[Entradas]]*Stock[[#This Row],[Costo de envio unitario]]</f>
        <v>10</v>
      </c>
      <c r="L18" s="63">
        <f>IFERROR(Stock[[#This Row],[Precio Total (Sin Envios - $)]]+Stock[[#This Row],[Coste de envio total]],"-")</f>
        <v>67.64</v>
      </c>
      <c r="M18" s="63">
        <f>(Stock[[#This Row],[Precio Unitario ($)]]+Stock[[#This Row],[Costo de envio unitario]])*36.85</f>
        <v>2492.5340000000001</v>
      </c>
      <c r="N18" s="64">
        <f>(Stock[[#This Row],[Precio Total (Con Envios - $)]])*36.85</f>
        <v>2492.5340000000001</v>
      </c>
      <c r="O18" s="64">
        <f>Stock[[#This Row],[Precio de compra unitario]]+0.55*Stock[[#This Row],[Precio de compra unitario]]</f>
        <v>3863.4277000000002</v>
      </c>
      <c r="P18" s="65">
        <v>3800</v>
      </c>
      <c r="Q18" s="3"/>
    </row>
    <row r="19" spans="1:17" hidden="1" x14ac:dyDescent="0.3">
      <c r="A19" s="3" t="s">
        <v>35</v>
      </c>
      <c r="B19" s="3" t="str">
        <f>VLOOKUP(Stock[[#This Row],[Codigo del producto ]],Entradas[],3,FALSE)</f>
        <v>Headset Bluetooth para moto</v>
      </c>
      <c r="C19" s="6">
        <f>VLOOKUP(Stock[[#This Row],[Codigo del producto ]],Entradas[],2,FALSE)</f>
        <v>46031</v>
      </c>
      <c r="D19" s="3" t="str">
        <f>IFERROR(VLOOKUP(Stock[[#This Row],[Codigo del producto ]],Entradas[],4,FALSE),"-")</f>
        <v>LT03</v>
      </c>
      <c r="E19" s="3">
        <f>IFERROR(VLOOKUP(Stock[[#This Row],[Codigo del producto ]],Entradas[],5,FALSE),"-")</f>
        <v>4</v>
      </c>
      <c r="F19" s="3">
        <f>IFERROR(SUMIFS(Pagos[Cantidad vendida], Pagos[Codigo del producto], Stock[[#This Row],[Codigo del producto ]]) + SUMIFS(PagosV2[Cantidad vendida], PagosV2[Codigo del producto], Stock[[#This Row],[Codigo del producto ]]), "-")</f>
        <v>4</v>
      </c>
      <c r="G19" s="3">
        <f>IFERROR(Stock[[#This Row],[Entradas]]-Stock[[#This Row],[Salidas]],"-")</f>
        <v>0</v>
      </c>
      <c r="H19" s="63">
        <v>7.03</v>
      </c>
      <c r="I19" s="63">
        <f>Stock[[#This Row],[Entradas]]*Stock[[#This Row],[Precio Unitario ($)]]</f>
        <v>28.12</v>
      </c>
      <c r="J19" s="63">
        <v>0.37</v>
      </c>
      <c r="K19" s="63">
        <f>Stock[[#This Row],[Entradas]]*Stock[[#This Row],[Costo de envio unitario]]</f>
        <v>1.48</v>
      </c>
      <c r="L19" s="63">
        <f>IFERROR(Stock[[#This Row],[Precio Total (Sin Envios - $)]]+Stock[[#This Row],[Coste de envio total]],"-")</f>
        <v>29.6</v>
      </c>
      <c r="M19" s="63">
        <f>(Stock[[#This Row],[Precio Unitario ($)]]+Stock[[#This Row],[Costo de envio unitario]])*36.85</f>
        <v>272.69</v>
      </c>
      <c r="N19" s="64">
        <f>(Stock[[#This Row],[Precio Total (Con Envios - $)]])*36.85</f>
        <v>1090.76</v>
      </c>
      <c r="O19" s="64">
        <f>Stock[[#This Row],[Precio de compra unitario]]+0.55*Stock[[#This Row],[Precio de compra unitario]]</f>
        <v>422.66949999999997</v>
      </c>
      <c r="P19" s="65">
        <v>500</v>
      </c>
      <c r="Q19" s="3"/>
    </row>
    <row r="20" spans="1:17" hidden="1" x14ac:dyDescent="0.3">
      <c r="A20" s="3" t="s">
        <v>36</v>
      </c>
      <c r="B20" s="3" t="str">
        <f>VLOOKUP(Stock[[#This Row],[Codigo del producto ]],Entradas[],3,FALSE)</f>
        <v>KZ EDX PRO X</v>
      </c>
      <c r="C20" s="6">
        <f>VLOOKUP(Stock[[#This Row],[Codigo del producto ]],Entradas[],2,FALSE)</f>
        <v>46031</v>
      </c>
      <c r="D20" s="3" t="str">
        <f>IFERROR(VLOOKUP(Stock[[#This Row],[Codigo del producto ]],Entradas[],4,FALSE),"-")</f>
        <v>LT03</v>
      </c>
      <c r="E20" s="3">
        <f>IFERROR(VLOOKUP(Stock[[#This Row],[Codigo del producto ]],Entradas[],5,FALSE),"-")</f>
        <v>16</v>
      </c>
      <c r="F20" s="3">
        <f>IFERROR(SUMIFS(Pagos[Cantidad vendida], Pagos[Codigo del producto], Stock[[#This Row],[Codigo del producto ]]) + SUMIFS(PagosV2[Cantidad vendida], PagosV2[Codigo del producto], Stock[[#This Row],[Codigo del producto ]]), "-")</f>
        <v>16</v>
      </c>
      <c r="G20" s="3">
        <f>IFERROR(Stock[[#This Row],[Entradas]]-Stock[[#This Row],[Salidas]],"-")</f>
        <v>0</v>
      </c>
      <c r="H20" s="63">
        <v>4.0599999999999996</v>
      </c>
      <c r="I20" s="63">
        <f>Stock[[#This Row],[Entradas]]*Stock[[#This Row],[Precio Unitario ($)]]</f>
        <v>64.959999999999994</v>
      </c>
      <c r="J20" s="63">
        <v>0.37</v>
      </c>
      <c r="K20" s="63">
        <f>Stock[[#This Row],[Entradas]]*Stock[[#This Row],[Costo de envio unitario]]</f>
        <v>5.92</v>
      </c>
      <c r="L20" s="63">
        <f>IFERROR(Stock[[#This Row],[Precio Total (Sin Envios - $)]]+Stock[[#This Row],[Coste de envio total]],"-")</f>
        <v>70.88</v>
      </c>
      <c r="M20" s="63">
        <f>(Stock[[#This Row],[Precio Unitario ($)]]+Stock[[#This Row],[Costo de envio unitario]])*36.85</f>
        <v>163.24549999999999</v>
      </c>
      <c r="N20" s="64">
        <f>(Stock[[#This Row],[Precio Total (Con Envios - $)]])*36.85</f>
        <v>2611.9279999999999</v>
      </c>
      <c r="O20" s="64">
        <f>Stock[[#This Row],[Precio de compra unitario]]+0.55*Stock[[#This Row],[Precio de compra unitario]]</f>
        <v>253.03052500000001</v>
      </c>
      <c r="P20" s="65">
        <v>400</v>
      </c>
      <c r="Q20" s="3"/>
    </row>
    <row r="21" spans="1:17" hidden="1" x14ac:dyDescent="0.3">
      <c r="A21" s="3" t="s">
        <v>37</v>
      </c>
      <c r="B21" s="3" t="str">
        <f>VLOOKUP(Stock[[#This Row],[Codigo del producto ]],Entradas[],3,FALSE)</f>
        <v>Halogenos Grandes</v>
      </c>
      <c r="C21" s="6">
        <f>VLOOKUP(Stock[[#This Row],[Codigo del producto ]],Entradas[],2,FALSE)</f>
        <v>46031</v>
      </c>
      <c r="D21" s="3" t="str">
        <f>IFERROR(VLOOKUP(Stock[[#This Row],[Codigo del producto ]],Entradas[],4,FALSE),"-")</f>
        <v>LT03</v>
      </c>
      <c r="E21" s="3">
        <f>IFERROR(VLOOKUP(Stock[[#This Row],[Codigo del producto ]],Entradas[],5,FALSE),"-")</f>
        <v>2</v>
      </c>
      <c r="F21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21" s="3">
        <f>IFERROR(Stock[[#This Row],[Entradas]]-Stock[[#This Row],[Salidas]],"-")</f>
        <v>0</v>
      </c>
      <c r="H21" s="63">
        <v>4.34</v>
      </c>
      <c r="I21" s="63">
        <f>Stock[[#This Row],[Entradas]]*Stock[[#This Row],[Precio Unitario ($)]]</f>
        <v>8.68</v>
      </c>
      <c r="J21" s="63">
        <v>0.37</v>
      </c>
      <c r="K21" s="63">
        <f>Stock[[#This Row],[Entradas]]*Stock[[#This Row],[Costo de envio unitario]]</f>
        <v>0.74</v>
      </c>
      <c r="L21" s="63">
        <f>IFERROR(Stock[[#This Row],[Precio Total (Sin Envios - $)]]+Stock[[#This Row],[Coste de envio total]],"-")</f>
        <v>9.42</v>
      </c>
      <c r="M21" s="63">
        <f>(Stock[[#This Row],[Precio Unitario ($)]]+Stock[[#This Row],[Costo de envio unitario]])*36.85</f>
        <v>173.5635</v>
      </c>
      <c r="N21" s="64">
        <f>(Stock[[#This Row],[Precio Total (Con Envios - $)]])*36.85</f>
        <v>347.12700000000001</v>
      </c>
      <c r="O21" s="64">
        <f>Stock[[#This Row],[Precio de compra unitario]]+0.55*Stock[[#This Row],[Precio de compra unitario]]</f>
        <v>269.02342500000003</v>
      </c>
      <c r="P21" s="65">
        <v>400</v>
      </c>
      <c r="Q21" s="3"/>
    </row>
    <row r="22" spans="1:17" hidden="1" x14ac:dyDescent="0.3">
      <c r="A22" s="3" t="s">
        <v>38</v>
      </c>
      <c r="B22" s="3" t="str">
        <f>VLOOKUP(Stock[[#This Row],[Codigo del producto ]],Entradas[],3,FALSE)</f>
        <v>Headset Bluetooth para moto</v>
      </c>
      <c r="C22" s="6">
        <f>VLOOKUP(Stock[[#This Row],[Codigo del producto ]],Entradas[],2,FALSE)</f>
        <v>46031</v>
      </c>
      <c r="D22" s="3" t="str">
        <f>IFERROR(VLOOKUP(Stock[[#This Row],[Codigo del producto ]],Entradas[],4,FALSE),"-")</f>
        <v>LT03</v>
      </c>
      <c r="E22" s="3">
        <f>IFERROR(VLOOKUP(Stock[[#This Row],[Codigo del producto ]],Entradas[],5,FALSE),"-")</f>
        <v>4</v>
      </c>
      <c r="F22" s="3">
        <f>IFERROR(SUMIFS(Pagos[Cantidad vendida], Pagos[Codigo del producto], Stock[[#This Row],[Codigo del producto ]]) + SUMIFS(PagosV2[Cantidad vendida], PagosV2[Codigo del producto], Stock[[#This Row],[Codigo del producto ]]), "-")</f>
        <v>4</v>
      </c>
      <c r="G22" s="3">
        <f>IFERROR(Stock[[#This Row],[Entradas]]-Stock[[#This Row],[Salidas]],"-")</f>
        <v>0</v>
      </c>
      <c r="H22" s="63">
        <v>7.03</v>
      </c>
      <c r="I22" s="63">
        <f>Stock[[#This Row],[Entradas]]*Stock[[#This Row],[Precio Unitario ($)]]</f>
        <v>28.12</v>
      </c>
      <c r="J22" s="63">
        <v>0.38</v>
      </c>
      <c r="K22" s="63">
        <f>Stock[[#This Row],[Entradas]]*Stock[[#This Row],[Costo de envio unitario]]</f>
        <v>1.52</v>
      </c>
      <c r="L22" s="63">
        <f>IFERROR(Stock[[#This Row],[Precio Total (Sin Envios - $)]]+Stock[[#This Row],[Coste de envio total]],"-")</f>
        <v>29.64</v>
      </c>
      <c r="M22" s="63">
        <f>(Stock[[#This Row],[Precio Unitario ($)]]+Stock[[#This Row],[Costo de envio unitario]])*36.85</f>
        <v>273.05850000000004</v>
      </c>
      <c r="N22" s="64">
        <f>(Stock[[#This Row],[Precio Total (Con Envios - $)]])*36.85</f>
        <v>1092.2340000000002</v>
      </c>
      <c r="O22" s="64">
        <f>Stock[[#This Row],[Precio de compra unitario]]+0.55*Stock[[#This Row],[Precio de compra unitario]]</f>
        <v>423.24067500000007</v>
      </c>
      <c r="P22" s="65">
        <v>500</v>
      </c>
      <c r="Q22" s="3"/>
    </row>
    <row r="23" spans="1:17" hidden="1" x14ac:dyDescent="0.3">
      <c r="A23" s="3" t="s">
        <v>39</v>
      </c>
      <c r="B23" s="3" t="str">
        <f>VLOOKUP(Stock[[#This Row],[Codigo del producto ]],Entradas[],3,FALSE)</f>
        <v>KZ EDX PRO X</v>
      </c>
      <c r="C23" s="6">
        <f>VLOOKUP(Stock[[#This Row],[Codigo del producto ]],Entradas[],2,FALSE)</f>
        <v>46031</v>
      </c>
      <c r="D23" s="3" t="str">
        <f>IFERROR(VLOOKUP(Stock[[#This Row],[Codigo del producto ]],Entradas[],4,FALSE),"-")</f>
        <v>LT03</v>
      </c>
      <c r="E23" s="3">
        <f>IFERROR(VLOOKUP(Stock[[#This Row],[Codigo del producto ]],Entradas[],5,FALSE),"-")</f>
        <v>4</v>
      </c>
      <c r="F23" s="3">
        <f>IFERROR(SUMIFS(Pagos[Cantidad vendida], Pagos[Codigo del producto], Stock[[#This Row],[Codigo del producto ]]) + SUMIFS(PagosV2[Cantidad vendida], PagosV2[Codigo del producto], Stock[[#This Row],[Codigo del producto ]]), "-")</f>
        <v>4</v>
      </c>
      <c r="G23" s="3">
        <f>IFERROR(Stock[[#This Row],[Entradas]]-Stock[[#This Row],[Salidas]],"-")</f>
        <v>0</v>
      </c>
      <c r="H23" s="63">
        <v>4.0599999999999996</v>
      </c>
      <c r="I23" s="63">
        <f>Stock[[#This Row],[Entradas]]*Stock[[#This Row],[Precio Unitario ($)]]</f>
        <v>16.239999999999998</v>
      </c>
      <c r="J23" s="63">
        <v>0.38</v>
      </c>
      <c r="K23" s="63">
        <f>Stock[[#This Row],[Entradas]]*Stock[[#This Row],[Costo de envio unitario]]</f>
        <v>1.52</v>
      </c>
      <c r="L23" s="63">
        <f>IFERROR(Stock[[#This Row],[Precio Total (Sin Envios - $)]]+Stock[[#This Row],[Coste de envio total]],"-")</f>
        <v>17.759999999999998</v>
      </c>
      <c r="M23" s="63">
        <f>(Stock[[#This Row],[Precio Unitario ($)]]+Stock[[#This Row],[Costo de envio unitario]])*36.85</f>
        <v>163.61399999999998</v>
      </c>
      <c r="N23" s="64">
        <f>(Stock[[#This Row],[Precio Total (Con Envios - $)]])*36.85</f>
        <v>654.4559999999999</v>
      </c>
      <c r="O23" s="64">
        <f>Stock[[#This Row],[Precio de compra unitario]]+0.55*Stock[[#This Row],[Precio de compra unitario]]</f>
        <v>253.60169999999997</v>
      </c>
      <c r="P23" s="65">
        <v>400</v>
      </c>
      <c r="Q23" s="3"/>
    </row>
    <row r="24" spans="1:17" hidden="1" x14ac:dyDescent="0.3">
      <c r="A24" s="3" t="s">
        <v>40</v>
      </c>
      <c r="B24" s="3" t="str">
        <f>VLOOKUP(Stock[[#This Row],[Codigo del producto ]],Entradas[],3,FALSE)</f>
        <v xml:space="preserve">Adaptador DAC </v>
      </c>
      <c r="C24" s="6">
        <f>VLOOKUP(Stock[[#This Row],[Codigo del producto ]],Entradas[],2,FALSE)</f>
        <v>46031</v>
      </c>
      <c r="D24" s="3" t="str">
        <f>IFERROR(VLOOKUP(Stock[[#This Row],[Codigo del producto ]],Entradas[],4,FALSE),"-")</f>
        <v>LT03</v>
      </c>
      <c r="E24" s="3">
        <f>IFERROR(VLOOKUP(Stock[[#This Row],[Codigo del producto ]],Entradas[],5,FALSE),"-")</f>
        <v>20</v>
      </c>
      <c r="F24" s="3">
        <f>IFERROR(SUMIFS(Pagos[Cantidad vendida], Pagos[Codigo del producto], Stock[[#This Row],[Codigo del producto ]]) + SUMIFS(PagosV2[Cantidad vendida], PagosV2[Codigo del producto], Stock[[#This Row],[Codigo del producto ]]), "-")</f>
        <v>20</v>
      </c>
      <c r="G24" s="3">
        <f>IFERROR(Stock[[#This Row],[Entradas]]-Stock[[#This Row],[Salidas]],"-")</f>
        <v>0</v>
      </c>
      <c r="H24" s="63">
        <v>4.5999999999999996</v>
      </c>
      <c r="I24" s="63">
        <f>Stock[[#This Row],[Entradas]]*Stock[[#This Row],[Precio Unitario ($)]]</f>
        <v>92</v>
      </c>
      <c r="J24" s="63">
        <v>0.38</v>
      </c>
      <c r="K24" s="63">
        <f>Stock[[#This Row],[Entradas]]*Stock[[#This Row],[Costo de envio unitario]]</f>
        <v>7.6</v>
      </c>
      <c r="L24" s="63">
        <f>IFERROR(Stock[[#This Row],[Precio Total (Sin Envios - $)]]+Stock[[#This Row],[Coste de envio total]],"-")</f>
        <v>99.6</v>
      </c>
      <c r="M24" s="63">
        <f>(Stock[[#This Row],[Precio Unitario ($)]]+Stock[[#This Row],[Costo de envio unitario]])*36.85</f>
        <v>183.51299999999998</v>
      </c>
      <c r="N24" s="64">
        <f>(Stock[[#This Row],[Precio Total (Con Envios - $)]])*36.85</f>
        <v>3670.2599999999998</v>
      </c>
      <c r="O24" s="64">
        <f>Stock[[#This Row],[Precio de compra unitario]]+0.55*Stock[[#This Row],[Precio de compra unitario]]</f>
        <v>284.44514999999996</v>
      </c>
      <c r="P24" s="65">
        <v>350</v>
      </c>
      <c r="Q24" s="3"/>
    </row>
    <row r="25" spans="1:17" hidden="1" x14ac:dyDescent="0.3">
      <c r="A25" s="3" t="s">
        <v>41</v>
      </c>
      <c r="B25" s="3" t="str">
        <f>VLOOKUP(Stock[[#This Row],[Codigo del producto ]],Entradas[],3,FALSE)</f>
        <v>Halogenos para moto</v>
      </c>
      <c r="C25" s="6">
        <f>VLOOKUP(Stock[[#This Row],[Codigo del producto ]],Entradas[],2,FALSE)</f>
        <v>46031</v>
      </c>
      <c r="D25" s="3" t="str">
        <f>IFERROR(VLOOKUP(Stock[[#This Row],[Codigo del producto ]],Entradas[],4,FALSE),"-")</f>
        <v>LT03</v>
      </c>
      <c r="E25" s="3">
        <f>IFERROR(VLOOKUP(Stock[[#This Row],[Codigo del producto ]],Entradas[],5,FALSE),"-")</f>
        <v>10</v>
      </c>
      <c r="F25" s="3">
        <f>IFERROR(SUMIFS(Pagos[Cantidad vendida], Pagos[Codigo del producto], Stock[[#This Row],[Codigo del producto ]]) + SUMIFS(PagosV2[Cantidad vendida], PagosV2[Codigo del producto], Stock[[#This Row],[Codigo del producto ]]), "-")</f>
        <v>10</v>
      </c>
      <c r="G25" s="3">
        <f>IFERROR(Stock[[#This Row],[Entradas]]-Stock[[#This Row],[Salidas]],"-")</f>
        <v>0</v>
      </c>
      <c r="H25" s="63">
        <v>3.6</v>
      </c>
      <c r="I25" s="63">
        <f>Stock[[#This Row],[Entradas]]*Stock[[#This Row],[Precio Unitario ($)]]</f>
        <v>36</v>
      </c>
      <c r="J25" s="63">
        <v>0.38</v>
      </c>
      <c r="K25" s="63">
        <f>Stock[[#This Row],[Entradas]]*Stock[[#This Row],[Costo de envio unitario]]</f>
        <v>3.8</v>
      </c>
      <c r="L25" s="63">
        <f>IFERROR(Stock[[#This Row],[Precio Total (Sin Envios - $)]]+Stock[[#This Row],[Coste de envio total]],"-")</f>
        <v>39.799999999999997</v>
      </c>
      <c r="M25" s="63">
        <f>(Stock[[#This Row],[Precio Unitario ($)]]+Stock[[#This Row],[Costo de envio unitario]])*36.85</f>
        <v>146.66300000000001</v>
      </c>
      <c r="N25" s="64">
        <f>(Stock[[#This Row],[Precio Total (Con Envios - $)]])*36.85</f>
        <v>1466.6299999999999</v>
      </c>
      <c r="O25" s="64">
        <f>Stock[[#This Row],[Precio de compra unitario]]+0.55*Stock[[#This Row],[Precio de compra unitario]]</f>
        <v>227.32765000000001</v>
      </c>
      <c r="P25" s="65">
        <v>350</v>
      </c>
      <c r="Q25" s="3"/>
    </row>
    <row r="26" spans="1:17" hidden="1" x14ac:dyDescent="0.3">
      <c r="A26" s="3" t="s">
        <v>42</v>
      </c>
      <c r="B26" s="3" t="str">
        <f>VLOOKUP(Stock[[#This Row],[Codigo del producto ]],Entradas[],3,FALSE)</f>
        <v>Halogenos Grandes</v>
      </c>
      <c r="C26" s="6">
        <f>VLOOKUP(Stock[[#This Row],[Codigo del producto ]],Entradas[],2,FALSE)</f>
        <v>46031</v>
      </c>
      <c r="D26" s="3" t="str">
        <f>IFERROR(VLOOKUP(Stock[[#This Row],[Codigo del producto ]],Entradas[],4,FALSE),"-")</f>
        <v>LT03</v>
      </c>
      <c r="E26" s="3">
        <f>IFERROR(VLOOKUP(Stock[[#This Row],[Codigo del producto ]],Entradas[],5,FALSE),"-")</f>
        <v>1</v>
      </c>
      <c r="F26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26" s="3">
        <f>IFERROR(Stock[[#This Row],[Entradas]]-Stock[[#This Row],[Salidas]],"-")</f>
        <v>0</v>
      </c>
      <c r="H26" s="63">
        <v>4.34</v>
      </c>
      <c r="I26" s="63">
        <f>Stock[[#This Row],[Entradas]]*Stock[[#This Row],[Precio Unitario ($)]]</f>
        <v>4.34</v>
      </c>
      <c r="J26" s="63">
        <v>0.38</v>
      </c>
      <c r="K26" s="63">
        <f>Stock[[#This Row],[Entradas]]*Stock[[#This Row],[Costo de envio unitario]]</f>
        <v>0.38</v>
      </c>
      <c r="L26" s="63">
        <f>IFERROR(Stock[[#This Row],[Precio Total (Sin Envios - $)]]+Stock[[#This Row],[Coste de envio total]],"-")</f>
        <v>4.72</v>
      </c>
      <c r="M26" s="63">
        <f>(Stock[[#This Row],[Precio Unitario ($)]]+Stock[[#This Row],[Costo de envio unitario]])*36.85</f>
        <v>173.93199999999999</v>
      </c>
      <c r="N26" s="64">
        <f>(Stock[[#This Row],[Precio Total (Con Envios - $)]])*36.85</f>
        <v>173.93199999999999</v>
      </c>
      <c r="O26" s="64">
        <f>Stock[[#This Row],[Precio de compra unitario]]+0.55*Stock[[#This Row],[Precio de compra unitario]]</f>
        <v>269.59460000000001</v>
      </c>
      <c r="P26" s="65"/>
      <c r="Q26" s="3"/>
    </row>
    <row r="27" spans="1:17" hidden="1" x14ac:dyDescent="0.3">
      <c r="A27" s="3" t="s">
        <v>43</v>
      </c>
      <c r="B27" s="3" t="str">
        <f>VLOOKUP(Stock[[#This Row],[Codigo del producto ]],Entradas[],3,FALSE)</f>
        <v>Mouse R1 Blanco</v>
      </c>
      <c r="C27" s="6">
        <f>VLOOKUP(Stock[[#This Row],[Codigo del producto ]],Entradas[],2,FALSE)</f>
        <v>46031</v>
      </c>
      <c r="D27" s="3" t="str">
        <f>IFERROR(VLOOKUP(Stock[[#This Row],[Codigo del producto ]],Entradas[],4,FALSE),"-")</f>
        <v>LT03</v>
      </c>
      <c r="E27" s="3">
        <f>IFERROR(VLOOKUP(Stock[[#This Row],[Codigo del producto ]],Entradas[],5,FALSE),"-")</f>
        <v>5</v>
      </c>
      <c r="F27" s="3">
        <f>IFERROR(SUMIFS(Pagos[Cantidad vendida], Pagos[Codigo del producto], Stock[[#This Row],[Codigo del producto ]]) + SUMIFS(PagosV2[Cantidad vendida], PagosV2[Codigo del producto], Stock[[#This Row],[Codigo del producto ]]), "-")</f>
        <v>5</v>
      </c>
      <c r="G27" s="3">
        <f>IFERROR(Stock[[#This Row],[Entradas]]-Stock[[#This Row],[Salidas]],"-")</f>
        <v>0</v>
      </c>
      <c r="H27" s="63">
        <v>19.23</v>
      </c>
      <c r="I27" s="63">
        <f>Stock[[#This Row],[Entradas]]*Stock[[#This Row],[Precio Unitario ($)]]</f>
        <v>96.15</v>
      </c>
      <c r="J27" s="63">
        <v>0.38</v>
      </c>
      <c r="K27" s="63">
        <f>Stock[[#This Row],[Entradas]]*Stock[[#This Row],[Costo de envio unitario]]</f>
        <v>1.9</v>
      </c>
      <c r="L27" s="63">
        <f>IFERROR(Stock[[#This Row],[Precio Total (Sin Envios - $)]]+Stock[[#This Row],[Coste de envio total]],"-")</f>
        <v>98.050000000000011</v>
      </c>
      <c r="M27" s="63">
        <f>(Stock[[#This Row],[Precio Unitario ($)]]+Stock[[#This Row],[Costo de envio unitario]])*36.85</f>
        <v>722.62850000000003</v>
      </c>
      <c r="N27" s="64">
        <f>(Stock[[#This Row],[Precio Total (Con Envios - $)]])*36.85</f>
        <v>3613.1425000000004</v>
      </c>
      <c r="O27" s="64">
        <f>Stock[[#This Row],[Precio de compra unitario]]+0.55*Stock[[#This Row],[Precio de compra unitario]]</f>
        <v>1120.0741750000002</v>
      </c>
      <c r="P27" s="65"/>
      <c r="Q27" s="3"/>
    </row>
    <row r="28" spans="1:17" hidden="1" x14ac:dyDescent="0.3">
      <c r="A28" s="3" t="s">
        <v>44</v>
      </c>
      <c r="B28" s="3" t="str">
        <f>VLOOKUP(Stock[[#This Row],[Codigo del producto ]],Entradas[],3,FALSE)</f>
        <v>KZ Castor PRO Improved Bass</v>
      </c>
      <c r="C28" s="6">
        <f>VLOOKUP(Stock[[#This Row],[Codigo del producto ]],Entradas[],2,FALSE)</f>
        <v>46031</v>
      </c>
      <c r="D28" s="3" t="str">
        <f>IFERROR(VLOOKUP(Stock[[#This Row],[Codigo del producto ]],Entradas[],4,FALSE),"-")</f>
        <v>LT03</v>
      </c>
      <c r="E28" s="3">
        <f>IFERROR(VLOOKUP(Stock[[#This Row],[Codigo del producto ]],Entradas[],5,FALSE),"-")</f>
        <v>10</v>
      </c>
      <c r="F28" s="3">
        <f>IFERROR(SUMIFS(Pagos[Cantidad vendida], Pagos[Codigo del producto], Stock[[#This Row],[Codigo del producto ]]) + SUMIFS(PagosV2[Cantidad vendida], PagosV2[Codigo del producto], Stock[[#This Row],[Codigo del producto ]]), "-")</f>
        <v>10</v>
      </c>
      <c r="G28" s="3">
        <f>IFERROR(Stock[[#This Row],[Entradas]]-Stock[[#This Row],[Salidas]],"-")</f>
        <v>0</v>
      </c>
      <c r="H28" s="63">
        <v>12.44</v>
      </c>
      <c r="I28" s="63">
        <f>Stock[[#This Row],[Entradas]]*Stock[[#This Row],[Precio Unitario ($)]]</f>
        <v>124.39999999999999</v>
      </c>
      <c r="J28" s="63">
        <v>0.3</v>
      </c>
      <c r="K28" s="63">
        <f>Stock[[#This Row],[Entradas]]*Stock[[#This Row],[Costo de envio unitario]]</f>
        <v>3</v>
      </c>
      <c r="L28" s="63">
        <f>IFERROR(Stock[[#This Row],[Precio Total (Sin Envios - $)]]+Stock[[#This Row],[Coste de envio total]],"-")</f>
        <v>127.39999999999999</v>
      </c>
      <c r="M28" s="63">
        <f>(Stock[[#This Row],[Precio Unitario ($)]]+Stock[[#This Row],[Costo de envio unitario]])*36.85</f>
        <v>469.46900000000005</v>
      </c>
      <c r="N28" s="64">
        <f>(Stock[[#This Row],[Precio Total (Con Envios - $)]])*36.85</f>
        <v>4694.6899999999996</v>
      </c>
      <c r="O28" s="64">
        <f>Stock[[#This Row],[Precio de compra unitario]]+0.55*Stock[[#This Row],[Precio de compra unitario]]</f>
        <v>727.67695000000003</v>
      </c>
      <c r="P28" s="65"/>
      <c r="Q28" s="3"/>
    </row>
    <row r="29" spans="1:17" hidden="1" x14ac:dyDescent="0.3">
      <c r="A29" s="3" t="s">
        <v>45</v>
      </c>
      <c r="B29" s="3" t="str">
        <f>VLOOKUP(Stock[[#This Row],[Codigo del producto ]],Entradas[],3,FALSE)</f>
        <v>KZ Castor Improved Bass</v>
      </c>
      <c r="C29" s="6">
        <f>VLOOKUP(Stock[[#This Row],[Codigo del producto ]],Entradas[],2,FALSE)</f>
        <v>46031</v>
      </c>
      <c r="D29" s="3" t="str">
        <f>IFERROR(VLOOKUP(Stock[[#This Row],[Codigo del producto ]],Entradas[],4,FALSE),"-")</f>
        <v>LT03</v>
      </c>
      <c r="E29" s="3">
        <f>IFERROR(VLOOKUP(Stock[[#This Row],[Codigo del producto ]],Entradas[],5,FALSE),"-")</f>
        <v>10</v>
      </c>
      <c r="F29" s="3">
        <f>IFERROR(SUMIFS(Pagos[Cantidad vendida], Pagos[Codigo del producto], Stock[[#This Row],[Codigo del producto ]]) + SUMIFS(PagosV2[Cantidad vendida], PagosV2[Codigo del producto], Stock[[#This Row],[Codigo del producto ]]), "-")</f>
        <v>10</v>
      </c>
      <c r="G29" s="3">
        <f>IFERROR(Stock[[#This Row],[Entradas]]-Stock[[#This Row],[Salidas]],"-")</f>
        <v>0</v>
      </c>
      <c r="H29" s="63">
        <v>8.7100000000000009</v>
      </c>
      <c r="I29" s="63">
        <f>Stock[[#This Row],[Entradas]]*Stock[[#This Row],[Precio Unitario ($)]]</f>
        <v>87.100000000000009</v>
      </c>
      <c r="J29" s="63">
        <v>0.3</v>
      </c>
      <c r="K29" s="63">
        <f>Stock[[#This Row],[Entradas]]*Stock[[#This Row],[Costo de envio unitario]]</f>
        <v>3</v>
      </c>
      <c r="L29" s="63">
        <f>IFERROR(Stock[[#This Row],[Precio Total (Sin Envios - $)]]+Stock[[#This Row],[Coste de envio total]],"-")</f>
        <v>90.100000000000009</v>
      </c>
      <c r="M29" s="63">
        <f>(Stock[[#This Row],[Precio Unitario ($)]]+Stock[[#This Row],[Costo de envio unitario]])*36.85</f>
        <v>332.01850000000007</v>
      </c>
      <c r="N29" s="64">
        <f>(Stock[[#This Row],[Precio Total (Con Envios - $)]])*36.85</f>
        <v>3320.1850000000004</v>
      </c>
      <c r="O29" s="64">
        <f>Stock[[#This Row],[Precio de compra unitario]]+0.55*Stock[[#This Row],[Precio de compra unitario]]</f>
        <v>514.62867500000016</v>
      </c>
      <c r="P29" s="65"/>
      <c r="Q29" s="3"/>
    </row>
    <row r="30" spans="1:17" hidden="1" x14ac:dyDescent="0.3">
      <c r="A30" s="3" t="s">
        <v>46</v>
      </c>
      <c r="B30" s="3" t="str">
        <f>VLOOKUP(Stock[[#This Row],[Codigo del producto ]],Entradas[],3,FALSE)</f>
        <v>Headset Bluetooth para moto</v>
      </c>
      <c r="C30" s="6">
        <f>VLOOKUP(Stock[[#This Row],[Codigo del producto ]],Entradas[],2,FALSE)</f>
        <v>46031</v>
      </c>
      <c r="D30" s="3" t="str">
        <f>IFERROR(VLOOKUP(Stock[[#This Row],[Codigo del producto ]],Entradas[],4,FALSE),"-")</f>
        <v>LT03</v>
      </c>
      <c r="E30" s="3">
        <f>IFERROR(VLOOKUP(Stock[[#This Row],[Codigo del producto ]],Entradas[],5,FALSE),"-")</f>
        <v>2</v>
      </c>
      <c r="F30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30" s="3">
        <f>IFERROR(Stock[[#This Row],[Entradas]]-Stock[[#This Row],[Salidas]],"-")</f>
        <v>0</v>
      </c>
      <c r="H30" s="63">
        <v>7.03</v>
      </c>
      <c r="I30" s="63">
        <f>Stock[[#This Row],[Entradas]]*Stock[[#This Row],[Precio Unitario ($)]]</f>
        <v>14.06</v>
      </c>
      <c r="J30" s="63">
        <v>0.5</v>
      </c>
      <c r="K30" s="63">
        <f>Stock[[#This Row],[Entradas]]*Stock[[#This Row],[Costo de envio unitario]]</f>
        <v>1</v>
      </c>
      <c r="L30" s="63">
        <f>IFERROR(Stock[[#This Row],[Precio Total (Sin Envios - $)]]+Stock[[#This Row],[Coste de envio total]],"-")</f>
        <v>15.06</v>
      </c>
      <c r="M30" s="63">
        <f>(Stock[[#This Row],[Precio Unitario ($)]]+Stock[[#This Row],[Costo de envio unitario]])*36.85</f>
        <v>277.48050000000001</v>
      </c>
      <c r="N30" s="64">
        <f>(Stock[[#This Row],[Precio Total (Con Envios - $)]])*36.85</f>
        <v>554.96100000000001</v>
      </c>
      <c r="O30" s="64">
        <f>Stock[[#This Row],[Precio de compra unitario]]+0.55*Stock[[#This Row],[Precio de compra unitario]]</f>
        <v>430.09477500000003</v>
      </c>
      <c r="P30" s="65"/>
      <c r="Q30" s="3"/>
    </row>
    <row r="31" spans="1:17" hidden="1" x14ac:dyDescent="0.3">
      <c r="A31" s="3" t="s">
        <v>47</v>
      </c>
      <c r="B31" s="3" t="str">
        <f>VLOOKUP(Stock[[#This Row],[Codigo del producto ]],Entradas[],3,FALSE)</f>
        <v>Halogenos Grandes</v>
      </c>
      <c r="C31" s="6">
        <f>VLOOKUP(Stock[[#This Row],[Codigo del producto ]],Entradas[],2,FALSE)</f>
        <v>46031</v>
      </c>
      <c r="D31" s="3" t="str">
        <f>IFERROR(VLOOKUP(Stock[[#This Row],[Codigo del producto ]],Entradas[],4,FALSE),"-")</f>
        <v>LT03</v>
      </c>
      <c r="E31" s="3">
        <f>IFERROR(VLOOKUP(Stock[[#This Row],[Codigo del producto ]],Entradas[],5,FALSE),"-")</f>
        <v>2</v>
      </c>
      <c r="F31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31" s="3">
        <f>IFERROR(Stock[[#This Row],[Entradas]]-Stock[[#This Row],[Salidas]],"-")</f>
        <v>0</v>
      </c>
      <c r="H31" s="63">
        <v>4.34</v>
      </c>
      <c r="I31" s="63">
        <f>Stock[[#This Row],[Entradas]]*Stock[[#This Row],[Precio Unitario ($)]]</f>
        <v>8.68</v>
      </c>
      <c r="J31" s="63">
        <v>0.5</v>
      </c>
      <c r="K31" s="63">
        <f>Stock[[#This Row],[Entradas]]*Stock[[#This Row],[Costo de envio unitario]]</f>
        <v>1</v>
      </c>
      <c r="L31" s="63">
        <f>IFERROR(Stock[[#This Row],[Precio Total (Sin Envios - $)]]+Stock[[#This Row],[Coste de envio total]],"-")</f>
        <v>9.68</v>
      </c>
      <c r="M31" s="63">
        <f>(Stock[[#This Row],[Precio Unitario ($)]]+Stock[[#This Row],[Costo de envio unitario]])*36.85</f>
        <v>178.35400000000001</v>
      </c>
      <c r="N31" s="64">
        <f>(Stock[[#This Row],[Precio Total (Con Envios - $)]])*36.85</f>
        <v>356.70800000000003</v>
      </c>
      <c r="O31" s="64">
        <f>Stock[[#This Row],[Precio de compra unitario]]+0.55*Stock[[#This Row],[Precio de compra unitario]]</f>
        <v>276.44870000000003</v>
      </c>
      <c r="P31" s="65"/>
      <c r="Q31" s="3"/>
    </row>
    <row r="32" spans="1:17" hidden="1" x14ac:dyDescent="0.3">
      <c r="A32" s="3" t="s">
        <v>48</v>
      </c>
      <c r="B32" s="3" t="str">
        <f>VLOOKUP(Stock[[#This Row],[Codigo del producto ]],Entradas[],3,FALSE)</f>
        <v>Pantalla para moto 5 inch</v>
      </c>
      <c r="C32" s="6">
        <f>VLOOKUP(Stock[[#This Row],[Codigo del producto ]],Entradas[],2,FALSE)</f>
        <v>46031</v>
      </c>
      <c r="D32" s="3" t="str">
        <f>IFERROR(VLOOKUP(Stock[[#This Row],[Codigo del producto ]],Entradas[],4,FALSE),"-")</f>
        <v>LT03</v>
      </c>
      <c r="E32" s="3">
        <f>IFERROR(VLOOKUP(Stock[[#This Row],[Codigo del producto ]],Entradas[],5,FALSE),"-")</f>
        <v>3</v>
      </c>
      <c r="F32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32" s="3">
        <f>IFERROR(Stock[[#This Row],[Entradas]]-Stock[[#This Row],[Salidas]],"-")</f>
        <v>0</v>
      </c>
      <c r="H32" s="63">
        <v>44.85</v>
      </c>
      <c r="I32" s="63">
        <f>Stock[[#This Row],[Entradas]]*Stock[[#This Row],[Precio Unitario ($)]]</f>
        <v>134.55000000000001</v>
      </c>
      <c r="J32" s="63">
        <v>3</v>
      </c>
      <c r="K32" s="63">
        <f>Stock[[#This Row],[Entradas]]*Stock[[#This Row],[Costo de envio unitario]]</f>
        <v>9</v>
      </c>
      <c r="L32" s="63">
        <f>IFERROR(Stock[[#This Row],[Precio Total (Sin Envios - $)]]+Stock[[#This Row],[Coste de envio total]],"-")</f>
        <v>143.55000000000001</v>
      </c>
      <c r="M32" s="63">
        <f>(Stock[[#This Row],[Precio Unitario ($)]]+Stock[[#This Row],[Costo de envio unitario]])*36.85</f>
        <v>1763.2725</v>
      </c>
      <c r="N32" s="64">
        <f>(Stock[[#This Row],[Precio Total (Con Envios - $)]])*36.85</f>
        <v>5289.817500000001</v>
      </c>
      <c r="O32" s="64">
        <f>Stock[[#This Row],[Precio de compra unitario]]+0.55*Stock[[#This Row],[Precio de compra unitario]]</f>
        <v>2733.0723750000002</v>
      </c>
      <c r="P32" s="65"/>
      <c r="Q32" s="3"/>
    </row>
    <row r="33" spans="1:17" hidden="1" x14ac:dyDescent="0.3">
      <c r="A33" s="3" t="s">
        <v>49</v>
      </c>
      <c r="B33" s="3" t="str">
        <f>VLOOKUP(Stock[[#This Row],[Codigo del producto ]],Entradas[],3,FALSE)</f>
        <v>Teclado Mecanico CK600</v>
      </c>
      <c r="C33" s="6">
        <f>VLOOKUP(Stock[[#This Row],[Codigo del producto ]],Entradas[],2,FALSE)</f>
        <v>46031</v>
      </c>
      <c r="D33" s="3" t="str">
        <f>IFERROR(VLOOKUP(Stock[[#This Row],[Codigo del producto ]],Entradas[],4,FALSE),"-")</f>
        <v>LT03</v>
      </c>
      <c r="E33" s="3">
        <f>IFERROR(VLOOKUP(Stock[[#This Row],[Codigo del producto ]],Entradas[],5,FALSE),"-")</f>
        <v>1</v>
      </c>
      <c r="F33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33" s="3">
        <f>IFERROR(Stock[[#This Row],[Entradas]]-Stock[[#This Row],[Salidas]],"-")</f>
        <v>0</v>
      </c>
      <c r="H33" s="63">
        <v>61.85</v>
      </c>
      <c r="I33" s="63">
        <f>Stock[[#This Row],[Entradas]]*Stock[[#This Row],[Precio Unitario ($)]]</f>
        <v>61.85</v>
      </c>
      <c r="J33" s="63">
        <v>5</v>
      </c>
      <c r="K33" s="63">
        <f>Stock[[#This Row],[Entradas]]*Stock[[#This Row],[Costo de envio unitario]]</f>
        <v>5</v>
      </c>
      <c r="L33" s="63">
        <f>IFERROR(Stock[[#This Row],[Precio Total (Sin Envios - $)]]+Stock[[#This Row],[Coste de envio total]],"-")</f>
        <v>66.849999999999994</v>
      </c>
      <c r="M33" s="63">
        <f>(Stock[[#This Row],[Precio Unitario ($)]]+Stock[[#This Row],[Costo de envio unitario]])*36.85</f>
        <v>2463.4224999999997</v>
      </c>
      <c r="N33" s="64">
        <f>(Stock[[#This Row],[Precio Total (Con Envios - $)]])*36.85</f>
        <v>2463.4224999999997</v>
      </c>
      <c r="O33" s="64">
        <f>Stock[[#This Row],[Precio de compra unitario]]+0.55*Stock[[#This Row],[Precio de compra unitario]]</f>
        <v>3818.3048749999998</v>
      </c>
      <c r="P33" s="65"/>
      <c r="Q33" s="3"/>
    </row>
    <row r="34" spans="1:17" hidden="1" x14ac:dyDescent="0.3">
      <c r="A34" s="3" t="s">
        <v>50</v>
      </c>
      <c r="B34" s="3" t="str">
        <f>VLOOKUP(Stock[[#This Row],[Codigo del producto ]],Entradas[],3,FALSE)</f>
        <v>Headset L80 Negro</v>
      </c>
      <c r="C34" s="6">
        <f>VLOOKUP(Stock[[#This Row],[Codigo del producto ]],Entradas[],2,FALSE)</f>
        <v>46031</v>
      </c>
      <c r="D34" s="3" t="str">
        <f>IFERROR(VLOOKUP(Stock[[#This Row],[Codigo del producto ]],Entradas[],4,FALSE),"-")</f>
        <v>LT03</v>
      </c>
      <c r="E34" s="3">
        <f>IFERROR(VLOOKUP(Stock[[#This Row],[Codigo del producto ]],Entradas[],5,FALSE),"-")</f>
        <v>2</v>
      </c>
      <c r="F34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34" s="3">
        <f>IFERROR(Stock[[#This Row],[Entradas]]-Stock[[#This Row],[Salidas]],"-")</f>
        <v>0</v>
      </c>
      <c r="H34" s="63">
        <v>22.88</v>
      </c>
      <c r="I34" s="63">
        <f>Stock[[#This Row],[Entradas]]*Stock[[#This Row],[Precio Unitario ($)]]</f>
        <v>45.76</v>
      </c>
      <c r="J34" s="63">
        <v>1</v>
      </c>
      <c r="K34" s="63">
        <f>Stock[[#This Row],[Entradas]]*Stock[[#This Row],[Costo de envio unitario]]</f>
        <v>2</v>
      </c>
      <c r="L34" s="63">
        <f>IFERROR(Stock[[#This Row],[Precio Total (Sin Envios - $)]]+Stock[[#This Row],[Coste de envio total]],"-")</f>
        <v>47.76</v>
      </c>
      <c r="M34" s="63">
        <f>(Stock[[#This Row],[Precio Unitario ($)]]+Stock[[#This Row],[Costo de envio unitario]])*36.85</f>
        <v>879.97799999999995</v>
      </c>
      <c r="N34" s="64">
        <f>(Stock[[#This Row],[Precio Total (Con Envios - $)]])*36.85</f>
        <v>1759.9559999999999</v>
      </c>
      <c r="O34" s="64">
        <f>Stock[[#This Row],[Precio de compra unitario]]+0.55*Stock[[#This Row],[Precio de compra unitario]]</f>
        <v>1363.9658999999999</v>
      </c>
      <c r="P34" s="65"/>
      <c r="Q34" s="3"/>
    </row>
    <row r="35" spans="1:17" hidden="1" x14ac:dyDescent="0.3">
      <c r="A35" s="3" t="s">
        <v>51</v>
      </c>
      <c r="B35" s="3" t="str">
        <f>VLOOKUP(Stock[[#This Row],[Codigo del producto ]],Entradas[],3,FALSE)</f>
        <v>Pantalla para moto 5 inch</v>
      </c>
      <c r="C35" s="6">
        <f>VLOOKUP(Stock[[#This Row],[Codigo del producto ]],Entradas[],2,FALSE)</f>
        <v>46031</v>
      </c>
      <c r="D35" s="3" t="str">
        <f>IFERROR(VLOOKUP(Stock[[#This Row],[Codigo del producto ]],Entradas[],4,FALSE),"-")</f>
        <v>LT03</v>
      </c>
      <c r="E35" s="3">
        <f>IFERROR(VLOOKUP(Stock[[#This Row],[Codigo del producto ]],Entradas[],5,FALSE),"-")</f>
        <v>7</v>
      </c>
      <c r="F35" s="3">
        <f>IFERROR(SUMIFS(Pagos[Cantidad vendida], Pagos[Codigo del producto], Stock[[#This Row],[Codigo del producto ]]) + SUMIFS(PagosV2[Cantidad vendida], PagosV2[Codigo del producto], Stock[[#This Row],[Codigo del producto ]]), "-")</f>
        <v>7</v>
      </c>
      <c r="G35" s="3">
        <f>IFERROR(Stock[[#This Row],[Entradas]]-Stock[[#This Row],[Salidas]],"-")</f>
        <v>0</v>
      </c>
      <c r="H35" s="63">
        <v>44.85</v>
      </c>
      <c r="I35" s="63">
        <f>Stock[[#This Row],[Entradas]]*Stock[[#This Row],[Precio Unitario ($)]]</f>
        <v>313.95</v>
      </c>
      <c r="J35" s="63">
        <v>2.2999999999999998</v>
      </c>
      <c r="K35" s="63">
        <f>Stock[[#This Row],[Entradas]]*Stock[[#This Row],[Costo de envio unitario]]</f>
        <v>16.099999999999998</v>
      </c>
      <c r="L35" s="63">
        <f>IFERROR(Stock[[#This Row],[Precio Total (Sin Envios - $)]]+Stock[[#This Row],[Coste de envio total]],"-")</f>
        <v>330.05</v>
      </c>
      <c r="M35" s="63">
        <f>(Stock[[#This Row],[Precio Unitario ($)]]+Stock[[#This Row],[Costo de envio unitario]])*36.85</f>
        <v>1737.4775</v>
      </c>
      <c r="N35" s="64">
        <f>(Stock[[#This Row],[Precio Total (Con Envios - $)]])*36.85</f>
        <v>12162.342500000001</v>
      </c>
      <c r="O35" s="64">
        <f>Stock[[#This Row],[Precio de compra unitario]]+0.55*Stock[[#This Row],[Precio de compra unitario]]</f>
        <v>2693.0901250000002</v>
      </c>
      <c r="P35" s="65"/>
      <c r="Q35" s="3"/>
    </row>
    <row r="36" spans="1:17" hidden="1" x14ac:dyDescent="0.3">
      <c r="A36" s="3" t="s">
        <v>52</v>
      </c>
      <c r="B36" s="3" t="str">
        <f>VLOOKUP(Stock[[#This Row],[Codigo del producto ]],Entradas[],3,FALSE)</f>
        <v>NYXI Pro controller (Orange)</v>
      </c>
      <c r="C36" s="6">
        <f>VLOOKUP(Stock[[#This Row],[Codigo del producto ]],Entradas[],2,FALSE)</f>
        <v>46038</v>
      </c>
      <c r="D36" s="3" t="str">
        <f>IFERROR(VLOOKUP(Stock[[#This Row],[Codigo del producto ]],Entradas[],4,FALSE),"-")</f>
        <v>LT04</v>
      </c>
      <c r="E36" s="3">
        <f>IFERROR(VLOOKUP(Stock[[#This Row],[Codigo del producto ]],Entradas[],5,FALSE),"-")</f>
        <v>1</v>
      </c>
      <c r="F36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36" s="3">
        <f>IFERROR(Stock[[#This Row],[Entradas]]-Stock[[#This Row],[Salidas]],"-")</f>
        <v>0</v>
      </c>
      <c r="H36" s="63">
        <v>37.97</v>
      </c>
      <c r="I36" s="63">
        <f>Stock[[#This Row],[Entradas]]*Stock[[#This Row],[Precio Unitario ($)]]</f>
        <v>37.97</v>
      </c>
      <c r="J36" s="63">
        <v>2</v>
      </c>
      <c r="K36" s="63">
        <f>Stock[[#This Row],[Entradas]]*Stock[[#This Row],[Costo de envio unitario]]</f>
        <v>2</v>
      </c>
      <c r="L36" s="63">
        <f>IFERROR(Stock[[#This Row],[Precio Total (Sin Envios - $)]]+Stock[[#This Row],[Coste de envio total]],"-")</f>
        <v>39.97</v>
      </c>
      <c r="M36" s="63">
        <f>(Stock[[#This Row],[Precio Unitario ($)]]+Stock[[#This Row],[Costo de envio unitario]])*36.85</f>
        <v>1472.8945000000001</v>
      </c>
      <c r="N36" s="64">
        <f>(Stock[[#This Row],[Precio Total (Con Envios - $)]])*36.85</f>
        <v>1472.8945000000001</v>
      </c>
      <c r="O36" s="64">
        <f>Stock[[#This Row],[Precio de compra unitario]]+0.55*Stock[[#This Row],[Precio de compra unitario]]</f>
        <v>2282.9864750000002</v>
      </c>
      <c r="P36" s="65"/>
      <c r="Q36" s="3"/>
    </row>
    <row r="37" spans="1:17" hidden="1" x14ac:dyDescent="0.3">
      <c r="A37" s="3" t="s">
        <v>53</v>
      </c>
      <c r="B37" s="3" t="str">
        <f>VLOOKUP(Stock[[#This Row],[Codigo del producto ]],Entradas[],3,FALSE)</f>
        <v>Teclado Mecanico CK600</v>
      </c>
      <c r="C37" s="6">
        <f>VLOOKUP(Stock[[#This Row],[Codigo del producto ]],Entradas[],2,FALSE)</f>
        <v>46038</v>
      </c>
      <c r="D37" s="3" t="str">
        <f>IFERROR(VLOOKUP(Stock[[#This Row],[Codigo del producto ]],Entradas[],4,FALSE),"-")</f>
        <v>LT04</v>
      </c>
      <c r="E37" s="3">
        <f>IFERROR(VLOOKUP(Stock[[#This Row],[Codigo del producto ]],Entradas[],5,FALSE),"-")</f>
        <v>1</v>
      </c>
      <c r="F37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37" s="3">
        <f>IFERROR(Stock[[#This Row],[Entradas]]-Stock[[#This Row],[Salidas]],"-")</f>
        <v>0</v>
      </c>
      <c r="H37" s="63">
        <v>49.84</v>
      </c>
      <c r="I37" s="63">
        <f>Stock[[#This Row],[Entradas]]*Stock[[#This Row],[Precio Unitario ($)]]</f>
        <v>49.84</v>
      </c>
      <c r="J37" s="63">
        <v>6</v>
      </c>
      <c r="K37" s="63">
        <f>Stock[[#This Row],[Entradas]]*Stock[[#This Row],[Costo de envio unitario]]</f>
        <v>6</v>
      </c>
      <c r="L37" s="63">
        <f>IFERROR(Stock[[#This Row],[Precio Total (Sin Envios - $)]]+Stock[[#This Row],[Coste de envio total]],"-")</f>
        <v>55.84</v>
      </c>
      <c r="M37" s="63">
        <f>(Stock[[#This Row],[Precio Unitario ($)]]+Stock[[#This Row],[Costo de envio unitario]])*36.85</f>
        <v>2057.7040000000002</v>
      </c>
      <c r="N37" s="64">
        <f>(Stock[[#This Row],[Precio Total (Con Envios - $)]])*36.85</f>
        <v>2057.7040000000002</v>
      </c>
      <c r="O37" s="64">
        <f>Stock[[#This Row],[Precio de compra unitario]]+0.55*Stock[[#This Row],[Precio de compra unitario]]</f>
        <v>3189.4412000000002</v>
      </c>
      <c r="P37" s="65"/>
      <c r="Q37" s="3"/>
    </row>
    <row r="38" spans="1:17" hidden="1" x14ac:dyDescent="0.3">
      <c r="A38" s="3" t="s">
        <v>54</v>
      </c>
      <c r="B38" s="3" t="str">
        <f>VLOOKUP(Stock[[#This Row],[Codigo del producto ]],Entradas[],3,FALSE)</f>
        <v>Cargadores USB para moto</v>
      </c>
      <c r="C38" s="6">
        <f>VLOOKUP(Stock[[#This Row],[Codigo del producto ]],Entradas[],2,FALSE)</f>
        <v>46038</v>
      </c>
      <c r="D38" s="3" t="str">
        <f>IFERROR(VLOOKUP(Stock[[#This Row],[Codigo del producto ]],Entradas[],4,FALSE),"-")</f>
        <v>LT04</v>
      </c>
      <c r="E38" s="3">
        <f>IFERROR(VLOOKUP(Stock[[#This Row],[Codigo del producto ]],Entradas[],5,FALSE),"-")</f>
        <v>1</v>
      </c>
      <c r="F38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38" s="3">
        <f>IFERROR(Stock[[#This Row],[Entradas]]-Stock[[#This Row],[Salidas]],"-")</f>
        <v>0</v>
      </c>
      <c r="H38" s="63">
        <v>6.68</v>
      </c>
      <c r="I38" s="63">
        <f>Stock[[#This Row],[Entradas]]*Stock[[#This Row],[Precio Unitario ($)]]</f>
        <v>6.68</v>
      </c>
      <c r="J38" s="63">
        <v>1.5</v>
      </c>
      <c r="K38" s="63">
        <f>Stock[[#This Row],[Entradas]]*Stock[[#This Row],[Costo de envio unitario]]</f>
        <v>1.5</v>
      </c>
      <c r="L38" s="63">
        <f>IFERROR(Stock[[#This Row],[Precio Total (Sin Envios - $)]]+Stock[[#This Row],[Coste de envio total]],"-")</f>
        <v>8.18</v>
      </c>
      <c r="M38" s="63">
        <f>(Stock[[#This Row],[Precio Unitario ($)]]+Stock[[#This Row],[Costo de envio unitario]])*36.85</f>
        <v>301.43299999999999</v>
      </c>
      <c r="N38" s="64">
        <f>(Stock[[#This Row],[Precio Total (Con Envios - $)]])*36.85</f>
        <v>301.43299999999999</v>
      </c>
      <c r="O38" s="64">
        <f>Stock[[#This Row],[Precio de compra unitario]]+0.55*Stock[[#This Row],[Precio de compra unitario]]</f>
        <v>467.22114999999997</v>
      </c>
      <c r="P38" s="65"/>
      <c r="Q38" s="3"/>
    </row>
    <row r="39" spans="1:17" hidden="1" x14ac:dyDescent="0.3">
      <c r="A39" s="3" t="s">
        <v>55</v>
      </c>
      <c r="B39" s="3" t="str">
        <f>VLOOKUP(Stock[[#This Row],[Codigo del producto ]],Entradas[],3,FALSE)</f>
        <v>Cargadores USB para moto (Sin pantalla)</v>
      </c>
      <c r="C39" s="6">
        <f>VLOOKUP(Stock[[#This Row],[Codigo del producto ]],Entradas[],2,FALSE)</f>
        <v>46038</v>
      </c>
      <c r="D39" s="3" t="str">
        <f>IFERROR(VLOOKUP(Stock[[#This Row],[Codigo del producto ]],Entradas[],4,FALSE),"-")</f>
        <v>LT04</v>
      </c>
      <c r="E39" s="3">
        <f>IFERROR(VLOOKUP(Stock[[#This Row],[Codigo del producto ]],Entradas[],5,FALSE),"-")</f>
        <v>1</v>
      </c>
      <c r="F39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39" s="3">
        <f>IFERROR(Stock[[#This Row],[Entradas]]-Stock[[#This Row],[Salidas]],"-")</f>
        <v>0</v>
      </c>
      <c r="H39" s="63">
        <v>5.0199999999999996</v>
      </c>
      <c r="I39" s="63">
        <f>Stock[[#This Row],[Entradas]]*Stock[[#This Row],[Precio Unitario ($)]]</f>
        <v>5.0199999999999996</v>
      </c>
      <c r="J39" s="63">
        <v>1.5</v>
      </c>
      <c r="K39" s="63">
        <f>Stock[[#This Row],[Entradas]]*Stock[[#This Row],[Costo de envio unitario]]</f>
        <v>1.5</v>
      </c>
      <c r="L39" s="63">
        <f>IFERROR(Stock[[#This Row],[Precio Total (Sin Envios - $)]]+Stock[[#This Row],[Coste de envio total]],"-")</f>
        <v>6.52</v>
      </c>
      <c r="M39" s="63">
        <f>(Stock[[#This Row],[Precio Unitario ($)]]+Stock[[#This Row],[Costo de envio unitario]])*36.85</f>
        <v>240.262</v>
      </c>
      <c r="N39" s="64">
        <f>(Stock[[#This Row],[Precio Total (Con Envios - $)]])*36.85</f>
        <v>240.262</v>
      </c>
      <c r="O39" s="64">
        <f>Stock[[#This Row],[Precio de compra unitario]]+0.55*Stock[[#This Row],[Precio de compra unitario]]</f>
        <v>372.40610000000004</v>
      </c>
      <c r="P39" s="65"/>
      <c r="Q39" s="3"/>
    </row>
    <row r="40" spans="1:17" hidden="1" x14ac:dyDescent="0.3">
      <c r="A40" s="3" t="s">
        <v>56</v>
      </c>
      <c r="B40" s="3" t="str">
        <f>VLOOKUP(Stock[[#This Row],[Codigo del producto ]],Entradas[],3,FALSE)</f>
        <v>Teclado Mecanico K500 60%</v>
      </c>
      <c r="C40" s="6">
        <f>VLOOKUP(Stock[[#This Row],[Codigo del producto ]],Entradas[],2,FALSE)</f>
        <v>46038</v>
      </c>
      <c r="D40" s="3" t="str">
        <f>IFERROR(VLOOKUP(Stock[[#This Row],[Codigo del producto ]],Entradas[],4,FALSE),"-")</f>
        <v>LT04</v>
      </c>
      <c r="E40" s="3">
        <f>IFERROR(VLOOKUP(Stock[[#This Row],[Codigo del producto ]],Entradas[],5,FALSE),"-")</f>
        <v>3</v>
      </c>
      <c r="F40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40" s="3">
        <f>IFERROR(Stock[[#This Row],[Entradas]]-Stock[[#This Row],[Salidas]],"-")</f>
        <v>0</v>
      </c>
      <c r="H40" s="63">
        <v>34.200000000000003</v>
      </c>
      <c r="I40" s="63">
        <f>Stock[[#This Row],[Entradas]]*Stock[[#This Row],[Precio Unitario ($)]]</f>
        <v>102.60000000000001</v>
      </c>
      <c r="J40" s="63">
        <v>2.33</v>
      </c>
      <c r="K40" s="63">
        <f>Stock[[#This Row],[Entradas]]*Stock[[#This Row],[Costo de envio unitario]]</f>
        <v>6.99</v>
      </c>
      <c r="L40" s="63">
        <f>IFERROR(Stock[[#This Row],[Precio Total (Sin Envios - $)]]+Stock[[#This Row],[Coste de envio total]],"-")</f>
        <v>109.59</v>
      </c>
      <c r="M40" s="63">
        <f>(Stock[[#This Row],[Precio Unitario ($)]]+Stock[[#This Row],[Costo de envio unitario]])*36.85</f>
        <v>1346.1305</v>
      </c>
      <c r="N40" s="64">
        <f>(Stock[[#This Row],[Precio Total (Con Envios - $)]])*36.85</f>
        <v>4038.3915000000002</v>
      </c>
      <c r="O40" s="64">
        <f>Stock[[#This Row],[Precio de compra unitario]]+0.55*Stock[[#This Row],[Precio de compra unitario]]</f>
        <v>2086.5022749999998</v>
      </c>
      <c r="P40" s="65"/>
      <c r="Q40" s="3"/>
    </row>
    <row r="41" spans="1:17" hidden="1" x14ac:dyDescent="0.3">
      <c r="A41" s="3" t="s">
        <v>57</v>
      </c>
      <c r="B41" s="3" t="str">
        <f>VLOOKUP(Stock[[#This Row],[Codigo del producto ]],Entradas[],3,FALSE)</f>
        <v>Monitor 34 3440x1440</v>
      </c>
      <c r="C41" s="6">
        <f>VLOOKUP(Stock[[#This Row],[Codigo del producto ]],Entradas[],2,FALSE)</f>
        <v>46038</v>
      </c>
      <c r="D41" s="3" t="str">
        <f>IFERROR(VLOOKUP(Stock[[#This Row],[Codigo del producto ]],Entradas[],4,FALSE),"-")</f>
        <v>LT04</v>
      </c>
      <c r="E41" s="3">
        <f>IFERROR(VLOOKUP(Stock[[#This Row],[Codigo del producto ]],Entradas[],5,FALSE),"-")</f>
        <v>3</v>
      </c>
      <c r="F41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41" s="3">
        <f>IFERROR(Stock[[#This Row],[Entradas]]-Stock[[#This Row],[Salidas]],"-")</f>
        <v>0</v>
      </c>
      <c r="H41" s="63">
        <v>151.25</v>
      </c>
      <c r="I41" s="63">
        <f>Stock[[#This Row],[Entradas]]*Stock[[#This Row],[Precio Unitario ($)]]</f>
        <v>453.75</v>
      </c>
      <c r="J41" s="63">
        <v>40</v>
      </c>
      <c r="K41" s="63">
        <f>Stock[[#This Row],[Entradas]]*Stock[[#This Row],[Costo de envio unitario]]</f>
        <v>120</v>
      </c>
      <c r="L41" s="63">
        <f>IFERROR(Stock[[#This Row],[Precio Total (Sin Envios - $)]]+Stock[[#This Row],[Coste de envio total]],"-")</f>
        <v>573.75</v>
      </c>
      <c r="M41" s="63">
        <f>(Stock[[#This Row],[Precio Unitario ($)]]+Stock[[#This Row],[Costo de envio unitario]])*36.85</f>
        <v>7047.5625</v>
      </c>
      <c r="N41" s="64">
        <f>(Stock[[#This Row],[Precio Total (Con Envios - $)]])*36.85</f>
        <v>21142.6875</v>
      </c>
      <c r="O41" s="64">
        <f>Stock[[#This Row],[Precio de compra unitario]]+0.55*Stock[[#This Row],[Precio de compra unitario]]</f>
        <v>10923.721874999999</v>
      </c>
      <c r="P41" s="65"/>
      <c r="Q41" s="3"/>
    </row>
    <row r="42" spans="1:17" hidden="1" x14ac:dyDescent="0.3">
      <c r="A42" s="3" t="s">
        <v>58</v>
      </c>
      <c r="B42" s="3" t="str">
        <f>VLOOKUP(Stock[[#This Row],[Codigo del producto ]],Entradas[],3,FALSE)</f>
        <v>Teclado Mecanico EPOMaker Galaxy100 Lite - White</v>
      </c>
      <c r="C42" s="6">
        <f>VLOOKUP(Stock[[#This Row],[Codigo del producto ]],Entradas[],2,FALSE)</f>
        <v>46038</v>
      </c>
      <c r="D42" s="3" t="str">
        <f>IFERROR(VLOOKUP(Stock[[#This Row],[Codigo del producto ]],Entradas[],4,FALSE),"-")</f>
        <v>LT04</v>
      </c>
      <c r="E42" s="3">
        <f>IFERROR(VLOOKUP(Stock[[#This Row],[Codigo del producto ]],Entradas[],5,FALSE),"-")</f>
        <v>2</v>
      </c>
      <c r="F42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42" s="3">
        <f>IFERROR(Stock[[#This Row],[Entradas]]-Stock[[#This Row],[Salidas]],"-")</f>
        <v>0</v>
      </c>
      <c r="H42" s="63">
        <v>75.27</v>
      </c>
      <c r="I42" s="63">
        <f>Stock[[#This Row],[Entradas]]*Stock[[#This Row],[Precio Unitario ($)]]</f>
        <v>150.54</v>
      </c>
      <c r="J42" s="63">
        <v>9.5</v>
      </c>
      <c r="K42" s="63">
        <f>Stock[[#This Row],[Entradas]]*Stock[[#This Row],[Costo de envio unitario]]</f>
        <v>19</v>
      </c>
      <c r="L42" s="63">
        <f>IFERROR(Stock[[#This Row],[Precio Total (Sin Envios - $)]]+Stock[[#This Row],[Coste de envio total]],"-")</f>
        <v>169.54</v>
      </c>
      <c r="M42" s="63">
        <f>(Stock[[#This Row],[Precio Unitario ($)]]+Stock[[#This Row],[Costo de envio unitario]])*36.85</f>
        <v>3123.7745</v>
      </c>
      <c r="N42" s="64">
        <f>(Stock[[#This Row],[Precio Total (Con Envios - $)]])*36.85</f>
        <v>6247.549</v>
      </c>
      <c r="O42" s="64">
        <f>Stock[[#This Row],[Precio de compra unitario]]+0.55*Stock[[#This Row],[Precio de compra unitario]]</f>
        <v>4841.8504750000002</v>
      </c>
      <c r="P42" s="65"/>
      <c r="Q42" s="3"/>
    </row>
    <row r="43" spans="1:17" hidden="1" x14ac:dyDescent="0.3">
      <c r="A43" s="3" t="s">
        <v>59</v>
      </c>
      <c r="B43" s="3" t="str">
        <f>VLOOKUP(Stock[[#This Row],[Codigo del producto ]],Entradas[],3,FALSE)</f>
        <v>Teclado Mecanico EPOMaker Galaxy100 Lite - Black</v>
      </c>
      <c r="C43" s="6">
        <f>VLOOKUP(Stock[[#This Row],[Codigo del producto ]],Entradas[],2,FALSE)</f>
        <v>46038</v>
      </c>
      <c r="D43" s="3" t="str">
        <f>IFERROR(VLOOKUP(Stock[[#This Row],[Codigo del producto ]],Entradas[],4,FALSE),"-")</f>
        <v>LT04</v>
      </c>
      <c r="E43" s="3">
        <f>IFERROR(VLOOKUP(Stock[[#This Row],[Codigo del producto ]],Entradas[],5,FALSE),"-")</f>
        <v>2</v>
      </c>
      <c r="F43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43" s="3">
        <f>IFERROR(Stock[[#This Row],[Entradas]]-Stock[[#This Row],[Salidas]],"-")</f>
        <v>0</v>
      </c>
      <c r="H43" s="63">
        <v>75.27</v>
      </c>
      <c r="I43" s="63">
        <f>Stock[[#This Row],[Entradas]]*Stock[[#This Row],[Precio Unitario ($)]]</f>
        <v>150.54</v>
      </c>
      <c r="J43" s="63">
        <v>9.5</v>
      </c>
      <c r="K43" s="63">
        <f>Stock[[#This Row],[Entradas]]*Stock[[#This Row],[Costo de envio unitario]]</f>
        <v>19</v>
      </c>
      <c r="L43" s="63">
        <f>IFERROR(Stock[[#This Row],[Precio Total (Sin Envios - $)]]+Stock[[#This Row],[Coste de envio total]],"-")</f>
        <v>169.54</v>
      </c>
      <c r="M43" s="63">
        <f>(Stock[[#This Row],[Precio Unitario ($)]]+Stock[[#This Row],[Costo de envio unitario]])*36.85</f>
        <v>3123.7745</v>
      </c>
      <c r="N43" s="64">
        <f>(Stock[[#This Row],[Precio Total (Con Envios - $)]])*36.85</f>
        <v>6247.549</v>
      </c>
      <c r="O43" s="64">
        <f>Stock[[#This Row],[Precio de compra unitario]]+0.55*Stock[[#This Row],[Precio de compra unitario]]</f>
        <v>4841.8504750000002</v>
      </c>
      <c r="P43" s="65"/>
      <c r="Q43" s="3"/>
    </row>
    <row r="44" spans="1:17" hidden="1" x14ac:dyDescent="0.3">
      <c r="A44" s="3" t="s">
        <v>60</v>
      </c>
      <c r="B44" s="3" t="str">
        <f>VLOOKUP(Stock[[#This Row],[Codigo del producto ]],Entradas[],3,FALSE)</f>
        <v>NUBWO G06</v>
      </c>
      <c r="C44" s="6">
        <f>VLOOKUP(Stock[[#This Row],[Codigo del producto ]],Entradas[],2,FALSE)</f>
        <v>46038</v>
      </c>
      <c r="D44" s="3" t="str">
        <f>IFERROR(VLOOKUP(Stock[[#This Row],[Codigo del producto ]],Entradas[],4,FALSE),"-")</f>
        <v>LT04</v>
      </c>
      <c r="E44" s="3">
        <f>IFERROR(VLOOKUP(Stock[[#This Row],[Codigo del producto ]],Entradas[],5,FALSE),"-")</f>
        <v>3</v>
      </c>
      <c r="F44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44" s="3">
        <f>IFERROR(Stock[[#This Row],[Entradas]]-Stock[[#This Row],[Salidas]],"-")</f>
        <v>0</v>
      </c>
      <c r="H44" s="63">
        <v>17.3</v>
      </c>
      <c r="I44" s="63">
        <f>Stock[[#This Row],[Entradas]]*Stock[[#This Row],[Precio Unitario ($)]]</f>
        <v>51.900000000000006</v>
      </c>
      <c r="J44" s="63">
        <v>2.66</v>
      </c>
      <c r="K44" s="63">
        <f>Stock[[#This Row],[Entradas]]*Stock[[#This Row],[Costo de envio unitario]]</f>
        <v>7.98</v>
      </c>
      <c r="L44" s="63">
        <f>IFERROR(Stock[[#This Row],[Precio Total (Sin Envios - $)]]+Stock[[#This Row],[Coste de envio total]],"-")</f>
        <v>59.88000000000001</v>
      </c>
      <c r="M44" s="63">
        <f>(Stock[[#This Row],[Precio Unitario ($)]]+Stock[[#This Row],[Costo de envio unitario]])*36.85</f>
        <v>735.52600000000007</v>
      </c>
      <c r="N44" s="64">
        <f>(Stock[[#This Row],[Precio Total (Con Envios - $)]])*36.85</f>
        <v>2206.5780000000004</v>
      </c>
      <c r="O44" s="64">
        <f>Stock[[#This Row],[Precio de compra unitario]]+0.55*Stock[[#This Row],[Precio de compra unitario]]</f>
        <v>1140.0653000000002</v>
      </c>
      <c r="P44" s="65"/>
      <c r="Q44" s="3"/>
    </row>
    <row r="45" spans="1:17" hidden="1" x14ac:dyDescent="0.3">
      <c r="A45" s="3" t="s">
        <v>61</v>
      </c>
      <c r="B45" s="3" t="str">
        <f>VLOOKUP(Stock[[#This Row],[Codigo del producto ]],Entradas[],3,FALSE)</f>
        <v xml:space="preserve">Adaptador DAC </v>
      </c>
      <c r="C45" s="6">
        <f>VLOOKUP(Stock[[#This Row],[Codigo del producto ]],Entradas[],2,FALSE)</f>
        <v>46038</v>
      </c>
      <c r="D45" s="3" t="str">
        <f>IFERROR(VLOOKUP(Stock[[#This Row],[Codigo del producto ]],Entradas[],4,FALSE),"-")</f>
        <v>LT04</v>
      </c>
      <c r="E45" s="3">
        <f>IFERROR(VLOOKUP(Stock[[#This Row],[Codigo del producto ]],Entradas[],5,FALSE),"-")</f>
        <v>13</v>
      </c>
      <c r="F45" s="3">
        <f>IFERROR(SUMIFS(Pagos[Cantidad vendida], Pagos[Codigo del producto], Stock[[#This Row],[Codigo del producto ]]) + SUMIFS(PagosV2[Cantidad vendida], PagosV2[Codigo del producto], Stock[[#This Row],[Codigo del producto ]]), "-")</f>
        <v>13</v>
      </c>
      <c r="G45" s="3">
        <f>IFERROR(Stock[[#This Row],[Entradas]]-Stock[[#This Row],[Salidas]],"-")</f>
        <v>0</v>
      </c>
      <c r="H45" s="63">
        <v>3.52</v>
      </c>
      <c r="I45" s="63">
        <f>Stock[[#This Row],[Entradas]]*Stock[[#This Row],[Precio Unitario ($)]]</f>
        <v>45.76</v>
      </c>
      <c r="J45" s="63">
        <v>0.16</v>
      </c>
      <c r="K45" s="63">
        <f>Stock[[#This Row],[Entradas]]*Stock[[#This Row],[Costo de envio unitario]]</f>
        <v>2.08</v>
      </c>
      <c r="L45" s="63">
        <f>IFERROR(Stock[[#This Row],[Precio Total (Sin Envios - $)]]+Stock[[#This Row],[Coste de envio total]],"-")</f>
        <v>47.839999999999996</v>
      </c>
      <c r="M45" s="63">
        <f>(Stock[[#This Row],[Precio Unitario ($)]]+Stock[[#This Row],[Costo de envio unitario]])*36.85</f>
        <v>135.608</v>
      </c>
      <c r="N45" s="64">
        <f>(Stock[[#This Row],[Precio Total (Con Envios - $)]])*36.85</f>
        <v>1762.904</v>
      </c>
      <c r="O45" s="64">
        <f>Stock[[#This Row],[Precio de compra unitario]]+0.55*Stock[[#This Row],[Precio de compra unitario]]</f>
        <v>210.19240000000002</v>
      </c>
      <c r="P45" s="65"/>
      <c r="Q45" s="3"/>
    </row>
    <row r="46" spans="1:17" hidden="1" x14ac:dyDescent="0.3">
      <c r="A46" s="3" t="s">
        <v>62</v>
      </c>
      <c r="B46" s="3" t="str">
        <f>VLOOKUP(Stock[[#This Row],[Codigo del producto ]],Entradas[],3,FALSE)</f>
        <v>Monitor 1080 27 pulgadas</v>
      </c>
      <c r="C46" s="6">
        <f>VLOOKUP(Stock[[#This Row],[Codigo del producto ]],Entradas[],2,FALSE)</f>
        <v>46052</v>
      </c>
      <c r="D46" s="3" t="str">
        <f>IFERROR(VLOOKUP(Stock[[#This Row],[Codigo del producto ]],Entradas[],4,FALSE),"-")</f>
        <v>LT05</v>
      </c>
      <c r="E46" s="3">
        <f>IFERROR(VLOOKUP(Stock[[#This Row],[Codigo del producto ]],Entradas[],5,FALSE),"-")</f>
        <v>2</v>
      </c>
      <c r="F46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46" s="3">
        <f>IFERROR(Stock[[#This Row],[Entradas]]-Stock[[#This Row],[Salidas]],"-")</f>
        <v>0</v>
      </c>
      <c r="H46" s="63">
        <v>69</v>
      </c>
      <c r="I46" s="63">
        <f>Stock[[#This Row],[Entradas]]*Stock[[#This Row],[Precio Unitario ($)]]</f>
        <v>138</v>
      </c>
      <c r="J46" s="63">
        <v>24</v>
      </c>
      <c r="K46" s="63">
        <f>Stock[[#This Row],[Entradas]]*Stock[[#This Row],[Costo de envio unitario]]</f>
        <v>48</v>
      </c>
      <c r="L46" s="63">
        <f>IFERROR(Stock[[#This Row],[Precio Total (Sin Envios - $)]]+Stock[[#This Row],[Coste de envio total]],"-")</f>
        <v>186</v>
      </c>
      <c r="M46" s="63">
        <f>(Stock[[#This Row],[Precio Unitario ($)]]+Stock[[#This Row],[Costo de envio unitario]])*36.85</f>
        <v>3427.05</v>
      </c>
      <c r="N46" s="64">
        <f>(Stock[[#This Row],[Precio Total (Con Envios - $)]])*36.85</f>
        <v>6854.1</v>
      </c>
      <c r="O46" s="64">
        <f>Stock[[#This Row],[Precio de compra unitario]]+0.55*Stock[[#This Row],[Precio de compra unitario]]</f>
        <v>5311.9275000000007</v>
      </c>
      <c r="P46" s="65">
        <v>5300</v>
      </c>
      <c r="Q46" s="3"/>
    </row>
    <row r="47" spans="1:17" x14ac:dyDescent="0.3">
      <c r="A47" s="3" t="s">
        <v>63</v>
      </c>
      <c r="B47" s="3" t="str">
        <f>VLOOKUP(Stock[[#This Row],[Codigo del producto ]],Entradas[],3,FALSE)</f>
        <v>Onikuma B90</v>
      </c>
      <c r="C47" s="6">
        <f>VLOOKUP(Stock[[#This Row],[Codigo del producto ]],Entradas[],2,FALSE)</f>
        <v>46052</v>
      </c>
      <c r="D47" s="3" t="str">
        <f>IFERROR(VLOOKUP(Stock[[#This Row],[Codigo del producto ]],Entradas[],4,FALSE),"-")</f>
        <v>LT05</v>
      </c>
      <c r="E47" s="3">
        <f>IFERROR(VLOOKUP(Stock[[#This Row],[Codigo del producto ]],Entradas[],5,FALSE),"-")</f>
        <v>2</v>
      </c>
      <c r="F47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47" s="3">
        <f>IFERROR(Stock[[#This Row],[Entradas]]-Stock[[#This Row],[Salidas]],"-")</f>
        <v>2</v>
      </c>
      <c r="H47" s="63">
        <v>28.3</v>
      </c>
      <c r="I47" s="63">
        <f>Stock[[#This Row],[Entradas]]*Stock[[#This Row],[Precio Unitario ($)]]</f>
        <v>56.6</v>
      </c>
      <c r="J47" s="63">
        <v>1.33</v>
      </c>
      <c r="K47" s="63">
        <f>Stock[[#This Row],[Entradas]]*Stock[[#This Row],[Costo de envio unitario]]</f>
        <v>2.66</v>
      </c>
      <c r="L47" s="63">
        <f>IFERROR(Stock[[#This Row],[Precio Total (Sin Envios - $)]]+Stock[[#This Row],[Coste de envio total]],"-")</f>
        <v>59.260000000000005</v>
      </c>
      <c r="M47" s="63">
        <f>(Stock[[#This Row],[Precio Unitario ($)]]+Stock[[#This Row],[Costo de envio unitario]])*36.85</f>
        <v>1091.8655000000001</v>
      </c>
      <c r="N47" s="64">
        <f>(Stock[[#This Row],[Precio Total (Con Envios - $)]])*36.85</f>
        <v>2183.7310000000002</v>
      </c>
      <c r="O47" s="64">
        <f>Stock[[#This Row],[Precio de compra unitario]]+0.55*Stock[[#This Row],[Precio de compra unitario]]</f>
        <v>1692.3915250000002</v>
      </c>
      <c r="P47" s="65">
        <v>1700</v>
      </c>
      <c r="Q47" s="3" t="s">
        <v>500</v>
      </c>
    </row>
    <row r="48" spans="1:17" hidden="1" x14ac:dyDescent="0.3">
      <c r="A48" s="3" t="s">
        <v>64</v>
      </c>
      <c r="B48" s="3" t="str">
        <f>VLOOKUP(Stock[[#This Row],[Codigo del producto ]],Entradas[],3,FALSE)</f>
        <v>Monter MQT39</v>
      </c>
      <c r="C48" s="6">
        <f>VLOOKUP(Stock[[#This Row],[Codigo del producto ]],Entradas[],2,FALSE)</f>
        <v>46052</v>
      </c>
      <c r="D48" s="3" t="str">
        <f>IFERROR(VLOOKUP(Stock[[#This Row],[Codigo del producto ]],Entradas[],4,FALSE),"-")</f>
        <v>LT05</v>
      </c>
      <c r="E48" s="3">
        <f>IFERROR(VLOOKUP(Stock[[#This Row],[Codigo del producto ]],Entradas[],5,FALSE),"-")</f>
        <v>2</v>
      </c>
      <c r="F48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48" s="3">
        <f>IFERROR(Stock[[#This Row],[Entradas]]-Stock[[#This Row],[Salidas]],"-")</f>
        <v>0</v>
      </c>
      <c r="H48" s="63">
        <v>10</v>
      </c>
      <c r="I48" s="63">
        <f>Stock[[#This Row],[Entradas]]*Stock[[#This Row],[Precio Unitario ($)]]</f>
        <v>20</v>
      </c>
      <c r="J48" s="63">
        <v>1.33</v>
      </c>
      <c r="K48" s="63">
        <f>Stock[[#This Row],[Entradas]]*Stock[[#This Row],[Costo de envio unitario]]</f>
        <v>2.66</v>
      </c>
      <c r="L48" s="63">
        <f>IFERROR(Stock[[#This Row],[Precio Total (Sin Envios - $)]]+Stock[[#This Row],[Coste de envio total]],"-")</f>
        <v>22.66</v>
      </c>
      <c r="M48" s="63">
        <f>(Stock[[#This Row],[Precio Unitario ($)]]+Stock[[#This Row],[Costo de envio unitario]])*36.85</f>
        <v>417.51050000000004</v>
      </c>
      <c r="N48" s="64">
        <f>(Stock[[#This Row],[Precio Total (Con Envios - $)]])*36.85</f>
        <v>835.02100000000007</v>
      </c>
      <c r="O48" s="64">
        <f>Stock[[#This Row],[Precio de compra unitario]]+0.55*Stock[[#This Row],[Precio de compra unitario]]</f>
        <v>647.14127500000006</v>
      </c>
      <c r="P48" s="65">
        <v>700</v>
      </c>
      <c r="Q48" s="3"/>
    </row>
    <row r="49" spans="1:17" hidden="1" x14ac:dyDescent="0.3">
      <c r="A49" s="3" t="s">
        <v>65</v>
      </c>
      <c r="B49" s="3" t="str">
        <f>VLOOKUP(Stock[[#This Row],[Codigo del producto ]],Entradas[],3,FALSE)</f>
        <v>FIFINE Headset PC</v>
      </c>
      <c r="C49" s="6">
        <f>VLOOKUP(Stock[[#This Row],[Codigo del producto ]],Entradas[],2,FALSE)</f>
        <v>46052</v>
      </c>
      <c r="D49" s="3" t="str">
        <f>IFERROR(VLOOKUP(Stock[[#This Row],[Codigo del producto ]],Entradas[],4,FALSE),"-")</f>
        <v>LT05</v>
      </c>
      <c r="E49" s="3">
        <f>IFERROR(VLOOKUP(Stock[[#This Row],[Codigo del producto ]],Entradas[],5,FALSE),"-")</f>
        <v>2</v>
      </c>
      <c r="F49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49" s="3">
        <f>IFERROR(Stock[[#This Row],[Entradas]]-Stock[[#This Row],[Salidas]],"-")</f>
        <v>0</v>
      </c>
      <c r="H49" s="63">
        <v>36.1</v>
      </c>
      <c r="I49" s="63">
        <f>Stock[[#This Row],[Entradas]]*Stock[[#This Row],[Precio Unitario ($)]]</f>
        <v>72.2</v>
      </c>
      <c r="J49" s="63">
        <v>1.33</v>
      </c>
      <c r="K49" s="63">
        <f>Stock[[#This Row],[Entradas]]*Stock[[#This Row],[Costo de envio unitario]]</f>
        <v>2.66</v>
      </c>
      <c r="L49" s="63">
        <f>IFERROR(Stock[[#This Row],[Precio Total (Sin Envios - $)]]+Stock[[#This Row],[Coste de envio total]],"-")</f>
        <v>74.86</v>
      </c>
      <c r="M49" s="63">
        <f>(Stock[[#This Row],[Precio Unitario ($)]]+Stock[[#This Row],[Costo de envio unitario]])*36.85</f>
        <v>1379.2954999999999</v>
      </c>
      <c r="N49" s="64">
        <f>(Stock[[#This Row],[Precio Total (Con Envios - $)]])*36.85</f>
        <v>2758.5909999999999</v>
      </c>
      <c r="O49" s="64">
        <f>Stock[[#This Row],[Precio de compra unitario]]+0.55*Stock[[#This Row],[Precio de compra unitario]]</f>
        <v>2137.9080249999997</v>
      </c>
      <c r="P49" s="65">
        <v>2200</v>
      </c>
      <c r="Q49" s="3"/>
    </row>
    <row r="50" spans="1:17" hidden="1" x14ac:dyDescent="0.3">
      <c r="A50" s="3" t="s">
        <v>66</v>
      </c>
      <c r="B50" s="3" t="str">
        <f>VLOOKUP(Stock[[#This Row],[Codigo del producto ]],Entradas[],3,FALSE)</f>
        <v xml:space="preserve">Adaptador DAC </v>
      </c>
      <c r="C50" s="6">
        <f>VLOOKUP(Stock[[#This Row],[Codigo del producto ]],Entradas[],2,FALSE)</f>
        <v>46052</v>
      </c>
      <c r="D50" s="3" t="str">
        <f>IFERROR(VLOOKUP(Stock[[#This Row],[Codigo del producto ]],Entradas[],4,FALSE),"-")</f>
        <v>LT05</v>
      </c>
      <c r="E50" s="3">
        <f>IFERROR(VLOOKUP(Stock[[#This Row],[Codigo del producto ]],Entradas[],5,FALSE),"-")</f>
        <v>20</v>
      </c>
      <c r="F50" s="3">
        <f>IFERROR(SUMIFS(Pagos[Cantidad vendida], Pagos[Codigo del producto], Stock[[#This Row],[Codigo del producto ]]) + SUMIFS(PagosV2[Cantidad vendida], PagosV2[Codigo del producto], Stock[[#This Row],[Codigo del producto ]]), "-")</f>
        <v>20</v>
      </c>
      <c r="G50" s="3">
        <f>IFERROR(Stock[[#This Row],[Entradas]]-Stock[[#This Row],[Salidas]],"-")</f>
        <v>0</v>
      </c>
      <c r="H50" s="63">
        <v>4.5999999999999996</v>
      </c>
      <c r="I50" s="63">
        <f>Stock[[#This Row],[Entradas]]*Stock[[#This Row],[Precio Unitario ($)]]</f>
        <v>92</v>
      </c>
      <c r="J50" s="63">
        <v>0.19</v>
      </c>
      <c r="K50" s="63">
        <f>Stock[[#This Row],[Entradas]]*Stock[[#This Row],[Costo de envio unitario]]</f>
        <v>3.8</v>
      </c>
      <c r="L50" s="63">
        <f>IFERROR(Stock[[#This Row],[Precio Total (Sin Envios - $)]]+Stock[[#This Row],[Coste de envio total]],"-")</f>
        <v>95.8</v>
      </c>
      <c r="M50" s="63">
        <f>(Stock[[#This Row],[Precio Unitario ($)]]+Stock[[#This Row],[Costo de envio unitario]])*36.85</f>
        <v>176.51150000000001</v>
      </c>
      <c r="N50" s="64">
        <f>(Stock[[#This Row],[Precio Total (Con Envios - $)]])*36.85</f>
        <v>3530.23</v>
      </c>
      <c r="O50" s="64">
        <f>Stock[[#This Row],[Precio de compra unitario]]+0.55*Stock[[#This Row],[Precio de compra unitario]]</f>
        <v>273.59282500000006</v>
      </c>
      <c r="P50" s="65">
        <v>350</v>
      </c>
      <c r="Q50" s="3"/>
    </row>
    <row r="51" spans="1:17" hidden="1" x14ac:dyDescent="0.3">
      <c r="A51" s="3" t="s">
        <v>67</v>
      </c>
      <c r="B51" s="3" t="str">
        <f>VLOOKUP(Stock[[#This Row],[Codigo del producto ]],Entradas[],3,FALSE)</f>
        <v>Cable de Repuesto KZ Tipo C</v>
      </c>
      <c r="C51" s="6">
        <f>VLOOKUP(Stock[[#This Row],[Codigo del producto ]],Entradas[],2,FALSE)</f>
        <v>46052</v>
      </c>
      <c r="D51" s="3" t="str">
        <f>IFERROR(VLOOKUP(Stock[[#This Row],[Codigo del producto ]],Entradas[],4,FALSE),"-")</f>
        <v>LT05</v>
      </c>
      <c r="E51" s="3">
        <f>IFERROR(VLOOKUP(Stock[[#This Row],[Codigo del producto ]],Entradas[],5,FALSE),"-")</f>
        <v>20</v>
      </c>
      <c r="F51" s="3">
        <f>IFERROR(SUMIFS(Pagos[Cantidad vendida], Pagos[Codigo del producto], Stock[[#This Row],[Codigo del producto ]]) + SUMIFS(PagosV2[Cantidad vendida], PagosV2[Codigo del producto], Stock[[#This Row],[Codigo del producto ]]), "-")</f>
        <v>20</v>
      </c>
      <c r="G51" s="3">
        <f>IFERROR(Stock[[#This Row],[Entradas]]-Stock[[#This Row],[Salidas]],"-")</f>
        <v>0</v>
      </c>
      <c r="H51" s="63">
        <v>5.0999999999999996</v>
      </c>
      <c r="I51" s="63">
        <f>Stock[[#This Row],[Entradas]]*Stock[[#This Row],[Precio Unitario ($)]]</f>
        <v>102</v>
      </c>
      <c r="J51" s="63">
        <v>0.19</v>
      </c>
      <c r="K51" s="63">
        <f>Stock[[#This Row],[Entradas]]*Stock[[#This Row],[Costo de envio unitario]]</f>
        <v>3.8</v>
      </c>
      <c r="L51" s="63">
        <f>IFERROR(Stock[[#This Row],[Precio Total (Sin Envios - $)]]+Stock[[#This Row],[Coste de envio total]],"-")</f>
        <v>105.8</v>
      </c>
      <c r="M51" s="63">
        <f>(Stock[[#This Row],[Precio Unitario ($)]]+Stock[[#This Row],[Costo de envio unitario]])*36.85</f>
        <v>194.9365</v>
      </c>
      <c r="N51" s="64">
        <f>(Stock[[#This Row],[Precio Total (Con Envios - $)]])*36.85</f>
        <v>3898.73</v>
      </c>
      <c r="O51" s="64">
        <f>Stock[[#This Row],[Precio de compra unitario]]+0.55*Stock[[#This Row],[Precio de compra unitario]]</f>
        <v>302.15157499999998</v>
      </c>
      <c r="P51" s="65">
        <v>400</v>
      </c>
      <c r="Q51" s="3"/>
    </row>
    <row r="52" spans="1:17" hidden="1" x14ac:dyDescent="0.3">
      <c r="A52" s="3" t="s">
        <v>68</v>
      </c>
      <c r="B52" s="3" t="str">
        <f>VLOOKUP(Stock[[#This Row],[Codigo del producto ]],Entradas[],3,FALSE)</f>
        <v>BL100 Pro HeadSet</v>
      </c>
      <c r="C52" s="6">
        <f>VLOOKUP(Stock[[#This Row],[Codigo del producto ]],Entradas[],2,FALSE)</f>
        <v>46052</v>
      </c>
      <c r="D52" s="3" t="str">
        <f>IFERROR(VLOOKUP(Stock[[#This Row],[Codigo del producto ]],Entradas[],4,FALSE),"-")</f>
        <v>LT05</v>
      </c>
      <c r="E52" s="3">
        <f>IFERROR(VLOOKUP(Stock[[#This Row],[Codigo del producto ]],Entradas[],5,FALSE),"-")</f>
        <v>1</v>
      </c>
      <c r="F52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52" s="3">
        <f>IFERROR(Stock[[#This Row],[Entradas]]-Stock[[#This Row],[Salidas]],"-")</f>
        <v>0</v>
      </c>
      <c r="H52" s="63">
        <v>27.08</v>
      </c>
      <c r="I52" s="63">
        <f>Stock[[#This Row],[Entradas]]*Stock[[#This Row],[Precio Unitario ($)]]</f>
        <v>27.08</v>
      </c>
      <c r="J52" s="63">
        <v>0.19</v>
      </c>
      <c r="K52" s="63">
        <f>Stock[[#This Row],[Entradas]]*Stock[[#This Row],[Costo de envio unitario]]</f>
        <v>0.19</v>
      </c>
      <c r="L52" s="63">
        <f>IFERROR(Stock[[#This Row],[Precio Total (Sin Envios - $)]]+Stock[[#This Row],[Coste de envio total]],"-")</f>
        <v>27.27</v>
      </c>
      <c r="M52" s="63">
        <f>(Stock[[#This Row],[Precio Unitario ($)]]+Stock[[#This Row],[Costo de envio unitario]])*36.85</f>
        <v>1004.8995</v>
      </c>
      <c r="N52" s="64">
        <f>(Stock[[#This Row],[Precio Total (Con Envios - $)]])*36.85</f>
        <v>1004.8995</v>
      </c>
      <c r="O52" s="64">
        <f>Stock[[#This Row],[Precio de compra unitario]]+0.55*Stock[[#This Row],[Precio de compra unitario]]</f>
        <v>1557.5942250000001</v>
      </c>
      <c r="P52" s="65">
        <v>1600</v>
      </c>
      <c r="Q52" s="3"/>
    </row>
    <row r="53" spans="1:17" hidden="1" x14ac:dyDescent="0.3">
      <c r="A53" s="3" t="s">
        <v>69</v>
      </c>
      <c r="B53" s="3" t="str">
        <f>VLOOKUP(Stock[[#This Row],[Codigo del producto ]],Entradas[],3,FALSE)</f>
        <v>Estuche para Switch</v>
      </c>
      <c r="C53" s="6">
        <f>VLOOKUP(Stock[[#This Row],[Codigo del producto ]],Entradas[],2,FALSE)</f>
        <v>46052</v>
      </c>
      <c r="D53" s="3" t="str">
        <f>IFERROR(VLOOKUP(Stock[[#This Row],[Codigo del producto ]],Entradas[],4,FALSE),"-")</f>
        <v>LT05</v>
      </c>
      <c r="E53" s="3">
        <f>IFERROR(VLOOKUP(Stock[[#This Row],[Codigo del producto ]],Entradas[],5,FALSE),"-")</f>
        <v>1</v>
      </c>
      <c r="F53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53" s="3">
        <f>IFERROR(Stock[[#This Row],[Entradas]]-Stock[[#This Row],[Salidas]],"-")</f>
        <v>0</v>
      </c>
      <c r="H53" s="63">
        <v>6.9</v>
      </c>
      <c r="I53" s="63">
        <f>Stock[[#This Row],[Entradas]]*Stock[[#This Row],[Precio Unitario ($)]]</f>
        <v>6.9</v>
      </c>
      <c r="J53" s="63">
        <v>0.19</v>
      </c>
      <c r="K53" s="63">
        <f>Stock[[#This Row],[Entradas]]*Stock[[#This Row],[Costo de envio unitario]]</f>
        <v>0.19</v>
      </c>
      <c r="L53" s="63">
        <f>IFERROR(Stock[[#This Row],[Precio Total (Sin Envios - $)]]+Stock[[#This Row],[Coste de envio total]],"-")</f>
        <v>7.0900000000000007</v>
      </c>
      <c r="M53" s="63">
        <f>(Stock[[#This Row],[Precio Unitario ($)]]+Stock[[#This Row],[Costo de envio unitario]])*36.85</f>
        <v>261.26650000000006</v>
      </c>
      <c r="N53" s="64">
        <f>(Stock[[#This Row],[Precio Total (Con Envios - $)]])*36.85</f>
        <v>261.26650000000006</v>
      </c>
      <c r="O53" s="64">
        <f>Stock[[#This Row],[Precio de compra unitario]]+0.55*Stock[[#This Row],[Precio de compra unitario]]</f>
        <v>404.96307500000012</v>
      </c>
      <c r="P53" s="65">
        <v>500</v>
      </c>
      <c r="Q53" s="3"/>
    </row>
    <row r="54" spans="1:17" hidden="1" x14ac:dyDescent="0.3">
      <c r="A54" s="3" t="s">
        <v>70</v>
      </c>
      <c r="B54" s="3" t="str">
        <f>VLOOKUP(Stock[[#This Row],[Codigo del producto ]],Entradas[],3,FALSE)</f>
        <v>Kit con Estuche para Switch</v>
      </c>
      <c r="C54" s="6">
        <f>VLOOKUP(Stock[[#This Row],[Codigo del producto ]],Entradas[],2,FALSE)</f>
        <v>46052</v>
      </c>
      <c r="D54" s="3" t="str">
        <f>IFERROR(VLOOKUP(Stock[[#This Row],[Codigo del producto ]],Entradas[],4,FALSE),"-")</f>
        <v>LT05</v>
      </c>
      <c r="E54" s="3">
        <f>IFERROR(VLOOKUP(Stock[[#This Row],[Codigo del producto ]],Entradas[],5,FALSE),"-")</f>
        <v>2</v>
      </c>
      <c r="F54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54" s="3">
        <f>IFERROR(Stock[[#This Row],[Entradas]]-Stock[[#This Row],[Salidas]],"-")</f>
        <v>0</v>
      </c>
      <c r="H54" s="63">
        <v>10.8</v>
      </c>
      <c r="I54" s="63">
        <f>Stock[[#This Row],[Entradas]]*Stock[[#This Row],[Precio Unitario ($)]]</f>
        <v>21.6</v>
      </c>
      <c r="J54" s="63">
        <v>0.19</v>
      </c>
      <c r="K54" s="63">
        <f>Stock[[#This Row],[Entradas]]*Stock[[#This Row],[Costo de envio unitario]]</f>
        <v>0.38</v>
      </c>
      <c r="L54" s="63">
        <f>IFERROR(Stock[[#This Row],[Precio Total (Sin Envios - $)]]+Stock[[#This Row],[Coste de envio total]],"-")</f>
        <v>21.98</v>
      </c>
      <c r="M54" s="63">
        <f>(Stock[[#This Row],[Precio Unitario ($)]]+Stock[[#This Row],[Costo de envio unitario]])*36.85</f>
        <v>404.98150000000004</v>
      </c>
      <c r="N54" s="64">
        <f>(Stock[[#This Row],[Precio Total (Con Envios - $)]])*36.85</f>
        <v>809.96300000000008</v>
      </c>
      <c r="O54" s="64">
        <f>Stock[[#This Row],[Precio de compra unitario]]+0.55*Stock[[#This Row],[Precio de compra unitario]]</f>
        <v>627.72132500000009</v>
      </c>
      <c r="P54" s="65">
        <v>700</v>
      </c>
      <c r="Q54" s="3"/>
    </row>
    <row r="55" spans="1:17" hidden="1" x14ac:dyDescent="0.3">
      <c r="A55" s="3" t="s">
        <v>71</v>
      </c>
      <c r="B55" s="3" t="str">
        <f>VLOOKUP(Stock[[#This Row],[Codigo del producto ]],Entradas[],3,FALSE)</f>
        <v>KZ Castor Improved Bass</v>
      </c>
      <c r="C55" s="6">
        <f>VLOOKUP(Stock[[#This Row],[Codigo del producto ]],Entradas[],2,FALSE)</f>
        <v>46052</v>
      </c>
      <c r="D55" s="3" t="str">
        <f>IFERROR(VLOOKUP(Stock[[#This Row],[Codigo del producto ]],Entradas[],4,FALSE),"-")</f>
        <v>LT05</v>
      </c>
      <c r="E55" s="3">
        <f>IFERROR(VLOOKUP(Stock[[#This Row],[Codigo del producto ]],Entradas[],5,FALSE),"-")</f>
        <v>20</v>
      </c>
      <c r="F55" s="3">
        <f>IFERROR(SUMIFS(Pagos[Cantidad vendida], Pagos[Codigo del producto], Stock[[#This Row],[Codigo del producto ]]) + SUMIFS(PagosV2[Cantidad vendida], PagosV2[Codigo del producto], Stock[[#This Row],[Codigo del producto ]]), "-")</f>
        <v>20</v>
      </c>
      <c r="G55" s="3">
        <f>IFERROR(Stock[[#This Row],[Entradas]]-Stock[[#This Row],[Salidas]],"-")</f>
        <v>0</v>
      </c>
      <c r="H55" s="63">
        <v>9.6</v>
      </c>
      <c r="I55" s="63">
        <f>Stock[[#This Row],[Entradas]]*Stock[[#This Row],[Precio Unitario ($)]]</f>
        <v>192</v>
      </c>
      <c r="J55" s="63">
        <v>0.5</v>
      </c>
      <c r="K55" s="63">
        <f>Stock[[#This Row],[Entradas]]*Stock[[#This Row],[Costo de envio unitario]]</f>
        <v>10</v>
      </c>
      <c r="L55" s="63">
        <f>IFERROR(Stock[[#This Row],[Precio Total (Sin Envios - $)]]+Stock[[#This Row],[Coste de envio total]],"-")</f>
        <v>202</v>
      </c>
      <c r="M55" s="63">
        <f>(Stock[[#This Row],[Precio Unitario ($)]]+Stock[[#This Row],[Costo de envio unitario]])*36.85</f>
        <v>372.185</v>
      </c>
      <c r="N55" s="64">
        <f>(Stock[[#This Row],[Precio Total (Con Envios - $)]])*36.85</f>
        <v>7443.7000000000007</v>
      </c>
      <c r="O55" s="64">
        <f>Stock[[#This Row],[Precio de compra unitario]]+0.55*Stock[[#This Row],[Precio de compra unitario]]</f>
        <v>576.88675000000001</v>
      </c>
      <c r="P55" s="65">
        <v>650</v>
      </c>
      <c r="Q55" s="3"/>
    </row>
    <row r="56" spans="1:17" hidden="1" x14ac:dyDescent="0.3">
      <c r="A56" s="3" t="s">
        <v>72</v>
      </c>
      <c r="B56" s="3" t="str">
        <f>VLOOKUP(Stock[[#This Row],[Codigo del producto ]],Entradas[],3,FALSE)</f>
        <v>KZ AZ09 Bluetooth Adapter</v>
      </c>
      <c r="C56" s="6">
        <f>VLOOKUP(Stock[[#This Row],[Codigo del producto ]],Entradas[],2,FALSE)</f>
        <v>46052</v>
      </c>
      <c r="D56" s="3" t="str">
        <f>IFERROR(VLOOKUP(Stock[[#This Row],[Codigo del producto ]],Entradas[],4,FALSE),"-")</f>
        <v>LT05</v>
      </c>
      <c r="E56" s="3">
        <f>IFERROR(VLOOKUP(Stock[[#This Row],[Codigo del producto ]],Entradas[],5,FALSE),"-")</f>
        <v>20</v>
      </c>
      <c r="F56" s="3">
        <f>IFERROR(SUMIFS(Pagos[Cantidad vendida], Pagos[Codigo del producto], Stock[[#This Row],[Codigo del producto ]]) + SUMIFS(PagosV2[Cantidad vendida], PagosV2[Codigo del producto], Stock[[#This Row],[Codigo del producto ]]), "-")</f>
        <v>19</v>
      </c>
      <c r="G56" s="3">
        <f>IFERROR(Stock[[#This Row],[Entradas]]-Stock[[#This Row],[Salidas]],"-")</f>
        <v>1</v>
      </c>
      <c r="H56" s="63">
        <v>16.100000000000001</v>
      </c>
      <c r="I56" s="63">
        <f>Stock[[#This Row],[Entradas]]*Stock[[#This Row],[Precio Unitario ($)]]</f>
        <v>322</v>
      </c>
      <c r="J56" s="63">
        <v>0.5</v>
      </c>
      <c r="K56" s="63">
        <f>Stock[[#This Row],[Entradas]]*Stock[[#This Row],[Costo de envio unitario]]</f>
        <v>10</v>
      </c>
      <c r="L56" s="63">
        <f>IFERROR(Stock[[#This Row],[Precio Total (Sin Envios - $)]]+Stock[[#This Row],[Coste de envio total]],"-")</f>
        <v>332</v>
      </c>
      <c r="M56" s="63">
        <f>(Stock[[#This Row],[Precio Unitario ($)]]+Stock[[#This Row],[Costo de envio unitario]])*36.85</f>
        <v>611.71</v>
      </c>
      <c r="N56" s="64">
        <f>(Stock[[#This Row],[Precio Total (Con Envios - $)]])*36.85</f>
        <v>12234.2</v>
      </c>
      <c r="O56" s="64">
        <f>Stock[[#This Row],[Precio de compra unitario]]+0.55*Stock[[#This Row],[Precio de compra unitario]]</f>
        <v>948.15050000000008</v>
      </c>
      <c r="P56" s="65">
        <v>950</v>
      </c>
      <c r="Q56" s="3" t="s">
        <v>73</v>
      </c>
    </row>
    <row r="57" spans="1:17" hidden="1" x14ac:dyDescent="0.3">
      <c r="A57" s="3" t="s">
        <v>74</v>
      </c>
      <c r="B57" s="3" t="str">
        <f>VLOOKUP(Stock[[#This Row],[Codigo del producto ]],Entradas[],3,FALSE)</f>
        <v>Pro Controller Switch</v>
      </c>
      <c r="C57" s="6">
        <f>VLOOKUP(Stock[[#This Row],[Codigo del producto ]],Entradas[],2,FALSE)</f>
        <v>46052</v>
      </c>
      <c r="D57" s="3" t="str">
        <f>IFERROR(VLOOKUP(Stock[[#This Row],[Codigo del producto ]],Entradas[],4,FALSE),"-")</f>
        <v>LT05</v>
      </c>
      <c r="E57" s="3">
        <f>IFERROR(VLOOKUP(Stock[[#This Row],[Codigo del producto ]],Entradas[],5,FALSE),"-")</f>
        <v>4</v>
      </c>
      <c r="F57" s="3">
        <f>IFERROR(SUMIFS(Pagos[Cantidad vendida], Pagos[Codigo del producto], Stock[[#This Row],[Codigo del producto ]]) + SUMIFS(PagosV2[Cantidad vendida], PagosV2[Codigo del producto], Stock[[#This Row],[Codigo del producto ]]), "-")</f>
        <v>4</v>
      </c>
      <c r="G57" s="3">
        <f>IFERROR(Stock[[#This Row],[Entradas]]-Stock[[#This Row],[Salidas]],"-")</f>
        <v>0</v>
      </c>
      <c r="H57" s="63">
        <v>17</v>
      </c>
      <c r="I57" s="63">
        <f>Stock[[#This Row],[Entradas]]*Stock[[#This Row],[Precio Unitario ($)]]</f>
        <v>68</v>
      </c>
      <c r="J57" s="63">
        <v>0.5</v>
      </c>
      <c r="K57" s="63">
        <f>Stock[[#This Row],[Entradas]]*Stock[[#This Row],[Costo de envio unitario]]</f>
        <v>2</v>
      </c>
      <c r="L57" s="63">
        <f>IFERROR(Stock[[#This Row],[Precio Total (Sin Envios - $)]]+Stock[[#This Row],[Coste de envio total]],"-")</f>
        <v>70</v>
      </c>
      <c r="M57" s="63">
        <f>(Stock[[#This Row],[Precio Unitario ($)]]+Stock[[#This Row],[Costo de envio unitario]])*36.85</f>
        <v>644.875</v>
      </c>
      <c r="N57" s="64">
        <f>(Stock[[#This Row],[Precio Total (Con Envios - $)]])*36.85</f>
        <v>2579.5</v>
      </c>
      <c r="O57" s="64">
        <f>Stock[[#This Row],[Precio de compra unitario]]+0.55*Stock[[#This Row],[Precio de compra unitario]]</f>
        <v>999.55625000000009</v>
      </c>
      <c r="P57" s="65">
        <v>1000</v>
      </c>
      <c r="Q57" s="3"/>
    </row>
    <row r="58" spans="1:17" hidden="1" x14ac:dyDescent="0.3">
      <c r="A58" s="3" t="s">
        <v>75</v>
      </c>
      <c r="B58" s="3" t="str">
        <f>VLOOKUP(Stock[[#This Row],[Codigo del producto ]],Entradas[],3,FALSE)</f>
        <v>Pro Controller Switch</v>
      </c>
      <c r="C58" s="6">
        <f>VLOOKUP(Stock[[#This Row],[Codigo del producto ]],Entradas[],2,FALSE)</f>
        <v>46052</v>
      </c>
      <c r="D58" s="3" t="str">
        <f>IFERROR(VLOOKUP(Stock[[#This Row],[Codigo del producto ]],Entradas[],4,FALSE),"-")</f>
        <v>LT05</v>
      </c>
      <c r="E58" s="3">
        <f>IFERROR(VLOOKUP(Stock[[#This Row],[Codigo del producto ]],Entradas[],5,FALSE),"-")</f>
        <v>4</v>
      </c>
      <c r="F58" s="3">
        <f>IFERROR(SUMIFS(Pagos[Cantidad vendida], Pagos[Codigo del producto], Stock[[#This Row],[Codigo del producto ]]) + SUMIFS(PagosV2[Cantidad vendida], PagosV2[Codigo del producto], Stock[[#This Row],[Codigo del producto ]]), "-")</f>
        <v>4</v>
      </c>
      <c r="G58" s="3">
        <f>IFERROR(Stock[[#This Row],[Entradas]]-Stock[[#This Row],[Salidas]],"-")</f>
        <v>0</v>
      </c>
      <c r="H58" s="63">
        <v>17</v>
      </c>
      <c r="I58" s="63">
        <f>Stock[[#This Row],[Entradas]]*Stock[[#This Row],[Precio Unitario ($)]]</f>
        <v>68</v>
      </c>
      <c r="J58" s="63">
        <v>1.5</v>
      </c>
      <c r="K58" s="63">
        <f>Stock[[#This Row],[Entradas]]*Stock[[#This Row],[Costo de envio unitario]]</f>
        <v>6</v>
      </c>
      <c r="L58" s="63">
        <f>IFERROR(Stock[[#This Row],[Precio Total (Sin Envios - $)]]+Stock[[#This Row],[Coste de envio total]],"-")</f>
        <v>74</v>
      </c>
      <c r="M58" s="63">
        <f>(Stock[[#This Row],[Precio Unitario ($)]]+Stock[[#This Row],[Costo de envio unitario]])*36.85</f>
        <v>681.72500000000002</v>
      </c>
      <c r="N58" s="64">
        <f>(Stock[[#This Row],[Precio Total (Con Envios - $)]])*36.85</f>
        <v>2726.9</v>
      </c>
      <c r="O58" s="64">
        <f>Stock[[#This Row],[Precio de compra unitario]]+0.55*Stock[[#This Row],[Precio de compra unitario]]</f>
        <v>1056.6737499999999</v>
      </c>
      <c r="P58" s="65">
        <v>10000</v>
      </c>
      <c r="Q58" s="3"/>
    </row>
    <row r="59" spans="1:17" hidden="1" x14ac:dyDescent="0.3">
      <c r="A59" s="3" t="s">
        <v>76</v>
      </c>
      <c r="B59" s="3" t="str">
        <f>VLOOKUP(Stock[[#This Row],[Codigo del producto ]],Entradas[],3,FALSE)</f>
        <v>Estuche para Switch</v>
      </c>
      <c r="C59" s="6">
        <f>VLOOKUP(Stock[[#This Row],[Codigo del producto ]],Entradas[],2,FALSE)</f>
        <v>46052</v>
      </c>
      <c r="D59" s="3" t="str">
        <f>IFERROR(VLOOKUP(Stock[[#This Row],[Codigo del producto ]],Entradas[],4,FALSE),"-")</f>
        <v>LT05</v>
      </c>
      <c r="E59" s="3">
        <f>IFERROR(VLOOKUP(Stock[[#This Row],[Codigo del producto ]],Entradas[],5,FALSE),"-")</f>
        <v>3</v>
      </c>
      <c r="F59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59" s="3">
        <f>IFERROR(Stock[[#This Row],[Entradas]]-Stock[[#This Row],[Salidas]],"-")</f>
        <v>0</v>
      </c>
      <c r="H59" s="63">
        <v>6.9</v>
      </c>
      <c r="I59" s="63">
        <f>Stock[[#This Row],[Entradas]]*Stock[[#This Row],[Precio Unitario ($)]]</f>
        <v>20.700000000000003</v>
      </c>
      <c r="J59" s="63">
        <v>0.6</v>
      </c>
      <c r="K59" s="63">
        <f>Stock[[#This Row],[Entradas]]*Stock[[#This Row],[Costo de envio unitario]]</f>
        <v>1.7999999999999998</v>
      </c>
      <c r="L59" s="63">
        <f>IFERROR(Stock[[#This Row],[Precio Total (Sin Envios - $)]]+Stock[[#This Row],[Coste de envio total]],"-")</f>
        <v>22.500000000000004</v>
      </c>
      <c r="M59" s="63">
        <f>(Stock[[#This Row],[Precio Unitario ($)]]+Stock[[#This Row],[Costo de envio unitario]])*36.85</f>
        <v>276.375</v>
      </c>
      <c r="N59" s="64">
        <f>(Stock[[#This Row],[Precio Total (Con Envios - $)]])*36.85</f>
        <v>829.12500000000011</v>
      </c>
      <c r="O59" s="64">
        <f>Stock[[#This Row],[Precio de compra unitario]]+0.55*Stock[[#This Row],[Precio de compra unitario]]</f>
        <v>428.38125000000002</v>
      </c>
      <c r="P59" s="65">
        <v>500</v>
      </c>
      <c r="Q59" s="3"/>
    </row>
    <row r="60" spans="1:17" ht="17.25" customHeight="1" x14ac:dyDescent="0.3">
      <c r="A60" s="3" t="s">
        <v>77</v>
      </c>
      <c r="B60" s="3" t="str">
        <f>VLOOKUP(Stock[[#This Row],[Codigo del producto ]],Entradas[],3,FALSE)</f>
        <v>Pide Via</v>
      </c>
      <c r="C60" s="6">
        <f>VLOOKUP(Stock[[#This Row],[Codigo del producto ]],Entradas[],2,FALSE)</f>
        <v>46052</v>
      </c>
      <c r="D60" s="3" t="str">
        <f>IFERROR(VLOOKUP(Stock[[#This Row],[Codigo del producto ]],Entradas[],4,FALSE),"-")</f>
        <v>LT05</v>
      </c>
      <c r="E60" s="3">
        <f>IFERROR(VLOOKUP(Stock[[#This Row],[Codigo del producto ]],Entradas[],5,FALSE),"-")</f>
        <v>4</v>
      </c>
      <c r="F60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60" s="3">
        <f>IFERROR(Stock[[#This Row],[Entradas]]-Stock[[#This Row],[Salidas]],"-")</f>
        <v>4</v>
      </c>
      <c r="H60" s="63">
        <v>6.7</v>
      </c>
      <c r="I60" s="63">
        <f>Stock[[#This Row],[Entradas]]*Stock[[#This Row],[Precio Unitario ($)]]</f>
        <v>26.8</v>
      </c>
      <c r="J60" s="63">
        <v>0.6</v>
      </c>
      <c r="K60" s="63">
        <f>Stock[[#This Row],[Entradas]]*Stock[[#This Row],[Costo de envio unitario]]</f>
        <v>2.4</v>
      </c>
      <c r="L60" s="63">
        <f>IFERROR(Stock[[#This Row],[Precio Total (Sin Envios - $)]]+Stock[[#This Row],[Coste de envio total]],"-")</f>
        <v>29.2</v>
      </c>
      <c r="M60" s="63">
        <f>(Stock[[#This Row],[Precio Unitario ($)]]+Stock[[#This Row],[Costo de envio unitario]])*36.85</f>
        <v>269.005</v>
      </c>
      <c r="N60" s="64">
        <f>(Stock[[#This Row],[Precio Total (Con Envios - $)]])*36.85</f>
        <v>1076.02</v>
      </c>
      <c r="O60" s="64">
        <f>Stock[[#This Row],[Precio de compra unitario]]+0.55*Stock[[#This Row],[Precio de compra unitario]]</f>
        <v>416.95775000000003</v>
      </c>
      <c r="P60" s="65">
        <v>500</v>
      </c>
      <c r="Q60" s="3"/>
    </row>
    <row r="61" spans="1:17" hidden="1" x14ac:dyDescent="0.3">
      <c r="A61" s="3" t="s">
        <v>78</v>
      </c>
      <c r="B61" s="3" t="str">
        <f>VLOOKUP(Stock[[#This Row],[Codigo del producto ]],Entradas[],3,FALSE)</f>
        <v>Cargadores USB para moto (Sin pantalla)</v>
      </c>
      <c r="C61" s="6">
        <f>VLOOKUP(Stock[[#This Row],[Codigo del producto ]],Entradas[],2,FALSE)</f>
        <v>46052</v>
      </c>
      <c r="D61" s="3" t="str">
        <f>IFERROR(VLOOKUP(Stock[[#This Row],[Codigo del producto ]],Entradas[],4,FALSE),"-")</f>
        <v>LT05</v>
      </c>
      <c r="E61" s="3">
        <f>IFERROR(VLOOKUP(Stock[[#This Row],[Codigo del producto ]],Entradas[],5,FALSE),"-")</f>
        <v>10</v>
      </c>
      <c r="F61" s="3">
        <f>IFERROR(SUMIFS(Pagos[Cantidad vendida], Pagos[Codigo del producto], Stock[[#This Row],[Codigo del producto ]]) + SUMIFS(PagosV2[Cantidad vendida], PagosV2[Codigo del producto], Stock[[#This Row],[Codigo del producto ]]), "-")</f>
        <v>10</v>
      </c>
      <c r="G61" s="3">
        <f>IFERROR(Stock[[#This Row],[Entradas]]-Stock[[#This Row],[Salidas]],"-")</f>
        <v>0</v>
      </c>
      <c r="H61" s="63">
        <v>6.8</v>
      </c>
      <c r="I61" s="63">
        <f>Stock[[#This Row],[Entradas]]*Stock[[#This Row],[Precio Unitario ($)]]</f>
        <v>68</v>
      </c>
      <c r="J61" s="63">
        <v>0.6</v>
      </c>
      <c r="K61" s="63">
        <f>Stock[[#This Row],[Entradas]]*Stock[[#This Row],[Costo de envio unitario]]</f>
        <v>6</v>
      </c>
      <c r="L61" s="63">
        <f>IFERROR(Stock[[#This Row],[Precio Total (Sin Envios - $)]]+Stock[[#This Row],[Coste de envio total]],"-")</f>
        <v>74</v>
      </c>
      <c r="M61" s="63">
        <f>(Stock[[#This Row],[Precio Unitario ($)]]+Stock[[#This Row],[Costo de envio unitario]])*36.85</f>
        <v>272.69</v>
      </c>
      <c r="N61" s="64">
        <f>(Stock[[#This Row],[Precio Total (Con Envios - $)]])*36.85</f>
        <v>2726.9</v>
      </c>
      <c r="O61" s="64">
        <f>Stock[[#This Row],[Precio de compra unitario]]+0.55*Stock[[#This Row],[Precio de compra unitario]]</f>
        <v>422.66949999999997</v>
      </c>
      <c r="P61" s="65">
        <v>500</v>
      </c>
      <c r="Q61" s="3"/>
    </row>
    <row r="62" spans="1:17" hidden="1" x14ac:dyDescent="0.3">
      <c r="A62" s="3" t="s">
        <v>79</v>
      </c>
      <c r="B62" s="3" t="str">
        <f>VLOOKUP(Stock[[#This Row],[Codigo del producto ]],Entradas[],3,FALSE)</f>
        <v xml:space="preserve">RedDragon K631 </v>
      </c>
      <c r="C62" s="6">
        <f>VLOOKUP(Stock[[#This Row],[Codigo del producto ]],Entradas[],2,FALSE)</f>
        <v>46052</v>
      </c>
      <c r="D62" s="3" t="str">
        <f>IFERROR(VLOOKUP(Stock[[#This Row],[Codigo del producto ]],Entradas[],4,FALSE),"-")</f>
        <v>LT05</v>
      </c>
      <c r="E62" s="3">
        <f>IFERROR(VLOOKUP(Stock[[#This Row],[Codigo del producto ]],Entradas[],5,FALSE),"-")</f>
        <v>1</v>
      </c>
      <c r="F62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62" s="3">
        <f>IFERROR(Stock[[#This Row],[Entradas]]-Stock[[#This Row],[Salidas]],"-")</f>
        <v>0</v>
      </c>
      <c r="H62" s="63">
        <v>32.25</v>
      </c>
      <c r="I62" s="63">
        <f>Stock[[#This Row],[Entradas]]*Stock[[#This Row],[Precio Unitario ($)]]</f>
        <v>32.25</v>
      </c>
      <c r="J62" s="63">
        <v>4</v>
      </c>
      <c r="K62" s="63">
        <f>Stock[[#This Row],[Entradas]]*Stock[[#This Row],[Costo de envio unitario]]</f>
        <v>4</v>
      </c>
      <c r="L62" s="63">
        <f>IFERROR(Stock[[#This Row],[Precio Total (Sin Envios - $)]]+Stock[[#This Row],[Coste de envio total]],"-")</f>
        <v>36.25</v>
      </c>
      <c r="M62" s="63">
        <f>(Stock[[#This Row],[Precio Unitario ($)]]+Stock[[#This Row],[Costo de envio unitario]])*36.85</f>
        <v>1335.8125</v>
      </c>
      <c r="N62" s="64">
        <f>(Stock[[#This Row],[Precio Total (Con Envios - $)]])*36.85</f>
        <v>1335.8125</v>
      </c>
      <c r="O62" s="64">
        <f>Stock[[#This Row],[Precio de compra unitario]]+0.55*Stock[[#This Row],[Precio de compra unitario]]</f>
        <v>2070.5093750000001</v>
      </c>
      <c r="P62" s="65">
        <v>2100</v>
      </c>
      <c r="Q62" s="3"/>
    </row>
    <row r="63" spans="1:17" hidden="1" x14ac:dyDescent="0.3">
      <c r="A63" s="3" t="s">
        <v>80</v>
      </c>
      <c r="B63" s="3" t="str">
        <f>VLOOKUP(Stock[[#This Row],[Codigo del producto ]],Entradas[],3,FALSE)</f>
        <v>RedDragon H510 Zeus</v>
      </c>
      <c r="C63" s="6">
        <f>VLOOKUP(Stock[[#This Row],[Codigo del producto ]],Entradas[],2,FALSE)</f>
        <v>46052</v>
      </c>
      <c r="D63" s="3" t="str">
        <f>IFERROR(VLOOKUP(Stock[[#This Row],[Codigo del producto ]],Entradas[],4,FALSE),"-")</f>
        <v>LT05</v>
      </c>
      <c r="E63" s="3">
        <f>IFERROR(VLOOKUP(Stock[[#This Row],[Codigo del producto ]],Entradas[],5,FALSE),"-")</f>
        <v>2</v>
      </c>
      <c r="F63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63" s="3">
        <f>IFERROR(Stock[[#This Row],[Entradas]]-Stock[[#This Row],[Salidas]],"-")</f>
        <v>0</v>
      </c>
      <c r="H63" s="63">
        <v>41.4</v>
      </c>
      <c r="I63" s="63">
        <f>Stock[[#This Row],[Entradas]]*Stock[[#This Row],[Precio Unitario ($)]]</f>
        <v>82.8</v>
      </c>
      <c r="J63" s="63">
        <v>2</v>
      </c>
      <c r="K63" s="63">
        <f>Stock[[#This Row],[Entradas]]*Stock[[#This Row],[Costo de envio unitario]]</f>
        <v>4</v>
      </c>
      <c r="L63" s="63">
        <f>IFERROR(Stock[[#This Row],[Precio Total (Sin Envios - $)]]+Stock[[#This Row],[Coste de envio total]],"-")</f>
        <v>86.8</v>
      </c>
      <c r="M63" s="63">
        <f>(Stock[[#This Row],[Precio Unitario ($)]]+Stock[[#This Row],[Costo de envio unitario]])*36.85</f>
        <v>1599.29</v>
      </c>
      <c r="N63" s="64">
        <f>(Stock[[#This Row],[Precio Total (Con Envios - $)]])*36.85</f>
        <v>3198.58</v>
      </c>
      <c r="O63" s="64">
        <f>Stock[[#This Row],[Precio de compra unitario]]+0.55*Stock[[#This Row],[Precio de compra unitario]]</f>
        <v>2478.8995</v>
      </c>
      <c r="P63" s="65">
        <v>2500</v>
      </c>
      <c r="Q63" s="3"/>
    </row>
    <row r="64" spans="1:17" hidden="1" x14ac:dyDescent="0.3">
      <c r="A64" s="3" t="s">
        <v>81</v>
      </c>
      <c r="B64" s="3" t="str">
        <f>VLOOKUP(Stock[[#This Row],[Codigo del producto ]],Entradas[],3,FALSE)</f>
        <v xml:space="preserve">Perfume Issey Miyake </v>
      </c>
      <c r="C64" s="6">
        <f>VLOOKUP(Stock[[#This Row],[Codigo del producto ]],Entradas[],2,FALSE)</f>
        <v>46052</v>
      </c>
      <c r="D64" s="3" t="str">
        <f>IFERROR(VLOOKUP(Stock[[#This Row],[Codigo del producto ]],Entradas[],4,FALSE),"-")</f>
        <v>LT05</v>
      </c>
      <c r="E64" s="3">
        <f>IFERROR(VLOOKUP(Stock[[#This Row],[Codigo del producto ]],Entradas[],5,FALSE),"-")</f>
        <v>1</v>
      </c>
      <c r="F64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64" s="3">
        <f>IFERROR(Stock[[#This Row],[Entradas]]-Stock[[#This Row],[Salidas]],"-")</f>
        <v>0</v>
      </c>
      <c r="H64" s="63">
        <v>41.2</v>
      </c>
      <c r="I64" s="63">
        <f>Stock[[#This Row],[Entradas]]*Stock[[#This Row],[Precio Unitario ($)]]</f>
        <v>41.2</v>
      </c>
      <c r="J64" s="63">
        <v>2</v>
      </c>
      <c r="K64" s="63">
        <f>Stock[[#This Row],[Entradas]]*Stock[[#This Row],[Costo de envio unitario]]</f>
        <v>2</v>
      </c>
      <c r="L64" s="63">
        <f>IFERROR(Stock[[#This Row],[Precio Total (Sin Envios - $)]]+Stock[[#This Row],[Coste de envio total]],"-")</f>
        <v>43.2</v>
      </c>
      <c r="M64" s="63">
        <f>(Stock[[#This Row],[Precio Unitario ($)]]+Stock[[#This Row],[Costo de envio unitario]])*36.85</f>
        <v>1591.92</v>
      </c>
      <c r="N64" s="64">
        <f>(Stock[[#This Row],[Precio Total (Con Envios - $)]])*36.85</f>
        <v>1591.92</v>
      </c>
      <c r="O64" s="64">
        <f>Stock[[#This Row],[Precio de compra unitario]]+0.55*Stock[[#This Row],[Precio de compra unitario]]</f>
        <v>2467.4760000000001</v>
      </c>
      <c r="P64" s="65">
        <v>2500</v>
      </c>
      <c r="Q64" s="3"/>
    </row>
    <row r="65" spans="1:17" hidden="1" x14ac:dyDescent="0.3">
      <c r="A65" s="3" t="s">
        <v>82</v>
      </c>
      <c r="B65" s="3" t="str">
        <f>VLOOKUP(Stock[[#This Row],[Codigo del producto ]],Entradas[],3,FALSE)</f>
        <v>Perfume Club de Nuite Urban Men</v>
      </c>
      <c r="C65" s="6">
        <f>VLOOKUP(Stock[[#This Row],[Codigo del producto ]],Entradas[],2,FALSE)</f>
        <v>46052</v>
      </c>
      <c r="D65" s="3" t="str">
        <f>IFERROR(VLOOKUP(Stock[[#This Row],[Codigo del producto ]],Entradas[],4,FALSE),"-")</f>
        <v>LT05</v>
      </c>
      <c r="E65" s="3">
        <f>IFERROR(VLOOKUP(Stock[[#This Row],[Codigo del producto ]],Entradas[],5,FALSE),"-")</f>
        <v>1</v>
      </c>
      <c r="F65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65" s="3">
        <f>IFERROR(Stock[[#This Row],[Entradas]]-Stock[[#This Row],[Salidas]],"-")</f>
        <v>0</v>
      </c>
      <c r="H65" s="63">
        <v>35.119999999999997</v>
      </c>
      <c r="I65" s="63">
        <f>Stock[[#This Row],[Entradas]]*Stock[[#This Row],[Precio Unitario ($)]]</f>
        <v>35.119999999999997</v>
      </c>
      <c r="J65" s="63">
        <v>2</v>
      </c>
      <c r="K65" s="63">
        <f>Stock[[#This Row],[Entradas]]*Stock[[#This Row],[Costo de envio unitario]]</f>
        <v>2</v>
      </c>
      <c r="L65" s="63">
        <f>IFERROR(Stock[[#This Row],[Precio Total (Sin Envios - $)]]+Stock[[#This Row],[Coste de envio total]],"-")</f>
        <v>37.119999999999997</v>
      </c>
      <c r="M65" s="63">
        <f>(Stock[[#This Row],[Precio Unitario ($)]]+Stock[[#This Row],[Costo de envio unitario]])*36.85</f>
        <v>1367.8720000000001</v>
      </c>
      <c r="N65" s="64">
        <f>(Stock[[#This Row],[Precio Total (Con Envios - $)]])*36.85</f>
        <v>1367.8720000000001</v>
      </c>
      <c r="O65" s="64">
        <f>Stock[[#This Row],[Precio de compra unitario]]+0.55*Stock[[#This Row],[Precio de compra unitario]]</f>
        <v>2120.2016000000003</v>
      </c>
      <c r="P65" s="65">
        <v>2200</v>
      </c>
      <c r="Q65" s="3"/>
    </row>
    <row r="66" spans="1:17" hidden="1" x14ac:dyDescent="0.3">
      <c r="A66" s="3" t="s">
        <v>83</v>
      </c>
      <c r="B66" s="3" t="str">
        <f>VLOOKUP(Stock[[#This Row],[Codigo del producto ]],Entradas[],3,FALSE)</f>
        <v>Perfume Khamrah</v>
      </c>
      <c r="C66" s="6">
        <f>VLOOKUP(Stock[[#This Row],[Codigo del producto ]],Entradas[],2,FALSE)</f>
        <v>46052</v>
      </c>
      <c r="D66" s="3" t="str">
        <f>IFERROR(VLOOKUP(Stock[[#This Row],[Codigo del producto ]],Entradas[],4,FALSE),"-")</f>
        <v>LT05</v>
      </c>
      <c r="E66" s="3">
        <f>IFERROR(VLOOKUP(Stock[[#This Row],[Codigo del producto ]],Entradas[],5,FALSE),"-")</f>
        <v>1</v>
      </c>
      <c r="F66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66" s="3">
        <f>IFERROR(Stock[[#This Row],[Entradas]]-Stock[[#This Row],[Salidas]],"-")</f>
        <v>0</v>
      </c>
      <c r="H66" s="63">
        <v>16.03</v>
      </c>
      <c r="I66" s="63">
        <f>Stock[[#This Row],[Entradas]]*Stock[[#This Row],[Precio Unitario ($)]]</f>
        <v>16.03</v>
      </c>
      <c r="J66" s="63">
        <v>4</v>
      </c>
      <c r="K66" s="63">
        <f>Stock[[#This Row],[Entradas]]*Stock[[#This Row],[Costo de envio unitario]]</f>
        <v>4</v>
      </c>
      <c r="L66" s="63">
        <f>IFERROR(Stock[[#This Row],[Precio Total (Sin Envios - $)]]+Stock[[#This Row],[Coste de envio total]],"-")</f>
        <v>20.03</v>
      </c>
      <c r="M66" s="63">
        <f>(Stock[[#This Row],[Precio Unitario ($)]]+Stock[[#This Row],[Costo de envio unitario]])*36.85</f>
        <v>738.10550000000012</v>
      </c>
      <c r="N66" s="64">
        <f>(Stock[[#This Row],[Precio Total (Con Envios - $)]])*36.85</f>
        <v>738.10550000000012</v>
      </c>
      <c r="O66" s="64">
        <f>Stock[[#This Row],[Precio de compra unitario]]+0.55*Stock[[#This Row],[Precio de compra unitario]]</f>
        <v>1144.0635250000003</v>
      </c>
      <c r="P66" s="65">
        <v>1200</v>
      </c>
      <c r="Q66" s="3"/>
    </row>
    <row r="67" spans="1:17" hidden="1" x14ac:dyDescent="0.3">
      <c r="A67" s="3" t="s">
        <v>84</v>
      </c>
      <c r="B67" s="3" t="str">
        <f>VLOOKUP(Stock[[#This Row],[Codigo del producto ]],Entradas[],3,FALSE)</f>
        <v>NYXI Pro controller (Black)</v>
      </c>
      <c r="C67" s="6">
        <f>VLOOKUP(Stock[[#This Row],[Codigo del producto ]],Entradas[],2,FALSE)</f>
        <v>46052</v>
      </c>
      <c r="D67" s="3" t="str">
        <f>IFERROR(VLOOKUP(Stock[[#This Row],[Codigo del producto ]],Entradas[],4,FALSE),"-")</f>
        <v>LT05</v>
      </c>
      <c r="E67" s="3">
        <f>IFERROR(VLOOKUP(Stock[[#This Row],[Codigo del producto ]],Entradas[],5,FALSE),"-")</f>
        <v>1</v>
      </c>
      <c r="F67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67" s="3">
        <f>IFERROR(Stock[[#This Row],[Entradas]]-Stock[[#This Row],[Salidas]],"-")</f>
        <v>0</v>
      </c>
      <c r="H67" s="63">
        <v>37.58</v>
      </c>
      <c r="I67" s="63">
        <f>Stock[[#This Row],[Entradas]]*Stock[[#This Row],[Precio Unitario ($)]]</f>
        <v>37.58</v>
      </c>
      <c r="J67" s="63">
        <v>4</v>
      </c>
      <c r="K67" s="63">
        <f>Stock[[#This Row],[Entradas]]*Stock[[#This Row],[Costo de envio unitario]]</f>
        <v>4</v>
      </c>
      <c r="L67" s="63">
        <f>IFERROR(Stock[[#This Row],[Precio Total (Sin Envios - $)]]+Stock[[#This Row],[Coste de envio total]],"-")</f>
        <v>41.58</v>
      </c>
      <c r="M67" s="63">
        <f>(Stock[[#This Row],[Precio Unitario ($)]]+Stock[[#This Row],[Costo de envio unitario]])*36.85</f>
        <v>1532.223</v>
      </c>
      <c r="N67" s="64">
        <f>(Stock[[#This Row],[Precio Total (Con Envios - $)]])*36.85</f>
        <v>1532.223</v>
      </c>
      <c r="O67" s="64">
        <f>Stock[[#This Row],[Precio de compra unitario]]+0.55*Stock[[#This Row],[Precio de compra unitario]]</f>
        <v>2374.9456500000001</v>
      </c>
      <c r="P67" s="65">
        <v>2400</v>
      </c>
      <c r="Q67" s="3"/>
    </row>
    <row r="68" spans="1:17" hidden="1" x14ac:dyDescent="0.3">
      <c r="A68" s="3" t="s">
        <v>85</v>
      </c>
      <c r="B68" s="3" t="str">
        <f>VLOOKUP(Stock[[#This Row],[Codigo del producto ]],Entradas[],3,FALSE)</f>
        <v>Cargadores USB para moto</v>
      </c>
      <c r="C68" s="6">
        <f>VLOOKUP(Stock[[#This Row],[Codigo del producto ]],Entradas[],2,FALSE)</f>
        <v>46052</v>
      </c>
      <c r="D68" s="3" t="str">
        <f>IFERROR(VLOOKUP(Stock[[#This Row],[Codigo del producto ]],Entradas[],4,FALSE),"-")</f>
        <v>LT05</v>
      </c>
      <c r="E68" s="3">
        <f>IFERROR(VLOOKUP(Stock[[#This Row],[Codigo del producto ]],Entradas[],5,FALSE),"-")</f>
        <v>3</v>
      </c>
      <c r="F68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68" s="3">
        <f>IFERROR(Stock[[#This Row],[Entradas]]-Stock[[#This Row],[Salidas]],"-")</f>
        <v>0</v>
      </c>
      <c r="H68" s="63">
        <v>7.7</v>
      </c>
      <c r="I68" s="63">
        <f>Stock[[#This Row],[Entradas]]*Stock[[#This Row],[Precio Unitario ($)]]</f>
        <v>23.1</v>
      </c>
      <c r="J68" s="63">
        <v>0.5</v>
      </c>
      <c r="K68" s="63">
        <f>Stock[[#This Row],[Entradas]]*Stock[[#This Row],[Costo de envio unitario]]</f>
        <v>1.5</v>
      </c>
      <c r="L68" s="63">
        <f>IFERROR(Stock[[#This Row],[Precio Total (Sin Envios - $)]]+Stock[[#This Row],[Coste de envio total]],"-")</f>
        <v>24.6</v>
      </c>
      <c r="M68" s="63">
        <f>(Stock[[#This Row],[Precio Unitario ($)]]+Stock[[#This Row],[Costo de envio unitario]])*36.85</f>
        <v>302.16999999999996</v>
      </c>
      <c r="N68" s="64">
        <f>(Stock[[#This Row],[Precio Total (Con Envios - $)]])*36.85</f>
        <v>906.5100000000001</v>
      </c>
      <c r="O68" s="64">
        <f>Stock[[#This Row],[Precio de compra unitario]]+0.55*Stock[[#This Row],[Precio de compra unitario]]</f>
        <v>468.36349999999993</v>
      </c>
      <c r="P68" s="65">
        <v>600</v>
      </c>
      <c r="Q68" s="3"/>
    </row>
    <row r="69" spans="1:17" x14ac:dyDescent="0.3">
      <c r="A69" s="3" t="s">
        <v>86</v>
      </c>
      <c r="B69" s="3" t="str">
        <f>VLOOKUP(Stock[[#This Row],[Codigo del producto ]],Entradas[],3,FALSE)</f>
        <v>Pide Via</v>
      </c>
      <c r="C69" s="6">
        <f>VLOOKUP(Stock[[#This Row],[Codigo del producto ]],Entradas[],2,FALSE)</f>
        <v>46052</v>
      </c>
      <c r="D69" s="3" t="str">
        <f>IFERROR(VLOOKUP(Stock[[#This Row],[Codigo del producto ]],Entradas[],4,FALSE),"-")</f>
        <v>LT05</v>
      </c>
      <c r="E69" s="3">
        <f>IFERROR(VLOOKUP(Stock[[#This Row],[Codigo del producto ]],Entradas[],5,FALSE),"-")</f>
        <v>1</v>
      </c>
      <c r="F69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69" s="3">
        <f>IFERROR(Stock[[#This Row],[Entradas]]-Stock[[#This Row],[Salidas]],"-")</f>
        <v>1</v>
      </c>
      <c r="H69" s="63">
        <v>6.7</v>
      </c>
      <c r="I69" s="63">
        <f>Stock[[#This Row],[Entradas]]*Stock[[#This Row],[Precio Unitario ($)]]</f>
        <v>6.7</v>
      </c>
      <c r="J69" s="63">
        <v>0.5</v>
      </c>
      <c r="K69" s="63">
        <f>Stock[[#This Row],[Entradas]]*Stock[[#This Row],[Costo de envio unitario]]</f>
        <v>0.5</v>
      </c>
      <c r="L69" s="63">
        <f>IFERROR(Stock[[#This Row],[Precio Total (Sin Envios - $)]]+Stock[[#This Row],[Coste de envio total]],"-")</f>
        <v>7.2</v>
      </c>
      <c r="M69" s="63">
        <f>(Stock[[#This Row],[Precio Unitario ($)]]+Stock[[#This Row],[Costo de envio unitario]])*36.85</f>
        <v>265.32</v>
      </c>
      <c r="N69" s="64">
        <f>(Stock[[#This Row],[Precio Total (Con Envios - $)]])*36.85</f>
        <v>265.32</v>
      </c>
      <c r="O69" s="64">
        <f>Stock[[#This Row],[Precio de compra unitario]]+0.55*Stock[[#This Row],[Precio de compra unitario]]</f>
        <v>411.24599999999998</v>
      </c>
      <c r="P69" s="65">
        <v>500</v>
      </c>
      <c r="Q69" s="3"/>
    </row>
    <row r="70" spans="1:17" hidden="1" x14ac:dyDescent="0.3">
      <c r="A70" s="3" t="s">
        <v>87</v>
      </c>
      <c r="B70" s="3" t="str">
        <f>VLOOKUP(Stock[[#This Row],[Codigo del producto ]],Entradas[],3,FALSE)</f>
        <v>Shark Attack L80</v>
      </c>
      <c r="C70" s="6">
        <f>VLOOKUP(Stock[[#This Row],[Codigo del producto ]],Entradas[],2,FALSE)</f>
        <v>46052</v>
      </c>
      <c r="D70" s="3" t="str">
        <f>IFERROR(VLOOKUP(Stock[[#This Row],[Codigo del producto ]],Entradas[],4,FALSE),"-")</f>
        <v>LT05</v>
      </c>
      <c r="E70" s="3">
        <f>IFERROR(VLOOKUP(Stock[[#This Row],[Codigo del producto ]],Entradas[],5,FALSE),"-")</f>
        <v>3</v>
      </c>
      <c r="F70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70" s="3">
        <f>IFERROR(Stock[[#This Row],[Entradas]]-Stock[[#This Row],[Salidas]],"-")</f>
        <v>0</v>
      </c>
      <c r="H70" s="63">
        <v>23</v>
      </c>
      <c r="I70" s="63">
        <f>Stock[[#This Row],[Entradas]]*Stock[[#This Row],[Precio Unitario ($)]]</f>
        <v>69</v>
      </c>
      <c r="J70" s="63">
        <v>2</v>
      </c>
      <c r="K70" s="63">
        <f>Stock[[#This Row],[Entradas]]*Stock[[#This Row],[Costo de envio unitario]]</f>
        <v>6</v>
      </c>
      <c r="L70" s="63">
        <f>IFERROR(Stock[[#This Row],[Precio Total (Sin Envios - $)]]+Stock[[#This Row],[Coste de envio total]],"-")</f>
        <v>75</v>
      </c>
      <c r="M70" s="63">
        <f>(Stock[[#This Row],[Precio Unitario ($)]]+Stock[[#This Row],[Costo de envio unitario]])*36.85</f>
        <v>921.25</v>
      </c>
      <c r="N70" s="64">
        <f>(Stock[[#This Row],[Precio Total (Con Envios - $)]])*36.85</f>
        <v>2763.75</v>
      </c>
      <c r="O70" s="64">
        <f>Stock[[#This Row],[Precio de compra unitario]]+0.55*Stock[[#This Row],[Precio de compra unitario]]</f>
        <v>1427.9375</v>
      </c>
      <c r="P70" s="65">
        <v>1400</v>
      </c>
      <c r="Q70" s="3"/>
    </row>
    <row r="71" spans="1:17" hidden="1" x14ac:dyDescent="0.3">
      <c r="A71" s="3" t="s">
        <v>88</v>
      </c>
      <c r="B71" s="3" t="str">
        <f>VLOOKUP(Stock[[#This Row],[Codigo del producto ]],Entradas[],3,FALSE)</f>
        <v>Yara</v>
      </c>
      <c r="C71" s="6">
        <f>VLOOKUP(Stock[[#This Row],[Codigo del producto ]],Entradas[],2,FALSE)</f>
        <v>46052</v>
      </c>
      <c r="D71" s="3" t="str">
        <f>IFERROR(VLOOKUP(Stock[[#This Row],[Codigo del producto ]],Entradas[],4,FALSE),"-")</f>
        <v>LT05</v>
      </c>
      <c r="E71" s="3">
        <f>IFERROR(VLOOKUP(Stock[[#This Row],[Codigo del producto ]],Entradas[],5,FALSE),"-")</f>
        <v>1</v>
      </c>
      <c r="F71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71" s="3">
        <f>IFERROR(Stock[[#This Row],[Entradas]]-Stock[[#This Row],[Salidas]],"-")</f>
        <v>0</v>
      </c>
      <c r="H71" s="63">
        <v>9.66</v>
      </c>
      <c r="I71" s="63">
        <f>Stock[[#This Row],[Entradas]]*Stock[[#This Row],[Precio Unitario ($)]]</f>
        <v>9.66</v>
      </c>
      <c r="J71" s="63">
        <v>2</v>
      </c>
      <c r="K71" s="63">
        <f>Stock[[#This Row],[Entradas]]*Stock[[#This Row],[Costo de envio unitario]]</f>
        <v>2</v>
      </c>
      <c r="L71" s="63">
        <f>IFERROR(Stock[[#This Row],[Precio Total (Sin Envios - $)]]+Stock[[#This Row],[Coste de envio total]],"-")</f>
        <v>11.66</v>
      </c>
      <c r="M71" s="63">
        <f>(Stock[[#This Row],[Precio Unitario ($)]]+Stock[[#This Row],[Costo de envio unitario]])*36.85</f>
        <v>429.67100000000005</v>
      </c>
      <c r="N71" s="64">
        <f>(Stock[[#This Row],[Precio Total (Con Envios - $)]])*36.85</f>
        <v>429.67100000000005</v>
      </c>
      <c r="O71" s="64">
        <f>Stock[[#This Row],[Precio de compra unitario]]+0.55*Stock[[#This Row],[Precio de compra unitario]]</f>
        <v>665.99005000000011</v>
      </c>
      <c r="P71" s="65"/>
      <c r="Q71" s="3"/>
    </row>
    <row r="72" spans="1:17" x14ac:dyDescent="0.3">
      <c r="A72" s="3" t="s">
        <v>89</v>
      </c>
      <c r="B72" s="3" t="str">
        <f>VLOOKUP(Stock[[#This Row],[Codigo del producto ]],Entradas[],3,FALSE)</f>
        <v xml:space="preserve">Adaptador DAC </v>
      </c>
      <c r="C72" s="6">
        <f>VLOOKUP(Stock[[#This Row],[Codigo del producto ]],Entradas[],2,FALSE)</f>
        <v>46052</v>
      </c>
      <c r="D72" s="3" t="str">
        <f>IFERROR(VLOOKUP(Stock[[#This Row],[Codigo del producto ]],Entradas[],4,FALSE),"-")</f>
        <v>LT05</v>
      </c>
      <c r="E72" s="3">
        <f>IFERROR(VLOOKUP(Stock[[#This Row],[Codigo del producto ]],Entradas[],5,FALSE),"-")</f>
        <v>20</v>
      </c>
      <c r="F72" s="3">
        <f>IFERROR(SUMIFS(Pagos[Cantidad vendida], Pagos[Codigo del producto], Stock[[#This Row],[Codigo del producto ]]) + SUMIFS(PagosV2[Cantidad vendida], PagosV2[Codigo del producto], Stock[[#This Row],[Codigo del producto ]]), "-")</f>
        <v>14</v>
      </c>
      <c r="G72" s="3">
        <f>IFERROR(Stock[[#This Row],[Entradas]]-Stock[[#This Row],[Salidas]],"-")</f>
        <v>6</v>
      </c>
      <c r="H72" s="63">
        <v>4.49</v>
      </c>
      <c r="I72" s="63">
        <f>Stock[[#This Row],[Entradas]]*Stock[[#This Row],[Precio Unitario ($)]]</f>
        <v>89.800000000000011</v>
      </c>
      <c r="J72" s="63">
        <v>0.1</v>
      </c>
      <c r="K72" s="63">
        <f>Stock[[#This Row],[Entradas]]*Stock[[#This Row],[Costo de envio unitario]]</f>
        <v>2</v>
      </c>
      <c r="L72" s="63">
        <f>IFERROR(Stock[[#This Row],[Precio Total (Sin Envios - $)]]+Stock[[#This Row],[Coste de envio total]],"-")</f>
        <v>91.800000000000011</v>
      </c>
      <c r="M72" s="63">
        <f>(Stock[[#This Row],[Precio Unitario ($)]]+Stock[[#This Row],[Costo de envio unitario]])*36.85</f>
        <v>169.14150000000001</v>
      </c>
      <c r="N72" s="64">
        <f>(Stock[[#This Row],[Precio Total (Con Envios - $)]])*36.85</f>
        <v>3382.8300000000004</v>
      </c>
      <c r="O72" s="64">
        <f>Stock[[#This Row],[Precio de compra unitario]]+0.55*Stock[[#This Row],[Precio de compra unitario]]</f>
        <v>262.16932500000001</v>
      </c>
      <c r="P72" s="65"/>
      <c r="Q72" s="3"/>
    </row>
    <row r="73" spans="1:17" hidden="1" x14ac:dyDescent="0.3">
      <c r="A73" s="3" t="s">
        <v>90</v>
      </c>
      <c r="B73" s="3" t="str">
        <f>VLOOKUP(Stock[[#This Row],[Codigo del producto ]],Entradas[],3,FALSE)</f>
        <v>NYXI Pro controller (Black)</v>
      </c>
      <c r="C73" s="6">
        <f>VLOOKUP(Stock[[#This Row],[Codigo del producto ]],Entradas[],2,FALSE)</f>
        <v>46060</v>
      </c>
      <c r="D73" s="3" t="str">
        <f>IFERROR(VLOOKUP(Stock[[#This Row],[Codigo del producto ]],Entradas[],4,FALSE),"-")</f>
        <v>LT06</v>
      </c>
      <c r="E73" s="3">
        <f>IFERROR(VLOOKUP(Stock[[#This Row],[Codigo del producto ]],Entradas[],5,FALSE),"-")</f>
        <v>1</v>
      </c>
      <c r="F73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73" s="3">
        <f>IFERROR(Stock[[#This Row],[Entradas]]-Stock[[#This Row],[Salidas]],"-")</f>
        <v>0</v>
      </c>
      <c r="H73" s="63">
        <v>35</v>
      </c>
      <c r="I73" s="63">
        <f>Stock[[#This Row],[Entradas]]*Stock[[#This Row],[Precio Unitario ($)]]</f>
        <v>35</v>
      </c>
      <c r="J73" s="63">
        <v>2</v>
      </c>
      <c r="K73" s="63">
        <f>Stock[[#This Row],[Entradas]]*Stock[[#This Row],[Costo de envio unitario]]</f>
        <v>2</v>
      </c>
      <c r="L73" s="63">
        <f>IFERROR(Stock[[#This Row],[Precio Total (Sin Envios - $)]]+Stock[[#This Row],[Coste de envio total]],"-")</f>
        <v>37</v>
      </c>
      <c r="M73" s="63">
        <f>(Stock[[#This Row],[Precio Unitario ($)]]+Stock[[#This Row],[Costo de envio unitario]])*36.85</f>
        <v>1363.45</v>
      </c>
      <c r="N73" s="64">
        <f>(Stock[[#This Row],[Precio Total (Con Envios - $)]])*36.85</f>
        <v>1363.45</v>
      </c>
      <c r="O73" s="64">
        <f>Stock[[#This Row],[Precio de compra unitario]]+0.55*Stock[[#This Row],[Precio de compra unitario]]</f>
        <v>2113.3474999999999</v>
      </c>
      <c r="P73" s="65"/>
      <c r="Q73" s="3"/>
    </row>
    <row r="74" spans="1:17" hidden="1" x14ac:dyDescent="0.3">
      <c r="A74" s="3" t="s">
        <v>91</v>
      </c>
      <c r="B74" s="3" t="str">
        <f>VLOOKUP(Stock[[#This Row],[Codigo del producto ]],Entradas[],3,FALSE)</f>
        <v>NYXI Pro controller (Orange)</v>
      </c>
      <c r="C74" s="6">
        <f>VLOOKUP(Stock[[#This Row],[Codigo del producto ]],Entradas[],2,FALSE)</f>
        <v>46060</v>
      </c>
      <c r="D74" s="3" t="str">
        <f>IFERROR(VLOOKUP(Stock[[#This Row],[Codigo del producto ]],Entradas[],4,FALSE),"-")</f>
        <v>LT06</v>
      </c>
      <c r="E74" s="3">
        <f>IFERROR(VLOOKUP(Stock[[#This Row],[Codigo del producto ]],Entradas[],5,FALSE),"-")</f>
        <v>1</v>
      </c>
      <c r="F74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74" s="3">
        <f>IFERROR(Stock[[#This Row],[Entradas]]-Stock[[#This Row],[Salidas]],"-")</f>
        <v>0</v>
      </c>
      <c r="H74" s="63">
        <v>35</v>
      </c>
      <c r="I74" s="63">
        <f>Stock[[#This Row],[Entradas]]*Stock[[#This Row],[Precio Unitario ($)]]</f>
        <v>35</v>
      </c>
      <c r="J74" s="63">
        <v>2</v>
      </c>
      <c r="K74" s="63">
        <f>Stock[[#This Row],[Entradas]]*Stock[[#This Row],[Costo de envio unitario]]</f>
        <v>2</v>
      </c>
      <c r="L74" s="63">
        <f>IFERROR(Stock[[#This Row],[Precio Total (Sin Envios - $)]]+Stock[[#This Row],[Coste de envio total]],"-")</f>
        <v>37</v>
      </c>
      <c r="M74" s="63">
        <f>(Stock[[#This Row],[Precio Unitario ($)]]+Stock[[#This Row],[Costo de envio unitario]])*36.85</f>
        <v>1363.45</v>
      </c>
      <c r="N74" s="64">
        <f>(Stock[[#This Row],[Precio Total (Con Envios - $)]])*36.85</f>
        <v>1363.45</v>
      </c>
      <c r="O74" s="64">
        <f>Stock[[#This Row],[Precio de compra unitario]]+0.55*Stock[[#This Row],[Precio de compra unitario]]</f>
        <v>2113.3474999999999</v>
      </c>
      <c r="P74" s="65"/>
      <c r="Q74" s="3"/>
    </row>
    <row r="75" spans="1:17" hidden="1" x14ac:dyDescent="0.3">
      <c r="A75" s="3" t="s">
        <v>92</v>
      </c>
      <c r="B75" s="3" t="str">
        <f>VLOOKUP(Stock[[#This Row],[Codigo del producto ]],Entradas[],3,FALSE)</f>
        <v>NYXI Hyperion Pro controller</v>
      </c>
      <c r="C75" s="6">
        <f>VLOOKUP(Stock[[#This Row],[Codigo del producto ]],Entradas[],2,FALSE)</f>
        <v>46060</v>
      </c>
      <c r="D75" s="3" t="str">
        <f>IFERROR(VLOOKUP(Stock[[#This Row],[Codigo del producto ]],Entradas[],4,FALSE),"-")</f>
        <v>LT06</v>
      </c>
      <c r="E75" s="3">
        <f>IFERROR(VLOOKUP(Stock[[#This Row],[Codigo del producto ]],Entradas[],5,FALSE),"-")</f>
        <v>1</v>
      </c>
      <c r="F75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75" s="3">
        <f>IFERROR(Stock[[#This Row],[Entradas]]-Stock[[#This Row],[Salidas]],"-")</f>
        <v>0</v>
      </c>
      <c r="H75" s="63">
        <v>35</v>
      </c>
      <c r="I75" s="63">
        <f>Stock[[#This Row],[Entradas]]*Stock[[#This Row],[Precio Unitario ($)]]</f>
        <v>35</v>
      </c>
      <c r="J75" s="63">
        <v>2</v>
      </c>
      <c r="K75" s="63">
        <f>Stock[[#This Row],[Entradas]]*Stock[[#This Row],[Costo de envio unitario]]</f>
        <v>2</v>
      </c>
      <c r="L75" s="63">
        <f>IFERROR(Stock[[#This Row],[Precio Total (Sin Envios - $)]]+Stock[[#This Row],[Coste de envio total]],"-")</f>
        <v>37</v>
      </c>
      <c r="M75" s="63">
        <f>(Stock[[#This Row],[Precio Unitario ($)]]+Stock[[#This Row],[Costo de envio unitario]])*36.85</f>
        <v>1363.45</v>
      </c>
      <c r="N75" s="64">
        <f>(Stock[[#This Row],[Precio Total (Con Envios - $)]])*36.85</f>
        <v>1363.45</v>
      </c>
      <c r="O75" s="64">
        <f>Stock[[#This Row],[Precio de compra unitario]]+0.55*Stock[[#This Row],[Precio de compra unitario]]</f>
        <v>2113.3474999999999</v>
      </c>
      <c r="P75" s="65"/>
      <c r="Q75" s="3"/>
    </row>
    <row r="76" spans="1:17" hidden="1" x14ac:dyDescent="0.3">
      <c r="A76" s="3" t="s">
        <v>93</v>
      </c>
      <c r="B76" s="3" t="str">
        <f>VLOOKUP(Stock[[#This Row],[Codigo del producto ]],Entradas[],3,FALSE)</f>
        <v>Anker Nano 10,000 mA 30W</v>
      </c>
      <c r="C76" s="6">
        <f>VLOOKUP(Stock[[#This Row],[Codigo del producto ]],Entradas[],2,FALSE)</f>
        <v>46060</v>
      </c>
      <c r="D76" s="3" t="str">
        <f>IFERROR(VLOOKUP(Stock[[#This Row],[Codigo del producto ]],Entradas[],4,FALSE),"-")</f>
        <v>LT06</v>
      </c>
      <c r="E76" s="3">
        <f>IFERROR(VLOOKUP(Stock[[#This Row],[Codigo del producto ]],Entradas[],5,FALSE),"-")</f>
        <v>1</v>
      </c>
      <c r="F76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76" s="3">
        <f>IFERROR(Stock[[#This Row],[Entradas]]-Stock[[#This Row],[Salidas]],"-")</f>
        <v>0</v>
      </c>
      <c r="H76" s="63">
        <v>42.12</v>
      </c>
      <c r="I76" s="63">
        <f>Stock[[#This Row],[Entradas]]*Stock[[#This Row],[Precio Unitario ($)]]</f>
        <v>42.12</v>
      </c>
      <c r="J76" s="63">
        <v>2</v>
      </c>
      <c r="K76" s="63">
        <f>Stock[[#This Row],[Entradas]]*Stock[[#This Row],[Costo de envio unitario]]</f>
        <v>2</v>
      </c>
      <c r="L76" s="63">
        <f>IFERROR(Stock[[#This Row],[Precio Total (Sin Envios - $)]]+Stock[[#This Row],[Coste de envio total]],"-")</f>
        <v>44.12</v>
      </c>
      <c r="M76" s="63">
        <f>(Stock[[#This Row],[Precio Unitario ($)]]+Stock[[#This Row],[Costo de envio unitario]])*36.85</f>
        <v>1625.8219999999999</v>
      </c>
      <c r="N76" s="64">
        <f>(Stock[[#This Row],[Precio Total (Con Envios - $)]])*36.85</f>
        <v>1625.8219999999999</v>
      </c>
      <c r="O76" s="64">
        <f>Stock[[#This Row],[Precio de compra unitario]]+0.55*Stock[[#This Row],[Precio de compra unitario]]</f>
        <v>2520.0240999999996</v>
      </c>
      <c r="P76" s="65"/>
      <c r="Q76" s="3"/>
    </row>
    <row r="77" spans="1:17" hidden="1" x14ac:dyDescent="0.3">
      <c r="A77" s="3" t="s">
        <v>94</v>
      </c>
      <c r="B77" s="3" t="str">
        <f>VLOOKUP(Stock[[#This Row],[Codigo del producto ]],Entradas[],3,FALSE)</f>
        <v>Afan Supremacy</v>
      </c>
      <c r="C77" s="6">
        <f>VLOOKUP(Stock[[#This Row],[Codigo del producto ]],Entradas[],2,FALSE)</f>
        <v>46060</v>
      </c>
      <c r="D77" s="3" t="str">
        <f>IFERROR(VLOOKUP(Stock[[#This Row],[Codigo del producto ]],Entradas[],4,FALSE),"-")</f>
        <v>LT06</v>
      </c>
      <c r="E77" s="3">
        <f>IFERROR(VLOOKUP(Stock[[#This Row],[Codigo del producto ]],Entradas[],5,FALSE),"-")</f>
        <v>1</v>
      </c>
      <c r="F77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77" s="3">
        <f>IFERROR(Stock[[#This Row],[Entradas]]-Stock[[#This Row],[Salidas]],"-")</f>
        <v>0</v>
      </c>
      <c r="H77" s="63">
        <v>15.4</v>
      </c>
      <c r="I77" s="63">
        <f>Stock[[#This Row],[Entradas]]*Stock[[#This Row],[Precio Unitario ($)]]</f>
        <v>15.4</v>
      </c>
      <c r="J77" s="63">
        <v>2</v>
      </c>
      <c r="K77" s="63">
        <f>Stock[[#This Row],[Entradas]]*Stock[[#This Row],[Costo de envio unitario]]</f>
        <v>2</v>
      </c>
      <c r="L77" s="63">
        <f>IFERROR(Stock[[#This Row],[Precio Total (Sin Envios - $)]]+Stock[[#This Row],[Coste de envio total]],"-")</f>
        <v>17.399999999999999</v>
      </c>
      <c r="M77" s="63">
        <f>(Stock[[#This Row],[Precio Unitario ($)]]+Stock[[#This Row],[Costo de envio unitario]])*36.85</f>
        <v>641.18999999999994</v>
      </c>
      <c r="N77" s="64">
        <f>(Stock[[#This Row],[Precio Total (Con Envios - $)]])*36.85</f>
        <v>641.18999999999994</v>
      </c>
      <c r="O77" s="64">
        <f>Stock[[#This Row],[Precio de compra unitario]]+0.55*Stock[[#This Row],[Precio de compra unitario]]</f>
        <v>993.84449999999993</v>
      </c>
      <c r="P77" s="65"/>
      <c r="Q77" s="3"/>
    </row>
    <row r="78" spans="1:17" hidden="1" x14ac:dyDescent="0.3">
      <c r="A78" s="3" t="s">
        <v>95</v>
      </c>
      <c r="B78" s="3" t="str">
        <f>VLOOKUP(Stock[[#This Row],[Codigo del producto ]],Entradas[],3,FALSE)</f>
        <v>Afan 9 PM Elixir</v>
      </c>
      <c r="C78" s="6">
        <f>VLOOKUP(Stock[[#This Row],[Codigo del producto ]],Entradas[],2,FALSE)</f>
        <v>46060</v>
      </c>
      <c r="D78" s="3" t="str">
        <f>IFERROR(VLOOKUP(Stock[[#This Row],[Codigo del producto ]],Entradas[],4,FALSE),"-")</f>
        <v>LT06</v>
      </c>
      <c r="E78" s="3">
        <f>IFERROR(VLOOKUP(Stock[[#This Row],[Codigo del producto ]],Entradas[],5,FALSE),"-")</f>
        <v>1</v>
      </c>
      <c r="F78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78" s="3">
        <f>IFERROR(Stock[[#This Row],[Entradas]]-Stock[[#This Row],[Salidas]],"-")</f>
        <v>0</v>
      </c>
      <c r="H78" s="63">
        <v>15.4</v>
      </c>
      <c r="I78" s="63">
        <f>Stock[[#This Row],[Entradas]]*Stock[[#This Row],[Precio Unitario ($)]]</f>
        <v>15.4</v>
      </c>
      <c r="J78" s="63">
        <v>2</v>
      </c>
      <c r="K78" s="63">
        <f>Stock[[#This Row],[Entradas]]*Stock[[#This Row],[Costo de envio unitario]]</f>
        <v>2</v>
      </c>
      <c r="L78" s="63">
        <f>IFERROR(Stock[[#This Row],[Precio Total (Sin Envios - $)]]+Stock[[#This Row],[Coste de envio total]],"-")</f>
        <v>17.399999999999999</v>
      </c>
      <c r="M78" s="63">
        <f>(Stock[[#This Row],[Precio Unitario ($)]]+Stock[[#This Row],[Costo de envio unitario]])*36.85</f>
        <v>641.18999999999994</v>
      </c>
      <c r="N78" s="64">
        <f>(Stock[[#This Row],[Precio Total (Con Envios - $)]])*36.85</f>
        <v>641.18999999999994</v>
      </c>
      <c r="O78" s="64">
        <f>Stock[[#This Row],[Precio de compra unitario]]+0.55*Stock[[#This Row],[Precio de compra unitario]]</f>
        <v>993.84449999999993</v>
      </c>
      <c r="P78" s="65"/>
      <c r="Q78" s="3"/>
    </row>
    <row r="79" spans="1:17" hidden="1" x14ac:dyDescent="0.3">
      <c r="A79" s="3" t="s">
        <v>96</v>
      </c>
      <c r="B79" s="3" t="str">
        <f>VLOOKUP(Stock[[#This Row],[Codigo del producto ]],Entradas[],3,FALSE)</f>
        <v>Yara Candy Black</v>
      </c>
      <c r="C79" s="6">
        <f>VLOOKUP(Stock[[#This Row],[Codigo del producto ]],Entradas[],2,FALSE)</f>
        <v>46060</v>
      </c>
      <c r="D79" s="3" t="str">
        <f>IFERROR(VLOOKUP(Stock[[#This Row],[Codigo del producto ]],Entradas[],4,FALSE),"-")</f>
        <v>LT06</v>
      </c>
      <c r="E79" s="3">
        <f>IFERROR(VLOOKUP(Stock[[#This Row],[Codigo del producto ]],Entradas[],5,FALSE),"-")</f>
        <v>1</v>
      </c>
      <c r="F79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79" s="3">
        <f>IFERROR(Stock[[#This Row],[Entradas]]-Stock[[#This Row],[Salidas]],"-")</f>
        <v>0</v>
      </c>
      <c r="H79" s="63">
        <v>14.6</v>
      </c>
      <c r="I79" s="63">
        <f>Stock[[#This Row],[Entradas]]*Stock[[#This Row],[Precio Unitario ($)]]</f>
        <v>14.6</v>
      </c>
      <c r="J79" s="63">
        <v>2</v>
      </c>
      <c r="K79" s="63">
        <f>Stock[[#This Row],[Entradas]]*Stock[[#This Row],[Costo de envio unitario]]</f>
        <v>2</v>
      </c>
      <c r="L79" s="63">
        <f>IFERROR(Stock[[#This Row],[Precio Total (Sin Envios - $)]]+Stock[[#This Row],[Coste de envio total]],"-")</f>
        <v>16.600000000000001</v>
      </c>
      <c r="M79" s="63">
        <f>(Stock[[#This Row],[Precio Unitario ($)]]+Stock[[#This Row],[Costo de envio unitario]])*36.85</f>
        <v>611.71</v>
      </c>
      <c r="N79" s="64">
        <f>(Stock[[#This Row],[Precio Total (Con Envios - $)]])*36.85</f>
        <v>611.71</v>
      </c>
      <c r="O79" s="64">
        <f>Stock[[#This Row],[Precio de compra unitario]]+0.55*Stock[[#This Row],[Precio de compra unitario]]</f>
        <v>948.15050000000008</v>
      </c>
      <c r="P79" s="65"/>
      <c r="Q79" s="3"/>
    </row>
    <row r="80" spans="1:17" hidden="1" x14ac:dyDescent="0.3">
      <c r="A80" s="3" t="s">
        <v>97</v>
      </c>
      <c r="B80" s="3" t="str">
        <f>VLOOKUP(Stock[[#This Row],[Codigo del producto ]],Entradas[],3,FALSE)</f>
        <v>Yara Candy Pink</v>
      </c>
      <c r="C80" s="6">
        <f>VLOOKUP(Stock[[#This Row],[Codigo del producto ]],Entradas[],2,FALSE)</f>
        <v>46060</v>
      </c>
      <c r="D80" s="3" t="str">
        <f>IFERROR(VLOOKUP(Stock[[#This Row],[Codigo del producto ]],Entradas[],4,FALSE),"-")</f>
        <v>LT06</v>
      </c>
      <c r="E80" s="3">
        <f>IFERROR(VLOOKUP(Stock[[#This Row],[Codigo del producto ]],Entradas[],5,FALSE),"-")</f>
        <v>1</v>
      </c>
      <c r="F80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80" s="3">
        <f>IFERROR(Stock[[#This Row],[Entradas]]-Stock[[#This Row],[Salidas]],"-")</f>
        <v>0</v>
      </c>
      <c r="H80" s="63">
        <v>14.6</v>
      </c>
      <c r="I80" s="63">
        <f>Stock[[#This Row],[Entradas]]*Stock[[#This Row],[Precio Unitario ($)]]</f>
        <v>14.6</v>
      </c>
      <c r="J80" s="63">
        <v>2</v>
      </c>
      <c r="K80" s="63">
        <f>Stock[[#This Row],[Entradas]]*Stock[[#This Row],[Costo de envio unitario]]</f>
        <v>2</v>
      </c>
      <c r="L80" s="63">
        <f>IFERROR(Stock[[#This Row],[Precio Total (Sin Envios - $)]]+Stock[[#This Row],[Coste de envio total]],"-")</f>
        <v>16.600000000000001</v>
      </c>
      <c r="M80" s="63">
        <f>(Stock[[#This Row],[Precio Unitario ($)]]+Stock[[#This Row],[Costo de envio unitario]])*36.85</f>
        <v>611.71</v>
      </c>
      <c r="N80" s="64">
        <f>(Stock[[#This Row],[Precio Total (Con Envios - $)]])*36.85</f>
        <v>611.71</v>
      </c>
      <c r="O80" s="64">
        <f>Stock[[#This Row],[Precio de compra unitario]]+0.55*Stock[[#This Row],[Precio de compra unitario]]</f>
        <v>948.15050000000008</v>
      </c>
      <c r="P80" s="65"/>
      <c r="Q80" s="3"/>
    </row>
    <row r="81" spans="1:17" hidden="1" x14ac:dyDescent="0.3">
      <c r="A81" s="3" t="s">
        <v>98</v>
      </c>
      <c r="B81" s="3" t="str">
        <f>VLOOKUP(Stock[[#This Row],[Codigo del producto ]],Entradas[],3,FALSE)</f>
        <v>Asan bourbun</v>
      </c>
      <c r="C81" s="6">
        <f>VLOOKUP(Stock[[#This Row],[Codigo del producto ]],Entradas[],2,FALSE)</f>
        <v>46060</v>
      </c>
      <c r="D81" s="3" t="str">
        <f>IFERROR(VLOOKUP(Stock[[#This Row],[Codigo del producto ]],Entradas[],4,FALSE),"-")</f>
        <v>LT06</v>
      </c>
      <c r="E81" s="3">
        <f>IFERROR(VLOOKUP(Stock[[#This Row],[Codigo del producto ]],Entradas[],5,FALSE),"-")</f>
        <v>1</v>
      </c>
      <c r="F81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81" s="3">
        <f>IFERROR(Stock[[#This Row],[Entradas]]-Stock[[#This Row],[Salidas]],"-")</f>
        <v>0</v>
      </c>
      <c r="H81" s="63">
        <v>14.6</v>
      </c>
      <c r="I81" s="63">
        <f>Stock[[#This Row],[Entradas]]*Stock[[#This Row],[Precio Unitario ($)]]</f>
        <v>14.6</v>
      </c>
      <c r="J81" s="63">
        <v>2</v>
      </c>
      <c r="K81" s="63">
        <f>Stock[[#This Row],[Entradas]]*Stock[[#This Row],[Costo de envio unitario]]</f>
        <v>2</v>
      </c>
      <c r="L81" s="63">
        <f>IFERROR(Stock[[#This Row],[Precio Total (Sin Envios - $)]]+Stock[[#This Row],[Coste de envio total]],"-")</f>
        <v>16.600000000000001</v>
      </c>
      <c r="M81" s="63">
        <f>(Stock[[#This Row],[Precio Unitario ($)]]+Stock[[#This Row],[Costo de envio unitario]])*36.85</f>
        <v>611.71</v>
      </c>
      <c r="N81" s="64">
        <f>(Stock[[#This Row],[Precio Total (Con Envios - $)]])*36.85</f>
        <v>611.71</v>
      </c>
      <c r="O81" s="64">
        <f>Stock[[#This Row],[Precio de compra unitario]]+0.55*Stock[[#This Row],[Precio de compra unitario]]</f>
        <v>948.15050000000008</v>
      </c>
      <c r="P81" s="65"/>
      <c r="Q81" s="3"/>
    </row>
    <row r="82" spans="1:17" hidden="1" x14ac:dyDescent="0.3">
      <c r="A82" s="3" t="s">
        <v>99</v>
      </c>
      <c r="B82" s="3" t="str">
        <f>VLOOKUP(Stock[[#This Row],[Codigo del producto ]],Entradas[],3,FALSE)</f>
        <v>Teclado EPOMaker Galaxy 100 Lite negro</v>
      </c>
      <c r="C82" s="6">
        <f>VLOOKUP(Stock[[#This Row],[Codigo del producto ]],Entradas[],2,FALSE)</f>
        <v>46076</v>
      </c>
      <c r="D82" s="3" t="str">
        <f>IFERROR(VLOOKUP(Stock[[#This Row],[Codigo del producto ]],Entradas[],4,FALSE),"-")</f>
        <v>LT07</v>
      </c>
      <c r="E82" s="3">
        <f>IFERROR(VLOOKUP(Stock[[#This Row],[Codigo del producto ]],Entradas[],5,FALSE),"-")</f>
        <v>2</v>
      </c>
      <c r="F82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82" s="3">
        <f>IFERROR(Stock[[#This Row],[Entradas]]-Stock[[#This Row],[Salidas]],"-")</f>
        <v>1</v>
      </c>
      <c r="H82" s="63">
        <v>74.8</v>
      </c>
      <c r="I82" s="63">
        <v>10</v>
      </c>
      <c r="J82" s="63">
        <v>10</v>
      </c>
      <c r="K82" s="63">
        <f>Stock[[#This Row],[Entradas]]*Stock[[#This Row],[Costo de envio unitario]]</f>
        <v>20</v>
      </c>
      <c r="L82" s="63">
        <f>IFERROR(Stock[[#This Row],[Precio Total (Sin Envios - $)]]+Stock[[#This Row],[Coste de envio total]],"-")</f>
        <v>30</v>
      </c>
      <c r="M82" s="63">
        <f>(Stock[[#This Row],[Precio Unitario ($)]]+Stock[[#This Row],[Costo de envio unitario]])*36.85</f>
        <v>3124.88</v>
      </c>
      <c r="N82" s="64">
        <f>(Stock[[#This Row],[Precio Total (Con Envios - $)]])*36.85</f>
        <v>1105.5</v>
      </c>
      <c r="O82" s="64">
        <f>Stock[[#This Row],[Precio de compra unitario]]+0.55*Stock[[#This Row],[Precio de compra unitario]]</f>
        <v>4843.5640000000003</v>
      </c>
      <c r="P82" s="65"/>
      <c r="Q82" s="3" t="s">
        <v>501</v>
      </c>
    </row>
    <row r="83" spans="1:17" x14ac:dyDescent="0.3">
      <c r="A83" s="3" t="s">
        <v>100</v>
      </c>
      <c r="B83" s="3" t="str">
        <f>VLOOKUP(Stock[[#This Row],[Codigo del producto ]],Entradas[],3,FALSE)</f>
        <v>NYXI Pro controller (Orange)</v>
      </c>
      <c r="C83" s="6">
        <f>VLOOKUP(Stock[[#This Row],[Codigo del producto ]],Entradas[],2,FALSE)</f>
        <v>46076</v>
      </c>
      <c r="D83" s="3" t="str">
        <f>IFERROR(VLOOKUP(Stock[[#This Row],[Codigo del producto ]],Entradas[],4,FALSE),"-")</f>
        <v>LT07</v>
      </c>
      <c r="E83" s="3">
        <f>IFERROR(VLOOKUP(Stock[[#This Row],[Codigo del producto ]],Entradas[],5,FALSE),"-")</f>
        <v>10</v>
      </c>
      <c r="F83" s="3">
        <f>IFERROR(SUMIFS(Pagos[Cantidad vendida], Pagos[Codigo del producto], Stock[[#This Row],[Codigo del producto ]]) + SUMIFS(PagosV2[Cantidad vendida], PagosV2[Codigo del producto], Stock[[#This Row],[Codigo del producto ]]), "-")</f>
        <v>7</v>
      </c>
      <c r="G83" s="3">
        <f>IFERROR(Stock[[#This Row],[Entradas]]-Stock[[#This Row],[Salidas]],"-")</f>
        <v>3</v>
      </c>
      <c r="H83" s="63">
        <v>40.520000000000003</v>
      </c>
      <c r="I83" s="63">
        <f>Stock[[#This Row],[Entradas]]*Stock[[#This Row],[Precio Unitario ($)]]</f>
        <v>405.20000000000005</v>
      </c>
      <c r="J83" s="66">
        <v>2.8</v>
      </c>
      <c r="K83" s="63">
        <f>Stock[[#This Row],[Entradas]]*Stock[[#This Row],[Costo de envio unitario]]</f>
        <v>28</v>
      </c>
      <c r="L83" s="63">
        <f>IFERROR(Stock[[#This Row],[Precio Total (Sin Envios - $)]]+Stock[[#This Row],[Coste de envio total]],"-")</f>
        <v>433.20000000000005</v>
      </c>
      <c r="M83" s="63">
        <f>(Stock[[#This Row],[Precio Unitario ($)]]+Stock[[#This Row],[Costo de envio unitario]])*36.85</f>
        <v>1596.3420000000001</v>
      </c>
      <c r="N83" s="64">
        <f>(Stock[[#This Row],[Precio Total (Con Envios - $)]])*36.85</f>
        <v>15963.420000000002</v>
      </c>
      <c r="O83" s="64">
        <f>Stock[[#This Row],[Precio de compra unitario]]+0.55*Stock[[#This Row],[Precio de compra unitario]]</f>
        <v>2474.3301000000001</v>
      </c>
      <c r="P83" s="65"/>
      <c r="Q83" s="3"/>
    </row>
    <row r="84" spans="1:17" hidden="1" x14ac:dyDescent="0.3">
      <c r="A84" s="3" t="s">
        <v>101</v>
      </c>
      <c r="B84" s="3" t="str">
        <f>VLOOKUP(Stock[[#This Row],[Codigo del producto ]],Entradas[],3,FALSE)</f>
        <v xml:space="preserve">Shark Attack Mouse X11 Black </v>
      </c>
      <c r="C84" s="6">
        <f>VLOOKUP(Stock[[#This Row],[Codigo del producto ]],Entradas[],2,FALSE)</f>
        <v>46076</v>
      </c>
      <c r="D84" s="3" t="str">
        <f>IFERROR(VLOOKUP(Stock[[#This Row],[Codigo del producto ]],Entradas[],4,FALSE),"-")</f>
        <v>LT07</v>
      </c>
      <c r="E84" s="3">
        <f>IFERROR(VLOOKUP(Stock[[#This Row],[Codigo del producto ]],Entradas[],5,FALSE),"-")</f>
        <v>20</v>
      </c>
      <c r="F84" s="3">
        <f>IFERROR(SUMIFS(Pagos[Cantidad vendida], Pagos[Codigo del producto], Stock[[#This Row],[Codigo del producto ]]) + SUMIFS(PagosV2[Cantidad vendida], PagosV2[Codigo del producto], Stock[[#This Row],[Codigo del producto ]]), "-")</f>
        <v>20</v>
      </c>
      <c r="G84" s="3">
        <f>IFERROR(Stock[[#This Row],[Entradas]]-Stock[[#This Row],[Salidas]],"-")</f>
        <v>0</v>
      </c>
      <c r="H84" s="63">
        <v>21.02</v>
      </c>
      <c r="I84" s="63">
        <f>Stock[[#This Row],[Entradas]]*Stock[[#This Row],[Precio Unitario ($)]]</f>
        <v>420.4</v>
      </c>
      <c r="J84" s="63">
        <v>1.3</v>
      </c>
      <c r="K84" s="63">
        <f>Stock[[#This Row],[Entradas]]*Stock[[#This Row],[Costo de envio unitario]]</f>
        <v>26</v>
      </c>
      <c r="L84" s="63">
        <f>IFERROR(Stock[[#This Row],[Precio Total (Sin Envios - $)]]+Stock[[#This Row],[Coste de envio total]],"-")</f>
        <v>446.4</v>
      </c>
      <c r="M84" s="63">
        <f>(Stock[[#This Row],[Precio Unitario ($)]]+Stock[[#This Row],[Costo de envio unitario]])*36.85</f>
        <v>822.49200000000008</v>
      </c>
      <c r="N84" s="64">
        <f>(Stock[[#This Row],[Precio Total (Con Envios - $)]])*36.85</f>
        <v>16449.84</v>
      </c>
      <c r="O84" s="64">
        <f>Stock[[#This Row],[Precio de compra unitario]]+0.55*Stock[[#This Row],[Precio de compra unitario]]</f>
        <v>1274.8626000000002</v>
      </c>
      <c r="P84" s="65"/>
      <c r="Q84" s="3"/>
    </row>
    <row r="85" spans="1:17" hidden="1" x14ac:dyDescent="0.3">
      <c r="A85" s="3" t="s">
        <v>102</v>
      </c>
      <c r="B85" s="3" t="str">
        <f>VLOOKUP(Stock[[#This Row],[Codigo del producto ]],Entradas[],3,FALSE)</f>
        <v>Cargadores USB para moto</v>
      </c>
      <c r="C85" s="6">
        <f>VLOOKUP(Stock[[#This Row],[Codigo del producto ]],Entradas[],2,FALSE)</f>
        <v>46076</v>
      </c>
      <c r="D85" s="3" t="str">
        <f>IFERROR(VLOOKUP(Stock[[#This Row],[Codigo del producto ]],Entradas[],4,FALSE),"-")</f>
        <v>LT07</v>
      </c>
      <c r="E85" s="3">
        <f>IFERROR(VLOOKUP(Stock[[#This Row],[Codigo del producto ]],Entradas[],5,FALSE),"-")</f>
        <v>1</v>
      </c>
      <c r="F85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85" s="3">
        <f>IFERROR(Stock[[#This Row],[Entradas]]-Stock[[#This Row],[Salidas]],"-")</f>
        <v>0</v>
      </c>
      <c r="H85" s="63">
        <v>7.9</v>
      </c>
      <c r="I85" s="63">
        <f>Stock[[#This Row],[Entradas]]*Stock[[#This Row],[Precio Unitario ($)]]</f>
        <v>7.9</v>
      </c>
      <c r="J85" s="63">
        <v>2</v>
      </c>
      <c r="K85" s="63">
        <f>Stock[[#This Row],[Entradas]]*Stock[[#This Row],[Costo de envio unitario]]</f>
        <v>2</v>
      </c>
      <c r="L85" s="63">
        <f>IFERROR(Stock[[#This Row],[Precio Total (Sin Envios - $)]]+Stock[[#This Row],[Coste de envio total]],"-")</f>
        <v>9.9</v>
      </c>
      <c r="M85" s="63">
        <f>(Stock[[#This Row],[Precio Unitario ($)]]+Stock[[#This Row],[Costo de envio unitario]])*36.85</f>
        <v>364.81500000000005</v>
      </c>
      <c r="N85" s="64">
        <f>(Stock[[#This Row],[Precio Total (Con Envios - $)]])*36.85</f>
        <v>364.81500000000005</v>
      </c>
      <c r="O85" s="64">
        <f>Stock[[#This Row],[Precio de compra unitario]]+0.55*Stock[[#This Row],[Precio de compra unitario]]</f>
        <v>565.46325000000013</v>
      </c>
      <c r="P85" s="65"/>
      <c r="Q85" s="3"/>
    </row>
    <row r="86" spans="1:17" hidden="1" x14ac:dyDescent="0.3">
      <c r="A86" s="3" t="s">
        <v>103</v>
      </c>
      <c r="B86" s="3" t="str">
        <f>VLOOKUP(Stock[[#This Row],[Codigo del producto ]],Entradas[],3,FALSE)</f>
        <v>NYXI Pro controller (Black)</v>
      </c>
      <c r="C86" s="6">
        <f>VLOOKUP(Stock[[#This Row],[Codigo del producto ]],Entradas[],2,FALSE)</f>
        <v>46076</v>
      </c>
      <c r="D86" s="3" t="str">
        <f>IFERROR(VLOOKUP(Stock[[#This Row],[Codigo del producto ]],Entradas[],4,FALSE),"-")</f>
        <v>LT07</v>
      </c>
      <c r="E86" s="3">
        <f>IFERROR(VLOOKUP(Stock[[#This Row],[Codigo del producto ]],Entradas[],5,FALSE),"-")</f>
        <v>1</v>
      </c>
      <c r="F86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86" s="3">
        <f>IFERROR(Stock[[#This Row],[Entradas]]-Stock[[#This Row],[Salidas]],"-")</f>
        <v>0</v>
      </c>
      <c r="H86" s="63">
        <v>37.25</v>
      </c>
      <c r="I86" s="63">
        <f>Stock[[#This Row],[Entradas]]*Stock[[#This Row],[Precio Unitario ($)]]</f>
        <v>37.25</v>
      </c>
      <c r="J86" s="63">
        <v>2</v>
      </c>
      <c r="K86" s="63">
        <f>Stock[[#This Row],[Entradas]]*Stock[[#This Row],[Costo de envio unitario]]</f>
        <v>2</v>
      </c>
      <c r="L86" s="63">
        <f>IFERROR(Stock[[#This Row],[Precio Total (Sin Envios - $)]]+Stock[[#This Row],[Coste de envio total]],"-")</f>
        <v>39.25</v>
      </c>
      <c r="M86" s="63">
        <f>(Stock[[#This Row],[Precio Unitario ($)]]+Stock[[#This Row],[Costo de envio unitario]])*36.85</f>
        <v>1446.3625</v>
      </c>
      <c r="N86" s="64">
        <f>(Stock[[#This Row],[Precio Total (Con Envios - $)]])*36.85</f>
        <v>1446.3625</v>
      </c>
      <c r="O86" s="64">
        <f>Stock[[#This Row],[Precio de compra unitario]]+0.55*Stock[[#This Row],[Precio de compra unitario]]</f>
        <v>2241.8618750000001</v>
      </c>
      <c r="P86" s="65"/>
      <c r="Q86" s="3"/>
    </row>
    <row r="87" spans="1:17" hidden="1" x14ac:dyDescent="0.3">
      <c r="A87" s="3" t="s">
        <v>104</v>
      </c>
      <c r="B87" s="3" t="str">
        <f>VLOOKUP(Stock[[#This Row],[Codigo del producto ]],Entradas[],3,FALSE)</f>
        <v>Cargadores USB para moto</v>
      </c>
      <c r="C87" s="6">
        <f>VLOOKUP(Stock[[#This Row],[Codigo del producto ]],Entradas[],2,FALSE)</f>
        <v>46076</v>
      </c>
      <c r="D87" s="3" t="str">
        <f>IFERROR(VLOOKUP(Stock[[#This Row],[Codigo del producto ]],Entradas[],4,FALSE),"-")</f>
        <v>LT07</v>
      </c>
      <c r="E87" s="3">
        <f>IFERROR(VLOOKUP(Stock[[#This Row],[Codigo del producto ]],Entradas[],5,FALSE),"-")</f>
        <v>10</v>
      </c>
      <c r="F87" s="3">
        <f>IFERROR(SUMIFS(Pagos[Cantidad vendida], Pagos[Codigo del producto], Stock[[#This Row],[Codigo del producto ]]) + SUMIFS(PagosV2[Cantidad vendida], PagosV2[Codigo del producto], Stock[[#This Row],[Codigo del producto ]]), "-")</f>
        <v>10</v>
      </c>
      <c r="G87" s="3">
        <f>IFERROR(Stock[[#This Row],[Entradas]]-Stock[[#This Row],[Salidas]],"-")</f>
        <v>0</v>
      </c>
      <c r="H87" s="63">
        <v>7.92</v>
      </c>
      <c r="I87" s="63">
        <f>Stock[[#This Row],[Entradas]]*Stock[[#This Row],[Precio Unitario ($)]]</f>
        <v>79.2</v>
      </c>
      <c r="J87" s="63">
        <v>0.47</v>
      </c>
      <c r="K87" s="63">
        <f>Stock[[#This Row],[Entradas]]*Stock[[#This Row],[Costo de envio unitario]]</f>
        <v>4.6999999999999993</v>
      </c>
      <c r="L87" s="63">
        <f>IFERROR(Stock[[#This Row],[Precio Total (Sin Envios - $)]]+Stock[[#This Row],[Coste de envio total]],"-")</f>
        <v>83.9</v>
      </c>
      <c r="M87" s="63">
        <f>(Stock[[#This Row],[Precio Unitario ($)]]+Stock[[#This Row],[Costo de envio unitario]])*36.85</f>
        <v>309.17150000000004</v>
      </c>
      <c r="N87" s="64">
        <f>(Stock[[#This Row],[Precio Total (Con Envios - $)]])*36.85</f>
        <v>3091.7150000000001</v>
      </c>
      <c r="O87" s="64">
        <f>Stock[[#This Row],[Precio de compra unitario]]+0.55*Stock[[#This Row],[Precio de compra unitario]]</f>
        <v>479.21582500000011</v>
      </c>
      <c r="P87" s="65"/>
      <c r="Q87" s="3"/>
    </row>
    <row r="88" spans="1:17" hidden="1" x14ac:dyDescent="0.3">
      <c r="A88" s="3" t="s">
        <v>105</v>
      </c>
      <c r="B88" s="3" t="str">
        <f>VLOOKUP(Stock[[#This Row],[Codigo del producto ]],Entradas[],3,FALSE)</f>
        <v>Cargadores USB para moto</v>
      </c>
      <c r="C88" s="6">
        <f>VLOOKUP(Stock[[#This Row],[Codigo del producto ]],Entradas[],2,FALSE)</f>
        <v>46076</v>
      </c>
      <c r="D88" s="3" t="str">
        <f>IFERROR(VLOOKUP(Stock[[#This Row],[Codigo del producto ]],Entradas[],4,FALSE),"-")</f>
        <v>LT07</v>
      </c>
      <c r="E88" s="3">
        <f>IFERROR(VLOOKUP(Stock[[#This Row],[Codigo del producto ]],Entradas[],5,FALSE),"-")</f>
        <v>2</v>
      </c>
      <c r="F88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88" s="3">
        <f>IFERROR(Stock[[#This Row],[Entradas]]-Stock[[#This Row],[Salidas]],"-")</f>
        <v>0</v>
      </c>
      <c r="H88" s="63">
        <v>6.54</v>
      </c>
      <c r="I88" s="63">
        <f>Stock[[#This Row],[Entradas]]*Stock[[#This Row],[Precio Unitario ($)]]</f>
        <v>13.08</v>
      </c>
      <c r="J88" s="63">
        <v>0.47</v>
      </c>
      <c r="K88" s="63">
        <f>Stock[[#This Row],[Entradas]]*Stock[[#This Row],[Costo de envio unitario]]</f>
        <v>0.94</v>
      </c>
      <c r="L88" s="63">
        <f>IFERROR(Stock[[#This Row],[Precio Total (Sin Envios - $)]]+Stock[[#This Row],[Coste de envio total]],"-")</f>
        <v>14.02</v>
      </c>
      <c r="M88" s="63">
        <f>(Stock[[#This Row],[Precio Unitario ($)]]+Stock[[#This Row],[Costo de envio unitario]])*36.85</f>
        <v>258.31850000000003</v>
      </c>
      <c r="N88" s="64">
        <f>(Stock[[#This Row],[Precio Total (Con Envios - $)]])*36.85</f>
        <v>516.63700000000006</v>
      </c>
      <c r="O88" s="64">
        <f>Stock[[#This Row],[Precio de compra unitario]]+0.55*Stock[[#This Row],[Precio de compra unitario]]</f>
        <v>400.39367500000003</v>
      </c>
      <c r="P88" s="65"/>
      <c r="Q88" s="3"/>
    </row>
    <row r="89" spans="1:17" hidden="1" x14ac:dyDescent="0.3">
      <c r="A89" s="3" t="s">
        <v>106</v>
      </c>
      <c r="B89" s="3" t="str">
        <f>VLOOKUP(Stock[[#This Row],[Codigo del producto ]],Entradas[],3,FALSE)</f>
        <v>Shark Attack Mouse X11 white</v>
      </c>
      <c r="C89" s="6">
        <f>VLOOKUP(Stock[[#This Row],[Codigo del producto ]],Entradas[],2,FALSE)</f>
        <v>46076</v>
      </c>
      <c r="D89" s="3" t="str">
        <f>IFERROR(VLOOKUP(Stock[[#This Row],[Codigo del producto ]],Entradas[],4,FALSE),"-")</f>
        <v>LT07</v>
      </c>
      <c r="E89" s="3">
        <f>IFERROR(VLOOKUP(Stock[[#This Row],[Codigo del producto ]],Entradas[],5,FALSE),"-")</f>
        <v>20</v>
      </c>
      <c r="F89" s="3">
        <f>IFERROR(SUMIFS(Pagos[Cantidad vendida], Pagos[Codigo del producto], Stock[[#This Row],[Codigo del producto ]]) + SUMIFS(PagosV2[Cantidad vendida], PagosV2[Codigo del producto], Stock[[#This Row],[Codigo del producto ]]), "-")</f>
        <v>20</v>
      </c>
      <c r="G89" s="3">
        <f>IFERROR(Stock[[#This Row],[Entradas]]-Stock[[#This Row],[Salidas]],"-")</f>
        <v>0</v>
      </c>
      <c r="H89" s="63">
        <v>21.02</v>
      </c>
      <c r="I89" s="63">
        <f>Stock[[#This Row],[Entradas]]*Stock[[#This Row],[Precio Unitario ($)]]</f>
        <v>420.4</v>
      </c>
      <c r="J89" s="63">
        <v>1.3</v>
      </c>
      <c r="K89" s="63">
        <f>Stock[[#This Row],[Entradas]]*Stock[[#This Row],[Costo de envio unitario]]</f>
        <v>26</v>
      </c>
      <c r="L89" s="63">
        <f>IFERROR(Stock[[#This Row],[Precio Total (Sin Envios - $)]]+Stock[[#This Row],[Coste de envio total]],"-")</f>
        <v>446.4</v>
      </c>
      <c r="M89" s="63">
        <f>(Stock[[#This Row],[Precio Unitario ($)]]+Stock[[#This Row],[Costo de envio unitario]])*36.85</f>
        <v>822.49200000000008</v>
      </c>
      <c r="N89" s="64">
        <f>(Stock[[#This Row],[Precio Total (Con Envios - $)]])*36.85</f>
        <v>16449.84</v>
      </c>
      <c r="O89" s="64">
        <f>Stock[[#This Row],[Precio de compra unitario]]+0.55*Stock[[#This Row],[Precio de compra unitario]]</f>
        <v>1274.8626000000002</v>
      </c>
      <c r="P89" s="65"/>
      <c r="Q89" s="3"/>
    </row>
    <row r="90" spans="1:17" hidden="1" x14ac:dyDescent="0.3">
      <c r="A90" s="3" t="s">
        <v>107</v>
      </c>
      <c r="B90" s="3" t="str">
        <f>VLOOKUP(Stock[[#This Row],[Codigo del producto ]],Entradas[],3,FALSE)</f>
        <v>Arzopa Monitor 27 Inch 2K</v>
      </c>
      <c r="C90" s="6">
        <f>VLOOKUP(Stock[[#This Row],[Codigo del producto ]],Entradas[],2,FALSE)</f>
        <v>46076</v>
      </c>
      <c r="D90" s="3" t="str">
        <f>IFERROR(VLOOKUP(Stock[[#This Row],[Codigo del producto ]],Entradas[],4,FALSE),"-")</f>
        <v>LT07</v>
      </c>
      <c r="E90" s="3">
        <f>IFERROR(VLOOKUP(Stock[[#This Row],[Codigo del producto ]],Entradas[],5,FALSE),"-")</f>
        <v>3</v>
      </c>
      <c r="F90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90" s="3">
        <f>IFERROR(Stock[[#This Row],[Entradas]]-Stock[[#This Row],[Salidas]],"-")</f>
        <v>0</v>
      </c>
      <c r="H90" s="63">
        <v>132.44999999999999</v>
      </c>
      <c r="I90" s="63">
        <f>Stock[[#This Row],[Entradas]]*Stock[[#This Row],[Precio Unitario ($)]]</f>
        <v>397.34999999999997</v>
      </c>
      <c r="J90" s="63">
        <v>27.34</v>
      </c>
      <c r="K90" s="63">
        <f>Stock[[#This Row],[Entradas]]*Stock[[#This Row],[Costo de envio unitario]]</f>
        <v>82.02</v>
      </c>
      <c r="L90" s="63">
        <f>IFERROR(Stock[[#This Row],[Precio Total (Sin Envios - $)]]+Stock[[#This Row],[Coste de envio total]],"-")</f>
        <v>479.36999999999995</v>
      </c>
      <c r="M90" s="63">
        <f>(Stock[[#This Row],[Precio Unitario ($)]]+Stock[[#This Row],[Costo de envio unitario]])*36.85</f>
        <v>5888.2614999999996</v>
      </c>
      <c r="N90" s="64">
        <f>(Stock[[#This Row],[Precio Total (Con Envios - $)]])*36.85</f>
        <v>17664.784499999998</v>
      </c>
      <c r="O90" s="64">
        <f>Stock[[#This Row],[Precio de compra unitario]]+0.55*Stock[[#This Row],[Precio de compra unitario]]</f>
        <v>9126.8053249999994</v>
      </c>
      <c r="P90" s="65"/>
      <c r="Q90" s="3"/>
    </row>
    <row r="91" spans="1:17" hidden="1" x14ac:dyDescent="0.3">
      <c r="A91" s="3" t="s">
        <v>108</v>
      </c>
      <c r="B91" s="3" t="str">
        <f>VLOOKUP(Stock[[#This Row],[Codigo del producto ]],Entradas[],3,FALSE)</f>
        <v>Shark Attack Mouse X11 white</v>
      </c>
      <c r="C91" s="6">
        <f>VLOOKUP(Stock[[#This Row],[Codigo del producto ]],Entradas[],2,FALSE)</f>
        <v>46076</v>
      </c>
      <c r="D91" s="3" t="str">
        <f>IFERROR(VLOOKUP(Stock[[#This Row],[Codigo del producto ]],Entradas[],4,FALSE),"-")</f>
        <v>LT07</v>
      </c>
      <c r="E91" s="3">
        <f>IFERROR(VLOOKUP(Stock[[#This Row],[Codigo del producto ]],Entradas[],5,FALSE),"-")</f>
        <v>1</v>
      </c>
      <c r="F91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91" s="3">
        <f>IFERROR(Stock[[#This Row],[Entradas]]-Stock[[#This Row],[Salidas]],"-")</f>
        <v>0</v>
      </c>
      <c r="H91" s="63">
        <v>23.86</v>
      </c>
      <c r="I91" s="63">
        <f>Stock[[#This Row],[Entradas]]*Stock[[#This Row],[Precio Unitario ($)]]</f>
        <v>23.86</v>
      </c>
      <c r="J91" s="63">
        <v>1</v>
      </c>
      <c r="K91" s="63">
        <f>Stock[[#This Row],[Entradas]]*Stock[[#This Row],[Costo de envio unitario]]</f>
        <v>1</v>
      </c>
      <c r="L91" s="63">
        <f>IFERROR(Stock[[#This Row],[Precio Total (Sin Envios - $)]]+Stock[[#This Row],[Coste de envio total]],"-")</f>
        <v>24.86</v>
      </c>
      <c r="M91" s="63">
        <f>(Stock[[#This Row],[Precio Unitario ($)]]+Stock[[#This Row],[Costo de envio unitario]])*36.85</f>
        <v>916.09100000000001</v>
      </c>
      <c r="N91" s="64">
        <f>(Stock[[#This Row],[Precio Total (Con Envios - $)]])*36.85</f>
        <v>916.09100000000001</v>
      </c>
      <c r="O91" s="64">
        <f>Stock[[#This Row],[Precio de compra unitario]]+0.55*Stock[[#This Row],[Precio de compra unitario]]</f>
        <v>1419.9410500000001</v>
      </c>
      <c r="P91" s="65"/>
      <c r="Q91" s="3"/>
    </row>
    <row r="92" spans="1:17" hidden="1" x14ac:dyDescent="0.3">
      <c r="A92" s="3" t="s">
        <v>109</v>
      </c>
      <c r="B92" s="3" t="str">
        <f>VLOOKUP(Stock[[#This Row],[Codigo del producto ]],Entradas[],3,FALSE)</f>
        <v>Shark Attack Mouse X11 Black</v>
      </c>
      <c r="C92" s="6">
        <f>VLOOKUP(Stock[[#This Row],[Codigo del producto ]],Entradas[],2,FALSE)</f>
        <v>46076</v>
      </c>
      <c r="D92" s="3" t="str">
        <f>IFERROR(VLOOKUP(Stock[[#This Row],[Codigo del producto ]],Entradas[],4,FALSE),"-")</f>
        <v>LT07</v>
      </c>
      <c r="E92" s="3">
        <f>IFERROR(VLOOKUP(Stock[[#This Row],[Codigo del producto ]],Entradas[],5,FALSE),"-")</f>
        <v>1</v>
      </c>
      <c r="F92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92" s="3">
        <f>IFERROR(Stock[[#This Row],[Entradas]]-Stock[[#This Row],[Salidas]],"-")</f>
        <v>0</v>
      </c>
      <c r="H92" s="63">
        <v>23.86</v>
      </c>
      <c r="I92" s="63">
        <f>Stock[[#This Row],[Entradas]]*Stock[[#This Row],[Precio Unitario ($)]]</f>
        <v>23.86</v>
      </c>
      <c r="J92" s="63">
        <v>1</v>
      </c>
      <c r="K92" s="63">
        <f>Stock[[#This Row],[Entradas]]*Stock[[#This Row],[Costo de envio unitario]]</f>
        <v>1</v>
      </c>
      <c r="L92" s="63">
        <f>IFERROR(Stock[[#This Row],[Precio Total (Sin Envios - $)]]+Stock[[#This Row],[Coste de envio total]],"-")</f>
        <v>24.86</v>
      </c>
      <c r="M92" s="63">
        <f>(Stock[[#This Row],[Precio Unitario ($)]]+Stock[[#This Row],[Costo de envio unitario]])*36.85</f>
        <v>916.09100000000001</v>
      </c>
      <c r="N92" s="64">
        <f>(Stock[[#This Row],[Precio Total (Con Envios - $)]])*36.85</f>
        <v>916.09100000000001</v>
      </c>
      <c r="O92" s="64">
        <f>Stock[[#This Row],[Precio de compra unitario]]+0.55*Stock[[#This Row],[Precio de compra unitario]]</f>
        <v>1419.9410500000001</v>
      </c>
      <c r="P92" s="65"/>
      <c r="Q92" s="3"/>
    </row>
    <row r="93" spans="1:17" hidden="1" x14ac:dyDescent="0.3">
      <c r="A93" s="3" t="s">
        <v>110</v>
      </c>
      <c r="B93" s="3" t="str">
        <f>VLOOKUP(Stock[[#This Row],[Codigo del producto ]],Entradas[],3,FALSE)</f>
        <v>Watch case</v>
      </c>
      <c r="C93" s="6">
        <f>VLOOKUP(Stock[[#This Row],[Codigo del producto ]],Entradas[],2,FALSE)</f>
        <v>46076</v>
      </c>
      <c r="D93" s="3" t="str">
        <f>IFERROR(VLOOKUP(Stock[[#This Row],[Codigo del producto ]],Entradas[],4,FALSE),"-")</f>
        <v>LT07</v>
      </c>
      <c r="E93" s="3">
        <f>IFERROR(VLOOKUP(Stock[[#This Row],[Codigo del producto ]],Entradas[],5,FALSE),"-")</f>
        <v>1</v>
      </c>
      <c r="F93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93" s="3">
        <f>IFERROR(Stock[[#This Row],[Entradas]]-Stock[[#This Row],[Salidas]],"-")</f>
        <v>0</v>
      </c>
      <c r="H93" s="63">
        <v>7.92</v>
      </c>
      <c r="I93" s="63">
        <f>Stock[[#This Row],[Entradas]]*Stock[[#This Row],[Precio Unitario ($)]]</f>
        <v>7.92</v>
      </c>
      <c r="J93" s="63">
        <v>0.47</v>
      </c>
      <c r="K93" s="63">
        <f>Stock[[#This Row],[Entradas]]*Stock[[#This Row],[Costo de envio unitario]]</f>
        <v>0.47</v>
      </c>
      <c r="L93" s="63">
        <f>IFERROR(Stock[[#This Row],[Precio Total (Sin Envios - $)]]+Stock[[#This Row],[Coste de envio total]],"-")</f>
        <v>8.39</v>
      </c>
      <c r="M93" s="63">
        <f>(Stock[[#This Row],[Precio Unitario ($)]]+Stock[[#This Row],[Costo de envio unitario]])*36.85</f>
        <v>309.17150000000004</v>
      </c>
      <c r="N93" s="64">
        <f>(Stock[[#This Row],[Precio Total (Con Envios - $)]])*36.85</f>
        <v>309.17150000000004</v>
      </c>
      <c r="O93" s="64">
        <f>Stock[[#This Row],[Precio de compra unitario]]+0.55*Stock[[#This Row],[Precio de compra unitario]]</f>
        <v>479.21582500000011</v>
      </c>
      <c r="P93" s="65"/>
      <c r="Q93" s="3"/>
    </row>
    <row r="94" spans="1:17" hidden="1" x14ac:dyDescent="0.3">
      <c r="A94" s="3" t="s">
        <v>111</v>
      </c>
      <c r="B94" s="3" t="str">
        <f>VLOOKUP(Stock[[#This Row],[Codigo del producto ]],Entradas[],3,FALSE)</f>
        <v>Teclado Mecanico Machenike K500</v>
      </c>
      <c r="C94" s="6">
        <f>VLOOKUP(Stock[[#This Row],[Codigo del producto ]],Entradas[],2,FALSE)</f>
        <v>46080</v>
      </c>
      <c r="D94" s="3" t="str">
        <f>IFERROR(VLOOKUP(Stock[[#This Row],[Codigo del producto ]],Entradas[],4,FALSE),"-")</f>
        <v>LT08</v>
      </c>
      <c r="E94" s="3">
        <f>IFERROR(VLOOKUP(Stock[[#This Row],[Codigo del producto ]],Entradas[],5,FALSE),"-")</f>
        <v>4</v>
      </c>
      <c r="F94" s="3">
        <f>IFERROR(SUMIFS(Pagos[Cantidad vendida], Pagos[Codigo del producto], Stock[[#This Row],[Codigo del producto ]]) + SUMIFS(PagosV2[Cantidad vendida], PagosV2[Codigo del producto], Stock[[#This Row],[Codigo del producto ]]), "-")</f>
        <v>4</v>
      </c>
      <c r="G94" s="3">
        <f>IFERROR(Stock[[#This Row],[Entradas]]-Stock[[#This Row],[Salidas]],"-")</f>
        <v>0</v>
      </c>
      <c r="H94" s="63">
        <v>38</v>
      </c>
      <c r="I94" s="63">
        <f>Stock[[#This Row],[Entradas]]*Stock[[#This Row],[Precio Unitario ($)]]</f>
        <v>152</v>
      </c>
      <c r="J94" s="63">
        <v>4</v>
      </c>
      <c r="K94" s="63">
        <f>Stock[[#This Row],[Entradas]]*Stock[[#This Row],[Costo de envio unitario]]</f>
        <v>16</v>
      </c>
      <c r="L94" s="63">
        <f>IFERROR(Stock[[#This Row],[Precio Total (Sin Envios - $)]]+Stock[[#This Row],[Coste de envio total]],"-")</f>
        <v>168</v>
      </c>
      <c r="M94" s="63">
        <f>(Stock[[#This Row],[Precio Unitario ($)]]+Stock[[#This Row],[Costo de envio unitario]])*36.85</f>
        <v>1547.7</v>
      </c>
      <c r="N94" s="64">
        <f>(Stock[[#This Row],[Precio Total (Con Envios - $)]])*36.85</f>
        <v>6190.8</v>
      </c>
      <c r="O94" s="64">
        <f>Stock[[#This Row],[Precio de compra unitario]]+0.55*Stock[[#This Row],[Precio de compra unitario]]</f>
        <v>2398.9350000000004</v>
      </c>
      <c r="P94" s="65"/>
      <c r="Q94" s="3"/>
    </row>
    <row r="95" spans="1:17" hidden="1" x14ac:dyDescent="0.3">
      <c r="A95" s="3" t="s">
        <v>112</v>
      </c>
      <c r="B95" s="3" t="str">
        <f>VLOOKUP(Stock[[#This Row],[Codigo del producto ]],Entradas[],3,FALSE)</f>
        <v>Teclado Mecanico Machenike K500</v>
      </c>
      <c r="C95" s="6">
        <f>VLOOKUP(Stock[[#This Row],[Codigo del producto ]],Entradas[],2,FALSE)</f>
        <v>46080</v>
      </c>
      <c r="D95" s="3" t="str">
        <f>IFERROR(VLOOKUP(Stock[[#This Row],[Codigo del producto ]],Entradas[],4,FALSE),"-")</f>
        <v>LT08</v>
      </c>
      <c r="E95" s="3">
        <f>IFERROR(VLOOKUP(Stock[[#This Row],[Codigo del producto ]],Entradas[],5,FALSE),"-")</f>
        <v>2</v>
      </c>
      <c r="F95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95" s="3">
        <f>IFERROR(Stock[[#This Row],[Entradas]]-Stock[[#This Row],[Salidas]],"-")</f>
        <v>0</v>
      </c>
      <c r="H95" s="63">
        <v>38</v>
      </c>
      <c r="I95" s="63">
        <f>Stock[[#This Row],[Entradas]]*Stock[[#This Row],[Precio Unitario ($)]]</f>
        <v>76</v>
      </c>
      <c r="J95" s="63">
        <v>4</v>
      </c>
      <c r="K95" s="63">
        <f>Stock[[#This Row],[Entradas]]*Stock[[#This Row],[Costo de envio unitario]]</f>
        <v>8</v>
      </c>
      <c r="L95" s="63">
        <f>IFERROR(Stock[[#This Row],[Precio Total (Sin Envios - $)]]+Stock[[#This Row],[Coste de envio total]],"-")</f>
        <v>84</v>
      </c>
      <c r="M95" s="63">
        <f>(Stock[[#This Row],[Precio Unitario ($)]]+Stock[[#This Row],[Costo de envio unitario]])*36.85</f>
        <v>1547.7</v>
      </c>
      <c r="N95" s="64">
        <f>(Stock[[#This Row],[Precio Total (Con Envios - $)]])*36.85</f>
        <v>3095.4</v>
      </c>
      <c r="O95" s="64">
        <f>Stock[[#This Row],[Precio de compra unitario]]+0.55*Stock[[#This Row],[Precio de compra unitario]]</f>
        <v>2398.9350000000004</v>
      </c>
      <c r="P95" s="65"/>
      <c r="Q95" s="3"/>
    </row>
    <row r="96" spans="1:17" hidden="1" x14ac:dyDescent="0.3">
      <c r="A96" s="3" t="s">
        <v>113</v>
      </c>
      <c r="B96" s="3" t="str">
        <f>VLOOKUP(Stock[[#This Row],[Codigo del producto ]],Entradas[],3,FALSE)</f>
        <v>Cargadores USB para moto</v>
      </c>
      <c r="C96" s="6">
        <f>VLOOKUP(Stock[[#This Row],[Codigo del producto ]],Entradas[],2,FALSE)</f>
        <v>46108</v>
      </c>
      <c r="D96" s="3" t="str">
        <f>IFERROR(VLOOKUP(Stock[[#This Row],[Codigo del producto ]],Entradas[],4,FALSE),"-")</f>
        <v>LT08</v>
      </c>
      <c r="E96" s="3">
        <f>IFERROR(VLOOKUP(Stock[[#This Row],[Codigo del producto ]],Entradas[],5,FALSE),"-")</f>
        <v>5</v>
      </c>
      <c r="F96" s="3">
        <f>IFERROR(SUMIFS(Pagos[Cantidad vendida], Pagos[Codigo del producto], Stock[[#This Row],[Codigo del producto ]]) + SUMIFS(PagosV2[Cantidad vendida], PagosV2[Codigo del producto], Stock[[#This Row],[Codigo del producto ]]), "-")</f>
        <v>5</v>
      </c>
      <c r="G96" s="3">
        <f>IFERROR(Stock[[#This Row],[Entradas]]-Stock[[#This Row],[Salidas]],"-")</f>
        <v>0</v>
      </c>
      <c r="H96" s="63">
        <v>8.1</v>
      </c>
      <c r="I96" s="63">
        <f>Stock[[#This Row],[Entradas]]*Stock[[#This Row],[Precio Unitario ($)]]</f>
        <v>40.5</v>
      </c>
      <c r="J96" s="63">
        <v>0.4</v>
      </c>
      <c r="K96" s="63">
        <f>Stock[[#This Row],[Entradas]]*Stock[[#This Row],[Costo de envio unitario]]</f>
        <v>2</v>
      </c>
      <c r="L96" s="63">
        <f>IFERROR(Stock[[#This Row],[Precio Total (Sin Envios - $)]]+Stock[[#This Row],[Coste de envio total]],"-")</f>
        <v>42.5</v>
      </c>
      <c r="M96" s="63">
        <f>(Stock[[#This Row],[Precio Unitario ($)]]+Stock[[#This Row],[Costo de envio unitario]])*36.85</f>
        <v>313.22500000000002</v>
      </c>
      <c r="N96" s="64">
        <f>(Stock[[#This Row],[Precio Total (Con Envios - $)]])*36.85</f>
        <v>1566.125</v>
      </c>
      <c r="O96" s="64">
        <f>Stock[[#This Row],[Precio de compra unitario]]+0.55*Stock[[#This Row],[Precio de compra unitario]]</f>
        <v>485.49875000000009</v>
      </c>
      <c r="P96" s="65"/>
      <c r="Q96" s="3"/>
    </row>
    <row r="97" spans="1:17" ht="15.75" hidden="1" customHeight="1" x14ac:dyDescent="0.3">
      <c r="A97" s="3" t="s">
        <v>114</v>
      </c>
      <c r="B97" s="3" t="str">
        <f>VLOOKUP(Stock[[#This Row],[Codigo del producto ]],Entradas[],3,FALSE)</f>
        <v>Teclado Mecanico Machenike K500</v>
      </c>
      <c r="C97" s="6">
        <f>VLOOKUP(Stock[[#This Row],[Codigo del producto ]],Entradas[],2,FALSE)</f>
        <v>46080</v>
      </c>
      <c r="D97" s="3" t="str">
        <f>IFERROR(VLOOKUP(Stock[[#This Row],[Codigo del producto ]],Entradas[],4,FALSE),"-")</f>
        <v>LT08</v>
      </c>
      <c r="E97" s="3">
        <f>IFERROR(VLOOKUP(Stock[[#This Row],[Codigo del producto ]],Entradas[],5,FALSE),"-")</f>
        <v>4</v>
      </c>
      <c r="F97" s="3">
        <f>IFERROR(SUMIFS(Pagos[Cantidad vendida], Pagos[Codigo del producto], Stock[[#This Row],[Codigo del producto ]]) + SUMIFS(PagosV2[Cantidad vendida], PagosV2[Codigo del producto], Stock[[#This Row],[Codigo del producto ]]), "-")</f>
        <v>4</v>
      </c>
      <c r="G97" s="3">
        <f>IFERROR(Stock[[#This Row],[Entradas]]-Stock[[#This Row],[Salidas]],"-")</f>
        <v>0</v>
      </c>
      <c r="H97" s="63">
        <v>38</v>
      </c>
      <c r="I97" s="63">
        <f>Stock[[#This Row],[Entradas]]*Stock[[#This Row],[Precio Unitario ($)]]</f>
        <v>152</v>
      </c>
      <c r="J97" s="63">
        <v>4</v>
      </c>
      <c r="K97" s="63">
        <f>Stock[[#This Row],[Entradas]]*Stock[[#This Row],[Costo de envio unitario]]</f>
        <v>16</v>
      </c>
      <c r="L97" s="63">
        <f>IFERROR(Stock[[#This Row],[Precio Total (Sin Envios - $)]]+Stock[[#This Row],[Coste de envio total]],"-")</f>
        <v>168</v>
      </c>
      <c r="M97" s="63">
        <f>(Stock[[#This Row],[Precio Unitario ($)]]+Stock[[#This Row],[Costo de envio unitario]])*36.85</f>
        <v>1547.7</v>
      </c>
      <c r="N97" s="64">
        <f>(Stock[[#This Row],[Precio Total (Con Envios - $)]])*36.85</f>
        <v>6190.8</v>
      </c>
      <c r="O97" s="64">
        <f>Stock[[#This Row],[Precio de compra unitario]]+0.55*Stock[[#This Row],[Precio de compra unitario]]</f>
        <v>2398.9350000000004</v>
      </c>
      <c r="P97" s="65"/>
      <c r="Q97" s="3"/>
    </row>
    <row r="98" spans="1:17" x14ac:dyDescent="0.3">
      <c r="A98" s="3" t="s">
        <v>115</v>
      </c>
      <c r="B98" s="3" t="str">
        <f>VLOOKUP(Stock[[#This Row],[Codigo del producto ]],Entradas[],3,FALSE)</f>
        <v>Cargadores USB para moto</v>
      </c>
      <c r="C98" s="6">
        <f>VLOOKUP(Stock[[#This Row],[Codigo del producto ]],Entradas[],2,FALSE)</f>
        <v>46080</v>
      </c>
      <c r="D98" s="3" t="str">
        <f>IFERROR(VLOOKUP(Stock[[#This Row],[Codigo del producto ]],Entradas[],4,FALSE),"-")</f>
        <v>LT08</v>
      </c>
      <c r="E98" s="3">
        <f>IFERROR(VLOOKUP(Stock[[#This Row],[Codigo del producto ]],Entradas[],5,FALSE),"-")</f>
        <v>15</v>
      </c>
      <c r="F98" s="3">
        <f>IFERROR(SUMIFS(Pagos[Cantidad vendida], Pagos[Codigo del producto], Stock[[#This Row],[Codigo del producto ]]) + SUMIFS(PagosV2[Cantidad vendida], PagosV2[Codigo del producto], Stock[[#This Row],[Codigo del producto ]]), "-")</f>
        <v>11</v>
      </c>
      <c r="G98" s="3">
        <f>IFERROR(Stock[[#This Row],[Entradas]]-Stock[[#This Row],[Salidas]],"-")</f>
        <v>4</v>
      </c>
      <c r="H98" s="63">
        <v>8.1</v>
      </c>
      <c r="I98" s="63">
        <f>Stock[[#This Row],[Entradas]]*Stock[[#This Row],[Precio Unitario ($)]]</f>
        <v>121.5</v>
      </c>
      <c r="J98" s="63">
        <v>0.54</v>
      </c>
      <c r="K98" s="63">
        <f>Stock[[#This Row],[Entradas]]*Stock[[#This Row],[Costo de envio unitario]]</f>
        <v>8.1000000000000014</v>
      </c>
      <c r="L98" s="63">
        <f>IFERROR(Stock[[#This Row],[Precio Total (Sin Envios - $)]]+Stock[[#This Row],[Coste de envio total]],"-")</f>
        <v>129.6</v>
      </c>
      <c r="M98" s="63">
        <f>(Stock[[#This Row],[Precio Unitario ($)]]+Stock[[#This Row],[Costo de envio unitario]])*36.85</f>
        <v>318.38400000000001</v>
      </c>
      <c r="N98" s="64">
        <f>(Stock[[#This Row],[Precio Total (Con Envios - $)]])*36.85</f>
        <v>4775.76</v>
      </c>
      <c r="O98" s="64">
        <f>Stock[[#This Row],[Precio de compra unitario]]+0.55*Stock[[#This Row],[Precio de compra unitario]]</f>
        <v>493.49520000000007</v>
      </c>
      <c r="P98" s="65"/>
      <c r="Q98" s="3"/>
    </row>
    <row r="99" spans="1:17" hidden="1" x14ac:dyDescent="0.3">
      <c r="A99" s="3" t="s">
        <v>116</v>
      </c>
      <c r="B99" s="3" t="str">
        <f>VLOOKUP(Stock[[#This Row],[Codigo del producto ]],Entradas[],3,FALSE)</f>
        <v>Teclado EPOMaker Galaxy 100 Lite blanco</v>
      </c>
      <c r="C99" s="6">
        <f>VLOOKUP(Stock[[#This Row],[Codigo del producto ]],Entradas[],2,FALSE)</f>
        <v>46080</v>
      </c>
      <c r="D99" s="3" t="str">
        <f>IFERROR(VLOOKUP(Stock[[#This Row],[Codigo del producto ]],Entradas[],4,FALSE),"-")</f>
        <v>LT08</v>
      </c>
      <c r="E99" s="3">
        <f>IFERROR(VLOOKUP(Stock[[#This Row],[Codigo del producto ]],Entradas[],5,FALSE),"-")</f>
        <v>1</v>
      </c>
      <c r="F99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99" s="3">
        <f>IFERROR(Stock[[#This Row],[Entradas]]-Stock[[#This Row],[Salidas]],"-")</f>
        <v>0</v>
      </c>
      <c r="H99" s="63">
        <v>80.62</v>
      </c>
      <c r="I99" s="63">
        <f>Stock[[#This Row],[Entradas]]*Stock[[#This Row],[Precio Unitario ($)]]</f>
        <v>80.62</v>
      </c>
      <c r="J99" s="63">
        <v>10</v>
      </c>
      <c r="K99" s="63">
        <f>Stock[[#This Row],[Entradas]]*Stock[[#This Row],[Costo de envio unitario]]</f>
        <v>10</v>
      </c>
      <c r="L99" s="63">
        <f>IFERROR(Stock[[#This Row],[Precio Total (Sin Envios - $)]]+Stock[[#This Row],[Coste de envio total]],"-")</f>
        <v>90.62</v>
      </c>
      <c r="M99" s="63">
        <f>(Stock[[#This Row],[Precio Unitario ($)]]+Stock[[#This Row],[Costo de envio unitario]])*36.85</f>
        <v>3339.3470000000002</v>
      </c>
      <c r="N99" s="64">
        <f>(Stock[[#This Row],[Precio Total (Con Envios - $)]])*36.85</f>
        <v>3339.3470000000002</v>
      </c>
      <c r="O99" s="64">
        <f>Stock[[#This Row],[Precio de compra unitario]]+0.55*Stock[[#This Row],[Precio de compra unitario]]</f>
        <v>5175.9878500000004</v>
      </c>
      <c r="P99" s="65"/>
      <c r="Q99" s="3"/>
    </row>
    <row r="100" spans="1:17" hidden="1" x14ac:dyDescent="0.3">
      <c r="A100" s="3" t="s">
        <v>117</v>
      </c>
      <c r="B100" s="3" t="str">
        <f>VLOOKUP(Stock[[#This Row],[Codigo del producto ]],Entradas[],3,FALSE)</f>
        <v>Afan 9 PM Elixir</v>
      </c>
      <c r="C100" s="6">
        <f>VLOOKUP(Stock[[#This Row],[Codigo del producto ]],Entradas[],2,FALSE)</f>
        <v>46085</v>
      </c>
      <c r="D100" s="3" t="str">
        <f>IFERROR(VLOOKUP(Stock[[#This Row],[Codigo del producto ]],Entradas[],4,FALSE),"-")</f>
        <v>LT08</v>
      </c>
      <c r="E100" s="3">
        <f>IFERROR(VLOOKUP(Stock[[#This Row],[Codigo del producto ]],Entradas[],5,FALSE),"-")</f>
        <v>2</v>
      </c>
      <c r="F100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100" s="3">
        <f>IFERROR(Stock[[#This Row],[Entradas]]-Stock[[#This Row],[Salidas]],"-")</f>
        <v>0</v>
      </c>
      <c r="H100" s="63">
        <v>15.44</v>
      </c>
      <c r="I100" s="63">
        <f>Stock[[#This Row],[Entradas]]*Stock[[#This Row],[Precio Unitario ($)]]</f>
        <v>30.88</v>
      </c>
      <c r="J100" s="63">
        <v>2.66</v>
      </c>
      <c r="K100" s="63">
        <f>Stock[[#This Row],[Entradas]]*Stock[[#This Row],[Costo de envio unitario]]</f>
        <v>5.32</v>
      </c>
      <c r="L100" s="63">
        <f>IFERROR(Stock[[#This Row],[Precio Total (Sin Envios - $)]]+Stock[[#This Row],[Coste de envio total]],"-")</f>
        <v>36.200000000000003</v>
      </c>
      <c r="M100" s="63">
        <f>(Stock[[#This Row],[Precio Unitario ($)]]+Stock[[#This Row],[Costo de envio unitario]])*36.85</f>
        <v>666.98500000000013</v>
      </c>
      <c r="N100" s="64">
        <f>(Stock[[#This Row],[Precio Total (Con Envios - $)]])*36.85</f>
        <v>1333.9700000000003</v>
      </c>
      <c r="O100" s="64">
        <f>Stock[[#This Row],[Precio de compra unitario]]+0.55*Stock[[#This Row],[Precio de compra unitario]]</f>
        <v>1033.8267500000002</v>
      </c>
      <c r="P100" s="65"/>
      <c r="Q100" s="3"/>
    </row>
    <row r="101" spans="1:17" x14ac:dyDescent="0.3">
      <c r="A101" s="3" t="s">
        <v>118</v>
      </c>
      <c r="B101" s="3" t="str">
        <f>VLOOKUP(Stock[[#This Row],[Codigo del producto ]],Entradas[],3,FALSE)</f>
        <v>Mojave Ghost</v>
      </c>
      <c r="C101" s="6">
        <f>VLOOKUP(Stock[[#This Row],[Codigo del producto ]],Entradas[],2,FALSE)</f>
        <v>46085</v>
      </c>
      <c r="D101" s="3" t="str">
        <f>IFERROR(VLOOKUP(Stock[[#This Row],[Codigo del producto ]],Entradas[],4,FALSE),"-")</f>
        <v>LT08</v>
      </c>
      <c r="E101" s="3">
        <f>IFERROR(VLOOKUP(Stock[[#This Row],[Codigo del producto ]],Entradas[],5,FALSE),"-")</f>
        <v>1</v>
      </c>
      <c r="F101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101" s="3">
        <f>IFERROR(Stock[[#This Row],[Entradas]]-Stock[[#This Row],[Salidas]],"-")</f>
        <v>0</v>
      </c>
      <c r="H101" s="63">
        <v>25.85</v>
      </c>
      <c r="I101" s="63">
        <f>Stock[[#This Row],[Entradas]]*Stock[[#This Row],[Precio Unitario ($)]]</f>
        <v>25.85</v>
      </c>
      <c r="J101" s="63">
        <v>2.66</v>
      </c>
      <c r="K101" s="63">
        <f>Stock[[#This Row],[Entradas]]*Stock[[#This Row],[Costo de envio unitario]]</f>
        <v>2.66</v>
      </c>
      <c r="L101" s="63">
        <f>IFERROR(Stock[[#This Row],[Precio Total (Sin Envios - $)]]+Stock[[#This Row],[Coste de envio total]],"-")</f>
        <v>28.51</v>
      </c>
      <c r="M101" s="63">
        <f>(Stock[[#This Row],[Precio Unitario ($)]]+Stock[[#This Row],[Costo de envio unitario]])*36.85</f>
        <v>1050.5935000000002</v>
      </c>
      <c r="N101" s="64">
        <f>(Stock[[#This Row],[Precio Total (Con Envios - $)]])*36.85</f>
        <v>1050.5935000000002</v>
      </c>
      <c r="O101" s="64">
        <f>Stock[[#This Row],[Precio de compra unitario]]+0.55*Stock[[#This Row],[Precio de compra unitario]]</f>
        <v>1628.4199250000004</v>
      </c>
      <c r="P101" s="65"/>
      <c r="Q101" s="3"/>
    </row>
    <row r="102" spans="1:17" hidden="1" x14ac:dyDescent="0.3">
      <c r="A102" s="3" t="s">
        <v>119</v>
      </c>
      <c r="B102" s="3" t="str">
        <f>VLOOKUP(Stock[[#This Row],[Codigo del producto ]],Entradas[],3,FALSE)</f>
        <v xml:space="preserve">Versache eros flame </v>
      </c>
      <c r="C102" s="6">
        <f>VLOOKUP(Stock[[#This Row],[Codigo del producto ]],Entradas[],2,FALSE)</f>
        <v>46086</v>
      </c>
      <c r="D102" s="3" t="str">
        <f>IFERROR(VLOOKUP(Stock[[#This Row],[Codigo del producto ]],Entradas[],4,FALSE),"-")</f>
        <v>LT09</v>
      </c>
      <c r="E102" s="3">
        <f>IFERROR(VLOOKUP(Stock[[#This Row],[Codigo del producto ]],Entradas[],5,FALSE),"-")</f>
        <v>1</v>
      </c>
      <c r="F102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102" s="3">
        <f>IFERROR(Stock[[#This Row],[Entradas]]-Stock[[#This Row],[Salidas]],"-")</f>
        <v>0</v>
      </c>
      <c r="H102" s="63">
        <v>42.76</v>
      </c>
      <c r="I102" s="63">
        <f>Stock[[#This Row],[Entradas]]*Stock[[#This Row],[Precio Unitario ($)]]</f>
        <v>42.76</v>
      </c>
      <c r="J102" s="63">
        <v>2</v>
      </c>
      <c r="K102" s="63">
        <f>Stock[[#This Row],[Entradas]]*Stock[[#This Row],[Costo de envio unitario]]</f>
        <v>2</v>
      </c>
      <c r="L102" s="63">
        <f>IFERROR(Stock[[#This Row],[Precio Total (Sin Envios - $)]]+Stock[[#This Row],[Coste de envio total]],"-")</f>
        <v>44.76</v>
      </c>
      <c r="M102" s="63">
        <f>(Stock[[#This Row],[Precio Unitario ($)]]+Stock[[#This Row],[Costo de envio unitario]])*36.85</f>
        <v>1649.4059999999999</v>
      </c>
      <c r="N102" s="64">
        <f>(Stock[[#This Row],[Precio Total (Con Envios - $)]])*36.85</f>
        <v>1649.4059999999999</v>
      </c>
      <c r="O102" s="64">
        <f>Stock[[#This Row],[Precio de compra unitario]]+0.55*Stock[[#This Row],[Precio de compra unitario]]</f>
        <v>2556.5792999999999</v>
      </c>
      <c r="P102" s="65"/>
      <c r="Q102" s="3"/>
    </row>
    <row r="103" spans="1:17" hidden="1" x14ac:dyDescent="0.3">
      <c r="A103" s="3" t="s">
        <v>120</v>
      </c>
      <c r="B103" s="3" t="str">
        <f>VLOOKUP(Stock[[#This Row],[Codigo del producto ]],Entradas[],3,FALSE)</f>
        <v>Nubwo G06</v>
      </c>
      <c r="C103" s="6">
        <f>VLOOKUP(Stock[[#This Row],[Codigo del producto ]],Entradas[],2,FALSE)</f>
        <v>46105</v>
      </c>
      <c r="D103" s="3" t="str">
        <f>IFERROR(VLOOKUP(Stock[[#This Row],[Codigo del producto ]],Entradas[],4,FALSE),"-")</f>
        <v>LT10</v>
      </c>
      <c r="E103" s="3">
        <f>IFERROR(VLOOKUP(Stock[[#This Row],[Codigo del producto ]],Entradas[],5,FALSE),"-")</f>
        <v>5</v>
      </c>
      <c r="F103" s="3">
        <f>IFERROR(SUMIFS(Pagos[Cantidad vendida], Pagos[Codigo del producto], Stock[[#This Row],[Codigo del producto ]]) + SUMIFS(PagosV2[Cantidad vendida], PagosV2[Codigo del producto], Stock[[#This Row],[Codigo del producto ]]), "-")</f>
        <v>5</v>
      </c>
      <c r="G103" s="3">
        <f>IFERROR(Stock[[#This Row],[Entradas]]-Stock[[#This Row],[Salidas]],"-")</f>
        <v>0</v>
      </c>
      <c r="H103" s="63">
        <v>23.26</v>
      </c>
      <c r="I103" s="63">
        <f>Stock[[#This Row],[Entradas]]*Stock[[#This Row],[Precio Unitario ($)]]</f>
        <v>116.30000000000001</v>
      </c>
      <c r="J103" s="63">
        <v>2.4</v>
      </c>
      <c r="K103" s="63">
        <f>Stock[[#This Row],[Entradas]]*Stock[[#This Row],[Costo de envio unitario]]</f>
        <v>12</v>
      </c>
      <c r="L103" s="63">
        <f>IFERROR(Stock[[#This Row],[Precio Total (Sin Envios - $)]]+Stock[[#This Row],[Coste de envio total]],"-")</f>
        <v>128.30000000000001</v>
      </c>
      <c r="M103" s="63">
        <f>(Stock[[#This Row],[Precio Unitario ($)]]+Stock[[#This Row],[Costo de envio unitario]])*36.85</f>
        <v>945.57100000000003</v>
      </c>
      <c r="N103" s="64">
        <f>(Stock[[#This Row],[Precio Total (Con Envios - $)]])*36.85</f>
        <v>4727.8550000000005</v>
      </c>
      <c r="O103" s="64">
        <f>Stock[[#This Row],[Precio de compra unitario]]+0.55*Stock[[#This Row],[Precio de compra unitario]]</f>
        <v>1465.6350500000001</v>
      </c>
      <c r="P103" s="65"/>
      <c r="Q103" s="3"/>
    </row>
    <row r="104" spans="1:17" hidden="1" x14ac:dyDescent="0.3">
      <c r="A104" s="3" t="s">
        <v>121</v>
      </c>
      <c r="B104" s="3" t="str">
        <f>VLOOKUP(Stock[[#This Row],[Codigo del producto ]],Entradas[],3,FALSE)</f>
        <v>Nubwo G06</v>
      </c>
      <c r="C104" s="6">
        <f>VLOOKUP(Stock[[#This Row],[Codigo del producto ]],Entradas[],2,FALSE)</f>
        <v>46105</v>
      </c>
      <c r="D104" s="3" t="str">
        <f>IFERROR(VLOOKUP(Stock[[#This Row],[Codigo del producto ]],Entradas[],4,FALSE),"-")</f>
        <v>LT10</v>
      </c>
      <c r="E104" s="3">
        <f>IFERROR(VLOOKUP(Stock[[#This Row],[Codigo del producto ]],Entradas[],5,FALSE),"-")</f>
        <v>5</v>
      </c>
      <c r="F104" s="3">
        <f>IFERROR(SUMIFS(Pagos[Cantidad vendida], Pagos[Codigo del producto], Stock[[#This Row],[Codigo del producto ]]) + SUMIFS(PagosV2[Cantidad vendida], PagosV2[Codigo del producto], Stock[[#This Row],[Codigo del producto ]]), "-")</f>
        <v>5</v>
      </c>
      <c r="G104" s="3">
        <f>IFERROR(Stock[[#This Row],[Entradas]]-Stock[[#This Row],[Salidas]],"-")</f>
        <v>0</v>
      </c>
      <c r="H104" s="63">
        <v>23.26</v>
      </c>
      <c r="I104" s="63">
        <f>Stock[[#This Row],[Entradas]]*Stock[[#This Row],[Precio Unitario ($)]]</f>
        <v>116.30000000000001</v>
      </c>
      <c r="J104" s="63">
        <v>2.8</v>
      </c>
      <c r="K104" s="63">
        <f>Stock[[#This Row],[Entradas]]*Stock[[#This Row],[Costo de envio unitario]]</f>
        <v>14</v>
      </c>
      <c r="L104" s="63">
        <f>IFERROR(Stock[[#This Row],[Precio Total (Sin Envios - $)]]+Stock[[#This Row],[Coste de envio total]],"-")</f>
        <v>130.30000000000001</v>
      </c>
      <c r="M104" s="63">
        <f>(Stock[[#This Row],[Precio Unitario ($)]]+Stock[[#This Row],[Costo de envio unitario]])*36.85</f>
        <v>960.31100000000015</v>
      </c>
      <c r="N104" s="64">
        <f>(Stock[[#This Row],[Precio Total (Con Envios - $)]])*36.85</f>
        <v>4801.5550000000003</v>
      </c>
      <c r="O104" s="64">
        <f>Stock[[#This Row],[Precio de compra unitario]]+0.55*Stock[[#This Row],[Precio de compra unitario]]</f>
        <v>1488.4820500000003</v>
      </c>
      <c r="P104" s="65"/>
      <c r="Q104" s="3"/>
    </row>
    <row r="105" spans="1:17" hidden="1" x14ac:dyDescent="0.3">
      <c r="A105" s="3" t="s">
        <v>122</v>
      </c>
      <c r="B105" s="3" t="str">
        <f>VLOOKUP(Stock[[#This Row],[Codigo del producto ]],Entradas[],3,FALSE)</f>
        <v>Nubwo G06</v>
      </c>
      <c r="C105" s="6">
        <f>VLOOKUP(Stock[[#This Row],[Codigo del producto ]],Entradas[],2,FALSE)</f>
        <v>46105</v>
      </c>
      <c r="D105" s="3" t="str">
        <f>IFERROR(VLOOKUP(Stock[[#This Row],[Codigo del producto ]],Entradas[],4,FALSE),"-")</f>
        <v>LT10</v>
      </c>
      <c r="E105" s="3">
        <f>IFERROR(VLOOKUP(Stock[[#This Row],[Codigo del producto ]],Entradas[],5,FALSE),"-")</f>
        <v>5</v>
      </c>
      <c r="F105" s="3">
        <f>IFERROR(SUMIFS(Pagos[Cantidad vendida], Pagos[Codigo del producto], Stock[[#This Row],[Codigo del producto ]]) + SUMIFS(PagosV2[Cantidad vendida], PagosV2[Codigo del producto], Stock[[#This Row],[Codigo del producto ]]), "-")</f>
        <v>5</v>
      </c>
      <c r="G105" s="3">
        <f>IFERROR(Stock[[#This Row],[Entradas]]-Stock[[#This Row],[Salidas]],"-")</f>
        <v>0</v>
      </c>
      <c r="H105" s="63">
        <v>23.26</v>
      </c>
      <c r="I105" s="63">
        <f>Stock[[#This Row],[Entradas]]*Stock[[#This Row],[Precio Unitario ($)]]</f>
        <v>116.30000000000001</v>
      </c>
      <c r="J105" s="63">
        <v>2.8</v>
      </c>
      <c r="K105" s="63">
        <f>Stock[[#This Row],[Entradas]]*Stock[[#This Row],[Costo de envio unitario]]</f>
        <v>14</v>
      </c>
      <c r="L105" s="63">
        <f>IFERROR(Stock[[#This Row],[Precio Total (Sin Envios - $)]]+Stock[[#This Row],[Coste de envio total]],"-")</f>
        <v>130.30000000000001</v>
      </c>
      <c r="M105" s="63">
        <f>(Stock[[#This Row],[Precio Unitario ($)]]+Stock[[#This Row],[Costo de envio unitario]])*36.85</f>
        <v>960.31100000000015</v>
      </c>
      <c r="N105" s="64">
        <f>(Stock[[#This Row],[Precio Total (Con Envios - $)]])*36.85</f>
        <v>4801.5550000000003</v>
      </c>
      <c r="O105" s="64">
        <f>Stock[[#This Row],[Precio de compra unitario]]+0.55*Stock[[#This Row],[Precio de compra unitario]]</f>
        <v>1488.4820500000003</v>
      </c>
      <c r="P105" s="65"/>
      <c r="Q105" s="3"/>
    </row>
    <row r="106" spans="1:17" x14ac:dyDescent="0.3">
      <c r="A106" s="3" t="s">
        <v>123</v>
      </c>
      <c r="B106" s="3" t="str">
        <f>VLOOKUP(Stock[[#This Row],[Codigo del producto ]],Entradas[],3,FALSE)</f>
        <v>Nubwo G06</v>
      </c>
      <c r="C106" s="6">
        <f>VLOOKUP(Stock[[#This Row],[Codigo del producto ]],Entradas[],2,FALSE)</f>
        <v>46105</v>
      </c>
      <c r="D106" s="3" t="str">
        <f>IFERROR(VLOOKUP(Stock[[#This Row],[Codigo del producto ]],Entradas[],4,FALSE),"-")</f>
        <v>LT10</v>
      </c>
      <c r="E106" s="3">
        <f>IFERROR(VLOOKUP(Stock[[#This Row],[Codigo del producto ]],Entradas[],5,FALSE),"-")</f>
        <v>5</v>
      </c>
      <c r="F106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106" s="3">
        <f>IFERROR(Stock[[#This Row],[Entradas]]-Stock[[#This Row],[Salidas]],"-")</f>
        <v>2</v>
      </c>
      <c r="H106" s="63">
        <v>23.26</v>
      </c>
      <c r="I106" s="63">
        <f>Stock[[#This Row],[Entradas]]*Stock[[#This Row],[Precio Unitario ($)]]</f>
        <v>116.30000000000001</v>
      </c>
      <c r="J106" s="63">
        <v>2.4</v>
      </c>
      <c r="K106" s="63">
        <f>Stock[[#This Row],[Entradas]]*Stock[[#This Row],[Costo de envio unitario]]</f>
        <v>12</v>
      </c>
      <c r="L106" s="63">
        <f>IFERROR(Stock[[#This Row],[Precio Total (Sin Envios - $)]]+Stock[[#This Row],[Coste de envio total]],"-")</f>
        <v>128.30000000000001</v>
      </c>
      <c r="M106" s="63">
        <f>(Stock[[#This Row],[Precio Unitario ($)]]+Stock[[#This Row],[Costo de envio unitario]])*36.85</f>
        <v>945.57100000000003</v>
      </c>
      <c r="N106" s="64">
        <f>(Stock[[#This Row],[Precio Total (Con Envios - $)]])*36.85</f>
        <v>4727.8550000000005</v>
      </c>
      <c r="O106" s="64">
        <f>Stock[[#This Row],[Precio de compra unitario]]+0.55*Stock[[#This Row],[Precio de compra unitario]]</f>
        <v>1465.6350500000001</v>
      </c>
      <c r="P106" s="65"/>
      <c r="Q106" s="3"/>
    </row>
    <row r="107" spans="1:17" hidden="1" x14ac:dyDescent="0.3">
      <c r="A107" s="3" t="s">
        <v>124</v>
      </c>
      <c r="B107" s="3" t="str">
        <f>VLOOKUP(Stock[[#This Row],[Codigo del producto ]],Entradas[],3,FALSE)</f>
        <v xml:space="preserve">LinYubo Switch controller </v>
      </c>
      <c r="C107" s="6">
        <f>VLOOKUP(Stock[[#This Row],[Codigo del producto ]],Entradas[],2,FALSE)</f>
        <v>46105</v>
      </c>
      <c r="D107" s="3" t="str">
        <f>IFERROR(VLOOKUP(Stock[[#This Row],[Codigo del producto ]],Entradas[],4,FALSE),"-")</f>
        <v>LT10</v>
      </c>
      <c r="E107" s="3">
        <f>IFERROR(VLOOKUP(Stock[[#This Row],[Codigo del producto ]],Entradas[],5,FALSE),"-")</f>
        <v>3</v>
      </c>
      <c r="F107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107" s="3">
        <f>IFERROR(Stock[[#This Row],[Entradas]]-Stock[[#This Row],[Salidas]],"-")</f>
        <v>0</v>
      </c>
      <c r="H107" s="63">
        <v>26.23</v>
      </c>
      <c r="I107" s="63">
        <f>Stock[[#This Row],[Entradas]]*Stock[[#This Row],[Precio Unitario ($)]]</f>
        <v>78.69</v>
      </c>
      <c r="J107" s="63">
        <v>0.93</v>
      </c>
      <c r="K107" s="63">
        <f>Stock[[#This Row],[Entradas]]*Stock[[#This Row],[Costo de envio unitario]]</f>
        <v>2.79</v>
      </c>
      <c r="L107" s="63">
        <f>IFERROR(Stock[[#This Row],[Precio Total (Sin Envios - $)]]+Stock[[#This Row],[Coste de envio total]],"-")</f>
        <v>81.48</v>
      </c>
      <c r="M107" s="63">
        <f>(Stock[[#This Row],[Precio Unitario ($)]]+Stock[[#This Row],[Costo de envio unitario]])*36.85</f>
        <v>1000.846</v>
      </c>
      <c r="N107" s="64">
        <f>(Stock[[#This Row],[Precio Total (Con Envios - $)]])*36.85</f>
        <v>3002.5380000000005</v>
      </c>
      <c r="O107" s="64">
        <f>Stock[[#This Row],[Precio de compra unitario]]+0.55*Stock[[#This Row],[Precio de compra unitario]]</f>
        <v>1551.3113000000001</v>
      </c>
      <c r="P107" s="65"/>
      <c r="Q107" s="3"/>
    </row>
    <row r="108" spans="1:17" hidden="1" x14ac:dyDescent="0.3">
      <c r="A108" s="3" t="s">
        <v>125</v>
      </c>
      <c r="B108" s="3" t="str">
        <f>VLOOKUP(Stock[[#This Row],[Codigo del producto ]],Entradas[],3,FALSE)</f>
        <v>NYXI Hyperion Pro controller</v>
      </c>
      <c r="C108" s="6">
        <f>VLOOKUP(Stock[[#This Row],[Codigo del producto ]],Entradas[],2,FALSE)</f>
        <v>46105</v>
      </c>
      <c r="D108" s="3" t="str">
        <f>IFERROR(VLOOKUP(Stock[[#This Row],[Codigo del producto ]],Entradas[],4,FALSE),"-")</f>
        <v>LT10</v>
      </c>
      <c r="E108" s="3">
        <f>IFERROR(VLOOKUP(Stock[[#This Row],[Codigo del producto ]],Entradas[],5,FALSE),"-")</f>
        <v>4</v>
      </c>
      <c r="F108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108" s="3">
        <f>IFERROR(Stock[[#This Row],[Entradas]]-Stock[[#This Row],[Salidas]],"-")</f>
        <v>1</v>
      </c>
      <c r="H108" s="63">
        <v>43.15</v>
      </c>
      <c r="I108" s="63">
        <f>Stock[[#This Row],[Entradas]]*Stock[[#This Row],[Precio Unitario ($)]]</f>
        <v>172.6</v>
      </c>
      <c r="J108" s="63">
        <v>0.93</v>
      </c>
      <c r="K108" s="63">
        <f>Stock[[#This Row],[Entradas]]*Stock[[#This Row],[Costo de envio unitario]]</f>
        <v>3.72</v>
      </c>
      <c r="L108" s="63">
        <f>IFERROR(Stock[[#This Row],[Precio Total (Sin Envios - $)]]+Stock[[#This Row],[Coste de envio total]],"-")</f>
        <v>176.32</v>
      </c>
      <c r="M108" s="63">
        <f>(Stock[[#This Row],[Precio Unitario ($)]]+Stock[[#This Row],[Costo de envio unitario]])*36.85</f>
        <v>1624.348</v>
      </c>
      <c r="N108" s="64">
        <f>(Stock[[#This Row],[Precio Total (Con Envios - $)]])*36.85</f>
        <v>6497.3919999999998</v>
      </c>
      <c r="O108" s="64">
        <f>Stock[[#This Row],[Precio de compra unitario]]+0.55*Stock[[#This Row],[Precio de compra unitario]]</f>
        <v>2517.7393999999999</v>
      </c>
      <c r="P108" s="65"/>
      <c r="Q108" s="3" t="s">
        <v>502</v>
      </c>
    </row>
    <row r="109" spans="1:17" x14ac:dyDescent="0.3">
      <c r="A109" s="3" t="s">
        <v>126</v>
      </c>
      <c r="B109" s="3" t="str">
        <f>VLOOKUP(Stock[[#This Row],[Codigo del producto ]],Entradas[],3,FALSE)</f>
        <v>Cargador Samsung 45W</v>
      </c>
      <c r="C109" s="6">
        <f>VLOOKUP(Stock[[#This Row],[Codigo del producto ]],Entradas[],2,FALSE)</f>
        <v>46105</v>
      </c>
      <c r="D109" s="3" t="str">
        <f>IFERROR(VLOOKUP(Stock[[#This Row],[Codigo del producto ]],Entradas[],4,FALSE),"-")</f>
        <v>LT10</v>
      </c>
      <c r="E109" s="3">
        <f>IFERROR(VLOOKUP(Stock[[#This Row],[Codigo del producto ]],Entradas[],5,FALSE),"-")</f>
        <v>2</v>
      </c>
      <c r="F109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09" s="3">
        <f>IFERROR(Stock[[#This Row],[Entradas]]-Stock[[#This Row],[Salidas]],"-")</f>
        <v>2</v>
      </c>
      <c r="H109" s="63">
        <v>18.7</v>
      </c>
      <c r="I109" s="63">
        <f>Stock[[#This Row],[Entradas]]*Stock[[#This Row],[Precio Unitario ($)]]</f>
        <v>37.4</v>
      </c>
      <c r="J109" s="63">
        <v>0.93</v>
      </c>
      <c r="K109" s="63">
        <f>Stock[[#This Row],[Entradas]]*Stock[[#This Row],[Costo de envio unitario]]</f>
        <v>1.86</v>
      </c>
      <c r="L109" s="63">
        <f>IFERROR(Stock[[#This Row],[Precio Total (Sin Envios - $)]]+Stock[[#This Row],[Coste de envio total]],"-")</f>
        <v>39.26</v>
      </c>
      <c r="M109" s="63">
        <f>(Stock[[#This Row],[Precio Unitario ($)]]+Stock[[#This Row],[Costo de envio unitario]])*36.85</f>
        <v>723.3655</v>
      </c>
      <c r="N109" s="64">
        <f>(Stock[[#This Row],[Precio Total (Con Envios - $)]])*36.85</f>
        <v>1446.731</v>
      </c>
      <c r="O109" s="64">
        <f>Stock[[#This Row],[Precio de compra unitario]]+0.55*Stock[[#This Row],[Precio de compra unitario]]</f>
        <v>1121.216525</v>
      </c>
      <c r="P109" s="65"/>
      <c r="Q109" s="3"/>
    </row>
    <row r="110" spans="1:17" x14ac:dyDescent="0.3">
      <c r="A110" s="3" t="s">
        <v>127</v>
      </c>
      <c r="B110" s="3" t="str">
        <f>VLOOKUP(Stock[[#This Row],[Codigo del producto ]],Entradas[],3,FALSE)</f>
        <v>Cable USB 45W</v>
      </c>
      <c r="C110" s="6">
        <f>VLOOKUP(Stock[[#This Row],[Codigo del producto ]],Entradas[],2,FALSE)</f>
        <v>46105</v>
      </c>
      <c r="D110" s="3" t="str">
        <f>IFERROR(VLOOKUP(Stock[[#This Row],[Codigo del producto ]],Entradas[],4,FALSE),"-")</f>
        <v>LT10</v>
      </c>
      <c r="E110" s="3">
        <f>IFERROR(VLOOKUP(Stock[[#This Row],[Codigo del producto ]],Entradas[],5,FALSE),"-")</f>
        <v>4</v>
      </c>
      <c r="F110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110" s="3">
        <f>IFERROR(Stock[[#This Row],[Entradas]]-Stock[[#This Row],[Salidas]],"-")</f>
        <v>3</v>
      </c>
      <c r="H110" s="63">
        <v>4.24</v>
      </c>
      <c r="I110" s="63">
        <f>Stock[[#This Row],[Entradas]]*Stock[[#This Row],[Precio Unitario ($)]]</f>
        <v>16.96</v>
      </c>
      <c r="J110" s="63">
        <v>0.93</v>
      </c>
      <c r="K110" s="63">
        <f>Stock[[#This Row],[Entradas]]*Stock[[#This Row],[Costo de envio unitario]]</f>
        <v>3.72</v>
      </c>
      <c r="L110" s="63">
        <f>IFERROR(Stock[[#This Row],[Precio Total (Sin Envios - $)]]+Stock[[#This Row],[Coste de envio total]],"-")</f>
        <v>20.68</v>
      </c>
      <c r="M110" s="63">
        <f>(Stock[[#This Row],[Precio Unitario ($)]]+Stock[[#This Row],[Costo de envio unitario]])*36.85</f>
        <v>190.5145</v>
      </c>
      <c r="N110" s="64">
        <f>(Stock[[#This Row],[Precio Total (Con Envios - $)]])*36.85</f>
        <v>762.05799999999999</v>
      </c>
      <c r="O110" s="64">
        <f>Stock[[#This Row],[Precio de compra unitario]]+0.55*Stock[[#This Row],[Precio de compra unitario]]</f>
        <v>295.29747500000002</v>
      </c>
      <c r="P110" s="65"/>
      <c r="Q110" s="3"/>
    </row>
    <row r="111" spans="1:17" x14ac:dyDescent="0.3">
      <c r="A111" s="3" t="s">
        <v>128</v>
      </c>
      <c r="B111" s="3" t="str">
        <f>VLOOKUP(Stock[[#This Row],[Codigo del producto ]],Entradas[],3,FALSE)</f>
        <v>FIFINE Headset PC</v>
      </c>
      <c r="C111" s="6">
        <f>VLOOKUP(Stock[[#This Row],[Codigo del producto ]],Entradas[],2,FALSE)</f>
        <v>46105</v>
      </c>
      <c r="D111" s="3" t="str">
        <f>IFERROR(VLOOKUP(Stock[[#This Row],[Codigo del producto ]],Entradas[],4,FALSE),"-")</f>
        <v>LT10</v>
      </c>
      <c r="E111" s="3">
        <f>IFERROR(VLOOKUP(Stock[[#This Row],[Codigo del producto ]],Entradas[],5,FALSE),"-")</f>
        <v>4</v>
      </c>
      <c r="F111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111" s="3">
        <f>IFERROR(Stock[[#This Row],[Entradas]]-Stock[[#This Row],[Salidas]],"-")</f>
        <v>1</v>
      </c>
      <c r="H111" s="63">
        <v>36.1</v>
      </c>
      <c r="I111" s="63">
        <f>Stock[[#This Row],[Entradas]]*Stock[[#This Row],[Precio Unitario ($)]]</f>
        <v>144.4</v>
      </c>
      <c r="J111" s="63">
        <v>2.5</v>
      </c>
      <c r="K111" s="63">
        <f>Stock[[#This Row],[Entradas]]*Stock[[#This Row],[Costo de envio unitario]]</f>
        <v>10</v>
      </c>
      <c r="L111" s="63">
        <f>IFERROR(Stock[[#This Row],[Precio Total (Sin Envios - $)]]+Stock[[#This Row],[Coste de envio total]],"-")</f>
        <v>154.4</v>
      </c>
      <c r="M111" s="63">
        <f>(Stock[[#This Row],[Precio Unitario ($)]]+Stock[[#This Row],[Costo de envio unitario]])*36.85</f>
        <v>1422.41</v>
      </c>
      <c r="N111" s="64">
        <f>(Stock[[#This Row],[Precio Total (Con Envios - $)]])*36.85</f>
        <v>5689.64</v>
      </c>
      <c r="O111" s="64">
        <f>Stock[[#This Row],[Precio de compra unitario]]+0.55*Stock[[#This Row],[Precio de compra unitario]]</f>
        <v>2204.7355000000002</v>
      </c>
      <c r="P111" s="65"/>
      <c r="Q111" s="3"/>
    </row>
    <row r="112" spans="1:17" hidden="1" x14ac:dyDescent="0.3">
      <c r="A112" s="3" t="s">
        <v>129</v>
      </c>
      <c r="B112" s="3" t="str">
        <f>VLOOKUP(Stock[[#This Row],[Codigo del producto ]],Entradas[],3,FALSE)</f>
        <v>Cargadores USB para moto</v>
      </c>
      <c r="C112" s="6">
        <f>VLOOKUP(Stock[[#This Row],[Codigo del producto ]],Entradas[],2,FALSE)</f>
        <v>46105</v>
      </c>
      <c r="D112" s="3" t="str">
        <f>IFERROR(VLOOKUP(Stock[[#This Row],[Codigo del producto ]],Entradas[],4,FALSE),"-")</f>
        <v>LT10</v>
      </c>
      <c r="E112" s="3">
        <f>IFERROR(VLOOKUP(Stock[[#This Row],[Codigo del producto ]],Entradas[],5,FALSE),"-")</f>
        <v>11</v>
      </c>
      <c r="F112" s="3">
        <f>IFERROR(SUMIFS(Pagos[Cantidad vendida], Pagos[Codigo del producto], Stock[[#This Row],[Codigo del producto ]]) + SUMIFS(PagosV2[Cantidad vendida], PagosV2[Codigo del producto], Stock[[#This Row],[Codigo del producto ]]), "-")</f>
        <v>11</v>
      </c>
      <c r="G112" s="3">
        <f>IFERROR(Stock[[#This Row],[Entradas]]-Stock[[#This Row],[Salidas]],"-")</f>
        <v>0</v>
      </c>
      <c r="H112" s="63">
        <v>8.17</v>
      </c>
      <c r="I112" s="63">
        <f>Stock[[#This Row],[Entradas]]*Stock[[#This Row],[Precio Unitario ($)]]</f>
        <v>89.87</v>
      </c>
      <c r="J112" s="63">
        <v>0.48</v>
      </c>
      <c r="K112" s="63">
        <f>Stock[[#This Row],[Entradas]]*Stock[[#This Row],[Costo de envio unitario]]</f>
        <v>5.2799999999999994</v>
      </c>
      <c r="L112" s="63">
        <f>IFERROR(Stock[[#This Row],[Precio Total (Sin Envios - $)]]+Stock[[#This Row],[Coste de envio total]],"-")</f>
        <v>95.15</v>
      </c>
      <c r="M112" s="63">
        <f>(Stock[[#This Row],[Precio Unitario ($)]]+Stock[[#This Row],[Costo de envio unitario]])*36.85</f>
        <v>318.7525</v>
      </c>
      <c r="N112" s="64">
        <f>(Stock[[#This Row],[Precio Total (Con Envios - $)]])*36.85</f>
        <v>3506.2775000000001</v>
      </c>
      <c r="O112" s="64">
        <f>Stock[[#This Row],[Precio de compra unitario]]+0.55*Stock[[#This Row],[Precio de compra unitario]]</f>
        <v>494.06637499999999</v>
      </c>
      <c r="P112" s="65"/>
      <c r="Q112" s="3"/>
    </row>
    <row r="113" spans="1:17" hidden="1" x14ac:dyDescent="0.3">
      <c r="A113" s="3" t="s">
        <v>130</v>
      </c>
      <c r="B113" s="3" t="str">
        <f>VLOOKUP(Stock[[#This Row],[Codigo del producto ]],Entradas[],3,FALSE)</f>
        <v>Cargadores USB para moto (Sin pantalla)</v>
      </c>
      <c r="C113" s="6">
        <f>VLOOKUP(Stock[[#This Row],[Codigo del producto ]],Entradas[],2,FALSE)</f>
        <v>46105</v>
      </c>
      <c r="D113" s="3" t="str">
        <f>IFERROR(VLOOKUP(Stock[[#This Row],[Codigo del producto ]],Entradas[],4,FALSE),"-")</f>
        <v>LT10</v>
      </c>
      <c r="E113" s="3">
        <f>IFERROR(VLOOKUP(Stock[[#This Row],[Codigo del producto ]],Entradas[],5,FALSE),"-")</f>
        <v>10</v>
      </c>
      <c r="F113" s="3">
        <f>IFERROR(SUMIFS(Pagos[Cantidad vendida], Pagos[Codigo del producto], Stock[[#This Row],[Codigo del producto ]]) + SUMIFS(PagosV2[Cantidad vendida], PagosV2[Codigo del producto], Stock[[#This Row],[Codigo del producto ]]), "-")</f>
        <v>10</v>
      </c>
      <c r="G113" s="3">
        <f>IFERROR(Stock[[#This Row],[Entradas]]-Stock[[#This Row],[Salidas]],"-")</f>
        <v>0</v>
      </c>
      <c r="H113" s="63">
        <v>6.15</v>
      </c>
      <c r="I113" s="63">
        <f>Stock[[#This Row],[Entradas]]*Stock[[#This Row],[Precio Unitario ($)]]</f>
        <v>61.5</v>
      </c>
      <c r="J113" s="63">
        <v>0.48</v>
      </c>
      <c r="K113" s="63">
        <f>Stock[[#This Row],[Entradas]]*Stock[[#This Row],[Costo de envio unitario]]</f>
        <v>4.8</v>
      </c>
      <c r="L113" s="63">
        <f>IFERROR(Stock[[#This Row],[Precio Total (Sin Envios - $)]]+Stock[[#This Row],[Coste de envio total]],"-")</f>
        <v>66.3</v>
      </c>
      <c r="M113" s="63">
        <f>(Stock[[#This Row],[Precio Unitario ($)]]+Stock[[#This Row],[Costo de envio unitario]])*36.85</f>
        <v>244.31550000000004</v>
      </c>
      <c r="N113" s="64">
        <f>(Stock[[#This Row],[Precio Total (Con Envios - $)]])*36.85</f>
        <v>2443.1550000000002</v>
      </c>
      <c r="O113" s="64">
        <f>Stock[[#This Row],[Precio de compra unitario]]+0.55*Stock[[#This Row],[Precio de compra unitario]]</f>
        <v>378.68902500000007</v>
      </c>
      <c r="P113" s="65"/>
      <c r="Q113" s="3"/>
    </row>
    <row r="114" spans="1:17" x14ac:dyDescent="0.3">
      <c r="A114" s="3" t="s">
        <v>131</v>
      </c>
      <c r="B114" s="3" t="str">
        <f>VLOOKUP(Stock[[#This Row],[Codigo del producto ]],Entradas[],3,FALSE)</f>
        <v>Cargadores USB para moto</v>
      </c>
      <c r="C114" s="6">
        <f>VLOOKUP(Stock[[#This Row],[Codigo del producto ]],Entradas[],2,FALSE)</f>
        <v>46105</v>
      </c>
      <c r="D114" s="3" t="str">
        <f>IFERROR(VLOOKUP(Stock[[#This Row],[Codigo del producto ]],Entradas[],4,FALSE),"-")</f>
        <v>LT10</v>
      </c>
      <c r="E114" s="3">
        <f>IFERROR(VLOOKUP(Stock[[#This Row],[Codigo del producto ]],Entradas[],5,FALSE),"-")</f>
        <v>9</v>
      </c>
      <c r="F114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14" s="3">
        <f>IFERROR(Stock[[#This Row],[Entradas]]-Stock[[#This Row],[Salidas]],"-")</f>
        <v>9</v>
      </c>
      <c r="H114" s="63">
        <v>8.17</v>
      </c>
      <c r="I114" s="63">
        <f>Stock[[#This Row],[Entradas]]*Stock[[#This Row],[Precio Unitario ($)]]</f>
        <v>73.53</v>
      </c>
      <c r="J114" s="63">
        <v>0.5</v>
      </c>
      <c r="K114" s="63">
        <f>Stock[[#This Row],[Entradas]]*Stock[[#This Row],[Costo de envio unitario]]</f>
        <v>4.5</v>
      </c>
      <c r="L114" s="63">
        <f>IFERROR(Stock[[#This Row],[Precio Total (Sin Envios - $)]]+Stock[[#This Row],[Coste de envio total]],"-")</f>
        <v>78.03</v>
      </c>
      <c r="M114" s="63">
        <f>(Stock[[#This Row],[Precio Unitario ($)]]+Stock[[#This Row],[Costo de envio unitario]])*36.85</f>
        <v>319.48950000000002</v>
      </c>
      <c r="N114" s="64">
        <f>(Stock[[#This Row],[Precio Total (Con Envios - $)]])*36.85</f>
        <v>2875.4055000000003</v>
      </c>
      <c r="O114" s="64">
        <f>Stock[[#This Row],[Precio de compra unitario]]+0.55*Stock[[#This Row],[Precio de compra unitario]]</f>
        <v>495.20872500000007</v>
      </c>
      <c r="P114" s="65"/>
      <c r="Q114" s="3"/>
    </row>
    <row r="115" spans="1:17" x14ac:dyDescent="0.3">
      <c r="A115" s="3" t="s">
        <v>132</v>
      </c>
      <c r="B115" s="3" t="str">
        <f>VLOOKUP(Stock[[#This Row],[Codigo del producto ]],Entradas[],3,FALSE)</f>
        <v>Cargadores USB para moto (Sin pantalla)</v>
      </c>
      <c r="C115" s="6">
        <f>VLOOKUP(Stock[[#This Row],[Codigo del producto ]],Entradas[],2,FALSE)</f>
        <v>46105</v>
      </c>
      <c r="D115" s="3" t="str">
        <f>IFERROR(VLOOKUP(Stock[[#This Row],[Codigo del producto ]],Entradas[],4,FALSE),"-")</f>
        <v>LT10</v>
      </c>
      <c r="E115" s="3">
        <f>IFERROR(VLOOKUP(Stock[[#This Row],[Codigo del producto ]],Entradas[],5,FALSE),"-")</f>
        <v>15</v>
      </c>
      <c r="F115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115" s="3">
        <f>IFERROR(Stock[[#This Row],[Entradas]]-Stock[[#This Row],[Salidas]],"-")</f>
        <v>12</v>
      </c>
      <c r="H115" s="63">
        <v>6.15</v>
      </c>
      <c r="I115" s="63">
        <f>Stock[[#This Row],[Entradas]]*Stock[[#This Row],[Precio Unitario ($)]]</f>
        <v>92.25</v>
      </c>
      <c r="J115" s="63">
        <v>0.5</v>
      </c>
      <c r="K115" s="63">
        <f>Stock[[#This Row],[Entradas]]*Stock[[#This Row],[Costo de envio unitario]]</f>
        <v>7.5</v>
      </c>
      <c r="L115" s="63">
        <f>IFERROR(Stock[[#This Row],[Precio Total (Sin Envios - $)]]+Stock[[#This Row],[Coste de envio total]],"-")</f>
        <v>99.75</v>
      </c>
      <c r="M115" s="63">
        <f>(Stock[[#This Row],[Precio Unitario ($)]]+Stock[[#This Row],[Costo de envio unitario]])*36.85</f>
        <v>245.05250000000001</v>
      </c>
      <c r="N115" s="64">
        <f>(Stock[[#This Row],[Precio Total (Con Envios - $)]])*36.85</f>
        <v>3675.7875000000004</v>
      </c>
      <c r="O115" s="64">
        <f>Stock[[#This Row],[Precio de compra unitario]]+0.55*Stock[[#This Row],[Precio de compra unitario]]</f>
        <v>379.83137500000004</v>
      </c>
      <c r="P115" s="65"/>
      <c r="Q115" s="3"/>
    </row>
    <row r="116" spans="1:17" x14ac:dyDescent="0.3">
      <c r="A116" s="3" t="s">
        <v>133</v>
      </c>
      <c r="B116" s="3" t="str">
        <f>VLOOKUP(Stock[[#This Row],[Codigo del producto ]],Entradas[],3,FALSE)</f>
        <v>Cargadores USB para moto</v>
      </c>
      <c r="C116" s="6">
        <f>VLOOKUP(Stock[[#This Row],[Codigo del producto ]],Entradas[],2,FALSE)</f>
        <v>46105</v>
      </c>
      <c r="D116" s="3" t="str">
        <f>IFERROR(VLOOKUP(Stock[[#This Row],[Codigo del producto ]],Entradas[],4,FALSE),"-")</f>
        <v>LT10</v>
      </c>
      <c r="E116" s="3">
        <f>IFERROR(VLOOKUP(Stock[[#This Row],[Codigo del producto ]],Entradas[],5,FALSE),"-")</f>
        <v>14</v>
      </c>
      <c r="F116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16" s="3">
        <f>IFERROR(Stock[[#This Row],[Entradas]]-Stock[[#This Row],[Salidas]],"-")</f>
        <v>14</v>
      </c>
      <c r="H116" s="63">
        <v>8.17</v>
      </c>
      <c r="I116" s="63">
        <f>Stock[[#This Row],[Entradas]]*Stock[[#This Row],[Precio Unitario ($)]]</f>
        <v>114.38</v>
      </c>
      <c r="J116" s="63">
        <v>0.53</v>
      </c>
      <c r="K116" s="63">
        <f>Stock[[#This Row],[Entradas]]*Stock[[#This Row],[Costo de envio unitario]]</f>
        <v>7.42</v>
      </c>
      <c r="L116" s="63">
        <f>IFERROR(Stock[[#This Row],[Precio Total (Sin Envios - $)]]+Stock[[#This Row],[Coste de envio total]],"-")</f>
        <v>121.8</v>
      </c>
      <c r="M116" s="63">
        <f>(Stock[[#This Row],[Precio Unitario ($)]]+Stock[[#This Row],[Costo de envio unitario]])*36.85</f>
        <v>320.59499999999997</v>
      </c>
      <c r="N116" s="64">
        <f>(Stock[[#This Row],[Precio Total (Con Envios - $)]])*36.85</f>
        <v>4488.33</v>
      </c>
      <c r="O116" s="64">
        <f>Stock[[#This Row],[Precio de compra unitario]]+0.55*Stock[[#This Row],[Precio de compra unitario]]</f>
        <v>496.92224999999996</v>
      </c>
      <c r="P116" s="65"/>
      <c r="Q116" s="3"/>
    </row>
    <row r="117" spans="1:17" x14ac:dyDescent="0.3">
      <c r="A117" s="3" t="s">
        <v>134</v>
      </c>
      <c r="B117" s="3" t="str">
        <f>VLOOKUP(Stock[[#This Row],[Codigo del producto ]],Entradas[],3,FALSE)</f>
        <v>Cargadores USB para moto (Sin pantalla)</v>
      </c>
      <c r="C117" s="6">
        <f>VLOOKUP(Stock[[#This Row],[Codigo del producto ]],Entradas[],2,FALSE)</f>
        <v>46105</v>
      </c>
      <c r="D117" s="3" t="str">
        <f>IFERROR(VLOOKUP(Stock[[#This Row],[Codigo del producto ]],Entradas[],4,FALSE),"-")</f>
        <v>LT10</v>
      </c>
      <c r="E117" s="3">
        <f>IFERROR(VLOOKUP(Stock[[#This Row],[Codigo del producto ]],Entradas[],5,FALSE),"-")</f>
        <v>9</v>
      </c>
      <c r="F117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17" s="3">
        <f>IFERROR(Stock[[#This Row],[Entradas]]-Stock[[#This Row],[Salidas]],"-")</f>
        <v>9</v>
      </c>
      <c r="H117" s="63">
        <v>6.15</v>
      </c>
      <c r="I117" s="63">
        <f>Stock[[#This Row],[Entradas]]*Stock[[#This Row],[Precio Unitario ($)]]</f>
        <v>55.35</v>
      </c>
      <c r="J117" s="63">
        <v>0.53</v>
      </c>
      <c r="K117" s="63">
        <f>Stock[[#This Row],[Entradas]]*Stock[[#This Row],[Costo de envio unitario]]</f>
        <v>4.7700000000000005</v>
      </c>
      <c r="L117" s="63">
        <f>IFERROR(Stock[[#This Row],[Precio Total (Sin Envios - $)]]+Stock[[#This Row],[Coste de envio total]],"-")</f>
        <v>60.120000000000005</v>
      </c>
      <c r="M117" s="63">
        <f>(Stock[[#This Row],[Precio Unitario ($)]]+Stock[[#This Row],[Costo de envio unitario]])*36.85</f>
        <v>246.15800000000004</v>
      </c>
      <c r="N117" s="64">
        <f>(Stock[[#This Row],[Precio Total (Con Envios - $)]])*36.85</f>
        <v>2215.4220000000005</v>
      </c>
      <c r="O117" s="64">
        <f>Stock[[#This Row],[Precio de compra unitario]]+0.55*Stock[[#This Row],[Precio de compra unitario]]</f>
        <v>381.5449000000001</v>
      </c>
      <c r="P117" s="65"/>
      <c r="Q117" s="3"/>
    </row>
    <row r="118" spans="1:17" hidden="1" x14ac:dyDescent="0.3">
      <c r="A118" s="3" t="s">
        <v>135</v>
      </c>
      <c r="B118" s="3" t="str">
        <f>VLOOKUP(Stock[[#This Row],[Codigo del producto ]],Entradas[],3,FALSE)</f>
        <v xml:space="preserve">Mouse ReDragon M991 </v>
      </c>
      <c r="C118" s="6">
        <f>VLOOKUP(Stock[[#This Row],[Codigo del producto ]],Entradas[],2,FALSE)</f>
        <v>46105</v>
      </c>
      <c r="D118" s="3" t="str">
        <f>IFERROR(VLOOKUP(Stock[[#This Row],[Codigo del producto ]],Entradas[],4,FALSE),"-")</f>
        <v>LT10</v>
      </c>
      <c r="E118" s="3">
        <f>IFERROR(VLOOKUP(Stock[[#This Row],[Codigo del producto ]],Entradas[],5,FALSE),"-")</f>
        <v>2</v>
      </c>
      <c r="F118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118" s="3">
        <f>IFERROR(Stock[[#This Row],[Entradas]]-Stock[[#This Row],[Salidas]],"-")</f>
        <v>0</v>
      </c>
      <c r="H118" s="63">
        <v>27.1</v>
      </c>
      <c r="I118" s="63">
        <f>Stock[[#This Row],[Entradas]]*Stock[[#This Row],[Precio Unitario ($)]]</f>
        <v>54.2</v>
      </c>
      <c r="J118" s="63">
        <v>2</v>
      </c>
      <c r="K118" s="63">
        <f>Stock[[#This Row],[Entradas]]*Stock[[#This Row],[Costo de envio unitario]]</f>
        <v>4</v>
      </c>
      <c r="L118" s="63">
        <f>IFERROR(Stock[[#This Row],[Precio Total (Sin Envios - $)]]+Stock[[#This Row],[Coste de envio total]],"-")</f>
        <v>58.2</v>
      </c>
      <c r="M118" s="63">
        <f>(Stock[[#This Row],[Precio Unitario ($)]]+Stock[[#This Row],[Costo de envio unitario]])*36.85</f>
        <v>1072.335</v>
      </c>
      <c r="N118" s="64">
        <f>(Stock[[#This Row],[Precio Total (Con Envios - $)]])*36.85</f>
        <v>2144.67</v>
      </c>
      <c r="O118" s="64">
        <f>Stock[[#This Row],[Precio de compra unitario]]+0.55*Stock[[#This Row],[Precio de compra unitario]]</f>
        <v>1662.1192500000002</v>
      </c>
      <c r="P118" s="65"/>
      <c r="Q118" s="3"/>
    </row>
    <row r="119" spans="1:17" x14ac:dyDescent="0.3">
      <c r="A119" s="3" t="s">
        <v>136</v>
      </c>
      <c r="B119" s="3" t="str">
        <f>VLOOKUP(Stock[[#This Row],[Codigo del producto ]],Entradas[],3,FALSE)</f>
        <v xml:space="preserve">Lataffa Khamrah </v>
      </c>
      <c r="C119" s="6">
        <f>VLOOKUP(Stock[[#This Row],[Codigo del producto ]],Entradas[],2,FALSE)</f>
        <v>46105</v>
      </c>
      <c r="D119" s="3" t="str">
        <f>IFERROR(VLOOKUP(Stock[[#This Row],[Codigo del producto ]],Entradas[],4,FALSE),"-")</f>
        <v>LT10</v>
      </c>
      <c r="E119" s="3">
        <f>IFERROR(VLOOKUP(Stock[[#This Row],[Codigo del producto ]],Entradas[],5,FALSE),"-")</f>
        <v>1</v>
      </c>
      <c r="F119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119" s="3">
        <f>IFERROR(Stock[[#This Row],[Entradas]]-Stock[[#This Row],[Salidas]],"-")</f>
        <v>0</v>
      </c>
      <c r="H119" s="63">
        <v>21.54</v>
      </c>
      <c r="I119" s="63">
        <f>Stock[[#This Row],[Entradas]]*Stock[[#This Row],[Precio Unitario ($)]]</f>
        <v>21.54</v>
      </c>
      <c r="J119" s="63">
        <v>4</v>
      </c>
      <c r="K119" s="63">
        <f>Stock[[#This Row],[Entradas]]*Stock[[#This Row],[Costo de envio unitario]]</f>
        <v>4</v>
      </c>
      <c r="L119" s="63">
        <f>IFERROR(Stock[[#This Row],[Precio Total (Sin Envios - $)]]+Stock[[#This Row],[Coste de envio total]],"-")</f>
        <v>25.54</v>
      </c>
      <c r="M119" s="63">
        <f>(Stock[[#This Row],[Precio Unitario ($)]]+Stock[[#This Row],[Costo de envio unitario]])*36.85</f>
        <v>941.149</v>
      </c>
      <c r="N119" s="64">
        <f>(Stock[[#This Row],[Precio Total (Con Envios - $)]])*36.85</f>
        <v>941.149</v>
      </c>
      <c r="O119" s="64">
        <f>Stock[[#This Row],[Precio de compra unitario]]+0.55*Stock[[#This Row],[Precio de compra unitario]]</f>
        <v>1458.7809500000001</v>
      </c>
      <c r="P119" s="65"/>
      <c r="Q119" s="3"/>
    </row>
    <row r="120" spans="1:17" x14ac:dyDescent="0.3">
      <c r="A120" s="3" t="s">
        <v>137</v>
      </c>
      <c r="B120" s="3" t="str">
        <f>VLOOKUP(Stock[[#This Row],[Codigo del producto ]],Entradas[],3,FALSE)</f>
        <v>Acqua di gio giorgio Armani</v>
      </c>
      <c r="C120" s="6">
        <f>VLOOKUP(Stock[[#This Row],[Codigo del producto ]],Entradas[],2,FALSE)</f>
        <v>46105</v>
      </c>
      <c r="D120" s="3" t="str">
        <f>IFERROR(VLOOKUP(Stock[[#This Row],[Codigo del producto ]],Entradas[],4,FALSE),"-")</f>
        <v>LT10</v>
      </c>
      <c r="E120" s="3">
        <f>IFERROR(VLOOKUP(Stock[[#This Row],[Codigo del producto ]],Entradas[],5,FALSE),"-")</f>
        <v>1</v>
      </c>
      <c r="F120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20" s="3">
        <f>IFERROR(Stock[[#This Row],[Entradas]]-Stock[[#This Row],[Salidas]],"-")</f>
        <v>1</v>
      </c>
      <c r="H120" s="63">
        <v>69.36</v>
      </c>
      <c r="I120" s="63">
        <f>Stock[[#This Row],[Entradas]]*Stock[[#This Row],[Precio Unitario ($)]]</f>
        <v>69.36</v>
      </c>
      <c r="J120" s="63">
        <v>2</v>
      </c>
      <c r="K120" s="63">
        <f>Stock[[#This Row],[Entradas]]*Stock[[#This Row],[Costo de envio unitario]]</f>
        <v>2</v>
      </c>
      <c r="L120" s="63">
        <f>IFERROR(Stock[[#This Row],[Precio Total (Sin Envios - $)]]+Stock[[#This Row],[Coste de envio total]],"-")</f>
        <v>71.36</v>
      </c>
      <c r="M120" s="63">
        <f>(Stock[[#This Row],[Precio Unitario ($)]]+Stock[[#This Row],[Costo de envio unitario]])*36.85</f>
        <v>2629.616</v>
      </c>
      <c r="N120" s="64">
        <f>(Stock[[#This Row],[Precio Total (Con Envios - $)]])*36.85</f>
        <v>2629.616</v>
      </c>
      <c r="O120" s="64">
        <f>Stock[[#This Row],[Precio de compra unitario]]+0.55*Stock[[#This Row],[Precio de compra unitario]]</f>
        <v>4075.9048000000003</v>
      </c>
      <c r="P120" s="65"/>
      <c r="Q120" s="3"/>
    </row>
    <row r="121" spans="1:17" x14ac:dyDescent="0.3">
      <c r="A121" s="3" t="s">
        <v>138</v>
      </c>
      <c r="B121" s="3" t="str">
        <f>VLOOKUP(Stock[[#This Row],[Codigo del producto ]],Entradas[],3,FALSE)</f>
        <v>Afan Supremacy</v>
      </c>
      <c r="C121" s="6">
        <f>VLOOKUP(Stock[[#This Row],[Codigo del producto ]],Entradas[],2,FALSE)</f>
        <v>46105</v>
      </c>
      <c r="D121" s="3" t="str">
        <f>IFERROR(VLOOKUP(Stock[[#This Row],[Codigo del producto ]],Entradas[],4,FALSE),"-")</f>
        <v>LT10</v>
      </c>
      <c r="E121" s="3">
        <f>IFERROR(VLOOKUP(Stock[[#This Row],[Codigo del producto ]],Entradas[],5,FALSE),"-")</f>
        <v>2</v>
      </c>
      <c r="F121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121" s="3">
        <f>IFERROR(Stock[[#This Row],[Entradas]]-Stock[[#This Row],[Salidas]],"-")</f>
        <v>0</v>
      </c>
      <c r="H121" s="63">
        <v>14.9</v>
      </c>
      <c r="I121" s="63">
        <f>Stock[[#This Row],[Entradas]]*Stock[[#This Row],[Precio Unitario ($)]]</f>
        <v>29.8</v>
      </c>
      <c r="J121" s="63">
        <v>2</v>
      </c>
      <c r="K121" s="63">
        <f>Stock[[#This Row],[Entradas]]*Stock[[#This Row],[Costo de envio unitario]]</f>
        <v>4</v>
      </c>
      <c r="L121" s="63">
        <f>IFERROR(Stock[[#This Row],[Precio Total (Sin Envios - $)]]+Stock[[#This Row],[Coste de envio total]],"-")</f>
        <v>33.799999999999997</v>
      </c>
      <c r="M121" s="63">
        <f>(Stock[[#This Row],[Precio Unitario ($)]]+Stock[[#This Row],[Costo de envio unitario]])*36.85</f>
        <v>622.76499999999999</v>
      </c>
      <c r="N121" s="64">
        <f>(Stock[[#This Row],[Precio Total (Con Envios - $)]])*36.85</f>
        <v>1245.53</v>
      </c>
      <c r="O121" s="64">
        <f>Stock[[#This Row],[Precio de compra unitario]]+0.55*Stock[[#This Row],[Precio de compra unitario]]</f>
        <v>965.28575000000001</v>
      </c>
      <c r="P121" s="65"/>
      <c r="Q121" s="3"/>
    </row>
    <row r="122" spans="1:17" x14ac:dyDescent="0.3">
      <c r="A122" s="3" t="s">
        <v>139</v>
      </c>
      <c r="B122" s="3" t="str">
        <f>VLOOKUP(Stock[[#This Row],[Codigo del producto ]],Entradas[],3,FALSE)</f>
        <v>Shark Attack Mouse X6</v>
      </c>
      <c r="C122" s="6">
        <f>VLOOKUP(Stock[[#This Row],[Codigo del producto ]],Entradas[],2,FALSE)</f>
        <v>46105</v>
      </c>
      <c r="D122" s="3" t="str">
        <f>IFERROR(VLOOKUP(Stock[[#This Row],[Codigo del producto ]],Entradas[],4,FALSE),"-")</f>
        <v>LT10</v>
      </c>
      <c r="E122" s="3">
        <f>IFERROR(VLOOKUP(Stock[[#This Row],[Codigo del producto ]],Entradas[],5,FALSE),"-")</f>
        <v>1</v>
      </c>
      <c r="F122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122" s="3">
        <f>IFERROR(Stock[[#This Row],[Entradas]]-Stock[[#This Row],[Salidas]],"-")</f>
        <v>0</v>
      </c>
      <c r="H122" s="63">
        <v>39.5</v>
      </c>
      <c r="I122" s="63">
        <f>Stock[[#This Row],[Entradas]]*Stock[[#This Row],[Precio Unitario ($)]]</f>
        <v>39.5</v>
      </c>
      <c r="J122" s="63">
        <v>2</v>
      </c>
      <c r="K122" s="63">
        <f>Stock[[#This Row],[Entradas]]*Stock[[#This Row],[Costo de envio unitario]]</f>
        <v>2</v>
      </c>
      <c r="L122" s="63">
        <f>IFERROR(Stock[[#This Row],[Precio Total (Sin Envios - $)]]+Stock[[#This Row],[Coste de envio total]],"-")</f>
        <v>41.5</v>
      </c>
      <c r="M122" s="63">
        <f>(Stock[[#This Row],[Precio Unitario ($)]]+Stock[[#This Row],[Costo de envio unitario]])*36.85</f>
        <v>1529.2750000000001</v>
      </c>
      <c r="N122" s="64">
        <f>(Stock[[#This Row],[Precio Total (Con Envios - $)]])*36.85</f>
        <v>1529.2750000000001</v>
      </c>
      <c r="O122" s="64">
        <f>Stock[[#This Row],[Precio de compra unitario]]+0.55*Stock[[#This Row],[Precio de compra unitario]]</f>
        <v>2370.3762500000003</v>
      </c>
      <c r="P122" s="65"/>
      <c r="Q122" s="3"/>
    </row>
    <row r="123" spans="1:17" x14ac:dyDescent="0.3">
      <c r="A123" s="3" t="s">
        <v>140</v>
      </c>
      <c r="B123" s="3" t="str">
        <f>VLOOKUP(Stock[[#This Row],[Codigo del producto ]],Entradas[],3,FALSE)</f>
        <v>9PM</v>
      </c>
      <c r="C123" s="6">
        <f>VLOOKUP(Stock[[#This Row],[Codigo del producto ]],Entradas[],2,FALSE)</f>
        <v>46105</v>
      </c>
      <c r="D123" s="3" t="str">
        <f>IFERROR(VLOOKUP(Stock[[#This Row],[Codigo del producto ]],Entradas[],4,FALSE),"-")</f>
        <v>LT10</v>
      </c>
      <c r="E123" s="3">
        <f>IFERROR(VLOOKUP(Stock[[#This Row],[Codigo del producto ]],Entradas[],5,FALSE),"-")</f>
        <v>2</v>
      </c>
      <c r="F123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23" s="3">
        <f>IFERROR(Stock[[#This Row],[Entradas]]-Stock[[#This Row],[Salidas]],"-")</f>
        <v>2</v>
      </c>
      <c r="H123" s="63">
        <v>15.9</v>
      </c>
      <c r="I123" s="63">
        <f>Stock[[#This Row],[Entradas]]*Stock[[#This Row],[Precio Unitario ($)]]</f>
        <v>31.8</v>
      </c>
      <c r="J123" s="63">
        <v>2</v>
      </c>
      <c r="K123" s="63">
        <f>Stock[[#This Row],[Entradas]]*Stock[[#This Row],[Costo de envio unitario]]</f>
        <v>4</v>
      </c>
      <c r="L123" s="63">
        <f>IFERROR(Stock[[#This Row],[Precio Total (Sin Envios - $)]]+Stock[[#This Row],[Coste de envio total]],"-")</f>
        <v>35.799999999999997</v>
      </c>
      <c r="M123" s="63">
        <f>(Stock[[#This Row],[Precio Unitario ($)]]+Stock[[#This Row],[Costo de envio unitario]])*36.85</f>
        <v>659.61500000000001</v>
      </c>
      <c r="N123" s="64">
        <f>(Stock[[#This Row],[Precio Total (Con Envios - $)]])*36.85</f>
        <v>1319.23</v>
      </c>
      <c r="O123" s="64">
        <f>Stock[[#This Row],[Precio de compra unitario]]+0.55*Stock[[#This Row],[Precio de compra unitario]]</f>
        <v>1022.4032500000001</v>
      </c>
      <c r="P123" s="65"/>
      <c r="Q123" s="3"/>
    </row>
    <row r="124" spans="1:17" x14ac:dyDescent="0.3">
      <c r="A124" s="3" t="s">
        <v>141</v>
      </c>
      <c r="B124" s="3" t="str">
        <f>VLOOKUP(Stock[[#This Row],[Codigo del producto ]],Entradas[],3,FALSE)</f>
        <v>Mandarin Sky</v>
      </c>
      <c r="C124" s="6">
        <f>VLOOKUP(Stock[[#This Row],[Codigo del producto ]],Entradas[],2,FALSE)</f>
        <v>46113</v>
      </c>
      <c r="D124" s="3" t="str">
        <f>IFERROR(VLOOKUP(Stock[[#This Row],[Codigo del producto ]],Entradas[],4,FALSE),"-")</f>
        <v>LT11</v>
      </c>
      <c r="E124" s="3">
        <f>IFERROR(VLOOKUP(Stock[[#This Row],[Codigo del producto ]],Entradas[],5,FALSE),"-")</f>
        <v>1</v>
      </c>
      <c r="F124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24" s="3">
        <f>IFERROR(Stock[[#This Row],[Entradas]]-Stock[[#This Row],[Salidas]],"-")</f>
        <v>1</v>
      </c>
      <c r="H124" s="63">
        <v>13.61</v>
      </c>
      <c r="I124" s="63">
        <f>Stock[[#This Row],[Entradas]]*Stock[[#This Row],[Precio Unitario ($)]]</f>
        <v>13.61</v>
      </c>
      <c r="J124" s="63">
        <v>1</v>
      </c>
      <c r="K124" s="63">
        <f>Stock[[#This Row],[Entradas]]*Stock[[#This Row],[Costo de envio unitario]]</f>
        <v>1</v>
      </c>
      <c r="L124" s="63">
        <f>IFERROR(Stock[[#This Row],[Precio Total (Sin Envios - $)]]+Stock[[#This Row],[Coste de envio total]],"-")</f>
        <v>14.61</v>
      </c>
      <c r="M124" s="63">
        <f>(Stock[[#This Row],[Precio Unitario ($)]]+Stock[[#This Row],[Costo de envio unitario]])*36.85</f>
        <v>538.37850000000003</v>
      </c>
      <c r="N124" s="64">
        <f>(Stock[[#This Row],[Precio Total (Con Envios - $)]])*36.85</f>
        <v>538.37850000000003</v>
      </c>
      <c r="O124" s="64">
        <f>Stock[[#This Row],[Precio de compra unitario]]+0.55*Stock[[#This Row],[Precio de compra unitario]]</f>
        <v>834.4866750000001</v>
      </c>
      <c r="P124" s="65"/>
      <c r="Q124" s="3"/>
    </row>
    <row r="125" spans="1:17" x14ac:dyDescent="0.3">
      <c r="A125" s="3" t="s">
        <v>142</v>
      </c>
      <c r="B125" s="3" t="str">
        <f>VLOOKUP(Stock[[#This Row],[Codigo del producto ]],Entradas[],3,FALSE)</f>
        <v>Headset Bluetooth para moto (Regular)</v>
      </c>
      <c r="C125" s="6">
        <f>VLOOKUP(Stock[[#This Row],[Codigo del producto ]],Entradas[],2,FALSE)</f>
        <v>46119</v>
      </c>
      <c r="D125" s="3" t="str">
        <f>IFERROR(VLOOKUP(Stock[[#This Row],[Codigo del producto ]],Entradas[],4,FALSE),"-")</f>
        <v>LT12</v>
      </c>
      <c r="E125" s="3">
        <f>IFERROR(VLOOKUP(Stock[[#This Row],[Codigo del producto ]],Entradas[],5,FALSE),"-")</f>
        <v>10</v>
      </c>
      <c r="F125" s="3">
        <f>IFERROR(SUMIFS(Pagos[Cantidad vendida], Pagos[Codigo del producto], Stock[[#This Row],[Codigo del producto ]]) + SUMIFS(PagosV2[Cantidad vendida], PagosV2[Codigo del producto], Stock[[#This Row],[Codigo del producto ]]), "-")</f>
        <v>6</v>
      </c>
      <c r="G125" s="3">
        <f>IFERROR(Stock[[#This Row],[Entradas]]-Stock[[#This Row],[Salidas]],"-")</f>
        <v>4</v>
      </c>
      <c r="H125" s="63">
        <v>7.9</v>
      </c>
      <c r="I125" s="63">
        <f>Stock[[#This Row],[Entradas]]*Stock[[#This Row],[Precio Unitario ($)]]</f>
        <v>79</v>
      </c>
      <c r="J125" s="63">
        <v>0.6</v>
      </c>
      <c r="K125" s="63">
        <f>Stock[[#This Row],[Entradas]]*Stock[[#This Row],[Costo de envio unitario]]</f>
        <v>6</v>
      </c>
      <c r="L125" s="63">
        <f>IFERROR(Stock[[#This Row],[Precio Total (Sin Envios - $)]]+Stock[[#This Row],[Coste de envio total]],"-")</f>
        <v>85</v>
      </c>
      <c r="M125" s="63">
        <f>(Stock[[#This Row],[Precio Unitario ($)]]+Stock[[#This Row],[Costo de envio unitario]])*36.85</f>
        <v>313.22500000000002</v>
      </c>
      <c r="N125" s="64">
        <f>(Stock[[#This Row],[Precio Total (Con Envios - $)]])*36.85</f>
        <v>3132.25</v>
      </c>
      <c r="O125" s="64">
        <f>Stock[[#This Row],[Precio de compra unitario]]+0.55*Stock[[#This Row],[Precio de compra unitario]]</f>
        <v>485.49875000000009</v>
      </c>
      <c r="P125" s="65"/>
      <c r="Q125" s="3"/>
    </row>
    <row r="126" spans="1:17" x14ac:dyDescent="0.3">
      <c r="A126" s="3" t="s">
        <v>143</v>
      </c>
      <c r="B126" s="3" t="str">
        <f>VLOOKUP(Stock[[#This Row],[Codigo del producto ]],Entradas[],3,FALSE)</f>
        <v>Headset Bluetooth para moto (Camores)</v>
      </c>
      <c r="C126" s="6">
        <f>VLOOKUP(Stock[[#This Row],[Codigo del producto ]],Entradas[],2,FALSE)</f>
        <v>46119</v>
      </c>
      <c r="D126" s="3" t="str">
        <f>IFERROR(VLOOKUP(Stock[[#This Row],[Codigo del producto ]],Entradas[],4,FALSE),"-")</f>
        <v>LT12</v>
      </c>
      <c r="E126" s="3">
        <f>IFERROR(VLOOKUP(Stock[[#This Row],[Codigo del producto ]],Entradas[],5,FALSE),"-")</f>
        <v>2</v>
      </c>
      <c r="F126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26" s="3">
        <f>IFERROR(Stock[[#This Row],[Entradas]]-Stock[[#This Row],[Salidas]],"-")</f>
        <v>2</v>
      </c>
      <c r="H126" s="63">
        <v>9.7200000000000006</v>
      </c>
      <c r="I126" s="63">
        <f>Stock[[#This Row],[Entradas]]*Stock[[#This Row],[Precio Unitario ($)]]</f>
        <v>19.440000000000001</v>
      </c>
      <c r="J126" s="63">
        <v>0.6</v>
      </c>
      <c r="K126" s="63">
        <f>Stock[[#This Row],[Entradas]]*Stock[[#This Row],[Costo de envio unitario]]</f>
        <v>1.2</v>
      </c>
      <c r="L126" s="63">
        <f>IFERROR(Stock[[#This Row],[Precio Total (Sin Envios - $)]]+Stock[[#This Row],[Coste de envio total]],"-")</f>
        <v>20.64</v>
      </c>
      <c r="M126" s="63">
        <f>(Stock[[#This Row],[Precio Unitario ($)]]+Stock[[#This Row],[Costo de envio unitario]])*36.85</f>
        <v>380.29200000000003</v>
      </c>
      <c r="N126" s="64">
        <f>(Stock[[#This Row],[Precio Total (Con Envios - $)]])*36.85</f>
        <v>760.58400000000006</v>
      </c>
      <c r="O126" s="64">
        <f>Stock[[#This Row],[Precio de compra unitario]]+0.55*Stock[[#This Row],[Precio de compra unitario]]</f>
        <v>589.45260000000007</v>
      </c>
      <c r="P126" s="65"/>
      <c r="Q126" s="3"/>
    </row>
    <row r="127" spans="1:17" x14ac:dyDescent="0.3">
      <c r="A127" s="3" t="s">
        <v>144</v>
      </c>
      <c r="B127" s="3" t="str">
        <f>VLOOKUP(Stock[[#This Row],[Codigo del producto ]],Entradas[],3,FALSE)</f>
        <v>Headset Bluetooth para moto (Y20)</v>
      </c>
      <c r="C127" s="6">
        <f>VLOOKUP(Stock[[#This Row],[Codigo del producto ]],Entradas[],2,FALSE)</f>
        <v>46119</v>
      </c>
      <c r="D127" s="3" t="str">
        <f>IFERROR(VLOOKUP(Stock[[#This Row],[Codigo del producto ]],Entradas[],4,FALSE),"-")</f>
        <v>LT12</v>
      </c>
      <c r="E127" s="3">
        <f>IFERROR(VLOOKUP(Stock[[#This Row],[Codigo del producto ]],Entradas[],5,FALSE),"-")</f>
        <v>2</v>
      </c>
      <c r="F127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27" s="3">
        <f>IFERROR(Stock[[#This Row],[Entradas]]-Stock[[#This Row],[Salidas]],"-")</f>
        <v>2</v>
      </c>
      <c r="H127" s="63">
        <v>17.399999999999999</v>
      </c>
      <c r="I127" s="63">
        <f>Stock[[#This Row],[Entradas]]*Stock[[#This Row],[Precio Unitario ($)]]</f>
        <v>34.799999999999997</v>
      </c>
      <c r="J127" s="63">
        <v>0.6</v>
      </c>
      <c r="K127" s="63">
        <f>Stock[[#This Row],[Entradas]]*Stock[[#This Row],[Costo de envio unitario]]</f>
        <v>1.2</v>
      </c>
      <c r="L127" s="63">
        <f>IFERROR(Stock[[#This Row],[Precio Total (Sin Envios - $)]]+Stock[[#This Row],[Coste de envio total]],"-")</f>
        <v>36</v>
      </c>
      <c r="M127" s="63">
        <f>(Stock[[#This Row],[Precio Unitario ($)]]+Stock[[#This Row],[Costo de envio unitario]])*36.85</f>
        <v>663.30000000000007</v>
      </c>
      <c r="N127" s="64">
        <f>(Stock[[#This Row],[Precio Total (Con Envios - $)]])*36.85</f>
        <v>1326.6000000000001</v>
      </c>
      <c r="O127" s="64">
        <f>Stock[[#This Row],[Precio de compra unitario]]+0.55*Stock[[#This Row],[Precio de compra unitario]]</f>
        <v>1028.1150000000002</v>
      </c>
      <c r="P127" s="65"/>
      <c r="Q127" s="3"/>
    </row>
    <row r="128" spans="1:17" x14ac:dyDescent="0.3">
      <c r="A128" s="3" t="s">
        <v>145</v>
      </c>
      <c r="B128" s="3" t="str">
        <f>VLOOKUP(Stock[[#This Row],[Codigo del producto ]],Entradas[],3,FALSE)</f>
        <v>Headset Bluetooth para moto (C50)</v>
      </c>
      <c r="C128" s="6">
        <f>VLOOKUP(Stock[[#This Row],[Codigo del producto ]],Entradas[],2,FALSE)</f>
        <v>46119</v>
      </c>
      <c r="D128" s="3" t="str">
        <f>IFERROR(VLOOKUP(Stock[[#This Row],[Codigo del producto ]],Entradas[],4,FALSE),"-")</f>
        <v>LT12</v>
      </c>
      <c r="E128" s="3">
        <f>IFERROR(VLOOKUP(Stock[[#This Row],[Codigo del producto ]],Entradas[],5,FALSE),"-")</f>
        <v>2</v>
      </c>
      <c r="F128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128" s="3">
        <f>IFERROR(Stock[[#This Row],[Entradas]]-Stock[[#This Row],[Salidas]],"-")</f>
        <v>1</v>
      </c>
      <c r="H128" s="63">
        <v>15.4</v>
      </c>
      <c r="I128" s="63">
        <f>Stock[[#This Row],[Entradas]]*Stock[[#This Row],[Precio Unitario ($)]]</f>
        <v>30.8</v>
      </c>
      <c r="J128" s="63">
        <v>0.6</v>
      </c>
      <c r="K128" s="63">
        <f>Stock[[#This Row],[Entradas]]*Stock[[#This Row],[Costo de envio unitario]]</f>
        <v>1.2</v>
      </c>
      <c r="L128" s="63">
        <f>IFERROR(Stock[[#This Row],[Precio Total (Sin Envios - $)]]+Stock[[#This Row],[Coste de envio total]],"-")</f>
        <v>32</v>
      </c>
      <c r="M128" s="63">
        <f>(Stock[[#This Row],[Precio Unitario ($)]]+Stock[[#This Row],[Costo de envio unitario]])*36.85</f>
        <v>589.6</v>
      </c>
      <c r="N128" s="64">
        <f>(Stock[[#This Row],[Precio Total (Con Envios - $)]])*36.85</f>
        <v>1179.2</v>
      </c>
      <c r="O128" s="64">
        <f>Stock[[#This Row],[Precio de compra unitario]]+0.55*Stock[[#This Row],[Precio de compra unitario]]</f>
        <v>913.88000000000011</v>
      </c>
      <c r="P128" s="65"/>
      <c r="Q128" s="3"/>
    </row>
    <row r="129" spans="1:17" x14ac:dyDescent="0.3">
      <c r="A129" s="3" t="s">
        <v>146</v>
      </c>
      <c r="B129" s="3" t="str">
        <f>VLOOKUP(Stock[[#This Row],[Codigo del producto ]],Entradas[],3,FALSE)</f>
        <v>Headset Bluetooth para moto (Y12)</v>
      </c>
      <c r="C129" s="6">
        <f>VLOOKUP(Stock[[#This Row],[Codigo del producto ]],Entradas[],2,FALSE)</f>
        <v>46119</v>
      </c>
      <c r="D129" s="3" t="str">
        <f>IFERROR(VLOOKUP(Stock[[#This Row],[Codigo del producto ]],Entradas[],4,FALSE),"-")</f>
        <v>LT12</v>
      </c>
      <c r="E129" s="3">
        <f>IFERROR(VLOOKUP(Stock[[#This Row],[Codigo del producto ]],Entradas[],5,FALSE),"-")</f>
        <v>2</v>
      </c>
      <c r="F129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29" s="3">
        <f>IFERROR(Stock[[#This Row],[Entradas]]-Stock[[#This Row],[Salidas]],"-")</f>
        <v>2</v>
      </c>
      <c r="H129" s="63">
        <v>20.3</v>
      </c>
      <c r="I129" s="63">
        <f>Stock[[#This Row],[Entradas]]*Stock[[#This Row],[Precio Unitario ($)]]</f>
        <v>40.6</v>
      </c>
      <c r="J129" s="63">
        <v>0.6</v>
      </c>
      <c r="K129" s="63">
        <f>Stock[[#This Row],[Entradas]]*Stock[[#This Row],[Costo de envio unitario]]</f>
        <v>1.2</v>
      </c>
      <c r="L129" s="63">
        <f>IFERROR(Stock[[#This Row],[Precio Total (Sin Envios - $)]]+Stock[[#This Row],[Coste de envio total]],"-")</f>
        <v>41.800000000000004</v>
      </c>
      <c r="M129" s="63">
        <f>(Stock[[#This Row],[Precio Unitario ($)]]+Stock[[#This Row],[Costo de envio unitario]])*36.85</f>
        <v>770.16500000000008</v>
      </c>
      <c r="N129" s="64">
        <f>(Stock[[#This Row],[Precio Total (Con Envios - $)]])*36.85</f>
        <v>1540.3300000000002</v>
      </c>
      <c r="O129" s="64">
        <f>Stock[[#This Row],[Precio de compra unitario]]+0.55*Stock[[#This Row],[Precio de compra unitario]]</f>
        <v>1193.7557500000003</v>
      </c>
      <c r="P129" s="65"/>
      <c r="Q129" s="3"/>
    </row>
    <row r="130" spans="1:17" x14ac:dyDescent="0.3">
      <c r="A130" s="3" t="s">
        <v>147</v>
      </c>
      <c r="B130" s="3" t="str">
        <f>VLOOKUP(Stock[[#This Row],[Codigo del producto ]],Entradas[],3,FALSE)</f>
        <v>Headset Bluetooth para moto (Y10)</v>
      </c>
      <c r="C130" s="6">
        <f>VLOOKUP(Stock[[#This Row],[Codigo del producto ]],Entradas[],2,FALSE)</f>
        <v>46119</v>
      </c>
      <c r="D130" s="3" t="str">
        <f>IFERROR(VLOOKUP(Stock[[#This Row],[Codigo del producto ]],Entradas[],4,FALSE),"-")</f>
        <v>LT12</v>
      </c>
      <c r="E130" s="3">
        <f>IFERROR(VLOOKUP(Stock[[#This Row],[Codigo del producto ]],Entradas[],5,FALSE),"-")</f>
        <v>2</v>
      </c>
      <c r="F130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130" s="3">
        <f>IFERROR(Stock[[#This Row],[Entradas]]-Stock[[#This Row],[Salidas]],"-")</f>
        <v>1</v>
      </c>
      <c r="H130" s="63">
        <v>8.86</v>
      </c>
      <c r="I130" s="63">
        <f>Stock[[#This Row],[Entradas]]*Stock[[#This Row],[Precio Unitario ($)]]</f>
        <v>17.72</v>
      </c>
      <c r="J130" s="63">
        <v>0.6</v>
      </c>
      <c r="K130" s="63">
        <f>Stock[[#This Row],[Entradas]]*Stock[[#This Row],[Costo de envio unitario]]</f>
        <v>1.2</v>
      </c>
      <c r="L130" s="63">
        <f>IFERROR(Stock[[#This Row],[Precio Total (Sin Envios - $)]]+Stock[[#This Row],[Coste de envio total]],"-")</f>
        <v>18.919999999999998</v>
      </c>
      <c r="M130" s="63">
        <f>(Stock[[#This Row],[Precio Unitario ($)]]+Stock[[#This Row],[Costo de envio unitario]])*36.85</f>
        <v>348.601</v>
      </c>
      <c r="N130" s="64">
        <f>(Stock[[#This Row],[Precio Total (Con Envios - $)]])*36.85</f>
        <v>697.202</v>
      </c>
      <c r="O130" s="64">
        <f>Stock[[#This Row],[Precio de compra unitario]]+0.55*Stock[[#This Row],[Precio de compra unitario]]</f>
        <v>540.33154999999999</v>
      </c>
      <c r="P130" s="65"/>
      <c r="Q130" s="3"/>
    </row>
    <row r="131" spans="1:17" hidden="1" x14ac:dyDescent="0.3">
      <c r="A131" s="3" t="s">
        <v>148</v>
      </c>
      <c r="B131" s="3" t="str">
        <f>VLOOKUP(Stock[[#This Row],[Codigo del producto ]],Entradas[],3,FALSE)</f>
        <v>KZ castor Pro</v>
      </c>
      <c r="C131" s="6">
        <f>VLOOKUP(Stock[[#This Row],[Codigo del producto ]],Entradas[],2,FALSE)</f>
        <v>46119</v>
      </c>
      <c r="D131" s="3" t="str">
        <f>IFERROR(VLOOKUP(Stock[[#This Row],[Codigo del producto ]],Entradas[],4,FALSE),"-")</f>
        <v>LT12</v>
      </c>
      <c r="E131" s="3">
        <f>IFERROR(VLOOKUP(Stock[[#This Row],[Codigo del producto ]],Entradas[],5,FALSE),"-")</f>
        <v>7</v>
      </c>
      <c r="F131" s="3">
        <f>IFERROR(SUMIFS(Pagos[Cantidad vendida], Pagos[Codigo del producto], Stock[[#This Row],[Codigo del producto ]]) + SUMIFS(PagosV2[Cantidad vendida], PagosV2[Codigo del producto], Stock[[#This Row],[Codigo del producto ]]), "-")</f>
        <v>7</v>
      </c>
      <c r="G131" s="3">
        <f>IFERROR(Stock[[#This Row],[Entradas]]-Stock[[#This Row],[Salidas]],"-")</f>
        <v>0</v>
      </c>
      <c r="H131" s="63">
        <v>17.43</v>
      </c>
      <c r="I131" s="63">
        <f>Stock[[#This Row],[Entradas]]*Stock[[#This Row],[Precio Unitario ($)]]</f>
        <v>122.00999999999999</v>
      </c>
      <c r="J131" s="63">
        <v>0.6</v>
      </c>
      <c r="K131" s="63">
        <f>Stock[[#This Row],[Entradas]]*Stock[[#This Row],[Costo de envio unitario]]</f>
        <v>4.2</v>
      </c>
      <c r="L131" s="63">
        <f>IFERROR(Stock[[#This Row],[Precio Total (Sin Envios - $)]]+Stock[[#This Row],[Coste de envio total]],"-")</f>
        <v>126.21</v>
      </c>
      <c r="M131" s="63">
        <f>(Stock[[#This Row],[Precio Unitario ($)]]+Stock[[#This Row],[Costo de envio unitario]])*36.85</f>
        <v>664.40550000000007</v>
      </c>
      <c r="N131" s="64">
        <f>(Stock[[#This Row],[Precio Total (Con Envios - $)]])*36.85</f>
        <v>4650.8384999999998</v>
      </c>
      <c r="O131" s="64">
        <f>Stock[[#This Row],[Precio de compra unitario]]+0.55*Stock[[#This Row],[Precio de compra unitario]]</f>
        <v>1029.8285250000001</v>
      </c>
      <c r="P131" s="65"/>
      <c r="Q131" s="3"/>
    </row>
    <row r="132" spans="1:17" hidden="1" x14ac:dyDescent="0.3">
      <c r="A132" s="3" t="s">
        <v>149</v>
      </c>
      <c r="B132" s="3" t="str">
        <f>VLOOKUP(Stock[[#This Row],[Codigo del producto ]],Entradas[],3,FALSE)</f>
        <v>KZ EDX Pro X</v>
      </c>
      <c r="C132" s="6">
        <f>VLOOKUP(Stock[[#This Row],[Codigo del producto ]],Entradas[],2,FALSE)</f>
        <v>46119</v>
      </c>
      <c r="D132" s="3" t="str">
        <f>IFERROR(VLOOKUP(Stock[[#This Row],[Codigo del producto ]],Entradas[],4,FALSE),"-")</f>
        <v>LT12</v>
      </c>
      <c r="E132" s="3">
        <f>IFERROR(VLOOKUP(Stock[[#This Row],[Codigo del producto ]],Entradas[],5,FALSE),"-")</f>
        <v>1</v>
      </c>
      <c r="F132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132" s="3">
        <f>IFERROR(Stock[[#This Row],[Entradas]]-Stock[[#This Row],[Salidas]],"-")</f>
        <v>0</v>
      </c>
      <c r="H132" s="63">
        <v>5.7</v>
      </c>
      <c r="I132" s="63">
        <f>Stock[[#This Row],[Entradas]]*Stock[[#This Row],[Precio Unitario ($)]]</f>
        <v>5.7</v>
      </c>
      <c r="J132" s="63">
        <v>0.6</v>
      </c>
      <c r="K132" s="63">
        <f>Stock[[#This Row],[Entradas]]*Stock[[#This Row],[Costo de envio unitario]]</f>
        <v>0.6</v>
      </c>
      <c r="L132" s="63">
        <f>IFERROR(Stock[[#This Row],[Precio Total (Sin Envios - $)]]+Stock[[#This Row],[Coste de envio total]],"-")</f>
        <v>6.3</v>
      </c>
      <c r="M132" s="63">
        <f>(Stock[[#This Row],[Precio Unitario ($)]]+Stock[[#This Row],[Costo de envio unitario]])*36.85</f>
        <v>232.155</v>
      </c>
      <c r="N132" s="64">
        <f>(Stock[[#This Row],[Precio Total (Con Envios - $)]])*36.85</f>
        <v>232.155</v>
      </c>
      <c r="O132" s="64">
        <f>Stock[[#This Row],[Precio de compra unitario]]+0.55*Stock[[#This Row],[Precio de compra unitario]]</f>
        <v>359.84025000000003</v>
      </c>
      <c r="P132" s="65"/>
      <c r="Q132" s="3"/>
    </row>
    <row r="133" spans="1:17" hidden="1" x14ac:dyDescent="0.3">
      <c r="A133" s="3" t="s">
        <v>150</v>
      </c>
      <c r="B133" s="3" t="str">
        <f>VLOOKUP(Stock[[#This Row],[Codigo del producto ]],Entradas[],3,FALSE)</f>
        <v>KZ EDX Pro X</v>
      </c>
      <c r="C133" s="6">
        <f>VLOOKUP(Stock[[#This Row],[Codigo del producto ]],Entradas[],2,FALSE)</f>
        <v>46119</v>
      </c>
      <c r="D133" s="3" t="str">
        <f>IFERROR(VLOOKUP(Stock[[#This Row],[Codigo del producto ]],Entradas[],4,FALSE),"-")</f>
        <v>LT12</v>
      </c>
      <c r="E133" s="3">
        <f>IFERROR(VLOOKUP(Stock[[#This Row],[Codigo del producto ]],Entradas[],5,FALSE),"-")</f>
        <v>19</v>
      </c>
      <c r="F133" s="3">
        <f>IFERROR(SUMIFS(Pagos[Cantidad vendida], Pagos[Codigo del producto], Stock[[#This Row],[Codigo del producto ]]) + SUMIFS(PagosV2[Cantidad vendida], PagosV2[Codigo del producto], Stock[[#This Row],[Codigo del producto ]]), "-")</f>
        <v>19</v>
      </c>
      <c r="G133" s="3">
        <f>IFERROR(Stock[[#This Row],[Entradas]]-Stock[[#This Row],[Salidas]],"-")</f>
        <v>0</v>
      </c>
      <c r="H133" s="63">
        <v>5.7</v>
      </c>
      <c r="I133" s="63">
        <f>Stock[[#This Row],[Entradas]]*Stock[[#This Row],[Precio Unitario ($)]]</f>
        <v>108.3</v>
      </c>
      <c r="J133" s="63">
        <v>0.24</v>
      </c>
      <c r="K133" s="63">
        <f>Stock[[#This Row],[Entradas]]*Stock[[#This Row],[Costo de envio unitario]]</f>
        <v>4.5599999999999996</v>
      </c>
      <c r="L133" s="63">
        <f>IFERROR(Stock[[#This Row],[Precio Total (Sin Envios - $)]]+Stock[[#This Row],[Coste de envio total]],"-")</f>
        <v>112.86</v>
      </c>
      <c r="M133" s="63">
        <f>(Stock[[#This Row],[Precio Unitario ($)]]+Stock[[#This Row],[Costo de envio unitario]])*36.85</f>
        <v>218.88900000000001</v>
      </c>
      <c r="N133" s="64">
        <f>(Stock[[#This Row],[Precio Total (Con Envios - $)]])*36.85</f>
        <v>4158.8910000000005</v>
      </c>
      <c r="O133" s="64">
        <f>Stock[[#This Row],[Precio de compra unitario]]+0.55*Stock[[#This Row],[Precio de compra unitario]]</f>
        <v>339.27795000000003</v>
      </c>
      <c r="P133" s="65"/>
      <c r="Q133" s="3"/>
    </row>
    <row r="134" spans="1:17" x14ac:dyDescent="0.3">
      <c r="A134" s="3" t="s">
        <v>179</v>
      </c>
      <c r="B134" s="3" t="str">
        <f>VLOOKUP(Stock[[#This Row],[Codigo del producto ]],Entradas[],3,FALSE)</f>
        <v>KZ SKS</v>
      </c>
      <c r="C134" s="6">
        <f>VLOOKUP(Stock[[#This Row],[Codigo del producto ]],Entradas[],2,FALSE)</f>
        <v>46133</v>
      </c>
      <c r="D134" s="3" t="str">
        <f>IFERROR(VLOOKUP(Stock[[#This Row],[Codigo del producto ]],Entradas[],4,FALSE),"-")</f>
        <v>LT13</v>
      </c>
      <c r="E134" s="3">
        <f>IFERROR(VLOOKUP(Stock[[#This Row],[Codigo del producto ]],Entradas[],5,FALSE),"-")</f>
        <v>4</v>
      </c>
      <c r="F134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34" s="3">
        <f>IFERROR(Stock[[#This Row],[Entradas]]-Stock[[#This Row],[Salidas]],"-")</f>
        <v>4</v>
      </c>
      <c r="H134" s="63">
        <v>30.6</v>
      </c>
      <c r="I134" s="63">
        <f>Stock[[#This Row],[Entradas]]*Stock[[#This Row],[Precio Unitario ($)]]</f>
        <v>122.4</v>
      </c>
      <c r="J134" s="63">
        <v>1</v>
      </c>
      <c r="K134" s="63">
        <f>Stock[[#This Row],[Entradas]]*Stock[[#This Row],[Costo de envio unitario]]</f>
        <v>4</v>
      </c>
      <c r="L134" s="63">
        <f>IFERROR(Stock[[#This Row],[Precio Total (Sin Envios - $)]]+Stock[[#This Row],[Coste de envio total]],"-")</f>
        <v>126.4</v>
      </c>
      <c r="M134" s="63">
        <f>(Stock[[#This Row],[Precio Unitario ($)]]+Stock[[#This Row],[Costo de envio unitario]])*36.85</f>
        <v>1164.46</v>
      </c>
      <c r="N134" s="64">
        <f>(Stock[[#This Row],[Precio Total (Con Envios - $)]])*36.85</f>
        <v>4657.84</v>
      </c>
      <c r="O134" s="64">
        <f>Stock[[#This Row],[Precio de compra unitario]]+0.55*Stock[[#This Row],[Precio de compra unitario]]</f>
        <v>1804.913</v>
      </c>
      <c r="P134" s="65"/>
      <c r="Q134" s="3"/>
    </row>
    <row r="135" spans="1:17" hidden="1" x14ac:dyDescent="0.3">
      <c r="A135" s="3" t="s">
        <v>152</v>
      </c>
      <c r="B135" s="3" t="str">
        <f>VLOOKUP(Stock[[#This Row],[Codigo del producto ]],Entradas[],3,FALSE)</f>
        <v>Kit Estuche para Nintendo Switch</v>
      </c>
      <c r="C135" s="6">
        <f>VLOOKUP(Stock[[#This Row],[Codigo del producto ]],Entradas[],2,FALSE)</f>
        <v>46119</v>
      </c>
      <c r="D135" s="3" t="str">
        <f>IFERROR(VLOOKUP(Stock[[#This Row],[Codigo del producto ]],Entradas[],4,FALSE),"-")</f>
        <v>LT12</v>
      </c>
      <c r="E135" s="3">
        <f>IFERROR(VLOOKUP(Stock[[#This Row],[Codigo del producto ]],Entradas[],5,FALSE),"-")</f>
        <v>10</v>
      </c>
      <c r="F135" s="3">
        <f>IFERROR(SUMIFS(Pagos[Cantidad vendida], Pagos[Codigo del producto], Stock[[#This Row],[Codigo del producto ]]) + SUMIFS(PagosV2[Cantidad vendida], PagosV2[Codigo del producto], Stock[[#This Row],[Codigo del producto ]]), "-")</f>
        <v>10</v>
      </c>
      <c r="G135" s="3">
        <f>IFERROR(Stock[[#This Row],[Entradas]]-Stock[[#This Row],[Salidas]],"-")</f>
        <v>0</v>
      </c>
      <c r="H135" s="63">
        <v>10.72</v>
      </c>
      <c r="I135" s="63">
        <f>Stock[[#This Row],[Entradas]]*Stock[[#This Row],[Precio Unitario ($)]]</f>
        <v>107.2</v>
      </c>
      <c r="J135" s="63">
        <v>1</v>
      </c>
      <c r="K135" s="63">
        <f>Stock[[#This Row],[Entradas]]*Stock[[#This Row],[Costo de envio unitario]]</f>
        <v>10</v>
      </c>
      <c r="L135" s="63">
        <f>IFERROR(Stock[[#This Row],[Precio Total (Sin Envios - $)]]+Stock[[#This Row],[Coste de envio total]],"-")</f>
        <v>117.2</v>
      </c>
      <c r="M135" s="63">
        <f>(Stock[[#This Row],[Precio Unitario ($)]]+Stock[[#This Row],[Costo de envio unitario]])*36.85</f>
        <v>431.88200000000006</v>
      </c>
      <c r="N135" s="64">
        <f>(Stock[[#This Row],[Precio Total (Con Envios - $)]])*36.85</f>
        <v>4318.8200000000006</v>
      </c>
      <c r="O135" s="64">
        <f>Stock[[#This Row],[Precio de compra unitario]]+0.55*Stock[[#This Row],[Precio de compra unitario]]</f>
        <v>669.41710000000012</v>
      </c>
      <c r="P135" s="65"/>
      <c r="Q135" s="3"/>
    </row>
    <row r="136" spans="1:17" x14ac:dyDescent="0.3">
      <c r="A136" s="3" t="s">
        <v>153</v>
      </c>
      <c r="B136" s="3" t="str">
        <f>VLOOKUP(Stock[[#This Row],[Codigo del producto ]],Entradas[],3,FALSE)</f>
        <v>Holder para carro</v>
      </c>
      <c r="C136" s="6">
        <f>VLOOKUP(Stock[[#This Row],[Codigo del producto ]],Entradas[],2,FALSE)</f>
        <v>46119</v>
      </c>
      <c r="D136" s="3" t="str">
        <f>IFERROR(VLOOKUP(Stock[[#This Row],[Codigo del producto ]],Entradas[],4,FALSE),"-")</f>
        <v>LT12</v>
      </c>
      <c r="E136" s="3">
        <f>IFERROR(VLOOKUP(Stock[[#This Row],[Codigo del producto ]],Entradas[],5,FALSE),"-")</f>
        <v>4</v>
      </c>
      <c r="F136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36" s="3">
        <f>IFERROR(Stock[[#This Row],[Entradas]]-Stock[[#This Row],[Salidas]],"-")</f>
        <v>4</v>
      </c>
      <c r="H136" s="63">
        <v>3.92</v>
      </c>
      <c r="I136" s="63">
        <f>Stock[[#This Row],[Entradas]]*Stock[[#This Row],[Precio Unitario ($)]]</f>
        <v>15.68</v>
      </c>
      <c r="J136" s="63">
        <v>1</v>
      </c>
      <c r="K136" s="63">
        <f>Stock[[#This Row],[Entradas]]*Stock[[#This Row],[Costo de envio unitario]]</f>
        <v>4</v>
      </c>
      <c r="L136" s="63">
        <f>IFERROR(Stock[[#This Row],[Precio Total (Sin Envios - $)]]+Stock[[#This Row],[Coste de envio total]],"-")</f>
        <v>19.68</v>
      </c>
      <c r="M136" s="63">
        <f>(Stock[[#This Row],[Precio Unitario ($)]]+Stock[[#This Row],[Costo de envio unitario]])*36.85</f>
        <v>181.30199999999999</v>
      </c>
      <c r="N136" s="64">
        <f>(Stock[[#This Row],[Precio Total (Con Envios - $)]])*36.85</f>
        <v>725.20799999999997</v>
      </c>
      <c r="O136" s="64">
        <f>Stock[[#This Row],[Precio de compra unitario]]+0.55*Stock[[#This Row],[Precio de compra unitario]]</f>
        <v>281.0181</v>
      </c>
      <c r="P136" s="65"/>
      <c r="Q136" s="3"/>
    </row>
    <row r="137" spans="1:17" hidden="1" x14ac:dyDescent="0.3">
      <c r="A137" s="3" t="s">
        <v>154</v>
      </c>
      <c r="B137" s="3" t="str">
        <f>VLOOKUP(Stock[[#This Row],[Codigo del producto ]],Entradas[],3,FALSE)</f>
        <v xml:space="preserve">Attack Shark Mouse X11 negro </v>
      </c>
      <c r="C137" s="6">
        <f>VLOOKUP(Stock[[#This Row],[Codigo del producto ]],Entradas[],2,FALSE)</f>
        <v>46119</v>
      </c>
      <c r="D137" s="3" t="str">
        <f>IFERROR(VLOOKUP(Stock[[#This Row],[Codigo del producto ]],Entradas[],4,FALSE),"-")</f>
        <v>LT12</v>
      </c>
      <c r="E137" s="3">
        <f>IFERROR(VLOOKUP(Stock[[#This Row],[Codigo del producto ]],Entradas[],5,FALSE),"-")</f>
        <v>20</v>
      </c>
      <c r="F137" s="3">
        <f>IFERROR(SUMIFS(Pagos[Cantidad vendida], Pagos[Codigo del producto], Stock[[#This Row],[Codigo del producto ]]) + SUMIFS(PagosV2[Cantidad vendida], PagosV2[Codigo del producto], Stock[[#This Row],[Codigo del producto ]]), "-")</f>
        <v>20</v>
      </c>
      <c r="G137" s="3">
        <f>IFERROR(Stock[[#This Row],[Entradas]]-Stock[[#This Row],[Salidas]],"-")</f>
        <v>0</v>
      </c>
      <c r="H137" s="63">
        <v>23.93</v>
      </c>
      <c r="I137" s="63">
        <f>Stock[[#This Row],[Entradas]]*Stock[[#This Row],[Precio Unitario ($)]]</f>
        <v>478.6</v>
      </c>
      <c r="J137" s="63">
        <v>1.1000000000000001</v>
      </c>
      <c r="K137" s="63">
        <f>Stock[[#This Row],[Entradas]]*Stock[[#This Row],[Costo de envio unitario]]</f>
        <v>22</v>
      </c>
      <c r="L137" s="63">
        <f>IFERROR(Stock[[#This Row],[Precio Total (Sin Envios - $)]]+Stock[[#This Row],[Coste de envio total]],"-")</f>
        <v>500.6</v>
      </c>
      <c r="M137" s="63">
        <f>(Stock[[#This Row],[Precio Unitario ($)]]+Stock[[#This Row],[Costo de envio unitario]])*36.85</f>
        <v>922.35550000000012</v>
      </c>
      <c r="N137" s="64">
        <f>(Stock[[#This Row],[Precio Total (Con Envios - $)]])*36.85</f>
        <v>18447.11</v>
      </c>
      <c r="O137" s="64">
        <f>Stock[[#This Row],[Precio de compra unitario]]+0.55*Stock[[#This Row],[Precio de compra unitario]]</f>
        <v>1429.6510250000001</v>
      </c>
      <c r="P137" s="65"/>
      <c r="Q137" s="3"/>
    </row>
    <row r="138" spans="1:17" x14ac:dyDescent="0.3">
      <c r="A138" s="3" t="s">
        <v>155</v>
      </c>
      <c r="B138" s="3" t="str">
        <f>VLOOKUP(Stock[[#This Row],[Codigo del producto ]],Entradas[],3,FALSE)</f>
        <v>Attack Shark Mouse X11 Rojo</v>
      </c>
      <c r="C138" s="6">
        <f>VLOOKUP(Stock[[#This Row],[Codigo del producto ]],Entradas[],2,FALSE)</f>
        <v>46119</v>
      </c>
      <c r="D138" s="3" t="str">
        <f>IFERROR(VLOOKUP(Stock[[#This Row],[Codigo del producto ]],Entradas[],4,FALSE),"-")</f>
        <v>LT12</v>
      </c>
      <c r="E138" s="3">
        <f>IFERROR(VLOOKUP(Stock[[#This Row],[Codigo del producto ]],Entradas[],5,FALSE),"-")</f>
        <v>10</v>
      </c>
      <c r="F138" s="3">
        <f>IFERROR(SUMIFS(Pagos[Cantidad vendida], Pagos[Codigo del producto], Stock[[#This Row],[Codigo del producto ]]) + SUMIFS(PagosV2[Cantidad vendida], PagosV2[Codigo del producto], Stock[[#This Row],[Codigo del producto ]]), "-")</f>
        <v>5</v>
      </c>
      <c r="G138" s="3">
        <f>IFERROR(Stock[[#This Row],[Entradas]]-Stock[[#This Row],[Salidas]],"-")</f>
        <v>5</v>
      </c>
      <c r="H138" s="63">
        <v>23.93</v>
      </c>
      <c r="I138" s="63">
        <f>Stock[[#This Row],[Entradas]]*Stock[[#This Row],[Precio Unitario ($)]]</f>
        <v>239.3</v>
      </c>
      <c r="J138" s="63">
        <v>1.2</v>
      </c>
      <c r="K138" s="63">
        <f>Stock[[#This Row],[Entradas]]*Stock[[#This Row],[Costo de envio unitario]]</f>
        <v>12</v>
      </c>
      <c r="L138" s="63">
        <f>IFERROR(Stock[[#This Row],[Precio Total (Sin Envios - $)]]+Stock[[#This Row],[Coste de envio total]],"-")</f>
        <v>251.3</v>
      </c>
      <c r="M138" s="63">
        <f>(Stock[[#This Row],[Precio Unitario ($)]]+Stock[[#This Row],[Costo de envio unitario]])*36.85</f>
        <v>926.04049999999995</v>
      </c>
      <c r="N138" s="64">
        <f>(Stock[[#This Row],[Precio Total (Con Envios - $)]])*36.85</f>
        <v>9260.4050000000007</v>
      </c>
      <c r="O138" s="64">
        <f>Stock[[#This Row],[Precio de compra unitario]]+0.55*Stock[[#This Row],[Precio de compra unitario]]</f>
        <v>1435.3627750000001</v>
      </c>
      <c r="P138" s="65"/>
      <c r="Q138" s="3"/>
    </row>
    <row r="139" spans="1:17" x14ac:dyDescent="0.3">
      <c r="A139" s="3" t="s">
        <v>183</v>
      </c>
      <c r="B139" s="3" t="str">
        <f>VLOOKUP(Stock[[#This Row],[Codigo del producto ]],Entradas[],3,FALSE)</f>
        <v>KZ PRX</v>
      </c>
      <c r="C139" s="6">
        <f>VLOOKUP(Stock[[#This Row],[Codigo del producto ]],Entradas[],2,FALSE)</f>
        <v>46133</v>
      </c>
      <c r="D139" s="3" t="str">
        <f>IFERROR(VLOOKUP(Stock[[#This Row],[Codigo del producto ]],Entradas[],4,FALSE),"-")</f>
        <v>LT13</v>
      </c>
      <c r="E139" s="3">
        <f>IFERROR(VLOOKUP(Stock[[#This Row],[Codigo del producto ]],Entradas[],5,FALSE),"-")</f>
        <v>1</v>
      </c>
      <c r="F139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39" s="3">
        <f>IFERROR(Stock[[#This Row],[Entradas]]-Stock[[#This Row],[Salidas]],"-")</f>
        <v>1</v>
      </c>
      <c r="H139" s="63">
        <v>24.59</v>
      </c>
      <c r="I139" s="63">
        <f>Stock[[#This Row],[Entradas]]*Stock[[#This Row],[Precio Unitario ($)]]</f>
        <v>24.59</v>
      </c>
      <c r="J139" s="63">
        <v>2</v>
      </c>
      <c r="K139" s="63">
        <f>Stock[[#This Row],[Entradas]]*Stock[[#This Row],[Costo de envio unitario]]</f>
        <v>2</v>
      </c>
      <c r="L139" s="63">
        <f>IFERROR(Stock[[#This Row],[Precio Total (Sin Envios - $)]]+Stock[[#This Row],[Coste de envio total]],"-")</f>
        <v>26.59</v>
      </c>
      <c r="M139" s="63">
        <f>(Stock[[#This Row],[Precio Unitario ($)]]+Stock[[#This Row],[Costo de envio unitario]])*36.85</f>
        <v>979.8415</v>
      </c>
      <c r="N139" s="64">
        <f>(Stock[[#This Row],[Precio Total (Con Envios - $)]])*36.85</f>
        <v>979.8415</v>
      </c>
      <c r="O139" s="64">
        <f>Stock[[#This Row],[Precio de compra unitario]]+0.55*Stock[[#This Row],[Precio de compra unitario]]</f>
        <v>1518.7543249999999</v>
      </c>
      <c r="P139" s="65"/>
      <c r="Q139" s="3"/>
    </row>
    <row r="140" spans="1:17" hidden="1" x14ac:dyDescent="0.3">
      <c r="A140" s="3" t="s">
        <v>181</v>
      </c>
      <c r="B140" s="3" t="str">
        <f>VLOOKUP(Stock[[#This Row],[Codigo del producto ]],Entradas[],3,FALSE)</f>
        <v>KZ AZ15</v>
      </c>
      <c r="C140" s="6">
        <f>VLOOKUP(Stock[[#This Row],[Codigo del producto ]],Entradas[],2,FALSE)</f>
        <v>46133</v>
      </c>
      <c r="D140" s="3" t="str">
        <f>IFERROR(VLOOKUP(Stock[[#This Row],[Codigo del producto ]],Entradas[],4,FALSE),"-")</f>
        <v>LT13</v>
      </c>
      <c r="E140" s="3">
        <f>IFERROR(VLOOKUP(Stock[[#This Row],[Codigo del producto ]],Entradas[],5,FALSE),"-")</f>
        <v>2</v>
      </c>
      <c r="F140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140" s="3">
        <f>IFERROR(Stock[[#This Row],[Entradas]]-Stock[[#This Row],[Salidas]],"-")</f>
        <v>0</v>
      </c>
      <c r="H140" s="63">
        <v>21.59</v>
      </c>
      <c r="I140" s="63">
        <f>Stock[[#This Row],[Entradas]]*Stock[[#This Row],[Precio Unitario ($)]]</f>
        <v>43.18</v>
      </c>
      <c r="J140" s="63">
        <v>1</v>
      </c>
      <c r="K140" s="63">
        <f>Stock[[#This Row],[Entradas]]*Stock[[#This Row],[Costo de envio unitario]]</f>
        <v>2</v>
      </c>
      <c r="L140" s="63">
        <f>IFERROR(Stock[[#This Row],[Precio Total (Sin Envios - $)]]+Stock[[#This Row],[Coste de envio total]],"-")</f>
        <v>45.18</v>
      </c>
      <c r="M140" s="63">
        <f>(Stock[[#This Row],[Precio Unitario ($)]]+Stock[[#This Row],[Costo de envio unitario]])*36.85</f>
        <v>832.44150000000002</v>
      </c>
      <c r="N140" s="64">
        <f>(Stock[[#This Row],[Precio Total (Con Envios - $)]])*36.85</f>
        <v>1664.883</v>
      </c>
      <c r="O140" s="64">
        <f>Stock[[#This Row],[Precio de compra unitario]]+0.55*Stock[[#This Row],[Precio de compra unitario]]</f>
        <v>1290.2843250000001</v>
      </c>
      <c r="P140" s="65"/>
      <c r="Q140" s="3"/>
    </row>
    <row r="141" spans="1:17" x14ac:dyDescent="0.3">
      <c r="A141" s="3" t="s">
        <v>162</v>
      </c>
      <c r="B141" s="3" t="str">
        <f>VLOOKUP(Stock[[#This Row],[Codigo del producto ]],Entradas[],3,FALSE)</f>
        <v>KZ EDA</v>
      </c>
      <c r="C141" s="6">
        <f>VLOOKUP(Stock[[#This Row],[Codigo del producto ]],Entradas[],2,FALSE)</f>
        <v>46119</v>
      </c>
      <c r="D141" s="3" t="str">
        <f>IFERROR(VLOOKUP(Stock[[#This Row],[Codigo del producto ]],Entradas[],4,FALSE),"-")</f>
        <v>LT12</v>
      </c>
      <c r="E141" s="3">
        <f>IFERROR(VLOOKUP(Stock[[#This Row],[Codigo del producto ]],Entradas[],5,FALSE),"-")</f>
        <v>2</v>
      </c>
      <c r="F141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41" s="3">
        <f>IFERROR(Stock[[#This Row],[Entradas]]-Stock[[#This Row],[Salidas]],"-")</f>
        <v>2</v>
      </c>
      <c r="H141" s="63">
        <v>20.34</v>
      </c>
      <c r="I141" s="63">
        <f>Stock[[#This Row],[Entradas]]*Stock[[#This Row],[Precio Unitario ($)]]</f>
        <v>40.68</v>
      </c>
      <c r="J141" s="63">
        <v>0.45</v>
      </c>
      <c r="K141" s="63">
        <f>Stock[[#This Row],[Entradas]]*Stock[[#This Row],[Costo de envio unitario]]</f>
        <v>0.9</v>
      </c>
      <c r="L141" s="63">
        <f>IFERROR(Stock[[#This Row],[Precio Total (Sin Envios - $)]]+Stock[[#This Row],[Coste de envio total]],"-")</f>
        <v>41.58</v>
      </c>
      <c r="M141" s="63">
        <f>(Stock[[#This Row],[Precio Unitario ($)]]+Stock[[#This Row],[Costo de envio unitario]])*36.85</f>
        <v>766.11149999999998</v>
      </c>
      <c r="N141" s="64">
        <f>(Stock[[#This Row],[Precio Total (Con Envios - $)]])*36.85</f>
        <v>1532.223</v>
      </c>
      <c r="O141" s="64">
        <f>Stock[[#This Row],[Precio de compra unitario]]+0.55*Stock[[#This Row],[Precio de compra unitario]]</f>
        <v>1187.4728250000001</v>
      </c>
      <c r="P141" s="65"/>
      <c r="Q141" s="3"/>
    </row>
    <row r="142" spans="1:17" hidden="1" x14ac:dyDescent="0.3">
      <c r="A142" s="3" t="s">
        <v>159</v>
      </c>
      <c r="B142" s="3" t="str">
        <f>VLOOKUP(Stock[[#This Row],[Codigo del producto ]],Entradas[],3,FALSE)</f>
        <v>Pantalla para moto de 5 pulgadas</v>
      </c>
      <c r="C142" s="6">
        <f>VLOOKUP(Stock[[#This Row],[Codigo del producto ]],Entradas[],2,FALSE)</f>
        <v>46119</v>
      </c>
      <c r="D142" s="3" t="str">
        <f>IFERROR(VLOOKUP(Stock[[#This Row],[Codigo del producto ]],Entradas[],4,FALSE),"-")</f>
        <v>LT12</v>
      </c>
      <c r="E142" s="3">
        <f>IFERROR(VLOOKUP(Stock[[#This Row],[Codigo del producto ]],Entradas[],5,FALSE),"-")</f>
        <v>4</v>
      </c>
      <c r="F142" s="3">
        <f>IFERROR(SUMIFS(Pagos[Cantidad vendida], Pagos[Codigo del producto], Stock[[#This Row],[Codigo del producto ]]) + SUMIFS(PagosV2[Cantidad vendida], PagosV2[Codigo del producto], Stock[[#This Row],[Codigo del producto ]]), "-")</f>
        <v>4</v>
      </c>
      <c r="G142" s="3">
        <f>IFERROR(Stock[[#This Row],[Entradas]]-Stock[[#This Row],[Salidas]],"-")</f>
        <v>0</v>
      </c>
      <c r="H142" s="63">
        <v>45.53</v>
      </c>
      <c r="I142" s="63">
        <f>Stock[[#This Row],[Entradas]]*Stock[[#This Row],[Precio Unitario ($)]]</f>
        <v>182.12</v>
      </c>
      <c r="J142" s="63">
        <v>2</v>
      </c>
      <c r="K142" s="63">
        <f>Stock[[#This Row],[Entradas]]*Stock[[#This Row],[Costo de envio unitario]]</f>
        <v>8</v>
      </c>
      <c r="L142" s="63">
        <f>IFERROR(Stock[[#This Row],[Precio Total (Sin Envios - $)]]+Stock[[#This Row],[Coste de envio total]],"-")</f>
        <v>190.12</v>
      </c>
      <c r="M142" s="63">
        <f>(Stock[[#This Row],[Precio Unitario ($)]]+Stock[[#This Row],[Costo de envio unitario]])*36.85</f>
        <v>1751.4805000000001</v>
      </c>
      <c r="N142" s="64">
        <f>(Stock[[#This Row],[Precio Total (Con Envios - $)]])*36.85</f>
        <v>7005.9220000000005</v>
      </c>
      <c r="O142" s="64">
        <f>Stock[[#This Row],[Precio de compra unitario]]+0.55*Stock[[#This Row],[Precio de compra unitario]]</f>
        <v>2714.7947750000003</v>
      </c>
      <c r="P142" s="65"/>
      <c r="Q142" s="3"/>
    </row>
    <row r="143" spans="1:17" hidden="1" x14ac:dyDescent="0.3">
      <c r="A143" s="3" t="s">
        <v>175</v>
      </c>
      <c r="B143" s="3" t="str">
        <f>VLOOKUP(Stock[[#This Row],[Codigo del producto ]],Entradas[],3,FALSE)</f>
        <v>KZ AE01</v>
      </c>
      <c r="C143" s="6">
        <f>VLOOKUP(Stock[[#This Row],[Codigo del producto ]],Entradas[],2,FALSE)</f>
        <v>46133</v>
      </c>
      <c r="D143" s="3" t="str">
        <f>IFERROR(VLOOKUP(Stock[[#This Row],[Codigo del producto ]],Entradas[],4,FALSE),"-")</f>
        <v>LT13</v>
      </c>
      <c r="E143" s="3">
        <f>IFERROR(VLOOKUP(Stock[[#This Row],[Codigo del producto ]],Entradas[],5,FALSE),"-")</f>
        <v>2</v>
      </c>
      <c r="F143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143" s="3">
        <f>IFERROR(Stock[[#This Row],[Entradas]]-Stock[[#This Row],[Salidas]],"-")</f>
        <v>0</v>
      </c>
      <c r="H143" s="63">
        <v>16.829999999999998</v>
      </c>
      <c r="I143" s="63">
        <f>Stock[[#This Row],[Entradas]]*Stock[[#This Row],[Precio Unitario ($)]]</f>
        <v>33.659999999999997</v>
      </c>
      <c r="J143" s="63">
        <v>1</v>
      </c>
      <c r="K143" s="63">
        <f>Stock[[#This Row],[Entradas]]*Stock[[#This Row],[Costo de envio unitario]]</f>
        <v>2</v>
      </c>
      <c r="L143" s="63">
        <f>IFERROR(Stock[[#This Row],[Precio Total (Sin Envios - $)]]+Stock[[#This Row],[Coste de envio total]],"-")</f>
        <v>35.659999999999997</v>
      </c>
      <c r="M143" s="63">
        <f>(Stock[[#This Row],[Precio Unitario ($)]]+Stock[[#This Row],[Costo de envio unitario]])*36.85</f>
        <v>657.03549999999996</v>
      </c>
      <c r="N143" s="64">
        <f>(Stock[[#This Row],[Precio Total (Con Envios - $)]])*36.85</f>
        <v>1314.0709999999999</v>
      </c>
      <c r="O143" s="64">
        <f>Stock[[#This Row],[Precio de compra unitario]]+0.55*Stock[[#This Row],[Precio de compra unitario]]</f>
        <v>1018.405025</v>
      </c>
      <c r="P143" s="65"/>
      <c r="Q143" s="3"/>
    </row>
    <row r="144" spans="1:17" hidden="1" x14ac:dyDescent="0.3">
      <c r="A144" s="3" t="s">
        <v>157</v>
      </c>
      <c r="B144" s="3" t="str">
        <f>VLOOKUP(Stock[[#This Row],[Codigo del producto ]],Entradas[],3,FALSE)</f>
        <v>KZ AZ09</v>
      </c>
      <c r="C144" s="6">
        <f>VLOOKUP(Stock[[#This Row],[Codigo del producto ]],Entradas[],2,FALSE)</f>
        <v>46119</v>
      </c>
      <c r="D144" s="3" t="str">
        <f>IFERROR(VLOOKUP(Stock[[#This Row],[Codigo del producto ]],Entradas[],4,FALSE),"-")</f>
        <v>LT12</v>
      </c>
      <c r="E144" s="3">
        <f>IFERROR(VLOOKUP(Stock[[#This Row],[Codigo del producto ]],Entradas[],5,FALSE),"-")</f>
        <v>20</v>
      </c>
      <c r="F144" s="3">
        <f>IFERROR(SUMIFS(Pagos[Cantidad vendida], Pagos[Codigo del producto], Stock[[#This Row],[Codigo del producto ]]) + SUMIFS(PagosV2[Cantidad vendida], PagosV2[Codigo del producto], Stock[[#This Row],[Codigo del producto ]]), "-")</f>
        <v>20</v>
      </c>
      <c r="G144" s="3">
        <f>IFERROR(Stock[[#This Row],[Entradas]]-Stock[[#This Row],[Salidas]],"-")</f>
        <v>0</v>
      </c>
      <c r="H144" s="63">
        <v>17.11</v>
      </c>
      <c r="I144" s="63">
        <f>Stock[[#This Row],[Entradas]]*Stock[[#This Row],[Precio Unitario ($)]]</f>
        <v>342.2</v>
      </c>
      <c r="J144" s="63">
        <v>0.6</v>
      </c>
      <c r="K144" s="63">
        <f>Stock[[#This Row],[Entradas]]*Stock[[#This Row],[Costo de envio unitario]]</f>
        <v>12</v>
      </c>
      <c r="L144" s="63">
        <f>IFERROR(Stock[[#This Row],[Precio Total (Sin Envios - $)]]+Stock[[#This Row],[Coste de envio total]],"-")</f>
        <v>354.2</v>
      </c>
      <c r="M144" s="63">
        <f>(Stock[[#This Row],[Precio Unitario ($)]]+Stock[[#This Row],[Costo de envio unitario]])*36.85</f>
        <v>652.61350000000004</v>
      </c>
      <c r="N144" s="64">
        <f>(Stock[[#This Row],[Precio Total (Con Envios - $)]])*36.85</f>
        <v>13052.27</v>
      </c>
      <c r="O144" s="64">
        <f>Stock[[#This Row],[Precio de compra unitario]]+0.55*Stock[[#This Row],[Precio de compra unitario]]</f>
        <v>1011.5509250000001</v>
      </c>
      <c r="P144" s="65"/>
      <c r="Q144" s="3"/>
    </row>
    <row r="145" spans="1:17" hidden="1" x14ac:dyDescent="0.3">
      <c r="A145" s="3" t="s">
        <v>151</v>
      </c>
      <c r="B145" s="3" t="str">
        <f>VLOOKUP(Stock[[#This Row],[Codigo del producto ]],Entradas[],3,FALSE)</f>
        <v>KZ Castor Pro</v>
      </c>
      <c r="C145" s="6">
        <f>VLOOKUP(Stock[[#This Row],[Codigo del producto ]],Entradas[],2,FALSE)</f>
        <v>46119</v>
      </c>
      <c r="D145" s="3" t="str">
        <f>IFERROR(VLOOKUP(Stock[[#This Row],[Codigo del producto ]],Entradas[],4,FALSE),"-")</f>
        <v>LT12</v>
      </c>
      <c r="E145" s="3">
        <f>IFERROR(VLOOKUP(Stock[[#This Row],[Codigo del producto ]],Entradas[],5,FALSE),"-")</f>
        <v>7</v>
      </c>
      <c r="F145" s="3">
        <f>IFERROR(SUMIFS(Pagos[Cantidad vendida], Pagos[Codigo del producto], Stock[[#This Row],[Codigo del producto ]]) + SUMIFS(PagosV2[Cantidad vendida], PagosV2[Codigo del producto], Stock[[#This Row],[Codigo del producto ]]), "-")</f>
        <v>7</v>
      </c>
      <c r="G145" s="3">
        <f>IFERROR(Stock[[#This Row],[Entradas]]-Stock[[#This Row],[Salidas]],"-")</f>
        <v>0</v>
      </c>
      <c r="H145" s="63">
        <v>17.43</v>
      </c>
      <c r="I145" s="63">
        <f>Stock[[#This Row],[Entradas]]*Stock[[#This Row],[Precio Unitario ($)]]</f>
        <v>122.00999999999999</v>
      </c>
      <c r="J145" s="63">
        <v>0.24</v>
      </c>
      <c r="K145" s="63">
        <f>Stock[[#This Row],[Entradas]]*Stock[[#This Row],[Costo de envio unitario]]</f>
        <v>1.68</v>
      </c>
      <c r="L145" s="63">
        <f>IFERROR(Stock[[#This Row],[Precio Total (Sin Envios - $)]]+Stock[[#This Row],[Coste de envio total]],"-")</f>
        <v>123.69</v>
      </c>
      <c r="M145" s="63">
        <f>(Stock[[#This Row],[Precio Unitario ($)]]+Stock[[#This Row],[Costo de envio unitario]])*36.85</f>
        <v>651.1395</v>
      </c>
      <c r="N145" s="64">
        <f>(Stock[[#This Row],[Precio Total (Con Envios - $)]])*36.85</f>
        <v>4557.9764999999998</v>
      </c>
      <c r="O145" s="64">
        <f>Stock[[#This Row],[Precio de compra unitario]]+0.55*Stock[[#This Row],[Precio de compra unitario]]</f>
        <v>1009.2662250000001</v>
      </c>
      <c r="P145" s="65"/>
      <c r="Q145" s="3"/>
    </row>
    <row r="146" spans="1:17" x14ac:dyDescent="0.3">
      <c r="A146" s="3" t="s">
        <v>163</v>
      </c>
      <c r="B146" s="3" t="str">
        <f>VLOOKUP(Stock[[#This Row],[Codigo del producto ]],Entradas[],3,FALSE)</f>
        <v xml:space="preserve">Cargadores para carro </v>
      </c>
      <c r="C146" s="6">
        <f>VLOOKUP(Stock[[#This Row],[Codigo del producto ]],Entradas[],2,FALSE)</f>
        <v>46119</v>
      </c>
      <c r="D146" s="3" t="str">
        <f>IFERROR(VLOOKUP(Stock[[#This Row],[Codigo del producto ]],Entradas[],4,FALSE),"-")</f>
        <v>LT12</v>
      </c>
      <c r="E146" s="3">
        <f>IFERROR(VLOOKUP(Stock[[#This Row],[Codigo del producto ]],Entradas[],5,FALSE),"-")</f>
        <v>3</v>
      </c>
      <c r="F146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46" s="3">
        <f>IFERROR(Stock[[#This Row],[Entradas]]-Stock[[#This Row],[Salidas]],"-")</f>
        <v>3</v>
      </c>
      <c r="H146" s="63">
        <v>10.49</v>
      </c>
      <c r="I146" s="63">
        <f>Stock[[#This Row],[Entradas]]*Stock[[#This Row],[Precio Unitario ($)]]</f>
        <v>31.47</v>
      </c>
      <c r="J146" s="63">
        <v>0.45</v>
      </c>
      <c r="K146" s="63">
        <f>Stock[[#This Row],[Entradas]]*Stock[[#This Row],[Costo de envio unitario]]</f>
        <v>1.35</v>
      </c>
      <c r="L146" s="63">
        <f>IFERROR(Stock[[#This Row],[Precio Total (Sin Envios - $)]]+Stock[[#This Row],[Coste de envio total]],"-")</f>
        <v>32.82</v>
      </c>
      <c r="M146" s="63">
        <f>(Stock[[#This Row],[Precio Unitario ($)]]+Stock[[#This Row],[Costo de envio unitario]])*36.85</f>
        <v>403.13900000000001</v>
      </c>
      <c r="N146" s="64">
        <f>(Stock[[#This Row],[Precio Total (Con Envios - $)]])*36.85</f>
        <v>1209.4170000000001</v>
      </c>
      <c r="O146" s="64">
        <f>Stock[[#This Row],[Precio de compra unitario]]+0.55*Stock[[#This Row],[Precio de compra unitario]]</f>
        <v>624.86545000000001</v>
      </c>
    </row>
    <row r="147" spans="1:17" hidden="1" x14ac:dyDescent="0.3">
      <c r="A147" s="3" t="s">
        <v>171</v>
      </c>
      <c r="B147" s="3" t="str">
        <f>VLOOKUP(Stock[[#This Row],[Codigo del producto ]],Entradas[],3,FALSE)</f>
        <v>KZ AE01</v>
      </c>
      <c r="C147" s="6">
        <f>VLOOKUP(Stock[[#This Row],[Codigo del producto ]],Entradas[],2,FALSE)</f>
        <v>46133</v>
      </c>
      <c r="D147" s="3" t="str">
        <f>IFERROR(VLOOKUP(Stock[[#This Row],[Codigo del producto ]],Entradas[],4,FALSE),"-")</f>
        <v>LT13</v>
      </c>
      <c r="E147" s="3">
        <f>IFERROR(VLOOKUP(Stock[[#This Row],[Codigo del producto ]],Entradas[],5,FALSE),"-")</f>
        <v>10</v>
      </c>
      <c r="F147" s="3">
        <f>IFERROR(SUMIFS(Pagos[Cantidad vendida], Pagos[Codigo del producto], Stock[[#This Row],[Codigo del producto ]]) + SUMIFS(PagosV2[Cantidad vendida], PagosV2[Codigo del producto], Stock[[#This Row],[Codigo del producto ]]), "-")</f>
        <v>10</v>
      </c>
      <c r="G147" s="3">
        <f>IFERROR(Stock[[#This Row],[Entradas]]-Stock[[#This Row],[Salidas]],"-")</f>
        <v>0</v>
      </c>
      <c r="H147" s="63">
        <v>16.829999999999998</v>
      </c>
      <c r="I147" s="63">
        <f>Stock[[#This Row],[Entradas]]*Stock[[#This Row],[Precio Unitario ($)]]</f>
        <v>168.29999999999998</v>
      </c>
      <c r="J147" s="63">
        <v>0.6</v>
      </c>
      <c r="K147" s="63">
        <f>Stock[[#This Row],[Entradas]]*Stock[[#This Row],[Costo de envio unitario]]</f>
        <v>6</v>
      </c>
      <c r="L147" s="63">
        <f>IFERROR(Stock[[#This Row],[Precio Total (Sin Envios - $)]]+Stock[[#This Row],[Coste de envio total]],"-")</f>
        <v>174.29999999999998</v>
      </c>
      <c r="M147" s="63">
        <f>(Stock[[#This Row],[Precio Unitario ($)]]+Stock[[#This Row],[Costo de envio unitario]])*36.85</f>
        <v>642.29550000000006</v>
      </c>
      <c r="N147" s="64">
        <f>(Stock[[#This Row],[Precio Total (Con Envios - $)]])*36.85</f>
        <v>6422.9549999999999</v>
      </c>
      <c r="O147" s="64">
        <f>Stock[[#This Row],[Precio de compra unitario]]+0.55*Stock[[#This Row],[Precio de compra unitario]]</f>
        <v>995.55802500000004</v>
      </c>
      <c r="P147" s="65"/>
      <c r="Q147" s="3"/>
    </row>
    <row r="148" spans="1:17" x14ac:dyDescent="0.3">
      <c r="A148" s="3" t="s">
        <v>165</v>
      </c>
      <c r="B148" s="3" t="str">
        <f>VLOOKUP(Stock[[#This Row],[Codigo del producto ]],Entradas[],3,FALSE)</f>
        <v>Pantalla para moto de 5 pulgadas</v>
      </c>
      <c r="C148" s="6">
        <f>VLOOKUP(Stock[[#This Row],[Codigo del producto ]],Entradas[],2,FALSE)</f>
        <v>46133</v>
      </c>
      <c r="D148" s="3" t="str">
        <f>IFERROR(VLOOKUP(Stock[[#This Row],[Codigo del producto ]],Entradas[],4,FALSE),"-")</f>
        <v>LT13</v>
      </c>
      <c r="E148" s="3">
        <f>IFERROR(VLOOKUP(Stock[[#This Row],[Codigo del producto ]],Entradas[],5,FALSE),"-")</f>
        <v>1</v>
      </c>
      <c r="F148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48" s="3">
        <f>IFERROR(Stock[[#This Row],[Entradas]]-Stock[[#This Row],[Salidas]],"-")</f>
        <v>1</v>
      </c>
      <c r="H148" s="63">
        <v>45.53</v>
      </c>
      <c r="I148" s="63">
        <f>Stock[[#This Row],[Entradas]]*Stock[[#This Row],[Precio Unitario ($)]]</f>
        <v>45.53</v>
      </c>
      <c r="J148" s="63">
        <v>2.67</v>
      </c>
      <c r="K148" s="63">
        <f>Stock[[#This Row],[Entradas]]*Stock[[#This Row],[Costo de envio unitario]]</f>
        <v>2.67</v>
      </c>
      <c r="L148" s="63">
        <f>IFERROR(Stock[[#This Row],[Precio Total (Sin Envios - $)]]+Stock[[#This Row],[Coste de envio total]],"-")</f>
        <v>48.2</v>
      </c>
      <c r="M148" s="63">
        <f>(Stock[[#This Row],[Precio Unitario ($)]]+Stock[[#This Row],[Costo de envio unitario]])*36.85</f>
        <v>1776.17</v>
      </c>
      <c r="N148" s="64">
        <f>(Stock[[#This Row],[Precio Total (Con Envios - $)]])*36.85</f>
        <v>1776.17</v>
      </c>
      <c r="O148" s="64">
        <f>Stock[[#This Row],[Precio de compra unitario]]+0.55*Stock[[#This Row],[Precio de compra unitario]]</f>
        <v>2753.0635000000002</v>
      </c>
      <c r="P148" s="65"/>
      <c r="Q148" s="3"/>
    </row>
    <row r="149" spans="1:17" hidden="1" x14ac:dyDescent="0.3">
      <c r="A149" s="3" t="s">
        <v>166</v>
      </c>
      <c r="B149" s="3" t="str">
        <f>VLOOKUP(Stock[[#This Row],[Codigo del producto ]],Entradas[],3,FALSE)</f>
        <v>Pantalla para moto C5000 con camaras</v>
      </c>
      <c r="C149" s="6">
        <f>VLOOKUP(Stock[[#This Row],[Codigo del producto ]],Entradas[],2,FALSE)</f>
        <v>46133</v>
      </c>
      <c r="D149" s="3" t="str">
        <f>IFERROR(VLOOKUP(Stock[[#This Row],[Codigo del producto ]],Entradas[],4,FALSE),"-")</f>
        <v>LT13</v>
      </c>
      <c r="E149" s="3">
        <f>IFERROR(VLOOKUP(Stock[[#This Row],[Codigo del producto ]],Entradas[],5,FALSE),"-")</f>
        <v>2</v>
      </c>
      <c r="F149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149" s="3">
        <f>IFERROR(Stock[[#This Row],[Entradas]]-Stock[[#This Row],[Salidas]],"-")</f>
        <v>0</v>
      </c>
      <c r="H149" s="63">
        <v>87.69</v>
      </c>
      <c r="I149" s="63">
        <f>Stock[[#This Row],[Entradas]]*Stock[[#This Row],[Precio Unitario ($)]]</f>
        <v>175.38</v>
      </c>
      <c r="J149" s="63">
        <v>2.67</v>
      </c>
      <c r="K149" s="63">
        <f>Stock[[#This Row],[Entradas]]*Stock[[#This Row],[Costo de envio unitario]]</f>
        <v>5.34</v>
      </c>
      <c r="L149" s="63">
        <f>IFERROR(Stock[[#This Row],[Precio Total (Sin Envios - $)]]+Stock[[#This Row],[Coste de envio total]],"-")</f>
        <v>180.72</v>
      </c>
      <c r="M149" s="63">
        <f>(Stock[[#This Row],[Precio Unitario ($)]]+Stock[[#This Row],[Costo de envio unitario]])*36.85</f>
        <v>3329.7660000000001</v>
      </c>
      <c r="N149" s="64">
        <f>(Stock[[#This Row],[Precio Total (Con Envios - $)]])*36.85</f>
        <v>6659.5320000000002</v>
      </c>
      <c r="O149" s="64">
        <f>Stock[[#This Row],[Precio de compra unitario]]+0.55*Stock[[#This Row],[Precio de compra unitario]]</f>
        <v>5161.1373000000003</v>
      </c>
      <c r="P149" s="65"/>
      <c r="Q149" s="3"/>
    </row>
    <row r="150" spans="1:17" x14ac:dyDescent="0.3">
      <c r="A150" s="3" t="s">
        <v>172</v>
      </c>
      <c r="B150" s="3" t="str">
        <f>VLOOKUP(Stock[[#This Row],[Codigo del producto ]],Entradas[],3,FALSE)</f>
        <v xml:space="preserve">KZ Krilla </v>
      </c>
      <c r="C150" s="6">
        <f>VLOOKUP(Stock[[#This Row],[Codigo del producto ]],Entradas[],2,FALSE)</f>
        <v>46133</v>
      </c>
      <c r="D150" s="3" t="str">
        <f>IFERROR(VLOOKUP(Stock[[#This Row],[Codigo del producto ]],Entradas[],4,FALSE),"-")</f>
        <v>LT13</v>
      </c>
      <c r="E150" s="3">
        <f>IFERROR(VLOOKUP(Stock[[#This Row],[Codigo del producto ]],Entradas[],5,FALSE),"-")</f>
        <v>2</v>
      </c>
      <c r="F150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150" s="3">
        <f>IFERROR(Stock[[#This Row],[Entradas]]-Stock[[#This Row],[Salidas]],"-")</f>
        <v>1</v>
      </c>
      <c r="H150" s="63">
        <v>16.37</v>
      </c>
      <c r="I150" s="63">
        <f>Stock[[#This Row],[Entradas]]*Stock[[#This Row],[Precio Unitario ($)]]</f>
        <v>32.74</v>
      </c>
      <c r="J150" s="63">
        <v>1</v>
      </c>
      <c r="K150" s="63">
        <f>Stock[[#This Row],[Entradas]]*Stock[[#This Row],[Costo de envio unitario]]</f>
        <v>2</v>
      </c>
      <c r="L150" s="63">
        <f>IFERROR(Stock[[#This Row],[Precio Total (Sin Envios - $)]]+Stock[[#This Row],[Coste de envio total]],"-")</f>
        <v>34.74</v>
      </c>
      <c r="M150" s="63">
        <f>(Stock[[#This Row],[Precio Unitario ($)]]+Stock[[#This Row],[Costo de envio unitario]])*36.85</f>
        <v>640.08450000000005</v>
      </c>
      <c r="N150" s="64">
        <f>(Stock[[#This Row],[Precio Total (Con Envios - $)]])*36.85</f>
        <v>1280.1690000000001</v>
      </c>
      <c r="O150" s="64">
        <f>Stock[[#This Row],[Precio de compra unitario]]+0.55*Stock[[#This Row],[Precio de compra unitario]]</f>
        <v>992.13097500000003</v>
      </c>
      <c r="P150" s="65"/>
      <c r="Q150" s="3"/>
    </row>
    <row r="151" spans="1:17" hidden="1" x14ac:dyDescent="0.3">
      <c r="A151" s="3" t="s">
        <v>156</v>
      </c>
      <c r="B151" s="3" t="str">
        <f>VLOOKUP(Stock[[#This Row],[Codigo del producto ]],Entradas[],3,FALSE)</f>
        <v>KZ Castor Pro</v>
      </c>
      <c r="C151" s="6">
        <f>VLOOKUP(Stock[[#This Row],[Codigo del producto ]],Entradas[],2,FALSE)</f>
        <v>46119</v>
      </c>
      <c r="D151" s="3" t="str">
        <f>IFERROR(VLOOKUP(Stock[[#This Row],[Codigo del producto ]],Entradas[],4,FALSE),"-")</f>
        <v>LT12</v>
      </c>
      <c r="E151" s="3">
        <f>IFERROR(VLOOKUP(Stock[[#This Row],[Codigo del producto ]],Entradas[],5,FALSE),"-")</f>
        <v>20</v>
      </c>
      <c r="F151" s="3">
        <f>IFERROR(SUMIFS(Pagos[Cantidad vendida], Pagos[Codigo del producto], Stock[[#This Row],[Codigo del producto ]]) + SUMIFS(PagosV2[Cantidad vendida], PagosV2[Codigo del producto], Stock[[#This Row],[Codigo del producto ]]), "-")</f>
        <v>20</v>
      </c>
      <c r="G151" s="3">
        <f>IFERROR(Stock[[#This Row],[Entradas]]-Stock[[#This Row],[Salidas]],"-")</f>
        <v>0</v>
      </c>
      <c r="H151" s="63">
        <v>16.850000000000001</v>
      </c>
      <c r="I151" s="63">
        <f>Stock[[#This Row],[Entradas]]*Stock[[#This Row],[Precio Unitario ($)]]</f>
        <v>337</v>
      </c>
      <c r="J151" s="63">
        <v>0.3</v>
      </c>
      <c r="K151" s="63">
        <f>Stock[[#This Row],[Entradas]]*Stock[[#This Row],[Costo de envio unitario]]</f>
        <v>6</v>
      </c>
      <c r="L151" s="63">
        <f>IFERROR(Stock[[#This Row],[Precio Total (Sin Envios - $)]]+Stock[[#This Row],[Coste de envio total]],"-")</f>
        <v>343</v>
      </c>
      <c r="M151" s="63">
        <f>(Stock[[#This Row],[Precio Unitario ($)]]+Stock[[#This Row],[Costo de envio unitario]])*36.85</f>
        <v>631.97750000000008</v>
      </c>
      <c r="N151" s="64">
        <f>(Stock[[#This Row],[Precio Total (Con Envios - $)]])*36.85</f>
        <v>12639.550000000001</v>
      </c>
      <c r="O151" s="64">
        <f>Stock[[#This Row],[Precio de compra unitario]]+0.55*Stock[[#This Row],[Precio de compra unitario]]</f>
        <v>979.56512500000008</v>
      </c>
      <c r="P151" s="65"/>
      <c r="Q151" s="3"/>
    </row>
    <row r="152" spans="1:17" x14ac:dyDescent="0.3">
      <c r="A152" s="3" t="s">
        <v>169</v>
      </c>
      <c r="B152" s="3" t="str">
        <f>VLOOKUP(Stock[[#This Row],[Codigo del producto ]],Entradas[],3,FALSE)</f>
        <v>Mouse AJAZZ AJ179 Pro</v>
      </c>
      <c r="C152" s="6">
        <f>VLOOKUP(Stock[[#This Row],[Codigo del producto ]],Entradas[],2,FALSE)</f>
        <v>46133</v>
      </c>
      <c r="D152" s="3" t="str">
        <f>IFERROR(VLOOKUP(Stock[[#This Row],[Codigo del producto ]],Entradas[],4,FALSE),"-")</f>
        <v>LT13</v>
      </c>
      <c r="E152" s="3">
        <f>IFERROR(VLOOKUP(Stock[[#This Row],[Codigo del producto ]],Entradas[],5,FALSE),"-")</f>
        <v>6</v>
      </c>
      <c r="F152" s="3">
        <f>IFERROR(SUMIFS(Pagos[Cantidad vendida], Pagos[Codigo del producto], Stock[[#This Row],[Codigo del producto ]]) + SUMIFS(PagosV2[Cantidad vendida], PagosV2[Codigo del producto], Stock[[#This Row],[Codigo del producto ]]), "-")</f>
        <v>4</v>
      </c>
      <c r="G152" s="3">
        <f>IFERROR(Stock[[#This Row],[Entradas]]-Stock[[#This Row],[Salidas]],"-")</f>
        <v>2</v>
      </c>
      <c r="H152" s="63">
        <v>20.6</v>
      </c>
      <c r="I152" s="63">
        <f>Stock[[#This Row],[Entradas]]*Stock[[#This Row],[Precio Unitario ($)]]</f>
        <v>123.60000000000001</v>
      </c>
      <c r="J152" s="63">
        <v>0.67</v>
      </c>
      <c r="K152" s="63">
        <f>Stock[[#This Row],[Entradas]]*Stock[[#This Row],[Costo de envio unitario]]</f>
        <v>4.0200000000000005</v>
      </c>
      <c r="L152" s="63">
        <f>IFERROR(Stock[[#This Row],[Precio Total (Sin Envios - $)]]+Stock[[#This Row],[Coste de envio total]],"-")</f>
        <v>127.62</v>
      </c>
      <c r="M152" s="63">
        <f>(Stock[[#This Row],[Precio Unitario ($)]]+Stock[[#This Row],[Costo de envio unitario]])*36.85</f>
        <v>783.79950000000019</v>
      </c>
      <c r="N152" s="64">
        <f>(Stock[[#This Row],[Precio Total (Con Envios - $)]])*36.85</f>
        <v>4702.7970000000005</v>
      </c>
      <c r="O152" s="64">
        <f>Stock[[#This Row],[Precio de compra unitario]]+0.55*Stock[[#This Row],[Precio de compra unitario]]</f>
        <v>1214.8892250000004</v>
      </c>
      <c r="P152" s="65"/>
      <c r="Q152" s="3"/>
    </row>
    <row r="153" spans="1:17" x14ac:dyDescent="0.3">
      <c r="A153" s="3" t="s">
        <v>161</v>
      </c>
      <c r="B153" s="3" t="str">
        <f>VLOOKUP(Stock[[#This Row],[Codigo del producto ]],Entradas[],3,FALSE)</f>
        <v xml:space="preserve">KZ EDC Pro </v>
      </c>
      <c r="C153" s="6">
        <f>VLOOKUP(Stock[[#This Row],[Codigo del producto ]],Entradas[],2,FALSE)</f>
        <v>46119</v>
      </c>
      <c r="D153" s="3" t="str">
        <f>IFERROR(VLOOKUP(Stock[[#This Row],[Codigo del producto ]],Entradas[],4,FALSE),"-")</f>
        <v>LT12</v>
      </c>
      <c r="E153" s="3">
        <f>IFERROR(VLOOKUP(Stock[[#This Row],[Codigo del producto ]],Entradas[],5,FALSE),"-")</f>
        <v>2</v>
      </c>
      <c r="F153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153" s="3">
        <f>IFERROR(Stock[[#This Row],[Entradas]]-Stock[[#This Row],[Salidas]],"-")</f>
        <v>1</v>
      </c>
      <c r="H153" s="63">
        <v>16.05</v>
      </c>
      <c r="I153" s="63">
        <f>Stock[[#This Row],[Entradas]]*Stock[[#This Row],[Precio Unitario ($)]]</f>
        <v>32.1</v>
      </c>
      <c r="J153" s="63">
        <v>0.45</v>
      </c>
      <c r="K153" s="63">
        <f>Stock[[#This Row],[Entradas]]*Stock[[#This Row],[Costo de envio unitario]]</f>
        <v>0.9</v>
      </c>
      <c r="L153" s="63">
        <f>IFERROR(Stock[[#This Row],[Precio Total (Sin Envios - $)]]+Stock[[#This Row],[Coste de envio total]],"-")</f>
        <v>33</v>
      </c>
      <c r="M153" s="63">
        <f>(Stock[[#This Row],[Precio Unitario ($)]]+Stock[[#This Row],[Costo de envio unitario]])*36.85</f>
        <v>608.02499999999998</v>
      </c>
      <c r="N153" s="64">
        <f>(Stock[[#This Row],[Precio Total (Con Envios - $)]])*36.85</f>
        <v>1216.05</v>
      </c>
      <c r="O153" s="64">
        <f>Stock[[#This Row],[Precio de compra unitario]]+0.55*Stock[[#This Row],[Precio de compra unitario]]</f>
        <v>942.43875000000003</v>
      </c>
      <c r="P153" s="65"/>
      <c r="Q153" s="3"/>
    </row>
    <row r="154" spans="1:17" x14ac:dyDescent="0.3">
      <c r="A154" s="3" t="s">
        <v>170</v>
      </c>
      <c r="B154" s="3" t="str">
        <f>VLOOKUP(Stock[[#This Row],[Codigo del producto ]],Entradas[],3,FALSE)</f>
        <v>KZ AZ09</v>
      </c>
      <c r="C154" s="6">
        <f>VLOOKUP(Stock[[#This Row],[Codigo del producto ]],Entradas[],2,FALSE)</f>
        <v>46133</v>
      </c>
      <c r="D154" s="3" t="str">
        <f>IFERROR(VLOOKUP(Stock[[#This Row],[Codigo del producto ]],Entradas[],4,FALSE),"-")</f>
        <v>LT13</v>
      </c>
      <c r="E154" s="3">
        <f>IFERROR(VLOOKUP(Stock[[#This Row],[Codigo del producto ]],Entradas[],5,FALSE),"-")</f>
        <v>20</v>
      </c>
      <c r="F154" s="3">
        <f>IFERROR(SUMIFS(Pagos[Cantidad vendida], Pagos[Codigo del producto], Stock[[#This Row],[Codigo del producto ]]) + SUMIFS(PagosV2[Cantidad vendida], PagosV2[Codigo del producto], Stock[[#This Row],[Codigo del producto ]]), "-")</f>
        <v>11</v>
      </c>
      <c r="G154" s="3">
        <f>IFERROR(Stock[[#This Row],[Entradas]]-Stock[[#This Row],[Salidas]],"-")</f>
        <v>9</v>
      </c>
      <c r="H154" s="63">
        <v>14.68</v>
      </c>
      <c r="I154" s="63">
        <f>Stock[[#This Row],[Entradas]]*Stock[[#This Row],[Precio Unitario ($)]]</f>
        <v>293.60000000000002</v>
      </c>
      <c r="J154" s="63">
        <v>0.6</v>
      </c>
      <c r="K154" s="63">
        <f>Stock[[#This Row],[Entradas]]*Stock[[#This Row],[Costo de envio unitario]]</f>
        <v>12</v>
      </c>
      <c r="L154" s="63">
        <f>IFERROR(Stock[[#This Row],[Precio Total (Sin Envios - $)]]+Stock[[#This Row],[Coste de envio total]],"-")</f>
        <v>305.60000000000002</v>
      </c>
      <c r="M154" s="63">
        <f>(Stock[[#This Row],[Precio Unitario ($)]]+Stock[[#This Row],[Costo de envio unitario]])*36.85</f>
        <v>563.06799999999998</v>
      </c>
      <c r="N154" s="64">
        <f>(Stock[[#This Row],[Precio Total (Con Envios - $)]])*36.85</f>
        <v>11261.36</v>
      </c>
      <c r="O154" s="64">
        <f>Stock[[#This Row],[Precio de compra unitario]]+0.55*Stock[[#This Row],[Precio de compra unitario]]</f>
        <v>872.75540000000001</v>
      </c>
      <c r="P154" s="65"/>
      <c r="Q154" s="3"/>
    </row>
    <row r="155" spans="1:17" hidden="1" x14ac:dyDescent="0.3">
      <c r="A155" s="3" t="s">
        <v>173</v>
      </c>
      <c r="B155" s="3" t="str">
        <f>VLOOKUP(Stock[[#This Row],[Codigo del producto ]],Entradas[],3,FALSE)</f>
        <v>KZ ZSN PRO 2</v>
      </c>
      <c r="C155" s="6">
        <f>VLOOKUP(Stock[[#This Row],[Codigo del producto ]],Entradas[],2,FALSE)</f>
        <v>46133</v>
      </c>
      <c r="D155" s="3" t="str">
        <f>IFERROR(VLOOKUP(Stock[[#This Row],[Codigo del producto ]],Entradas[],4,FALSE),"-")</f>
        <v>LT13</v>
      </c>
      <c r="E155" s="3">
        <f>IFERROR(VLOOKUP(Stock[[#This Row],[Codigo del producto ]],Entradas[],5,FALSE),"-")</f>
        <v>3</v>
      </c>
      <c r="F155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155" s="3">
        <f>IFERROR(Stock[[#This Row],[Entradas]]-Stock[[#This Row],[Salidas]],"-")</f>
        <v>0</v>
      </c>
      <c r="H155" s="63">
        <v>13.41</v>
      </c>
      <c r="I155" s="63">
        <f>Stock[[#This Row],[Entradas]]*Stock[[#This Row],[Precio Unitario ($)]]</f>
        <v>40.230000000000004</v>
      </c>
      <c r="J155" s="63">
        <v>0.67</v>
      </c>
      <c r="K155" s="63">
        <f>Stock[[#This Row],[Entradas]]*Stock[[#This Row],[Costo de envio unitario]]</f>
        <v>2.0100000000000002</v>
      </c>
      <c r="L155" s="63">
        <f>IFERROR(Stock[[#This Row],[Precio Total (Sin Envios - $)]]+Stock[[#This Row],[Coste de envio total]],"-")</f>
        <v>42.24</v>
      </c>
      <c r="M155" s="63">
        <f>(Stock[[#This Row],[Precio Unitario ($)]]+Stock[[#This Row],[Costo de envio unitario]])*36.85</f>
        <v>518.84800000000007</v>
      </c>
      <c r="N155" s="64">
        <f>(Stock[[#This Row],[Precio Total (Con Envios - $)]])*36.85</f>
        <v>1556.5440000000001</v>
      </c>
      <c r="O155" s="64">
        <f>Stock[[#This Row],[Precio de compra unitario]]+0.55*Stock[[#This Row],[Precio de compra unitario]]</f>
        <v>804.21440000000007</v>
      </c>
      <c r="P155" s="65"/>
      <c r="Q155" s="3"/>
    </row>
    <row r="156" spans="1:17" hidden="1" x14ac:dyDescent="0.3">
      <c r="A156" s="3" t="s">
        <v>178</v>
      </c>
      <c r="B156" s="3" t="str">
        <f>VLOOKUP(Stock[[#This Row],[Codigo del producto ]],Entradas[],3,FALSE)</f>
        <v>KZ DQS</v>
      </c>
      <c r="C156" s="6">
        <f>VLOOKUP(Stock[[#This Row],[Codigo del producto ]],Entradas[],2,FALSE)</f>
        <v>46133</v>
      </c>
      <c r="D156" s="3" t="str">
        <f>IFERROR(VLOOKUP(Stock[[#This Row],[Codigo del producto ]],Entradas[],4,FALSE),"-")</f>
        <v>LT13</v>
      </c>
      <c r="E156" s="3">
        <f>IFERROR(VLOOKUP(Stock[[#This Row],[Codigo del producto ]],Entradas[],5,FALSE),"-")</f>
        <v>2</v>
      </c>
      <c r="F156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156" s="3">
        <f>IFERROR(Stock[[#This Row],[Entradas]]-Stock[[#This Row],[Salidas]],"-")</f>
        <v>0</v>
      </c>
      <c r="H156" s="63">
        <v>13.2</v>
      </c>
      <c r="I156" s="63">
        <f>Stock[[#This Row],[Entradas]]*Stock[[#This Row],[Precio Unitario ($)]]</f>
        <v>26.4</v>
      </c>
      <c r="J156" s="63">
        <v>0.5</v>
      </c>
      <c r="K156" s="63">
        <f>Stock[[#This Row],[Entradas]]*Stock[[#This Row],[Costo de envio unitario]]</f>
        <v>1</v>
      </c>
      <c r="L156" s="63">
        <f>IFERROR(Stock[[#This Row],[Precio Total (Sin Envios - $)]]+Stock[[#This Row],[Coste de envio total]],"-")</f>
        <v>27.4</v>
      </c>
      <c r="M156" s="63">
        <f>(Stock[[#This Row],[Precio Unitario ($)]]+Stock[[#This Row],[Costo de envio unitario]])*36.85</f>
        <v>504.84499999999997</v>
      </c>
      <c r="N156" s="64">
        <f>(Stock[[#This Row],[Precio Total (Con Envios - $)]])*36.85</f>
        <v>1009.6899999999999</v>
      </c>
      <c r="O156" s="64">
        <f>Stock[[#This Row],[Precio de compra unitario]]+0.55*Stock[[#This Row],[Precio de compra unitario]]</f>
        <v>782.50974999999994</v>
      </c>
      <c r="P156" s="65"/>
      <c r="Q156" s="3"/>
    </row>
    <row r="157" spans="1:17" hidden="1" x14ac:dyDescent="0.3">
      <c r="A157" s="3" t="s">
        <v>174</v>
      </c>
      <c r="B157" s="3" t="str">
        <f>VLOOKUP(Stock[[#This Row],[Codigo del producto ]],Entradas[],3,FALSE)</f>
        <v>KZ Castor</v>
      </c>
      <c r="C157" s="6">
        <f>VLOOKUP(Stock[[#This Row],[Codigo del producto ]],Entradas[],2,FALSE)</f>
        <v>46133</v>
      </c>
      <c r="D157" s="3" t="str">
        <f>IFERROR(VLOOKUP(Stock[[#This Row],[Codigo del producto ]],Entradas[],4,FALSE),"-")</f>
        <v>LT13</v>
      </c>
      <c r="E157" s="3">
        <f>IFERROR(VLOOKUP(Stock[[#This Row],[Codigo del producto ]],Entradas[],5,FALSE),"-")</f>
        <v>2</v>
      </c>
      <c r="F157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157" s="3">
        <f>IFERROR(Stock[[#This Row],[Entradas]]-Stock[[#This Row],[Salidas]],"-")</f>
        <v>0</v>
      </c>
      <c r="H157" s="63">
        <v>11.5</v>
      </c>
      <c r="I157" s="63">
        <f>Stock[[#This Row],[Entradas]]*Stock[[#This Row],[Precio Unitario ($)]]</f>
        <v>23</v>
      </c>
      <c r="J157" s="63">
        <v>1</v>
      </c>
      <c r="K157" s="63">
        <f>Stock[[#This Row],[Entradas]]*Stock[[#This Row],[Costo de envio unitario]]</f>
        <v>2</v>
      </c>
      <c r="L157" s="63">
        <f>IFERROR(Stock[[#This Row],[Precio Total (Sin Envios - $)]]+Stock[[#This Row],[Coste de envio total]],"-")</f>
        <v>25</v>
      </c>
      <c r="M157" s="63">
        <f>(Stock[[#This Row],[Precio Unitario ($)]]+Stock[[#This Row],[Costo de envio unitario]])*36.85</f>
        <v>460.625</v>
      </c>
      <c r="N157" s="64">
        <f>(Stock[[#This Row],[Precio Total (Con Envios - $)]])*36.85</f>
        <v>921.25</v>
      </c>
      <c r="O157" s="64">
        <f>Stock[[#This Row],[Precio de compra unitario]]+0.55*Stock[[#This Row],[Precio de compra unitario]]</f>
        <v>713.96875</v>
      </c>
      <c r="P157" s="65"/>
      <c r="Q157" s="3"/>
    </row>
    <row r="158" spans="1:17" hidden="1" x14ac:dyDescent="0.3">
      <c r="A158" s="3" t="s">
        <v>177</v>
      </c>
      <c r="B158" s="3" t="str">
        <f>VLOOKUP(Stock[[#This Row],[Codigo del producto ]],Entradas[],3,FALSE)</f>
        <v xml:space="preserve">KZ ZST </v>
      </c>
      <c r="C158" s="6">
        <f>VLOOKUP(Stock[[#This Row],[Codigo del producto ]],Entradas[],2,FALSE)</f>
        <v>46133</v>
      </c>
      <c r="D158" s="3" t="str">
        <f>IFERROR(VLOOKUP(Stock[[#This Row],[Codigo del producto ]],Entradas[],4,FALSE),"-")</f>
        <v>LT13</v>
      </c>
      <c r="E158" s="3">
        <f>IFERROR(VLOOKUP(Stock[[#This Row],[Codigo del producto ]],Entradas[],5,FALSE),"-")</f>
        <v>2</v>
      </c>
      <c r="F158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158" s="3">
        <f>IFERROR(Stock[[#This Row],[Entradas]]-Stock[[#This Row],[Salidas]],"-")</f>
        <v>0</v>
      </c>
      <c r="H158" s="63">
        <v>11.38</v>
      </c>
      <c r="I158" s="63">
        <f>Stock[[#This Row],[Entradas]]*Stock[[#This Row],[Precio Unitario ($)]]</f>
        <v>22.76</v>
      </c>
      <c r="J158" s="63">
        <v>0.5</v>
      </c>
      <c r="K158" s="63">
        <f>Stock[[#This Row],[Entradas]]*Stock[[#This Row],[Costo de envio unitario]]</f>
        <v>1</v>
      </c>
      <c r="L158" s="63">
        <f>IFERROR(Stock[[#This Row],[Precio Total (Sin Envios - $)]]+Stock[[#This Row],[Coste de envio total]],"-")</f>
        <v>23.76</v>
      </c>
      <c r="M158" s="63">
        <f>(Stock[[#This Row],[Precio Unitario ($)]]+Stock[[#This Row],[Costo de envio unitario]])*36.85</f>
        <v>437.77800000000002</v>
      </c>
      <c r="N158" s="64">
        <f>(Stock[[#This Row],[Precio Total (Con Envios - $)]])*36.85</f>
        <v>875.55600000000004</v>
      </c>
      <c r="O158" s="64">
        <f>Stock[[#This Row],[Precio de compra unitario]]+0.55*Stock[[#This Row],[Precio de compra unitario]]</f>
        <v>678.55590000000007</v>
      </c>
      <c r="P158" s="65"/>
      <c r="Q158" s="3"/>
    </row>
    <row r="159" spans="1:17" x14ac:dyDescent="0.3">
      <c r="A159" s="3" t="s">
        <v>167</v>
      </c>
      <c r="B159" s="3" t="str">
        <f>VLOOKUP(Stock[[#This Row],[Codigo del producto ]],Entradas[],3,FALSE)</f>
        <v>KZ Castor Improved Bass</v>
      </c>
      <c r="C159" s="6">
        <f>VLOOKUP(Stock[[#This Row],[Codigo del producto ]],Entradas[],2,FALSE)</f>
        <v>46133</v>
      </c>
      <c r="D159" s="3" t="str">
        <f>IFERROR(VLOOKUP(Stock[[#This Row],[Codigo del producto ]],Entradas[],4,FALSE),"-")</f>
        <v>LT13</v>
      </c>
      <c r="E159" s="3">
        <f>IFERROR(VLOOKUP(Stock[[#This Row],[Codigo del producto ]],Entradas[],5,FALSE),"-")</f>
        <v>30</v>
      </c>
      <c r="F159" s="3">
        <f>IFERROR(SUMIFS(Pagos[Cantidad vendida], Pagos[Codigo del producto], Stock[[#This Row],[Codigo del producto ]]) + SUMIFS(PagosV2[Cantidad vendida], PagosV2[Codigo del producto], Stock[[#This Row],[Codigo del producto ]]), "-")</f>
        <v>27</v>
      </c>
      <c r="G159" s="3">
        <f>IFERROR(Stock[[#This Row],[Entradas]]-Stock[[#This Row],[Salidas]],"-")</f>
        <v>3</v>
      </c>
      <c r="H159" s="63">
        <v>11.5</v>
      </c>
      <c r="I159" s="63">
        <f>Stock[[#This Row],[Entradas]]*Stock[[#This Row],[Precio Unitario ($)]]</f>
        <v>345</v>
      </c>
      <c r="J159" s="63">
        <v>0.27</v>
      </c>
      <c r="K159" s="63">
        <f>Stock[[#This Row],[Entradas]]*Stock[[#This Row],[Costo de envio unitario]]</f>
        <v>8.1000000000000014</v>
      </c>
      <c r="L159" s="63">
        <f>IFERROR(Stock[[#This Row],[Precio Total (Sin Envios - $)]]+Stock[[#This Row],[Coste de envio total]],"-")</f>
        <v>353.1</v>
      </c>
      <c r="M159" s="63">
        <f>(Stock[[#This Row],[Precio Unitario ($)]]+Stock[[#This Row],[Costo de envio unitario]])*36.85</f>
        <v>433.72449999999998</v>
      </c>
      <c r="N159" s="64">
        <f>(Stock[[#This Row],[Precio Total (Con Envios - $)]])*36.85</f>
        <v>13011.735000000001</v>
      </c>
      <c r="O159" s="64">
        <f>Stock[[#This Row],[Precio de compra unitario]]+0.55*Stock[[#This Row],[Precio de compra unitario]]</f>
        <v>672.27297499999997</v>
      </c>
      <c r="P159" s="65"/>
      <c r="Q159" s="3"/>
    </row>
    <row r="160" spans="1:17" hidden="1" x14ac:dyDescent="0.3">
      <c r="A160" s="3" t="s">
        <v>176</v>
      </c>
      <c r="B160" s="3" t="str">
        <f>VLOOKUP(Stock[[#This Row],[Codigo del producto ]],Entradas[],3,FALSE)</f>
        <v>KZ Saga Bass</v>
      </c>
      <c r="C160" s="6">
        <f>VLOOKUP(Stock[[#This Row],[Codigo del producto ]],Entradas[],2,FALSE)</f>
        <v>46133</v>
      </c>
      <c r="D160" s="3" t="str">
        <f>IFERROR(VLOOKUP(Stock[[#This Row],[Codigo del producto ]],Entradas[],4,FALSE),"-")</f>
        <v>LT13</v>
      </c>
      <c r="E160" s="3">
        <f>IFERROR(VLOOKUP(Stock[[#This Row],[Codigo del producto ]],Entradas[],5,FALSE),"-")</f>
        <v>5</v>
      </c>
      <c r="F160" s="3">
        <f>IFERROR(SUMIFS(Pagos[Cantidad vendida], Pagos[Codigo del producto], Stock[[#This Row],[Codigo del producto ]]) + SUMIFS(PagosV2[Cantidad vendida], PagosV2[Codigo del producto], Stock[[#This Row],[Codigo del producto ]]), "-")</f>
        <v>5</v>
      </c>
      <c r="G160" s="3">
        <f>IFERROR(Stock[[#This Row],[Entradas]]-Stock[[#This Row],[Salidas]],"-")</f>
        <v>0</v>
      </c>
      <c r="H160" s="63">
        <v>9.42</v>
      </c>
      <c r="I160" s="63">
        <f>Stock[[#This Row],[Entradas]]*Stock[[#This Row],[Precio Unitario ($)]]</f>
        <v>47.1</v>
      </c>
      <c r="J160" s="63">
        <v>0.4</v>
      </c>
      <c r="K160" s="63">
        <f>Stock[[#This Row],[Entradas]]*Stock[[#This Row],[Costo de envio unitario]]</f>
        <v>2</v>
      </c>
      <c r="L160" s="63">
        <f>IFERROR(Stock[[#This Row],[Precio Total (Sin Envios - $)]]+Stock[[#This Row],[Coste de envio total]],"-")</f>
        <v>49.1</v>
      </c>
      <c r="M160" s="63">
        <f>(Stock[[#This Row],[Precio Unitario ($)]]+Stock[[#This Row],[Costo de envio unitario]])*36.85</f>
        <v>361.86700000000002</v>
      </c>
      <c r="N160" s="64">
        <f>(Stock[[#This Row],[Precio Total (Con Envios - $)]])*36.85</f>
        <v>1809.335</v>
      </c>
      <c r="O160" s="64">
        <f>Stock[[#This Row],[Precio de compra unitario]]+0.55*Stock[[#This Row],[Precio de compra unitario]]</f>
        <v>560.89385000000004</v>
      </c>
      <c r="P160" s="65"/>
      <c r="Q160" s="3"/>
    </row>
    <row r="161" spans="1:17" hidden="1" x14ac:dyDescent="0.3">
      <c r="A161" s="3" t="s">
        <v>160</v>
      </c>
      <c r="B161" s="3" t="str">
        <f>VLOOKUP(Stock[[#This Row],[Codigo del producto ]],Entradas[],3,FALSE)</f>
        <v>KZ Libra</v>
      </c>
      <c r="C161" s="6">
        <f>VLOOKUP(Stock[[#This Row],[Codigo del producto ]],Entradas[],2,FALSE)</f>
        <v>46119</v>
      </c>
      <c r="D161" s="3" t="str">
        <f>IFERROR(VLOOKUP(Stock[[#This Row],[Codigo del producto ]],Entradas[],4,FALSE),"-")</f>
        <v>LT12</v>
      </c>
      <c r="E161" s="3">
        <f>IFERROR(VLOOKUP(Stock[[#This Row],[Codigo del producto ]],Entradas[],5,FALSE),"-")</f>
        <v>2</v>
      </c>
      <c r="F161" s="3">
        <f>IFERROR(SUMIFS(Pagos[Cantidad vendida], Pagos[Codigo del producto], Stock[[#This Row],[Codigo del producto ]]) + SUMIFS(PagosV2[Cantidad vendida], PagosV2[Codigo del producto], Stock[[#This Row],[Codigo del producto ]]), "-")</f>
        <v>2</v>
      </c>
      <c r="G161" s="3">
        <f>IFERROR(Stock[[#This Row],[Entradas]]-Stock[[#This Row],[Salidas]],"-")</f>
        <v>0</v>
      </c>
      <c r="H161" s="63">
        <v>9.1</v>
      </c>
      <c r="I161" s="63">
        <f>Stock[[#This Row],[Entradas]]*Stock[[#This Row],[Precio Unitario ($)]]</f>
        <v>18.2</v>
      </c>
      <c r="J161" s="63">
        <v>0.45</v>
      </c>
      <c r="K161" s="63">
        <f>Stock[[#This Row],[Entradas]]*Stock[[#This Row],[Costo de envio unitario]]</f>
        <v>0.9</v>
      </c>
      <c r="L161" s="63">
        <f>IFERROR(Stock[[#This Row],[Precio Total (Sin Envios - $)]]+Stock[[#This Row],[Coste de envio total]],"-")</f>
        <v>19.099999999999998</v>
      </c>
      <c r="M161" s="63">
        <f>(Stock[[#This Row],[Precio Unitario ($)]]+Stock[[#This Row],[Costo de envio unitario]])*36.85</f>
        <v>351.91749999999996</v>
      </c>
      <c r="N161" s="64">
        <f>(Stock[[#This Row],[Precio Total (Con Envios - $)]])*36.85</f>
        <v>703.83499999999992</v>
      </c>
      <c r="O161" s="64">
        <f>Stock[[#This Row],[Precio de compra unitario]]+0.55*Stock[[#This Row],[Precio de compra unitario]]</f>
        <v>545.47212500000001</v>
      </c>
      <c r="P161" s="65"/>
      <c r="Q161" s="3"/>
    </row>
    <row r="162" spans="1:17" x14ac:dyDescent="0.3">
      <c r="A162" s="3" t="s">
        <v>168</v>
      </c>
      <c r="B162" s="3" t="str">
        <f>VLOOKUP(Stock[[#This Row],[Codigo del producto ]],Entradas[],3,FALSE)</f>
        <v>Cable de Repuesto KZ Tipo C</v>
      </c>
      <c r="C162" s="6">
        <f>VLOOKUP(Stock[[#This Row],[Codigo del producto ]],Entradas[],2,FALSE)</f>
        <v>46133</v>
      </c>
      <c r="D162" s="3" t="str">
        <f>IFERROR(VLOOKUP(Stock[[#This Row],[Codigo del producto ]],Entradas[],4,FALSE),"-")</f>
        <v>LT13</v>
      </c>
      <c r="E162" s="3">
        <f>IFERROR(VLOOKUP(Stock[[#This Row],[Codigo del producto ]],Entradas[],5,FALSE),"-")</f>
        <v>9</v>
      </c>
      <c r="F162" s="3">
        <f>IFERROR(SUMIFS(Pagos[Cantidad vendida], Pagos[Codigo del producto], Stock[[#This Row],[Codigo del producto ]]) + SUMIFS(PagosV2[Cantidad vendida], PagosV2[Codigo del producto], Stock[[#This Row],[Codigo del producto ]]), "-")</f>
        <v>8</v>
      </c>
      <c r="G162" s="3">
        <f>IFERROR(Stock[[#This Row],[Entradas]]-Stock[[#This Row],[Salidas]],"-")</f>
        <v>1</v>
      </c>
      <c r="H162" s="63">
        <v>7.23</v>
      </c>
      <c r="I162" s="63">
        <f>Stock[[#This Row],[Entradas]]*Stock[[#This Row],[Precio Unitario ($)]]</f>
        <v>65.070000000000007</v>
      </c>
      <c r="J162" s="63">
        <v>0.23</v>
      </c>
      <c r="K162" s="63">
        <f>Stock[[#This Row],[Entradas]]*Stock[[#This Row],[Costo de envio unitario]]</f>
        <v>2.0700000000000003</v>
      </c>
      <c r="L162" s="63">
        <f>IFERROR(Stock[[#This Row],[Precio Total (Sin Envios - $)]]+Stock[[#This Row],[Coste de envio total]],"-")</f>
        <v>67.140000000000015</v>
      </c>
      <c r="M162" s="63">
        <f>(Stock[[#This Row],[Precio Unitario ($)]]+Stock[[#This Row],[Costo de envio unitario]])*36.85</f>
        <v>274.90100000000007</v>
      </c>
      <c r="N162" s="64">
        <f>(Stock[[#This Row],[Precio Total (Con Envios - $)]])*36.85</f>
        <v>2474.1090000000008</v>
      </c>
      <c r="O162" s="64">
        <f>Stock[[#This Row],[Precio de compra unitario]]+0.55*Stock[[#This Row],[Precio de compra unitario]]</f>
        <v>426.09655000000009</v>
      </c>
      <c r="P162" s="65"/>
      <c r="Q162" s="3"/>
    </row>
    <row r="163" spans="1:17" hidden="1" x14ac:dyDescent="0.3">
      <c r="A163" s="3" t="s">
        <v>180</v>
      </c>
      <c r="B163" s="3" t="str">
        <f>VLOOKUP(Stock[[#This Row],[Codigo del producto ]],Entradas[],3,FALSE)</f>
        <v>KZ Castor Pro</v>
      </c>
      <c r="C163" s="6">
        <f>VLOOKUP(Stock[[#This Row],[Codigo del producto ]],Entradas[],2,FALSE)</f>
        <v>46133</v>
      </c>
      <c r="D163" s="3" t="str">
        <f>IFERROR(VLOOKUP(Stock[[#This Row],[Codigo del producto ]],Entradas[],4,FALSE),"-")</f>
        <v>LT13</v>
      </c>
      <c r="E163" s="3">
        <f>IFERROR(VLOOKUP(Stock[[#This Row],[Codigo del producto ]],Entradas[],5,FALSE),"-")</f>
        <v>3</v>
      </c>
      <c r="F163" s="3">
        <f>IFERROR(SUMIFS(Pagos[Cantidad vendida], Pagos[Codigo del producto], Stock[[#This Row],[Codigo del producto ]]) + SUMIFS(PagosV2[Cantidad vendida], PagosV2[Codigo del producto], Stock[[#This Row],[Codigo del producto ]]), "-")</f>
        <v>3</v>
      </c>
      <c r="G163" s="3">
        <f>IFERROR(Stock[[#This Row],[Entradas]]-Stock[[#This Row],[Salidas]],"-")</f>
        <v>0</v>
      </c>
      <c r="H163" s="63">
        <v>16.850000000000001</v>
      </c>
      <c r="I163" s="63">
        <f>Stock[[#This Row],[Entradas]]*Stock[[#This Row],[Precio Unitario ($)]]</f>
        <v>50.550000000000004</v>
      </c>
      <c r="J163" s="63">
        <v>0.67</v>
      </c>
      <c r="K163" s="63">
        <f>Stock[[#This Row],[Entradas]]*Stock[[#This Row],[Costo de envio unitario]]</f>
        <v>2.0100000000000002</v>
      </c>
      <c r="L163" s="63">
        <f>IFERROR(Stock[[#This Row],[Precio Total (Sin Envios - $)]]+Stock[[#This Row],[Coste de envio total]],"-")</f>
        <v>52.56</v>
      </c>
      <c r="M163" s="63">
        <f>(Stock[[#This Row],[Precio Unitario ($)]]+Stock[[#This Row],[Costo de envio unitario]])*36.85</f>
        <v>645.61200000000019</v>
      </c>
      <c r="N163" s="64">
        <f>(Stock[[#This Row],[Precio Total (Con Envios - $)]])*36.85</f>
        <v>1936.8360000000002</v>
      </c>
      <c r="O163" s="64">
        <f>Stock[[#This Row],[Precio de compra unitario]]+0.55*Stock[[#This Row],[Precio de compra unitario]]</f>
        <v>1000.6986000000004</v>
      </c>
      <c r="P163" s="65"/>
      <c r="Q163" s="3"/>
    </row>
    <row r="164" spans="1:17" hidden="1" x14ac:dyDescent="0.3">
      <c r="A164" s="3" t="s">
        <v>158</v>
      </c>
      <c r="B164" s="3" t="str">
        <f>VLOOKUP(Stock[[#This Row],[Codigo del producto ]],Entradas[],3,FALSE)</f>
        <v>KZ EDX lite</v>
      </c>
      <c r="C164" s="6">
        <f>VLOOKUP(Stock[[#This Row],[Codigo del producto ]],Entradas[],2,FALSE)</f>
        <v>46119</v>
      </c>
      <c r="D164" s="3" t="str">
        <f>IFERROR(VLOOKUP(Stock[[#This Row],[Codigo del producto ]],Entradas[],4,FALSE),"-")</f>
        <v>LT12</v>
      </c>
      <c r="E164" s="3">
        <f>IFERROR(VLOOKUP(Stock[[#This Row],[Codigo del producto ]],Entradas[],5,FALSE),"-")</f>
        <v>6</v>
      </c>
      <c r="F164" s="3">
        <f>IFERROR(SUMIFS(Pagos[Cantidad vendida], Pagos[Codigo del producto], Stock[[#This Row],[Codigo del producto ]]) + SUMIFS(PagosV2[Cantidad vendida], PagosV2[Codigo del producto], Stock[[#This Row],[Codigo del producto ]]), "-")</f>
        <v>6</v>
      </c>
      <c r="G164" s="3">
        <f>IFERROR(Stock[[#This Row],[Entradas]]-Stock[[#This Row],[Salidas]],"-")</f>
        <v>0</v>
      </c>
      <c r="H164" s="63">
        <v>4.95</v>
      </c>
      <c r="I164" s="63">
        <f>Stock[[#This Row],[Entradas]]*Stock[[#This Row],[Precio Unitario ($)]]</f>
        <v>29.700000000000003</v>
      </c>
      <c r="J164" s="63">
        <v>0.34</v>
      </c>
      <c r="K164" s="63">
        <f>Stock[[#This Row],[Entradas]]*Stock[[#This Row],[Costo de envio unitario]]</f>
        <v>2.04</v>
      </c>
      <c r="L164" s="63">
        <f>IFERROR(Stock[[#This Row],[Precio Total (Sin Envios - $)]]+Stock[[#This Row],[Coste de envio total]],"-")</f>
        <v>31.740000000000002</v>
      </c>
      <c r="M164" s="63">
        <f>(Stock[[#This Row],[Precio Unitario ($)]]+Stock[[#This Row],[Costo de envio unitario]])*36.85</f>
        <v>194.9365</v>
      </c>
      <c r="N164" s="64">
        <f>(Stock[[#This Row],[Precio Total (Con Envios - $)]])*36.85</f>
        <v>1169.6190000000001</v>
      </c>
      <c r="O164" s="64">
        <f>Stock[[#This Row],[Precio de compra unitario]]+0.55*Stock[[#This Row],[Precio de compra unitario]]</f>
        <v>302.15157499999998</v>
      </c>
      <c r="P164" s="65"/>
      <c r="Q164" s="3"/>
    </row>
    <row r="165" spans="1:17" hidden="1" x14ac:dyDescent="0.3">
      <c r="A165" s="3" t="s">
        <v>182</v>
      </c>
      <c r="B165" s="3" t="str">
        <f>VLOOKUP(Stock[[#This Row],[Codigo del producto ]],Entradas[],3,FALSE)</f>
        <v>Mouse Attack Shark R6</v>
      </c>
      <c r="C165" s="6">
        <f>VLOOKUP(Stock[[#This Row],[Codigo del producto ]],Entradas[],2,FALSE)</f>
        <v>46133</v>
      </c>
      <c r="D165" s="3" t="str">
        <f>IFERROR(VLOOKUP(Stock[[#This Row],[Codigo del producto ]],Entradas[],4,FALSE),"-")</f>
        <v>LT13</v>
      </c>
      <c r="E165" s="3">
        <f>IFERROR(VLOOKUP(Stock[[#This Row],[Codigo del producto ]],Entradas[],5,FALSE),"-")</f>
        <v>1</v>
      </c>
      <c r="F165" s="3">
        <f>IFERROR(SUMIFS(Pagos[Cantidad vendida], Pagos[Codigo del producto], Stock[[#This Row],[Codigo del producto ]]) + SUMIFS(PagosV2[Cantidad vendida], PagosV2[Codigo del producto], Stock[[#This Row],[Codigo del producto ]]), "-")</f>
        <v>1</v>
      </c>
      <c r="G165" s="3">
        <f>IFERROR(Stock[[#This Row],[Entradas]]-Stock[[#This Row],[Salidas]],"-")</f>
        <v>0</v>
      </c>
      <c r="H165" s="63">
        <v>40.409999999999997</v>
      </c>
      <c r="I165" s="63">
        <f>Stock[[#This Row],[Entradas]]*Stock[[#This Row],[Precio Unitario ($)]]</f>
        <v>40.409999999999997</v>
      </c>
      <c r="J165" s="63">
        <v>2</v>
      </c>
      <c r="K165" s="63">
        <f>Stock[[#This Row],[Entradas]]*Stock[[#This Row],[Costo de envio unitario]]</f>
        <v>2</v>
      </c>
      <c r="L165" s="63">
        <f>IFERROR(Stock[[#This Row],[Precio Total (Sin Envios - $)]]+Stock[[#This Row],[Coste de envio total]],"-")</f>
        <v>42.41</v>
      </c>
      <c r="M165" s="63">
        <f>(Stock[[#This Row],[Precio Unitario ($)]]+Stock[[#This Row],[Costo de envio unitario]])*36.85</f>
        <v>1562.8084999999999</v>
      </c>
      <c r="N165" s="64">
        <f>(Stock[[#This Row],[Precio Total (Con Envios - $)]])*36.85</f>
        <v>1562.8084999999999</v>
      </c>
      <c r="O165" s="64">
        <f>Stock[[#This Row],[Precio de compra unitario]]+0.55*Stock[[#This Row],[Precio de compra unitario]]</f>
        <v>2422.3531749999997</v>
      </c>
      <c r="P165" s="65"/>
      <c r="Q165" s="3"/>
    </row>
    <row r="166" spans="1:17" x14ac:dyDescent="0.3">
      <c r="A166" s="3" t="s">
        <v>164</v>
      </c>
      <c r="B166" s="3" t="str">
        <f>VLOOKUP(Stock[[#This Row],[Codigo del producto ]],Entradas[],3,FALSE)</f>
        <v>Bolso Protector Audifonos KZ</v>
      </c>
      <c r="C166" s="6">
        <f>VLOOKUP(Stock[[#This Row],[Codigo del producto ]],Entradas[],2,FALSE)</f>
        <v>46133</v>
      </c>
      <c r="D166" s="3" t="str">
        <f>IFERROR(VLOOKUP(Stock[[#This Row],[Codigo del producto ]],Entradas[],4,FALSE),"-")</f>
        <v>LT13</v>
      </c>
      <c r="E166" s="3">
        <f>IFERROR(VLOOKUP(Stock[[#This Row],[Codigo del producto ]],Entradas[],5,FALSE),"-")</f>
        <v>20</v>
      </c>
      <c r="F166" s="3">
        <f>IFERROR(SUMIFS(Pagos[Cantidad vendida], Pagos[Codigo del producto], Stock[[#This Row],[Codigo del producto ]]) + SUMIFS(PagosV2[Cantidad vendida], PagosV2[Codigo del producto], Stock[[#This Row],[Codigo del producto ]]), "-")</f>
        <v>15</v>
      </c>
      <c r="G166" s="3">
        <f>IFERROR(Stock[[#This Row],[Entradas]]-Stock[[#This Row],[Salidas]],"-")</f>
        <v>5</v>
      </c>
      <c r="H166" s="63">
        <v>0.67</v>
      </c>
      <c r="I166" s="63">
        <f>Stock[[#This Row],[Entradas]]*Stock[[#This Row],[Precio Unitario ($)]]</f>
        <v>13.4</v>
      </c>
      <c r="J166" s="63">
        <v>0.1</v>
      </c>
      <c r="K166" s="63">
        <f>Stock[[#This Row],[Entradas]]*Stock[[#This Row],[Costo de envio unitario]]</f>
        <v>2</v>
      </c>
      <c r="L166" s="63">
        <f>IFERROR(Stock[[#This Row],[Precio Total (Sin Envios - $)]]+Stock[[#This Row],[Coste de envio total]],"-")</f>
        <v>15.4</v>
      </c>
      <c r="M166" s="63">
        <f>(Stock[[#This Row],[Precio Unitario ($)]]+Stock[[#This Row],[Costo de envio unitario]])*36.85</f>
        <v>28.374500000000001</v>
      </c>
      <c r="N166" s="64">
        <f>(Stock[[#This Row],[Precio Total (Con Envios - $)]])*36.85</f>
        <v>567.49</v>
      </c>
      <c r="O166" s="64">
        <f>Stock[[#This Row],[Precio de compra unitario]]+0.55*Stock[[#This Row],[Precio de compra unitario]]</f>
        <v>43.980475000000006</v>
      </c>
      <c r="P166" s="65"/>
      <c r="Q166" s="3"/>
    </row>
    <row r="167" spans="1:17" x14ac:dyDescent="0.3">
      <c r="A167" s="3" t="s">
        <v>184</v>
      </c>
      <c r="B167" s="3" t="str">
        <f>VLOOKUP(Stock[[#This Row],[Codigo del producto ]],Entradas[],3,FALSE)</f>
        <v>Shark Attack Mouse X11 Black</v>
      </c>
      <c r="C167" s="6">
        <f>VLOOKUP(Stock[[#This Row],[Codigo del producto ]],Entradas[],2,FALSE)</f>
        <v>46133</v>
      </c>
      <c r="D167" s="3" t="str">
        <f>IFERROR(VLOOKUP(Stock[[#This Row],[Codigo del producto ]],Entradas[],4,FALSE),"-")</f>
        <v>LT13</v>
      </c>
      <c r="E167" s="3">
        <f>IFERROR(VLOOKUP(Stock[[#This Row],[Codigo del producto ]],Entradas[],5,FALSE),"-")</f>
        <v>20</v>
      </c>
      <c r="F167" s="3">
        <f>IFERROR(SUMIFS(Pagos[Cantidad vendida], Pagos[Codigo del producto], Stock[[#This Row],[Codigo del producto ]]) + SUMIFS(PagosV2[Cantidad vendida], PagosV2[Codigo del producto], Stock[[#This Row],[Codigo del producto ]]), "-")</f>
        <v>6</v>
      </c>
      <c r="G167" s="3">
        <f>IFERROR(Stock[[#This Row],[Entradas]]-Stock[[#This Row],[Salidas]],"-")</f>
        <v>14</v>
      </c>
      <c r="H167" s="63">
        <v>21</v>
      </c>
      <c r="I167" s="63">
        <f>Stock[[#This Row],[Entradas]]*Stock[[#This Row],[Precio Unitario ($)]]</f>
        <v>420</v>
      </c>
      <c r="J167" s="63">
        <v>1.2</v>
      </c>
      <c r="K167" s="63">
        <f>Stock[[#This Row],[Entradas]]*Stock[[#This Row],[Costo de envio unitario]]</f>
        <v>24</v>
      </c>
      <c r="L167" s="63">
        <f>IFERROR(Stock[[#This Row],[Precio Total (Sin Envios - $)]]+Stock[[#This Row],[Coste de envio total]],"-")</f>
        <v>444</v>
      </c>
      <c r="M167" s="63">
        <f>(Stock[[#This Row],[Precio Unitario ($)]]+Stock[[#This Row],[Costo de envio unitario]])*36.85</f>
        <v>818.07</v>
      </c>
      <c r="N167" s="64">
        <f>(Stock[[#This Row],[Precio Total (Con Envios - $)]])*36.85</f>
        <v>16361.400000000001</v>
      </c>
      <c r="O167" s="64">
        <f>Stock[[#This Row],[Precio de compra unitario]]+0.55*Stock[[#This Row],[Precio de compra unitario]]</f>
        <v>1268.0085000000001</v>
      </c>
      <c r="P167" s="65"/>
      <c r="Q167" s="3"/>
    </row>
    <row r="168" spans="1:17" hidden="1" x14ac:dyDescent="0.3">
      <c r="A168" s="3" t="s">
        <v>494</v>
      </c>
      <c r="B168" s="3" t="str">
        <f>VLOOKUP(Stock[[#This Row],[Codigo del producto ]],Entradas[],3,FALSE)</f>
        <v>Shark Attack Mouse X11 White</v>
      </c>
      <c r="C168" s="6">
        <f>VLOOKUP(Stock[[#This Row],[Codigo del producto ]],Entradas[],2,FALSE)</f>
        <v>46134</v>
      </c>
      <c r="D168" s="3" t="str">
        <f>IFERROR(VLOOKUP(Stock[[#This Row],[Codigo del producto ]],Entradas[],4,FALSE),"-")</f>
        <v>LT14</v>
      </c>
      <c r="E168" s="3">
        <f>IFERROR(VLOOKUP(Stock[[#This Row],[Codigo del producto ]],Entradas[],5,FALSE),"-")</f>
        <v>10</v>
      </c>
      <c r="F168" s="3">
        <f>IFERROR(SUMIFS(Pagos[Cantidad vendida], Pagos[Codigo del producto], Stock[[#This Row],[Codigo del producto ]]) + SUMIFS(PagosV2[Cantidad vendida], PagosV2[Codigo del producto], Stock[[#This Row],[Codigo del producto ]]), "-")</f>
        <v>10</v>
      </c>
      <c r="G168" s="3">
        <f>IFERROR(Stock[[#This Row],[Entradas]]-Stock[[#This Row],[Salidas]],"-")</f>
        <v>0</v>
      </c>
      <c r="H168" s="63">
        <v>23</v>
      </c>
      <c r="I168" s="63">
        <f>Stock[[#This Row],[Entradas]]*Stock[[#This Row],[Precio Unitario ($)]]</f>
        <v>230</v>
      </c>
      <c r="J168" s="63">
        <v>1.2</v>
      </c>
      <c r="K168" s="63">
        <f>Stock[[#This Row],[Entradas]]*Stock[[#This Row],[Costo de envio unitario]]</f>
        <v>12</v>
      </c>
      <c r="L168" s="63">
        <f>IFERROR(Stock[[#This Row],[Precio Total (Sin Envios - $)]]+Stock[[#This Row],[Coste de envio total]],"-")</f>
        <v>242</v>
      </c>
      <c r="M168" s="63">
        <f>(Stock[[#This Row],[Precio Unitario ($)]]+Stock[[#This Row],[Costo de envio unitario]])*36.85</f>
        <v>891.77</v>
      </c>
      <c r="N168" s="64">
        <f>(Stock[[#This Row],[Precio Total (Con Envios - $)]])*36.85</f>
        <v>8917.7000000000007</v>
      </c>
      <c r="O168" s="64">
        <f>Stock[[#This Row],[Precio de compra unitario]]+0.55*Stock[[#This Row],[Precio de compra unitario]]</f>
        <v>1382.2435</v>
      </c>
      <c r="P168" s="65"/>
      <c r="Q168" s="3"/>
    </row>
    <row r="169" spans="1:17" hidden="1" x14ac:dyDescent="0.3">
      <c r="B169" s="3" t="e">
        <f>VLOOKUP(Stock[[#This Row],[Codigo del producto ]],Entradas[],3,FALSE)</f>
        <v>#N/A</v>
      </c>
      <c r="C169" s="6" t="e">
        <f>VLOOKUP(Stock[[#This Row],[Codigo del producto ]],Entradas[],2,FALSE)</f>
        <v>#N/A</v>
      </c>
      <c r="D169" s="3" t="str">
        <f>IFERROR(VLOOKUP(Stock[[#This Row],[Codigo del producto ]],Entradas[],4,FALSE),"-")</f>
        <v>-</v>
      </c>
      <c r="E169" s="3" t="str">
        <f>IFERROR(VLOOKUP(Stock[[#This Row],[Codigo del producto ]],Entradas[],5,FALSE),"-")</f>
        <v>-</v>
      </c>
      <c r="F169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69" s="3" t="str">
        <f>IFERROR(Stock[[#This Row],[Entradas]]-Stock[[#This Row],[Salidas]],"-")</f>
        <v>-</v>
      </c>
      <c r="H169" s="63"/>
      <c r="I169" s="63" t="e">
        <f>Stock[[#This Row],[Entradas]]*Stock[[#This Row],[Precio Unitario ($)]]</f>
        <v>#VALUE!</v>
      </c>
      <c r="J169" s="63"/>
      <c r="K169" s="63" t="e">
        <f>Stock[[#This Row],[Entradas]]*Stock[[#This Row],[Costo de envio unitario]]</f>
        <v>#VALUE!</v>
      </c>
      <c r="L169" s="63" t="str">
        <f>IFERROR(Stock[[#This Row],[Precio Total (Sin Envios - $)]]+Stock[[#This Row],[Coste de envio total]],"-")</f>
        <v>-</v>
      </c>
      <c r="M169" s="63">
        <f>(Stock[[#This Row],[Precio Unitario ($)]]+Stock[[#This Row],[Costo de envio unitario]])*36.85</f>
        <v>0</v>
      </c>
      <c r="N169" s="64" t="e">
        <f>(Stock[[#This Row],[Precio Total (Con Envios - $)]])*36.85</f>
        <v>#VALUE!</v>
      </c>
      <c r="O169" s="64">
        <f>Stock[[#This Row],[Precio de compra unitario]]+0.55*Stock[[#This Row],[Precio de compra unitario]]</f>
        <v>0</v>
      </c>
      <c r="P169" s="65"/>
      <c r="Q169" s="3"/>
    </row>
    <row r="170" spans="1:17" hidden="1" x14ac:dyDescent="0.3">
      <c r="B170" s="3" t="e">
        <f>VLOOKUP(Stock[[#This Row],[Codigo del producto ]],Entradas[],3,FALSE)</f>
        <v>#N/A</v>
      </c>
      <c r="C170" s="6" t="e">
        <f>VLOOKUP(Stock[[#This Row],[Codigo del producto ]],Entradas[],2,FALSE)</f>
        <v>#N/A</v>
      </c>
      <c r="D170" s="3" t="str">
        <f>IFERROR(VLOOKUP(Stock[[#This Row],[Codigo del producto ]],Entradas[],4,FALSE),"-")</f>
        <v>-</v>
      </c>
      <c r="E170" s="3" t="str">
        <f>IFERROR(VLOOKUP(Stock[[#This Row],[Codigo del producto ]],Entradas[],5,FALSE),"-")</f>
        <v>-</v>
      </c>
      <c r="F170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70" s="3" t="str">
        <f>IFERROR(Stock[[#This Row],[Entradas]]-Stock[[#This Row],[Salidas]],"-")</f>
        <v>-</v>
      </c>
      <c r="H170" s="63"/>
      <c r="I170" s="63" t="e">
        <f>Stock[[#This Row],[Entradas]]*Stock[[#This Row],[Precio Unitario ($)]]</f>
        <v>#VALUE!</v>
      </c>
      <c r="J170" s="63"/>
      <c r="K170" s="63" t="e">
        <f>Stock[[#This Row],[Entradas]]*Stock[[#This Row],[Costo de envio unitario]]</f>
        <v>#VALUE!</v>
      </c>
      <c r="L170" s="63" t="str">
        <f>IFERROR(Stock[[#This Row],[Precio Total (Sin Envios - $)]]+Stock[[#This Row],[Coste de envio total]],"-")</f>
        <v>-</v>
      </c>
      <c r="M170" s="63">
        <f>(Stock[[#This Row],[Precio Unitario ($)]]+Stock[[#This Row],[Costo de envio unitario]])*36.85</f>
        <v>0</v>
      </c>
      <c r="N170" s="64" t="e">
        <f>(Stock[[#This Row],[Precio Total (Con Envios - $)]])*36.85</f>
        <v>#VALUE!</v>
      </c>
      <c r="O170" s="64">
        <f>Stock[[#This Row],[Precio de compra unitario]]+0.55*Stock[[#This Row],[Precio de compra unitario]]</f>
        <v>0</v>
      </c>
      <c r="P170" s="65"/>
      <c r="Q170" s="3"/>
    </row>
    <row r="171" spans="1:17" hidden="1" x14ac:dyDescent="0.3">
      <c r="B171" s="3" t="e">
        <f>VLOOKUP(Stock[[#This Row],[Codigo del producto ]],Entradas[],3,FALSE)</f>
        <v>#N/A</v>
      </c>
      <c r="C171" s="6" t="e">
        <f>VLOOKUP(Stock[[#This Row],[Codigo del producto ]],Entradas[],2,FALSE)</f>
        <v>#N/A</v>
      </c>
      <c r="D171" s="3" t="str">
        <f>IFERROR(VLOOKUP(Stock[[#This Row],[Codigo del producto ]],Entradas[],4,FALSE),"-")</f>
        <v>-</v>
      </c>
      <c r="E171" s="3" t="str">
        <f>IFERROR(VLOOKUP(Stock[[#This Row],[Codigo del producto ]],Entradas[],5,FALSE),"-")</f>
        <v>-</v>
      </c>
      <c r="F171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71" s="3" t="str">
        <f>IFERROR(Stock[[#This Row],[Entradas]]-Stock[[#This Row],[Salidas]],"-")</f>
        <v>-</v>
      </c>
      <c r="H171" s="63"/>
      <c r="I171" s="63" t="e">
        <f>Stock[[#This Row],[Entradas]]*Stock[[#This Row],[Precio Unitario ($)]]</f>
        <v>#VALUE!</v>
      </c>
      <c r="J171" s="63"/>
      <c r="K171" s="63" t="e">
        <f>Stock[[#This Row],[Entradas]]*Stock[[#This Row],[Costo de envio unitario]]</f>
        <v>#VALUE!</v>
      </c>
      <c r="L171" s="63" t="str">
        <f>IFERROR(Stock[[#This Row],[Precio Total (Sin Envios - $)]]+Stock[[#This Row],[Coste de envio total]],"-")</f>
        <v>-</v>
      </c>
      <c r="M171" s="63">
        <f>(Stock[[#This Row],[Precio Unitario ($)]]+Stock[[#This Row],[Costo de envio unitario]])*36.85</f>
        <v>0</v>
      </c>
      <c r="N171" s="64" t="e">
        <f>(Stock[[#This Row],[Precio Total (Con Envios - $)]])*36.85</f>
        <v>#VALUE!</v>
      </c>
      <c r="O171" s="64">
        <f>Stock[[#This Row],[Precio de compra unitario]]+0.55*Stock[[#This Row],[Precio de compra unitario]]</f>
        <v>0</v>
      </c>
      <c r="P171" s="65"/>
      <c r="Q171" s="3"/>
    </row>
    <row r="172" spans="1:17" hidden="1" x14ac:dyDescent="0.3">
      <c r="B172" s="3" t="e">
        <f>VLOOKUP(Stock[[#This Row],[Codigo del producto ]],Entradas[],3,FALSE)</f>
        <v>#N/A</v>
      </c>
      <c r="C172" s="6" t="e">
        <f>VLOOKUP(Stock[[#This Row],[Codigo del producto ]],Entradas[],2,FALSE)</f>
        <v>#N/A</v>
      </c>
      <c r="D172" s="3" t="str">
        <f>IFERROR(VLOOKUP(Stock[[#This Row],[Codigo del producto ]],Entradas[],4,FALSE),"-")</f>
        <v>-</v>
      </c>
      <c r="E172" s="3" t="str">
        <f>IFERROR(VLOOKUP(Stock[[#This Row],[Codigo del producto ]],Entradas[],5,FALSE),"-")</f>
        <v>-</v>
      </c>
      <c r="F172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72" s="3" t="str">
        <f>IFERROR(Stock[[#This Row],[Entradas]]-Stock[[#This Row],[Salidas]],"-")</f>
        <v>-</v>
      </c>
      <c r="H172" s="63"/>
      <c r="I172" s="63" t="e">
        <f>Stock[[#This Row],[Entradas]]*Stock[[#This Row],[Precio Unitario ($)]]</f>
        <v>#VALUE!</v>
      </c>
      <c r="J172" s="63"/>
      <c r="K172" s="63" t="e">
        <f>Stock[[#This Row],[Entradas]]*Stock[[#This Row],[Costo de envio unitario]]</f>
        <v>#VALUE!</v>
      </c>
      <c r="L172" s="63" t="str">
        <f>IFERROR(Stock[[#This Row],[Precio Total (Sin Envios - $)]]+Stock[[#This Row],[Coste de envio total]],"-")</f>
        <v>-</v>
      </c>
      <c r="M172" s="63">
        <f>(Stock[[#This Row],[Precio Unitario ($)]]+Stock[[#This Row],[Costo de envio unitario]])*36.85</f>
        <v>0</v>
      </c>
      <c r="N172" s="64" t="e">
        <f>(Stock[[#This Row],[Precio Total (Con Envios - $)]])*36.85</f>
        <v>#VALUE!</v>
      </c>
      <c r="O172" s="64">
        <f>Stock[[#This Row],[Precio de compra unitario]]+0.55*Stock[[#This Row],[Precio de compra unitario]]</f>
        <v>0</v>
      </c>
      <c r="P172" s="65"/>
      <c r="Q172" s="3"/>
    </row>
    <row r="173" spans="1:17" hidden="1" x14ac:dyDescent="0.3">
      <c r="B173" s="3" t="e">
        <f>VLOOKUP(Stock[[#This Row],[Codigo del producto ]],Entradas[],3,FALSE)</f>
        <v>#N/A</v>
      </c>
      <c r="C173" s="6" t="e">
        <f>VLOOKUP(Stock[[#This Row],[Codigo del producto ]],Entradas[],2,FALSE)</f>
        <v>#N/A</v>
      </c>
      <c r="D173" s="3" t="str">
        <f>IFERROR(VLOOKUP(Stock[[#This Row],[Codigo del producto ]],Entradas[],4,FALSE),"-")</f>
        <v>-</v>
      </c>
      <c r="E173" s="3" t="str">
        <f>IFERROR(VLOOKUP(Stock[[#This Row],[Codigo del producto ]],Entradas[],5,FALSE),"-")</f>
        <v>-</v>
      </c>
      <c r="F173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73" s="3" t="str">
        <f>IFERROR(Stock[[#This Row],[Entradas]]-Stock[[#This Row],[Salidas]],"-")</f>
        <v>-</v>
      </c>
      <c r="H173" s="63"/>
      <c r="I173" s="63" t="e">
        <f>Stock[[#This Row],[Entradas]]*Stock[[#This Row],[Precio Unitario ($)]]</f>
        <v>#VALUE!</v>
      </c>
      <c r="J173" s="63"/>
      <c r="K173" s="63" t="e">
        <f>Stock[[#This Row],[Entradas]]*Stock[[#This Row],[Costo de envio unitario]]</f>
        <v>#VALUE!</v>
      </c>
      <c r="L173" s="63" t="str">
        <f>IFERROR(Stock[[#This Row],[Precio Total (Sin Envios - $)]]+Stock[[#This Row],[Coste de envio total]],"-")</f>
        <v>-</v>
      </c>
      <c r="M173" s="63">
        <f>(Stock[[#This Row],[Precio Unitario ($)]]+Stock[[#This Row],[Costo de envio unitario]])*36.85</f>
        <v>0</v>
      </c>
      <c r="N173" s="64" t="e">
        <f>(Stock[[#This Row],[Precio Total (Con Envios - $)]])*36.85</f>
        <v>#VALUE!</v>
      </c>
      <c r="O173" s="64">
        <f>Stock[[#This Row],[Precio de compra unitario]]+0.55*Stock[[#This Row],[Precio de compra unitario]]</f>
        <v>0</v>
      </c>
      <c r="P173" s="65"/>
      <c r="Q173" s="3"/>
    </row>
    <row r="174" spans="1:17" hidden="1" x14ac:dyDescent="0.3">
      <c r="B174" s="3" t="e">
        <f>VLOOKUP(Stock[[#This Row],[Codigo del producto ]],Entradas[],3,FALSE)</f>
        <v>#N/A</v>
      </c>
      <c r="C174" s="6" t="e">
        <f>VLOOKUP(Stock[[#This Row],[Codigo del producto ]],Entradas[],2,FALSE)</f>
        <v>#N/A</v>
      </c>
      <c r="D174" s="3" t="str">
        <f>IFERROR(VLOOKUP(Stock[[#This Row],[Codigo del producto ]],Entradas[],4,FALSE),"-")</f>
        <v>-</v>
      </c>
      <c r="E174" s="3" t="str">
        <f>IFERROR(VLOOKUP(Stock[[#This Row],[Codigo del producto ]],Entradas[],5,FALSE),"-")</f>
        <v>-</v>
      </c>
      <c r="F174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74" s="3" t="str">
        <f>IFERROR(Stock[[#This Row],[Entradas]]-Stock[[#This Row],[Salidas]],"-")</f>
        <v>-</v>
      </c>
      <c r="H174" s="63"/>
      <c r="I174" s="63" t="e">
        <f>Stock[[#This Row],[Entradas]]*Stock[[#This Row],[Precio Unitario ($)]]</f>
        <v>#VALUE!</v>
      </c>
      <c r="J174" s="63"/>
      <c r="K174" s="63" t="e">
        <f>Stock[[#This Row],[Entradas]]*Stock[[#This Row],[Costo de envio unitario]]</f>
        <v>#VALUE!</v>
      </c>
      <c r="L174" s="63" t="str">
        <f>IFERROR(Stock[[#This Row],[Precio Total (Sin Envios - $)]]+Stock[[#This Row],[Coste de envio total]],"-")</f>
        <v>-</v>
      </c>
      <c r="M174" s="63">
        <f>(Stock[[#This Row],[Precio Unitario ($)]]+Stock[[#This Row],[Costo de envio unitario]])*36.85</f>
        <v>0</v>
      </c>
      <c r="N174" s="64" t="e">
        <f>(Stock[[#This Row],[Precio Total (Con Envios - $)]])*36.85</f>
        <v>#VALUE!</v>
      </c>
      <c r="O174" s="64">
        <f>Stock[[#This Row],[Precio de compra unitario]]+0.55*Stock[[#This Row],[Precio de compra unitario]]</f>
        <v>0</v>
      </c>
      <c r="P174" s="65"/>
      <c r="Q174" s="3"/>
    </row>
    <row r="175" spans="1:17" hidden="1" x14ac:dyDescent="0.3">
      <c r="B175" s="3" t="e">
        <f>VLOOKUP(Stock[[#This Row],[Codigo del producto ]],Entradas[],3,FALSE)</f>
        <v>#N/A</v>
      </c>
      <c r="C175" s="6" t="e">
        <f>VLOOKUP(Stock[[#This Row],[Codigo del producto ]],Entradas[],2,FALSE)</f>
        <v>#N/A</v>
      </c>
      <c r="D175" s="3" t="str">
        <f>IFERROR(VLOOKUP(Stock[[#This Row],[Codigo del producto ]],Entradas[],4,FALSE),"-")</f>
        <v>-</v>
      </c>
      <c r="E175" s="3" t="str">
        <f>IFERROR(VLOOKUP(Stock[[#This Row],[Codigo del producto ]],Entradas[],5,FALSE),"-")</f>
        <v>-</v>
      </c>
      <c r="F175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75" s="3" t="str">
        <f>IFERROR(Stock[[#This Row],[Entradas]]-Stock[[#This Row],[Salidas]],"-")</f>
        <v>-</v>
      </c>
      <c r="H175" s="63"/>
      <c r="I175" s="63" t="e">
        <f>Stock[[#This Row],[Entradas]]*Stock[[#This Row],[Precio Unitario ($)]]</f>
        <v>#VALUE!</v>
      </c>
      <c r="J175" s="63"/>
      <c r="K175" s="63" t="e">
        <f>Stock[[#This Row],[Entradas]]*Stock[[#This Row],[Costo de envio unitario]]</f>
        <v>#VALUE!</v>
      </c>
      <c r="L175" s="63" t="str">
        <f>IFERROR(Stock[[#This Row],[Precio Total (Sin Envios - $)]]+Stock[[#This Row],[Coste de envio total]],"-")</f>
        <v>-</v>
      </c>
      <c r="M175" s="63">
        <f>(Stock[[#This Row],[Precio Unitario ($)]]+Stock[[#This Row],[Costo de envio unitario]])*36.85</f>
        <v>0</v>
      </c>
      <c r="N175" s="64" t="e">
        <f>(Stock[[#This Row],[Precio Total (Con Envios - $)]])*36.85</f>
        <v>#VALUE!</v>
      </c>
      <c r="O175" s="64">
        <f>Stock[[#This Row],[Precio de compra unitario]]+0.55*Stock[[#This Row],[Precio de compra unitario]]</f>
        <v>0</v>
      </c>
      <c r="P175" s="65"/>
      <c r="Q175" s="3"/>
    </row>
    <row r="176" spans="1:17" hidden="1" x14ac:dyDescent="0.3">
      <c r="B176" s="3" t="e">
        <f>VLOOKUP(Stock[[#This Row],[Codigo del producto ]],Entradas[],3,FALSE)</f>
        <v>#N/A</v>
      </c>
      <c r="C176" s="6" t="e">
        <f>VLOOKUP(Stock[[#This Row],[Codigo del producto ]],Entradas[],2,FALSE)</f>
        <v>#N/A</v>
      </c>
      <c r="D176" s="3" t="str">
        <f>IFERROR(VLOOKUP(Stock[[#This Row],[Codigo del producto ]],Entradas[],4,FALSE),"-")</f>
        <v>-</v>
      </c>
      <c r="E176" s="3" t="str">
        <f>IFERROR(VLOOKUP(Stock[[#This Row],[Codigo del producto ]],Entradas[],5,FALSE),"-")</f>
        <v>-</v>
      </c>
      <c r="F176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76" s="3" t="str">
        <f>IFERROR(Stock[[#This Row],[Entradas]]-Stock[[#This Row],[Salidas]],"-")</f>
        <v>-</v>
      </c>
      <c r="H176" s="63"/>
      <c r="I176" s="63" t="e">
        <f>Stock[[#This Row],[Entradas]]*Stock[[#This Row],[Precio Unitario ($)]]</f>
        <v>#VALUE!</v>
      </c>
      <c r="J176" s="63"/>
      <c r="K176" s="63" t="e">
        <f>Stock[[#This Row],[Entradas]]*Stock[[#This Row],[Costo de envio unitario]]</f>
        <v>#VALUE!</v>
      </c>
      <c r="L176" s="63" t="str">
        <f>IFERROR(Stock[[#This Row],[Precio Total (Sin Envios - $)]]+Stock[[#This Row],[Coste de envio total]],"-")</f>
        <v>-</v>
      </c>
      <c r="M176" s="63">
        <f>(Stock[[#This Row],[Precio Unitario ($)]]+Stock[[#This Row],[Costo de envio unitario]])*36.85</f>
        <v>0</v>
      </c>
      <c r="N176" s="64" t="e">
        <f>(Stock[[#This Row],[Precio Total (Con Envios - $)]])*36.85</f>
        <v>#VALUE!</v>
      </c>
      <c r="O176" s="64">
        <f>Stock[[#This Row],[Precio de compra unitario]]+0.55*Stock[[#This Row],[Precio de compra unitario]]</f>
        <v>0</v>
      </c>
      <c r="P176" s="65"/>
      <c r="Q176" s="3"/>
    </row>
    <row r="177" spans="1:17" hidden="1" x14ac:dyDescent="0.3">
      <c r="B177" s="3" t="e">
        <f>VLOOKUP(Stock[[#This Row],[Codigo del producto ]],Entradas[],3,FALSE)</f>
        <v>#N/A</v>
      </c>
      <c r="C177" s="6" t="e">
        <f>VLOOKUP(Stock[[#This Row],[Codigo del producto ]],Entradas[],2,FALSE)</f>
        <v>#N/A</v>
      </c>
      <c r="D177" s="3" t="str">
        <f>IFERROR(VLOOKUP(Stock[[#This Row],[Codigo del producto ]],Entradas[],4,FALSE),"-")</f>
        <v>-</v>
      </c>
      <c r="E177" s="3" t="str">
        <f>IFERROR(VLOOKUP(Stock[[#This Row],[Codigo del producto ]],Entradas[],5,FALSE),"-")</f>
        <v>-</v>
      </c>
      <c r="F177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77" s="3" t="str">
        <f>IFERROR(Stock[[#This Row],[Entradas]]-Stock[[#This Row],[Salidas]],"-")</f>
        <v>-</v>
      </c>
      <c r="H177" s="63"/>
      <c r="I177" s="63" t="e">
        <f>Stock[[#This Row],[Entradas]]*Stock[[#This Row],[Precio Unitario ($)]]</f>
        <v>#VALUE!</v>
      </c>
      <c r="J177" s="63"/>
      <c r="K177" s="63" t="e">
        <f>Stock[[#This Row],[Entradas]]*Stock[[#This Row],[Costo de envio unitario]]</f>
        <v>#VALUE!</v>
      </c>
      <c r="L177" s="63" t="str">
        <f>IFERROR(Stock[[#This Row],[Precio Total (Sin Envios - $)]]+Stock[[#This Row],[Coste de envio total]],"-")</f>
        <v>-</v>
      </c>
      <c r="M177" s="63">
        <f>(Stock[[#This Row],[Precio Unitario ($)]]+Stock[[#This Row],[Costo de envio unitario]])*36.85</f>
        <v>0</v>
      </c>
      <c r="N177" s="64" t="e">
        <f>(Stock[[#This Row],[Precio Total (Con Envios - $)]])*36.85</f>
        <v>#VALUE!</v>
      </c>
      <c r="O177" s="64">
        <f>Stock[[#This Row],[Precio de compra unitario]]+0.55*Stock[[#This Row],[Precio de compra unitario]]</f>
        <v>0</v>
      </c>
      <c r="P177" s="65"/>
      <c r="Q177" s="3"/>
    </row>
    <row r="178" spans="1:17" hidden="1" x14ac:dyDescent="0.3">
      <c r="B178" s="3" t="e">
        <f>VLOOKUP(Stock[[#This Row],[Codigo del producto ]],Entradas[],3,FALSE)</f>
        <v>#N/A</v>
      </c>
      <c r="C178" s="6" t="e">
        <f>VLOOKUP(Stock[[#This Row],[Codigo del producto ]],Entradas[],2,FALSE)</f>
        <v>#N/A</v>
      </c>
      <c r="D178" s="3" t="str">
        <f>IFERROR(VLOOKUP(Stock[[#This Row],[Codigo del producto ]],Entradas[],4,FALSE),"-")</f>
        <v>-</v>
      </c>
      <c r="E178" s="3" t="str">
        <f>IFERROR(VLOOKUP(Stock[[#This Row],[Codigo del producto ]],Entradas[],5,FALSE),"-")</f>
        <v>-</v>
      </c>
      <c r="F178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78" s="3" t="str">
        <f>IFERROR(Stock[[#This Row],[Entradas]]-Stock[[#This Row],[Salidas]],"-")</f>
        <v>-</v>
      </c>
      <c r="H178" s="63"/>
      <c r="I178" s="63" t="e">
        <f>Stock[[#This Row],[Entradas]]*Stock[[#This Row],[Precio Unitario ($)]]</f>
        <v>#VALUE!</v>
      </c>
      <c r="J178" s="63"/>
      <c r="K178" s="63" t="e">
        <f>Stock[[#This Row],[Entradas]]*Stock[[#This Row],[Costo de envio unitario]]</f>
        <v>#VALUE!</v>
      </c>
      <c r="L178" s="63" t="str">
        <f>IFERROR(Stock[[#This Row],[Precio Total (Sin Envios - $)]]+Stock[[#This Row],[Coste de envio total]],"-")</f>
        <v>-</v>
      </c>
      <c r="M178" s="63">
        <f>(Stock[[#This Row],[Precio Unitario ($)]]+Stock[[#This Row],[Costo de envio unitario]])*36.85</f>
        <v>0</v>
      </c>
      <c r="N178" s="64" t="e">
        <f>(Stock[[#This Row],[Precio Total (Con Envios - $)]])*36.85</f>
        <v>#VALUE!</v>
      </c>
      <c r="O178" s="64">
        <f>Stock[[#This Row],[Precio de compra unitario]]+0.55*Stock[[#This Row],[Precio de compra unitario]]</f>
        <v>0</v>
      </c>
      <c r="P178" s="65"/>
      <c r="Q178" s="3"/>
    </row>
    <row r="179" spans="1:17" hidden="1" x14ac:dyDescent="0.3">
      <c r="B179" s="3" t="e">
        <f>VLOOKUP(Stock[[#This Row],[Codigo del producto ]],Entradas[],3,FALSE)</f>
        <v>#N/A</v>
      </c>
      <c r="C179" s="6" t="e">
        <f>VLOOKUP(Stock[[#This Row],[Codigo del producto ]],Entradas[],2,FALSE)</f>
        <v>#N/A</v>
      </c>
      <c r="D179" s="3" t="str">
        <f>IFERROR(VLOOKUP(Stock[[#This Row],[Codigo del producto ]],Entradas[],4,FALSE),"-")</f>
        <v>-</v>
      </c>
      <c r="E179" s="3" t="str">
        <f>IFERROR(VLOOKUP(Stock[[#This Row],[Codigo del producto ]],Entradas[],5,FALSE),"-")</f>
        <v>-</v>
      </c>
      <c r="F179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79" s="3" t="str">
        <f>IFERROR(Stock[[#This Row],[Entradas]]-Stock[[#This Row],[Salidas]],"-")</f>
        <v>-</v>
      </c>
      <c r="H179" s="63"/>
      <c r="I179" s="63" t="e">
        <f>Stock[[#This Row],[Entradas]]*Stock[[#This Row],[Precio Unitario ($)]]</f>
        <v>#VALUE!</v>
      </c>
      <c r="J179" s="63"/>
      <c r="K179" s="63" t="e">
        <f>Stock[[#This Row],[Entradas]]*Stock[[#This Row],[Costo de envio unitario]]</f>
        <v>#VALUE!</v>
      </c>
      <c r="L179" s="63" t="str">
        <f>IFERROR(Stock[[#This Row],[Precio Total (Sin Envios - $)]]+Stock[[#This Row],[Coste de envio total]],"-")</f>
        <v>-</v>
      </c>
      <c r="M179" s="63">
        <f>(Stock[[#This Row],[Precio Unitario ($)]]+Stock[[#This Row],[Costo de envio unitario]])*36.85</f>
        <v>0</v>
      </c>
      <c r="N179" s="64" t="e">
        <f>(Stock[[#This Row],[Precio Total (Con Envios - $)]])*36.85</f>
        <v>#VALUE!</v>
      </c>
      <c r="O179" s="64">
        <f>Stock[[#This Row],[Precio de compra unitario]]+0.55*Stock[[#This Row],[Precio de compra unitario]]</f>
        <v>0</v>
      </c>
      <c r="P179" s="65"/>
      <c r="Q179" s="3"/>
    </row>
    <row r="180" spans="1:17" hidden="1" x14ac:dyDescent="0.3">
      <c r="B180" s="3" t="e">
        <f>VLOOKUP(Stock[[#This Row],[Codigo del producto ]],Entradas[],3,FALSE)</f>
        <v>#N/A</v>
      </c>
      <c r="C180" s="6" t="e">
        <f>VLOOKUP(Stock[[#This Row],[Codigo del producto ]],Entradas[],2,FALSE)</f>
        <v>#N/A</v>
      </c>
      <c r="D180" s="3" t="str">
        <f>IFERROR(VLOOKUP(Stock[[#This Row],[Codigo del producto ]],Entradas[],4,FALSE),"-")</f>
        <v>-</v>
      </c>
      <c r="E180" s="3" t="str">
        <f>IFERROR(VLOOKUP(Stock[[#This Row],[Codigo del producto ]],Entradas[],5,FALSE),"-")</f>
        <v>-</v>
      </c>
      <c r="F180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80" s="3" t="str">
        <f>IFERROR(Stock[[#This Row],[Entradas]]-Stock[[#This Row],[Salidas]],"-")</f>
        <v>-</v>
      </c>
      <c r="H180" s="63"/>
      <c r="I180" s="63" t="e">
        <f>Stock[[#This Row],[Entradas]]*Stock[[#This Row],[Precio Unitario ($)]]</f>
        <v>#VALUE!</v>
      </c>
      <c r="J180" s="63"/>
      <c r="K180" s="63" t="e">
        <f>Stock[[#This Row],[Entradas]]*Stock[[#This Row],[Costo de envio unitario]]</f>
        <v>#VALUE!</v>
      </c>
      <c r="L180" s="63" t="str">
        <f>IFERROR(Stock[[#This Row],[Precio Total (Sin Envios - $)]]+Stock[[#This Row],[Coste de envio total]],"-")</f>
        <v>-</v>
      </c>
      <c r="M180" s="63">
        <f>(Stock[[#This Row],[Precio Unitario ($)]]+Stock[[#This Row],[Costo de envio unitario]])*36.85</f>
        <v>0</v>
      </c>
      <c r="N180" s="64" t="e">
        <f>(Stock[[#This Row],[Precio Total (Con Envios - $)]])*36.85</f>
        <v>#VALUE!</v>
      </c>
      <c r="O180" s="64">
        <f>Stock[[#This Row],[Precio de compra unitario]]+0.55*Stock[[#This Row],[Precio de compra unitario]]</f>
        <v>0</v>
      </c>
      <c r="P180" s="65"/>
      <c r="Q180" s="3"/>
    </row>
    <row r="181" spans="1:17" hidden="1" x14ac:dyDescent="0.3">
      <c r="B181" s="3" t="e">
        <f>VLOOKUP(Stock[[#This Row],[Codigo del producto ]],Entradas[],3,FALSE)</f>
        <v>#N/A</v>
      </c>
      <c r="C181" s="6" t="e">
        <f>VLOOKUP(Stock[[#This Row],[Codigo del producto ]],Entradas[],2,FALSE)</f>
        <v>#N/A</v>
      </c>
      <c r="D181" s="3" t="str">
        <f>IFERROR(VLOOKUP(Stock[[#This Row],[Codigo del producto ]],Entradas[],4,FALSE),"-")</f>
        <v>-</v>
      </c>
      <c r="E181" s="3" t="str">
        <f>IFERROR(VLOOKUP(Stock[[#This Row],[Codigo del producto ]],Entradas[],5,FALSE),"-")</f>
        <v>-</v>
      </c>
      <c r="F181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81" s="3" t="str">
        <f>IFERROR(Stock[[#This Row],[Entradas]]-Stock[[#This Row],[Salidas]],"-")</f>
        <v>-</v>
      </c>
      <c r="H181" s="63"/>
      <c r="I181" s="63" t="e">
        <f>Stock[[#This Row],[Entradas]]*Stock[[#This Row],[Precio Unitario ($)]]</f>
        <v>#VALUE!</v>
      </c>
      <c r="J181" s="63"/>
      <c r="K181" s="63" t="e">
        <f>Stock[[#This Row],[Entradas]]*Stock[[#This Row],[Costo de envio unitario]]</f>
        <v>#VALUE!</v>
      </c>
      <c r="L181" s="63" t="str">
        <f>IFERROR(Stock[[#This Row],[Precio Total (Sin Envios - $)]]+Stock[[#This Row],[Coste de envio total]],"-")</f>
        <v>-</v>
      </c>
      <c r="M181" s="63">
        <f>(Stock[[#This Row],[Precio Unitario ($)]]+Stock[[#This Row],[Costo de envio unitario]])*36.85</f>
        <v>0</v>
      </c>
      <c r="N181" s="64" t="e">
        <f>(Stock[[#This Row],[Precio Total (Con Envios - $)]])*36.85</f>
        <v>#VALUE!</v>
      </c>
      <c r="O181" s="64">
        <f>Stock[[#This Row],[Precio de compra unitario]]+0.55*Stock[[#This Row],[Precio de compra unitario]]</f>
        <v>0</v>
      </c>
      <c r="P181" s="65"/>
      <c r="Q181" s="3"/>
    </row>
    <row r="182" spans="1:17" hidden="1" x14ac:dyDescent="0.3">
      <c r="B182" s="3" t="e">
        <f>VLOOKUP(Stock[[#This Row],[Codigo del producto ]],Entradas[],3,FALSE)</f>
        <v>#N/A</v>
      </c>
      <c r="C182" s="6" t="e">
        <f>VLOOKUP(Stock[[#This Row],[Codigo del producto ]],Entradas[],2,FALSE)</f>
        <v>#N/A</v>
      </c>
      <c r="D182" s="3" t="str">
        <f>IFERROR(VLOOKUP(Stock[[#This Row],[Codigo del producto ]],Entradas[],4,FALSE),"-")</f>
        <v>-</v>
      </c>
      <c r="E182" s="3" t="str">
        <f>IFERROR(VLOOKUP(Stock[[#This Row],[Codigo del producto ]],Entradas[],5,FALSE),"-")</f>
        <v>-</v>
      </c>
      <c r="F182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82" s="3" t="str">
        <f>IFERROR(Stock[[#This Row],[Entradas]]-Stock[[#This Row],[Salidas]],"-")</f>
        <v>-</v>
      </c>
      <c r="H182" s="63"/>
      <c r="I182" s="63" t="e">
        <f>Stock[[#This Row],[Entradas]]*Stock[[#This Row],[Precio Unitario ($)]]</f>
        <v>#VALUE!</v>
      </c>
      <c r="J182" s="63"/>
      <c r="K182" s="63" t="e">
        <f>Stock[[#This Row],[Entradas]]*Stock[[#This Row],[Costo de envio unitario]]</f>
        <v>#VALUE!</v>
      </c>
      <c r="L182" s="63" t="str">
        <f>IFERROR(Stock[[#This Row],[Precio Total (Sin Envios - $)]]+Stock[[#This Row],[Coste de envio total]],"-")</f>
        <v>-</v>
      </c>
      <c r="M182" s="63">
        <f>(Stock[[#This Row],[Precio Unitario ($)]]+Stock[[#This Row],[Costo de envio unitario]])*36.85</f>
        <v>0</v>
      </c>
      <c r="N182" s="64" t="e">
        <f>(Stock[[#This Row],[Precio Total (Con Envios - $)]])*36.85</f>
        <v>#VALUE!</v>
      </c>
      <c r="O182" s="64">
        <f>Stock[[#This Row],[Precio de compra unitario]]+0.55*Stock[[#This Row],[Precio de compra unitario]]</f>
        <v>0</v>
      </c>
      <c r="P182" s="65"/>
      <c r="Q182" s="3"/>
    </row>
    <row r="183" spans="1:17" hidden="1" x14ac:dyDescent="0.3">
      <c r="B183" s="3" t="e">
        <f>VLOOKUP(Stock[[#This Row],[Codigo del producto ]],Entradas[],3,FALSE)</f>
        <v>#N/A</v>
      </c>
      <c r="C183" s="6" t="e">
        <f>VLOOKUP(Stock[[#This Row],[Codigo del producto ]],Entradas[],2,FALSE)</f>
        <v>#N/A</v>
      </c>
      <c r="D183" s="3" t="str">
        <f>IFERROR(VLOOKUP(Stock[[#This Row],[Codigo del producto ]],Entradas[],4,FALSE),"-")</f>
        <v>-</v>
      </c>
      <c r="E183" s="3" t="str">
        <f>IFERROR(VLOOKUP(Stock[[#This Row],[Codigo del producto ]],Entradas[],5,FALSE),"-")</f>
        <v>-</v>
      </c>
      <c r="F183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83" s="3" t="str">
        <f>IFERROR(Stock[[#This Row],[Entradas]]-Stock[[#This Row],[Salidas]],"-")</f>
        <v>-</v>
      </c>
      <c r="H183" s="63"/>
      <c r="I183" s="63" t="e">
        <f>Stock[[#This Row],[Entradas]]*Stock[[#This Row],[Precio Unitario ($)]]</f>
        <v>#VALUE!</v>
      </c>
      <c r="J183" s="63"/>
      <c r="K183" s="63" t="e">
        <f>Stock[[#This Row],[Entradas]]*Stock[[#This Row],[Costo de envio unitario]]</f>
        <v>#VALUE!</v>
      </c>
      <c r="L183" s="63" t="str">
        <f>IFERROR(Stock[[#This Row],[Precio Total (Sin Envios - $)]]+Stock[[#This Row],[Coste de envio total]],"-")</f>
        <v>-</v>
      </c>
      <c r="M183" s="63">
        <f>(Stock[[#This Row],[Precio Unitario ($)]]+Stock[[#This Row],[Costo de envio unitario]])*36.85</f>
        <v>0</v>
      </c>
      <c r="N183" s="64" t="e">
        <f>(Stock[[#This Row],[Precio Total (Con Envios - $)]])*36.85</f>
        <v>#VALUE!</v>
      </c>
      <c r="O183" s="64">
        <f>Stock[[#This Row],[Precio de compra unitario]]+0.55*Stock[[#This Row],[Precio de compra unitario]]</f>
        <v>0</v>
      </c>
      <c r="P183" s="65"/>
      <c r="Q183" s="3"/>
    </row>
    <row r="184" spans="1:17" hidden="1" x14ac:dyDescent="0.3">
      <c r="B184" s="3" t="e">
        <f>VLOOKUP(Stock[[#This Row],[Codigo del producto ]],Entradas[],3,FALSE)</f>
        <v>#N/A</v>
      </c>
      <c r="C184" s="6" t="e">
        <f>VLOOKUP(Stock[[#This Row],[Codigo del producto ]],Entradas[],2,FALSE)</f>
        <v>#N/A</v>
      </c>
      <c r="D184" s="3" t="str">
        <f>IFERROR(VLOOKUP(Stock[[#This Row],[Codigo del producto ]],Entradas[],4,FALSE),"-")</f>
        <v>-</v>
      </c>
      <c r="E184" s="3" t="str">
        <f>IFERROR(VLOOKUP(Stock[[#This Row],[Codigo del producto ]],Entradas[],5,FALSE),"-")</f>
        <v>-</v>
      </c>
      <c r="F184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84" s="3" t="str">
        <f>IFERROR(Stock[[#This Row],[Entradas]]-Stock[[#This Row],[Salidas]],"-")</f>
        <v>-</v>
      </c>
      <c r="H184" s="63"/>
      <c r="I184" s="63" t="e">
        <f>Stock[[#This Row],[Entradas]]*Stock[[#This Row],[Precio Unitario ($)]]</f>
        <v>#VALUE!</v>
      </c>
      <c r="J184" s="63"/>
      <c r="K184" s="63" t="e">
        <f>Stock[[#This Row],[Entradas]]*Stock[[#This Row],[Costo de envio unitario]]</f>
        <v>#VALUE!</v>
      </c>
      <c r="L184" s="63" t="str">
        <f>IFERROR(Stock[[#This Row],[Precio Total (Sin Envios - $)]]+Stock[[#This Row],[Coste de envio total]],"-")</f>
        <v>-</v>
      </c>
      <c r="M184" s="63">
        <f>(Stock[[#This Row],[Precio Unitario ($)]]+Stock[[#This Row],[Costo de envio unitario]])*36.85</f>
        <v>0</v>
      </c>
      <c r="N184" s="64" t="e">
        <f>(Stock[[#This Row],[Precio Total (Con Envios - $)]])*36.85</f>
        <v>#VALUE!</v>
      </c>
      <c r="O184" s="64">
        <f>Stock[[#This Row],[Precio de compra unitario]]+0.55*Stock[[#This Row],[Precio de compra unitario]]</f>
        <v>0</v>
      </c>
      <c r="P184" s="65"/>
      <c r="Q184" s="3"/>
    </row>
    <row r="185" spans="1:17" hidden="1" x14ac:dyDescent="0.3">
      <c r="B185" s="3" t="e">
        <f>VLOOKUP(Stock[[#This Row],[Codigo del producto ]],Entradas[],3,FALSE)</f>
        <v>#N/A</v>
      </c>
      <c r="C185" s="6" t="e">
        <f>VLOOKUP(Stock[[#This Row],[Codigo del producto ]],Entradas[],2,FALSE)</f>
        <v>#N/A</v>
      </c>
      <c r="D185" s="3" t="str">
        <f>IFERROR(VLOOKUP(Stock[[#This Row],[Codigo del producto ]],Entradas[],4,FALSE),"-")</f>
        <v>-</v>
      </c>
      <c r="E185" s="3" t="str">
        <f>IFERROR(VLOOKUP(Stock[[#This Row],[Codigo del producto ]],Entradas[],5,FALSE),"-")</f>
        <v>-</v>
      </c>
      <c r="F185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85" s="3" t="str">
        <f>IFERROR(Stock[[#This Row],[Entradas]]-Stock[[#This Row],[Salidas]],"-")</f>
        <v>-</v>
      </c>
      <c r="H185" s="63"/>
      <c r="I185" s="63" t="e">
        <f>Stock[[#This Row],[Entradas]]*Stock[[#This Row],[Precio Unitario ($)]]</f>
        <v>#VALUE!</v>
      </c>
      <c r="J185" s="63"/>
      <c r="K185" s="63" t="e">
        <f>Stock[[#This Row],[Entradas]]*Stock[[#This Row],[Costo de envio unitario]]</f>
        <v>#VALUE!</v>
      </c>
      <c r="L185" s="63" t="str">
        <f>IFERROR(Stock[[#This Row],[Precio Total (Sin Envios - $)]]+Stock[[#This Row],[Coste de envio total]],"-")</f>
        <v>-</v>
      </c>
      <c r="M185" s="63">
        <f>(Stock[[#This Row],[Precio Unitario ($)]]+Stock[[#This Row],[Costo de envio unitario]])*36.85</f>
        <v>0</v>
      </c>
      <c r="N185" s="64" t="e">
        <f>(Stock[[#This Row],[Precio Total (Con Envios - $)]])*36.85</f>
        <v>#VALUE!</v>
      </c>
      <c r="O185" s="64">
        <f>Stock[[#This Row],[Precio de compra unitario]]+0.55*Stock[[#This Row],[Precio de compra unitario]]</f>
        <v>0</v>
      </c>
      <c r="P185" s="65"/>
      <c r="Q185" s="3"/>
    </row>
    <row r="186" spans="1:17" hidden="1" x14ac:dyDescent="0.3">
      <c r="B186" s="3" t="e">
        <f>VLOOKUP(Stock[[#This Row],[Codigo del producto ]],Entradas[],3,FALSE)</f>
        <v>#N/A</v>
      </c>
      <c r="C186" s="6" t="e">
        <f>VLOOKUP(Stock[[#This Row],[Codigo del producto ]],Entradas[],2,FALSE)</f>
        <v>#N/A</v>
      </c>
      <c r="D186" s="3" t="str">
        <f>IFERROR(VLOOKUP(Stock[[#This Row],[Codigo del producto ]],Entradas[],4,FALSE),"-")</f>
        <v>-</v>
      </c>
      <c r="E186" s="3" t="str">
        <f>IFERROR(VLOOKUP(Stock[[#This Row],[Codigo del producto ]],Entradas[],5,FALSE),"-")</f>
        <v>-</v>
      </c>
      <c r="F186" s="3">
        <f>IFERROR(SUMIFS(Pagos[Cantidad vendida], Pagos[Codigo del producto], Stock[[#This Row],[Codigo del producto ]]) + SUMIFS(PagosV2[Cantidad vendida], PagosV2[Codigo del producto], Stock[[#This Row],[Codigo del producto ]]), "-")</f>
        <v>0</v>
      </c>
      <c r="G186" s="3" t="str">
        <f>IFERROR(Stock[[#This Row],[Entradas]]-Stock[[#This Row],[Salidas]],"-")</f>
        <v>-</v>
      </c>
      <c r="H186" s="63"/>
      <c r="I186" s="63" t="e">
        <f>Stock[[#This Row],[Entradas]]*Stock[[#This Row],[Precio Unitario ($)]]</f>
        <v>#VALUE!</v>
      </c>
      <c r="J186" s="63"/>
      <c r="K186" s="63" t="e">
        <f>Stock[[#This Row],[Entradas]]*Stock[[#This Row],[Costo de envio unitario]]</f>
        <v>#VALUE!</v>
      </c>
      <c r="L186" s="63" t="str">
        <f>IFERROR(Stock[[#This Row],[Precio Total (Sin Envios - $)]]+Stock[[#This Row],[Coste de envio total]],"-")</f>
        <v>-</v>
      </c>
      <c r="M186" s="63">
        <f>(Stock[[#This Row],[Precio Unitario ($)]]+Stock[[#This Row],[Costo de envio unitario]])*36.85</f>
        <v>0</v>
      </c>
      <c r="N186" s="64" t="e">
        <f>(Stock[[#This Row],[Precio Total (Con Envios - $)]])*36.85</f>
        <v>#VALUE!</v>
      </c>
      <c r="O186" s="64">
        <f>Stock[[#This Row],[Precio de compra unitario]]+0.55*Stock[[#This Row],[Precio de compra unitario]]</f>
        <v>0</v>
      </c>
      <c r="P186" s="65"/>
      <c r="Q186" s="3"/>
    </row>
    <row r="187" spans="1:17" x14ac:dyDescent="0.3">
      <c r="A187" s="3" t="s">
        <v>185</v>
      </c>
      <c r="I187" s="3">
        <f>SUBTOTAL(109,I4:I186)</f>
        <v>3656.1499999999996</v>
      </c>
      <c r="K187" s="3">
        <f>SUBTOTAL(109,K4:K186)</f>
        <v>209.10000000000002</v>
      </c>
      <c r="L187" s="3">
        <f>SUBTOTAL(109,L4:L186)</f>
        <v>3865.2499999999995</v>
      </c>
      <c r="M187" s="3"/>
      <c r="N187" s="3"/>
      <c r="O187" s="3"/>
      <c r="P187" s="3"/>
      <c r="Q187" s="3">
        <f>SUBTOTAL(103,Stock[Comentarios])</f>
        <v>1</v>
      </c>
    </row>
  </sheetData>
  <mergeCells count="3">
    <mergeCell ref="A2:K2"/>
    <mergeCell ref="A1:D1"/>
    <mergeCell ref="E1:N1"/>
  </mergeCells>
  <phoneticPr fontId="3" type="noConversion"/>
  <conditionalFormatting sqref="G4:G186">
    <cfRule type="iconSet" priority="31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A9BE-5D2C-4745-AB31-F91A45677414}">
  <sheetPr>
    <tabColor theme="4"/>
  </sheetPr>
  <dimension ref="A1:I168"/>
  <sheetViews>
    <sheetView workbookViewId="0">
      <selection activeCell="A168" sqref="A168"/>
    </sheetView>
  </sheetViews>
  <sheetFormatPr defaultRowHeight="16.5" x14ac:dyDescent="0.3"/>
  <cols>
    <col min="1" max="1" width="21.85546875" style="3" bestFit="1" customWidth="1"/>
    <col min="2" max="2" width="21.85546875" style="3" customWidth="1"/>
    <col min="3" max="3" width="61.7109375" style="3" bestFit="1" customWidth="1"/>
    <col min="4" max="4" width="16.5703125" style="3" customWidth="1"/>
    <col min="5" max="5" width="20" style="3" customWidth="1"/>
    <col min="6" max="6" width="23.85546875" style="3" customWidth="1"/>
    <col min="7" max="8" width="9.140625" style="3"/>
    <col min="9" max="9" width="10" bestFit="1" customWidth="1"/>
    <col min="10" max="10" width="40.85546875" bestFit="1" customWidth="1"/>
    <col min="11" max="11" width="9.42578125" customWidth="1"/>
    <col min="12" max="12" width="60.140625" bestFit="1" customWidth="1"/>
    <col min="13" max="13" width="26.7109375" bestFit="1" customWidth="1"/>
    <col min="14" max="14" width="6.5703125" bestFit="1" customWidth="1"/>
  </cols>
  <sheetData>
    <row r="1" spans="1:9" ht="182.25" customHeight="1" x14ac:dyDescent="0.25">
      <c r="A1" s="5"/>
      <c r="B1" s="5"/>
      <c r="C1" s="97" t="s">
        <v>186</v>
      </c>
      <c r="D1" s="97"/>
      <c r="E1" s="97"/>
      <c r="F1" s="97"/>
      <c r="G1" s="97"/>
      <c r="H1" s="97"/>
      <c r="I1" s="97"/>
    </row>
    <row r="3" spans="1:9" x14ac:dyDescent="0.3">
      <c r="A3" s="2" t="s">
        <v>187</v>
      </c>
      <c r="B3" s="2" t="s">
        <v>3</v>
      </c>
      <c r="C3" s="2" t="s">
        <v>2</v>
      </c>
      <c r="D3" s="2" t="s">
        <v>4</v>
      </c>
      <c r="E3" s="2" t="s">
        <v>188</v>
      </c>
      <c r="F3" s="2" t="s">
        <v>189</v>
      </c>
    </row>
    <row r="4" spans="1:9" x14ac:dyDescent="0.3">
      <c r="A4" s="3" t="s">
        <v>18</v>
      </c>
      <c r="B4" s="4">
        <v>46023</v>
      </c>
      <c r="C4" s="3" t="s">
        <v>190</v>
      </c>
      <c r="D4" s="3" t="s">
        <v>191</v>
      </c>
      <c r="E4" s="3">
        <v>5</v>
      </c>
    </row>
    <row r="5" spans="1:9" x14ac:dyDescent="0.3">
      <c r="A5" s="3" t="s">
        <v>19</v>
      </c>
      <c r="B5" s="4">
        <v>46023</v>
      </c>
      <c r="C5" s="3" t="s">
        <v>192</v>
      </c>
      <c r="D5" s="3" t="s">
        <v>191</v>
      </c>
      <c r="E5" s="3">
        <v>3</v>
      </c>
    </row>
    <row r="6" spans="1:9" x14ac:dyDescent="0.3">
      <c r="A6" s="3" t="s">
        <v>20</v>
      </c>
      <c r="B6" s="4">
        <v>46023</v>
      </c>
      <c r="C6" s="3" t="s">
        <v>193</v>
      </c>
      <c r="D6" s="3" t="s">
        <v>191</v>
      </c>
      <c r="E6" s="3">
        <v>3</v>
      </c>
    </row>
    <row r="7" spans="1:9" x14ac:dyDescent="0.3">
      <c r="A7" s="3" t="s">
        <v>22</v>
      </c>
      <c r="B7" s="4">
        <v>46023</v>
      </c>
      <c r="C7" s="3" t="s">
        <v>194</v>
      </c>
      <c r="D7" s="3" t="s">
        <v>191</v>
      </c>
      <c r="E7" s="3">
        <v>1</v>
      </c>
    </row>
    <row r="8" spans="1:9" x14ac:dyDescent="0.3">
      <c r="A8" s="3" t="s">
        <v>23</v>
      </c>
      <c r="B8" s="4">
        <v>46023</v>
      </c>
      <c r="C8" s="3" t="s">
        <v>195</v>
      </c>
      <c r="D8" s="3" t="s">
        <v>191</v>
      </c>
      <c r="E8" s="3">
        <v>11</v>
      </c>
    </row>
    <row r="9" spans="1:9" x14ac:dyDescent="0.3">
      <c r="A9" s="3" t="s">
        <v>25</v>
      </c>
      <c r="B9" s="4">
        <v>46023</v>
      </c>
      <c r="C9" s="3" t="s">
        <v>196</v>
      </c>
      <c r="D9" s="3" t="s">
        <v>191</v>
      </c>
      <c r="E9" s="3">
        <v>10</v>
      </c>
    </row>
    <row r="10" spans="1:9" x14ac:dyDescent="0.3">
      <c r="A10" s="3" t="s">
        <v>26</v>
      </c>
      <c r="B10" s="4">
        <v>46023</v>
      </c>
      <c r="C10" s="3" t="s">
        <v>197</v>
      </c>
      <c r="D10" s="3" t="s">
        <v>191</v>
      </c>
      <c r="E10" s="3">
        <v>3</v>
      </c>
    </row>
    <row r="11" spans="1:9" x14ac:dyDescent="0.3">
      <c r="A11" s="3" t="s">
        <v>27</v>
      </c>
      <c r="B11" s="4">
        <v>46023</v>
      </c>
      <c r="C11" s="3" t="s">
        <v>198</v>
      </c>
      <c r="D11" s="3" t="s">
        <v>191</v>
      </c>
      <c r="E11" s="3">
        <v>15</v>
      </c>
    </row>
    <row r="12" spans="1:9" x14ac:dyDescent="0.3">
      <c r="A12" s="3" t="s">
        <v>28</v>
      </c>
      <c r="B12" s="4">
        <v>46023</v>
      </c>
      <c r="C12" s="3" t="s">
        <v>199</v>
      </c>
      <c r="D12" s="3" t="s">
        <v>191</v>
      </c>
      <c r="E12" s="3">
        <v>9</v>
      </c>
    </row>
    <row r="13" spans="1:9" x14ac:dyDescent="0.3">
      <c r="A13" s="3" t="s">
        <v>29</v>
      </c>
      <c r="B13" s="4">
        <v>46023</v>
      </c>
      <c r="C13" s="24" t="s">
        <v>195</v>
      </c>
      <c r="D13" s="3" t="s">
        <v>191</v>
      </c>
      <c r="E13" s="3">
        <v>20</v>
      </c>
    </row>
    <row r="14" spans="1:9" x14ac:dyDescent="0.3">
      <c r="A14" s="3" t="s">
        <v>30</v>
      </c>
      <c r="B14" s="4">
        <v>46024</v>
      </c>
      <c r="C14" s="24" t="s">
        <v>200</v>
      </c>
      <c r="D14" s="3" t="s">
        <v>191</v>
      </c>
      <c r="E14" s="3">
        <v>13</v>
      </c>
    </row>
    <row r="15" spans="1:9" x14ac:dyDescent="0.3">
      <c r="A15" s="3" t="s">
        <v>31</v>
      </c>
      <c r="B15" s="4">
        <v>46025</v>
      </c>
      <c r="C15" s="24" t="s">
        <v>201</v>
      </c>
      <c r="D15" s="3" t="s">
        <v>191</v>
      </c>
      <c r="E15" s="3">
        <v>1</v>
      </c>
    </row>
    <row r="16" spans="1:9" x14ac:dyDescent="0.3">
      <c r="A16" s="3" t="s">
        <v>32</v>
      </c>
      <c r="B16" s="4">
        <v>46029</v>
      </c>
      <c r="C16" s="24" t="s">
        <v>202</v>
      </c>
      <c r="D16" s="3" t="s">
        <v>203</v>
      </c>
      <c r="E16" s="3">
        <v>20</v>
      </c>
    </row>
    <row r="17" spans="1:5" x14ac:dyDescent="0.3">
      <c r="A17" s="3" t="s">
        <v>33</v>
      </c>
      <c r="B17" s="4">
        <v>46029</v>
      </c>
      <c r="C17" s="24" t="s">
        <v>204</v>
      </c>
      <c r="D17" s="3" t="s">
        <v>203</v>
      </c>
      <c r="E17" s="3">
        <v>10</v>
      </c>
    </row>
    <row r="18" spans="1:5" x14ac:dyDescent="0.3">
      <c r="A18" s="3" t="s">
        <v>34</v>
      </c>
      <c r="B18" s="4">
        <v>46029</v>
      </c>
      <c r="C18" s="24" t="s">
        <v>205</v>
      </c>
      <c r="D18" s="3" t="s">
        <v>203</v>
      </c>
      <c r="E18" s="3">
        <v>1</v>
      </c>
    </row>
    <row r="19" spans="1:5" x14ac:dyDescent="0.3">
      <c r="A19" s="3" t="s">
        <v>35</v>
      </c>
      <c r="B19" s="4">
        <v>46031</v>
      </c>
      <c r="C19" s="24" t="s">
        <v>199</v>
      </c>
      <c r="D19" s="3" t="s">
        <v>206</v>
      </c>
      <c r="E19" s="3">
        <v>4</v>
      </c>
    </row>
    <row r="20" spans="1:5" x14ac:dyDescent="0.3">
      <c r="A20" s="3" t="s">
        <v>36</v>
      </c>
      <c r="B20" s="4">
        <v>46031</v>
      </c>
      <c r="C20" s="24" t="s">
        <v>195</v>
      </c>
      <c r="D20" s="3" t="s">
        <v>206</v>
      </c>
      <c r="E20" s="3">
        <v>16</v>
      </c>
    </row>
    <row r="21" spans="1:5" x14ac:dyDescent="0.3">
      <c r="A21" s="3" t="s">
        <v>37</v>
      </c>
      <c r="B21" s="4">
        <v>46031</v>
      </c>
      <c r="C21" s="24" t="s">
        <v>207</v>
      </c>
      <c r="D21" s="3" t="s">
        <v>206</v>
      </c>
      <c r="E21" s="3">
        <v>2</v>
      </c>
    </row>
    <row r="22" spans="1:5" x14ac:dyDescent="0.3">
      <c r="A22" s="3" t="s">
        <v>38</v>
      </c>
      <c r="B22" s="4">
        <v>46031</v>
      </c>
      <c r="C22" s="24" t="s">
        <v>199</v>
      </c>
      <c r="D22" s="3" t="s">
        <v>206</v>
      </c>
      <c r="E22" s="3">
        <v>4</v>
      </c>
    </row>
    <row r="23" spans="1:5" x14ac:dyDescent="0.3">
      <c r="A23" s="3" t="s">
        <v>39</v>
      </c>
      <c r="B23" s="4">
        <v>46031</v>
      </c>
      <c r="C23" s="24" t="s">
        <v>195</v>
      </c>
      <c r="D23" s="3" t="s">
        <v>206</v>
      </c>
      <c r="E23" s="3">
        <v>4</v>
      </c>
    </row>
    <row r="24" spans="1:5" x14ac:dyDescent="0.3">
      <c r="A24" s="3" t="s">
        <v>40</v>
      </c>
      <c r="B24" s="4">
        <v>46031</v>
      </c>
      <c r="C24" s="24" t="s">
        <v>208</v>
      </c>
      <c r="D24" s="3" t="s">
        <v>206</v>
      </c>
      <c r="E24" s="3">
        <v>20</v>
      </c>
    </row>
    <row r="25" spans="1:5" x14ac:dyDescent="0.3">
      <c r="A25" s="3" t="s">
        <v>41</v>
      </c>
      <c r="B25" s="4">
        <v>46031</v>
      </c>
      <c r="C25" s="24" t="s">
        <v>209</v>
      </c>
      <c r="D25" s="3" t="s">
        <v>206</v>
      </c>
      <c r="E25" s="3">
        <v>10</v>
      </c>
    </row>
    <row r="26" spans="1:5" x14ac:dyDescent="0.3">
      <c r="A26" s="3" t="s">
        <v>42</v>
      </c>
      <c r="B26" s="4">
        <v>46031</v>
      </c>
      <c r="C26" s="24" t="s">
        <v>207</v>
      </c>
      <c r="D26" s="3" t="s">
        <v>206</v>
      </c>
      <c r="E26" s="3">
        <v>1</v>
      </c>
    </row>
    <row r="27" spans="1:5" x14ac:dyDescent="0.3">
      <c r="A27" s="3" t="s">
        <v>43</v>
      </c>
      <c r="B27" s="4">
        <v>46031</v>
      </c>
      <c r="C27" s="24" t="s">
        <v>210</v>
      </c>
      <c r="D27" s="3" t="s">
        <v>206</v>
      </c>
      <c r="E27" s="3">
        <v>5</v>
      </c>
    </row>
    <row r="28" spans="1:5" x14ac:dyDescent="0.3">
      <c r="A28" s="3" t="s">
        <v>44</v>
      </c>
      <c r="B28" s="4">
        <v>46031</v>
      </c>
      <c r="C28" s="24" t="s">
        <v>198</v>
      </c>
      <c r="D28" s="3" t="s">
        <v>206</v>
      </c>
      <c r="E28" s="3">
        <v>10</v>
      </c>
    </row>
    <row r="29" spans="1:5" x14ac:dyDescent="0.3">
      <c r="A29" s="3" t="s">
        <v>45</v>
      </c>
      <c r="B29" s="4">
        <v>46031</v>
      </c>
      <c r="C29" s="24" t="s">
        <v>211</v>
      </c>
      <c r="D29" s="3" t="s">
        <v>206</v>
      </c>
      <c r="E29" s="3">
        <v>10</v>
      </c>
    </row>
    <row r="30" spans="1:5" x14ac:dyDescent="0.3">
      <c r="A30" s="3" t="s">
        <v>46</v>
      </c>
      <c r="B30" s="4">
        <v>46031</v>
      </c>
      <c r="C30" s="24" t="s">
        <v>199</v>
      </c>
      <c r="D30" s="3" t="s">
        <v>206</v>
      </c>
      <c r="E30" s="3">
        <v>2</v>
      </c>
    </row>
    <row r="31" spans="1:5" x14ac:dyDescent="0.3">
      <c r="A31" s="3" t="s">
        <v>47</v>
      </c>
      <c r="B31" s="4">
        <v>46031</v>
      </c>
      <c r="C31" s="24" t="s">
        <v>207</v>
      </c>
      <c r="D31" s="3" t="s">
        <v>206</v>
      </c>
      <c r="E31" s="3">
        <v>2</v>
      </c>
    </row>
    <row r="32" spans="1:5" x14ac:dyDescent="0.3">
      <c r="A32" s="3" t="s">
        <v>48</v>
      </c>
      <c r="B32" s="4">
        <v>46031</v>
      </c>
      <c r="C32" s="24" t="s">
        <v>212</v>
      </c>
      <c r="D32" s="3" t="s">
        <v>206</v>
      </c>
      <c r="E32" s="3">
        <v>3</v>
      </c>
    </row>
    <row r="33" spans="1:5" x14ac:dyDescent="0.3">
      <c r="A33" s="3" t="s">
        <v>49</v>
      </c>
      <c r="B33" s="4">
        <v>46031</v>
      </c>
      <c r="C33" s="24" t="s">
        <v>213</v>
      </c>
      <c r="D33" s="3" t="s">
        <v>206</v>
      </c>
      <c r="E33" s="3">
        <v>1</v>
      </c>
    </row>
    <row r="34" spans="1:5" x14ac:dyDescent="0.3">
      <c r="A34" s="3" t="s">
        <v>50</v>
      </c>
      <c r="B34" s="4">
        <v>46031</v>
      </c>
      <c r="C34" s="24" t="s">
        <v>214</v>
      </c>
      <c r="D34" s="3" t="s">
        <v>206</v>
      </c>
      <c r="E34" s="3">
        <v>2</v>
      </c>
    </row>
    <row r="35" spans="1:5" x14ac:dyDescent="0.3">
      <c r="A35" s="3" t="s">
        <v>51</v>
      </c>
      <c r="B35" s="4">
        <v>46031</v>
      </c>
      <c r="C35" s="24" t="s">
        <v>212</v>
      </c>
      <c r="D35" s="3" t="s">
        <v>206</v>
      </c>
      <c r="E35" s="3">
        <v>7</v>
      </c>
    </row>
    <row r="36" spans="1:5" x14ac:dyDescent="0.3">
      <c r="A36" s="3" t="s">
        <v>52</v>
      </c>
      <c r="B36" s="4">
        <v>46038</v>
      </c>
      <c r="C36" s="24" t="s">
        <v>215</v>
      </c>
      <c r="D36" s="3" t="s">
        <v>216</v>
      </c>
      <c r="E36" s="3">
        <v>1</v>
      </c>
    </row>
    <row r="37" spans="1:5" x14ac:dyDescent="0.3">
      <c r="A37" s="3" t="s">
        <v>53</v>
      </c>
      <c r="B37" s="4">
        <v>46038</v>
      </c>
      <c r="C37" s="24" t="s">
        <v>213</v>
      </c>
      <c r="D37" s="3" t="s">
        <v>216</v>
      </c>
      <c r="E37" s="3">
        <v>1</v>
      </c>
    </row>
    <row r="38" spans="1:5" x14ac:dyDescent="0.3">
      <c r="A38" s="3" t="s">
        <v>54</v>
      </c>
      <c r="B38" s="4">
        <v>46038</v>
      </c>
      <c r="C38" s="24" t="s">
        <v>202</v>
      </c>
      <c r="D38" s="3" t="s">
        <v>216</v>
      </c>
      <c r="E38" s="3">
        <v>1</v>
      </c>
    </row>
    <row r="39" spans="1:5" x14ac:dyDescent="0.3">
      <c r="A39" s="3" t="s">
        <v>55</v>
      </c>
      <c r="B39" s="4">
        <v>46038</v>
      </c>
      <c r="C39" s="24" t="s">
        <v>217</v>
      </c>
      <c r="D39" s="3" t="s">
        <v>216</v>
      </c>
      <c r="E39" s="3">
        <v>1</v>
      </c>
    </row>
    <row r="40" spans="1:5" x14ac:dyDescent="0.3">
      <c r="A40" s="3" t="s">
        <v>56</v>
      </c>
      <c r="B40" s="4">
        <v>46038</v>
      </c>
      <c r="C40" s="24" t="s">
        <v>218</v>
      </c>
      <c r="D40" s="3" t="s">
        <v>216</v>
      </c>
      <c r="E40" s="3">
        <v>3</v>
      </c>
    </row>
    <row r="41" spans="1:5" x14ac:dyDescent="0.3">
      <c r="A41" s="3" t="s">
        <v>57</v>
      </c>
      <c r="B41" s="4">
        <v>46038</v>
      </c>
      <c r="C41" s="24" t="s">
        <v>219</v>
      </c>
      <c r="D41" s="3" t="s">
        <v>216</v>
      </c>
      <c r="E41" s="3">
        <v>3</v>
      </c>
    </row>
    <row r="42" spans="1:5" x14ac:dyDescent="0.3">
      <c r="A42" s="3" t="s">
        <v>58</v>
      </c>
      <c r="B42" s="4">
        <v>46038</v>
      </c>
      <c r="C42" s="24" t="s">
        <v>220</v>
      </c>
      <c r="D42" s="3" t="s">
        <v>216</v>
      </c>
      <c r="E42" s="3">
        <v>2</v>
      </c>
    </row>
    <row r="43" spans="1:5" x14ac:dyDescent="0.3">
      <c r="A43" s="3" t="s">
        <v>59</v>
      </c>
      <c r="B43" s="4">
        <v>46038</v>
      </c>
      <c r="C43" s="24" t="s">
        <v>221</v>
      </c>
      <c r="D43" s="3" t="s">
        <v>216</v>
      </c>
      <c r="E43" s="3">
        <v>2</v>
      </c>
    </row>
    <row r="44" spans="1:5" x14ac:dyDescent="0.3">
      <c r="A44" s="3" t="s">
        <v>60</v>
      </c>
      <c r="B44" s="4">
        <v>46038</v>
      </c>
      <c r="C44" s="24" t="s">
        <v>222</v>
      </c>
      <c r="D44" s="3" t="s">
        <v>216</v>
      </c>
      <c r="E44" s="3">
        <v>3</v>
      </c>
    </row>
    <row r="45" spans="1:5" x14ac:dyDescent="0.3">
      <c r="A45" s="3" t="s">
        <v>61</v>
      </c>
      <c r="B45" s="4">
        <v>46038</v>
      </c>
      <c r="C45" s="24" t="s">
        <v>208</v>
      </c>
      <c r="D45" s="3" t="s">
        <v>216</v>
      </c>
      <c r="E45" s="3">
        <v>13</v>
      </c>
    </row>
    <row r="46" spans="1:5" x14ac:dyDescent="0.3">
      <c r="A46" s="3" t="s">
        <v>62</v>
      </c>
      <c r="B46" s="4">
        <v>46052</v>
      </c>
      <c r="C46" s="24" t="s">
        <v>223</v>
      </c>
      <c r="D46" s="3" t="s">
        <v>224</v>
      </c>
      <c r="E46" s="3">
        <v>2</v>
      </c>
    </row>
    <row r="47" spans="1:5" x14ac:dyDescent="0.3">
      <c r="A47" s="3" t="s">
        <v>63</v>
      </c>
      <c r="B47" s="6">
        <v>46052</v>
      </c>
      <c r="C47" s="3" t="s">
        <v>225</v>
      </c>
      <c r="D47" s="3" t="s">
        <v>224</v>
      </c>
      <c r="E47" s="3">
        <v>2</v>
      </c>
    </row>
    <row r="48" spans="1:5" x14ac:dyDescent="0.3">
      <c r="A48" s="3" t="s">
        <v>64</v>
      </c>
      <c r="B48" s="6">
        <v>46052</v>
      </c>
      <c r="C48" s="3" t="s">
        <v>226</v>
      </c>
      <c r="D48" s="3" t="s">
        <v>224</v>
      </c>
      <c r="E48" s="3">
        <v>2</v>
      </c>
    </row>
    <row r="49" spans="1:5" x14ac:dyDescent="0.3">
      <c r="A49" s="3" t="s">
        <v>65</v>
      </c>
      <c r="B49" s="6">
        <v>46052</v>
      </c>
      <c r="C49" s="3" t="s">
        <v>227</v>
      </c>
      <c r="D49" s="3" t="s">
        <v>224</v>
      </c>
      <c r="E49" s="3">
        <v>2</v>
      </c>
    </row>
    <row r="50" spans="1:5" x14ac:dyDescent="0.3">
      <c r="A50" s="3" t="s">
        <v>66</v>
      </c>
      <c r="B50" s="6">
        <v>46052</v>
      </c>
      <c r="C50" s="3" t="s">
        <v>208</v>
      </c>
      <c r="D50" s="3" t="s">
        <v>224</v>
      </c>
      <c r="E50" s="3">
        <v>20</v>
      </c>
    </row>
    <row r="51" spans="1:5" x14ac:dyDescent="0.3">
      <c r="A51" s="3" t="s">
        <v>67</v>
      </c>
      <c r="B51" s="6">
        <v>46052</v>
      </c>
      <c r="C51" s="3" t="s">
        <v>228</v>
      </c>
      <c r="D51" s="3" t="s">
        <v>224</v>
      </c>
      <c r="E51" s="3">
        <v>20</v>
      </c>
    </row>
    <row r="52" spans="1:5" x14ac:dyDescent="0.3">
      <c r="A52" s="3" t="s">
        <v>68</v>
      </c>
      <c r="B52" s="6">
        <v>46052</v>
      </c>
      <c r="C52" s="3" t="s">
        <v>229</v>
      </c>
      <c r="D52" s="3" t="s">
        <v>224</v>
      </c>
      <c r="E52" s="3">
        <v>1</v>
      </c>
    </row>
    <row r="53" spans="1:5" x14ac:dyDescent="0.3">
      <c r="A53" s="3" t="s">
        <v>69</v>
      </c>
      <c r="B53" s="6">
        <v>46052</v>
      </c>
      <c r="C53" s="3" t="s">
        <v>230</v>
      </c>
      <c r="D53" s="3" t="s">
        <v>224</v>
      </c>
      <c r="E53" s="3">
        <v>1</v>
      </c>
    </row>
    <row r="54" spans="1:5" x14ac:dyDescent="0.3">
      <c r="A54" s="3" t="s">
        <v>70</v>
      </c>
      <c r="B54" s="6">
        <v>46052</v>
      </c>
      <c r="C54" s="3" t="s">
        <v>231</v>
      </c>
      <c r="D54" s="3" t="s">
        <v>224</v>
      </c>
      <c r="E54" s="3">
        <v>2</v>
      </c>
    </row>
    <row r="55" spans="1:5" x14ac:dyDescent="0.3">
      <c r="A55" s="3" t="s">
        <v>71</v>
      </c>
      <c r="B55" s="6">
        <v>46052</v>
      </c>
      <c r="C55" s="3" t="s">
        <v>211</v>
      </c>
      <c r="D55" s="3" t="s">
        <v>224</v>
      </c>
      <c r="E55" s="3">
        <v>20</v>
      </c>
    </row>
    <row r="56" spans="1:5" x14ac:dyDescent="0.3">
      <c r="A56" s="3" t="s">
        <v>72</v>
      </c>
      <c r="B56" s="6">
        <v>46052</v>
      </c>
      <c r="C56" s="3" t="s">
        <v>200</v>
      </c>
      <c r="D56" s="3" t="s">
        <v>224</v>
      </c>
      <c r="E56" s="3">
        <v>20</v>
      </c>
    </row>
    <row r="57" spans="1:5" x14ac:dyDescent="0.3">
      <c r="A57" s="3" t="s">
        <v>74</v>
      </c>
      <c r="B57" s="6">
        <v>46052</v>
      </c>
      <c r="C57" s="3" t="s">
        <v>232</v>
      </c>
      <c r="D57" s="3" t="s">
        <v>224</v>
      </c>
      <c r="E57" s="3">
        <v>4</v>
      </c>
    </row>
    <row r="58" spans="1:5" x14ac:dyDescent="0.3">
      <c r="A58" s="3" t="s">
        <v>75</v>
      </c>
      <c r="B58" s="6">
        <v>46052</v>
      </c>
      <c r="C58" s="3" t="s">
        <v>232</v>
      </c>
      <c r="D58" s="3" t="s">
        <v>224</v>
      </c>
      <c r="E58" s="3">
        <v>4</v>
      </c>
    </row>
    <row r="59" spans="1:5" x14ac:dyDescent="0.3">
      <c r="A59" s="3" t="s">
        <v>76</v>
      </c>
      <c r="B59" s="6">
        <v>46052</v>
      </c>
      <c r="C59" s="3" t="s">
        <v>230</v>
      </c>
      <c r="D59" s="3" t="s">
        <v>224</v>
      </c>
      <c r="E59" s="3">
        <v>3</v>
      </c>
    </row>
    <row r="60" spans="1:5" x14ac:dyDescent="0.3">
      <c r="A60" s="3" t="s">
        <v>77</v>
      </c>
      <c r="B60" s="6">
        <v>46052</v>
      </c>
      <c r="C60" s="3" t="s">
        <v>233</v>
      </c>
      <c r="D60" s="3" t="s">
        <v>224</v>
      </c>
      <c r="E60" s="3">
        <v>4</v>
      </c>
    </row>
    <row r="61" spans="1:5" x14ac:dyDescent="0.3">
      <c r="A61" s="3" t="s">
        <v>78</v>
      </c>
      <c r="B61" s="6">
        <v>46052</v>
      </c>
      <c r="C61" s="3" t="s">
        <v>217</v>
      </c>
      <c r="D61" s="3" t="s">
        <v>224</v>
      </c>
      <c r="E61" s="3">
        <v>10</v>
      </c>
    </row>
    <row r="62" spans="1:5" x14ac:dyDescent="0.3">
      <c r="A62" s="3" t="s">
        <v>79</v>
      </c>
      <c r="B62" s="6">
        <v>46052</v>
      </c>
      <c r="C62" s="3" t="s">
        <v>234</v>
      </c>
      <c r="D62" s="3" t="s">
        <v>224</v>
      </c>
      <c r="E62" s="3">
        <v>1</v>
      </c>
    </row>
    <row r="63" spans="1:5" x14ac:dyDescent="0.3">
      <c r="A63" s="3" t="s">
        <v>80</v>
      </c>
      <c r="B63" s="6">
        <v>46052</v>
      </c>
      <c r="C63" s="3" t="s">
        <v>235</v>
      </c>
      <c r="D63" s="3" t="s">
        <v>224</v>
      </c>
      <c r="E63" s="3">
        <v>2</v>
      </c>
    </row>
    <row r="64" spans="1:5" x14ac:dyDescent="0.3">
      <c r="A64" s="3" t="s">
        <v>81</v>
      </c>
      <c r="B64" s="6">
        <v>46052</v>
      </c>
      <c r="C64" s="3" t="s">
        <v>236</v>
      </c>
      <c r="D64" s="3" t="s">
        <v>224</v>
      </c>
      <c r="E64" s="3">
        <v>1</v>
      </c>
    </row>
    <row r="65" spans="1:5" x14ac:dyDescent="0.3">
      <c r="A65" s="3" t="s">
        <v>82</v>
      </c>
      <c r="B65" s="6">
        <v>46052</v>
      </c>
      <c r="C65" s="3" t="s">
        <v>237</v>
      </c>
      <c r="D65" s="3" t="s">
        <v>224</v>
      </c>
      <c r="E65" s="3">
        <v>1</v>
      </c>
    </row>
    <row r="66" spans="1:5" x14ac:dyDescent="0.3">
      <c r="A66" s="3" t="s">
        <v>83</v>
      </c>
      <c r="B66" s="6">
        <v>46052</v>
      </c>
      <c r="C66" s="3" t="s">
        <v>238</v>
      </c>
      <c r="D66" s="3" t="s">
        <v>224</v>
      </c>
      <c r="E66" s="3">
        <v>1</v>
      </c>
    </row>
    <row r="67" spans="1:5" x14ac:dyDescent="0.3">
      <c r="A67" s="3" t="s">
        <v>84</v>
      </c>
      <c r="B67" s="6">
        <v>46052</v>
      </c>
      <c r="C67" s="3" t="s">
        <v>239</v>
      </c>
      <c r="D67" s="3" t="s">
        <v>224</v>
      </c>
      <c r="E67" s="3">
        <v>1</v>
      </c>
    </row>
    <row r="68" spans="1:5" x14ac:dyDescent="0.3">
      <c r="A68" s="3" t="s">
        <v>85</v>
      </c>
      <c r="B68" s="6">
        <v>46052</v>
      </c>
      <c r="C68" s="3" t="s">
        <v>202</v>
      </c>
      <c r="D68" s="3" t="s">
        <v>224</v>
      </c>
      <c r="E68" s="3">
        <v>3</v>
      </c>
    </row>
    <row r="69" spans="1:5" x14ac:dyDescent="0.3">
      <c r="A69" s="3" t="s">
        <v>86</v>
      </c>
      <c r="B69" s="6">
        <v>46052</v>
      </c>
      <c r="C69" s="3" t="s">
        <v>233</v>
      </c>
      <c r="D69" s="3" t="s">
        <v>224</v>
      </c>
      <c r="E69" s="3">
        <v>1</v>
      </c>
    </row>
    <row r="70" spans="1:5" x14ac:dyDescent="0.3">
      <c r="A70" s="3" t="s">
        <v>87</v>
      </c>
      <c r="B70" s="6">
        <v>46052</v>
      </c>
      <c r="C70" s="3" t="s">
        <v>240</v>
      </c>
      <c r="D70" s="3" t="s">
        <v>224</v>
      </c>
      <c r="E70" s="3">
        <v>3</v>
      </c>
    </row>
    <row r="71" spans="1:5" x14ac:dyDescent="0.3">
      <c r="A71" s="3" t="s">
        <v>88</v>
      </c>
      <c r="B71" s="6">
        <v>46052</v>
      </c>
      <c r="C71" s="3" t="s">
        <v>241</v>
      </c>
      <c r="D71" s="3" t="s">
        <v>224</v>
      </c>
      <c r="E71" s="3">
        <v>1</v>
      </c>
    </row>
    <row r="72" spans="1:5" x14ac:dyDescent="0.3">
      <c r="A72" s="3" t="s">
        <v>89</v>
      </c>
      <c r="B72" s="6">
        <v>46052</v>
      </c>
      <c r="C72" s="3" t="s">
        <v>208</v>
      </c>
      <c r="D72" s="3" t="s">
        <v>224</v>
      </c>
      <c r="E72" s="3">
        <v>20</v>
      </c>
    </row>
    <row r="73" spans="1:5" x14ac:dyDescent="0.3">
      <c r="A73" s="3" t="s">
        <v>90</v>
      </c>
      <c r="B73" s="6">
        <v>46060</v>
      </c>
      <c r="C73" s="3" t="s">
        <v>239</v>
      </c>
      <c r="D73" s="3" t="s">
        <v>242</v>
      </c>
      <c r="E73" s="3">
        <v>1</v>
      </c>
    </row>
    <row r="74" spans="1:5" x14ac:dyDescent="0.3">
      <c r="A74" s="3" t="s">
        <v>91</v>
      </c>
      <c r="B74" s="6">
        <v>46060</v>
      </c>
      <c r="C74" s="3" t="s">
        <v>215</v>
      </c>
      <c r="D74" s="3" t="s">
        <v>242</v>
      </c>
      <c r="E74" s="3">
        <v>1</v>
      </c>
    </row>
    <row r="75" spans="1:5" x14ac:dyDescent="0.3">
      <c r="A75" s="3" t="s">
        <v>92</v>
      </c>
      <c r="B75" s="6">
        <v>46060</v>
      </c>
      <c r="C75" s="3" t="s">
        <v>243</v>
      </c>
      <c r="D75" s="3" t="s">
        <v>242</v>
      </c>
      <c r="E75" s="3">
        <v>1</v>
      </c>
    </row>
    <row r="76" spans="1:5" x14ac:dyDescent="0.3">
      <c r="A76" s="3" t="s">
        <v>93</v>
      </c>
      <c r="B76" s="6">
        <v>46060</v>
      </c>
      <c r="C76" s="3" t="s">
        <v>244</v>
      </c>
      <c r="D76" s="3" t="s">
        <v>242</v>
      </c>
      <c r="E76" s="3">
        <v>1</v>
      </c>
    </row>
    <row r="77" spans="1:5" x14ac:dyDescent="0.3">
      <c r="A77" s="3" t="s">
        <v>94</v>
      </c>
      <c r="B77" s="6">
        <v>46060</v>
      </c>
      <c r="C77" s="3" t="s">
        <v>245</v>
      </c>
      <c r="D77" s="3" t="s">
        <v>242</v>
      </c>
      <c r="E77" s="3">
        <v>1</v>
      </c>
    </row>
    <row r="78" spans="1:5" x14ac:dyDescent="0.3">
      <c r="A78" s="3" t="s">
        <v>95</v>
      </c>
      <c r="B78" s="6">
        <v>46060</v>
      </c>
      <c r="C78" s="3" t="s">
        <v>246</v>
      </c>
      <c r="D78" s="3" t="s">
        <v>242</v>
      </c>
      <c r="E78" s="3">
        <v>1</v>
      </c>
    </row>
    <row r="79" spans="1:5" x14ac:dyDescent="0.3">
      <c r="A79" s="3" t="s">
        <v>96</v>
      </c>
      <c r="B79" s="6">
        <v>46060</v>
      </c>
      <c r="C79" s="3" t="s">
        <v>247</v>
      </c>
      <c r="D79" s="3" t="s">
        <v>242</v>
      </c>
      <c r="E79" s="3">
        <v>1</v>
      </c>
    </row>
    <row r="80" spans="1:5" x14ac:dyDescent="0.3">
      <c r="A80" s="3" t="s">
        <v>97</v>
      </c>
      <c r="B80" s="6">
        <v>46060</v>
      </c>
      <c r="C80" s="3" t="s">
        <v>248</v>
      </c>
      <c r="D80" s="3" t="s">
        <v>242</v>
      </c>
      <c r="E80" s="3">
        <v>1</v>
      </c>
    </row>
    <row r="81" spans="1:5" x14ac:dyDescent="0.3">
      <c r="A81" s="3" t="s">
        <v>98</v>
      </c>
      <c r="B81" s="6">
        <v>46060</v>
      </c>
      <c r="C81" s="3" t="s">
        <v>249</v>
      </c>
      <c r="D81" s="3" t="s">
        <v>242</v>
      </c>
      <c r="E81" s="3">
        <v>1</v>
      </c>
    </row>
    <row r="82" spans="1:5" x14ac:dyDescent="0.3">
      <c r="A82" s="3" t="s">
        <v>99</v>
      </c>
      <c r="B82" s="6">
        <v>46076</v>
      </c>
      <c r="C82" s="3" t="s">
        <v>250</v>
      </c>
      <c r="D82" s="3" t="s">
        <v>251</v>
      </c>
      <c r="E82" s="3">
        <v>2</v>
      </c>
    </row>
    <row r="83" spans="1:5" x14ac:dyDescent="0.3">
      <c r="A83" s="3" t="s">
        <v>100</v>
      </c>
      <c r="B83" s="6">
        <v>46076</v>
      </c>
      <c r="C83" s="3" t="s">
        <v>215</v>
      </c>
      <c r="D83" s="3" t="s">
        <v>251</v>
      </c>
      <c r="E83" s="3">
        <v>10</v>
      </c>
    </row>
    <row r="84" spans="1:5" x14ac:dyDescent="0.3">
      <c r="A84" s="3" t="s">
        <v>101</v>
      </c>
      <c r="B84" s="6">
        <v>46076</v>
      </c>
      <c r="C84" s="3" t="s">
        <v>252</v>
      </c>
      <c r="D84" s="3" t="s">
        <v>251</v>
      </c>
      <c r="E84" s="3">
        <v>20</v>
      </c>
    </row>
    <row r="85" spans="1:5" x14ac:dyDescent="0.3">
      <c r="A85" s="3" t="s">
        <v>102</v>
      </c>
      <c r="B85" s="6">
        <v>46076</v>
      </c>
      <c r="C85" s="3" t="s">
        <v>202</v>
      </c>
      <c r="D85" s="3" t="s">
        <v>251</v>
      </c>
      <c r="E85" s="3">
        <v>1</v>
      </c>
    </row>
    <row r="86" spans="1:5" x14ac:dyDescent="0.3">
      <c r="A86" s="3" t="s">
        <v>103</v>
      </c>
      <c r="B86" s="6">
        <v>46076</v>
      </c>
      <c r="C86" s="3" t="s">
        <v>239</v>
      </c>
      <c r="D86" s="3" t="s">
        <v>251</v>
      </c>
      <c r="E86" s="3">
        <v>1</v>
      </c>
    </row>
    <row r="87" spans="1:5" x14ac:dyDescent="0.3">
      <c r="A87" s="3" t="s">
        <v>104</v>
      </c>
      <c r="B87" s="6">
        <v>46076</v>
      </c>
      <c r="C87" s="3" t="s">
        <v>202</v>
      </c>
      <c r="D87" s="3" t="s">
        <v>251</v>
      </c>
      <c r="E87" s="3">
        <v>10</v>
      </c>
    </row>
    <row r="88" spans="1:5" x14ac:dyDescent="0.3">
      <c r="A88" s="3" t="s">
        <v>105</v>
      </c>
      <c r="B88" s="6">
        <v>46076</v>
      </c>
      <c r="C88" s="3" t="s">
        <v>202</v>
      </c>
      <c r="D88" s="3" t="s">
        <v>251</v>
      </c>
      <c r="E88" s="3">
        <v>2</v>
      </c>
    </row>
    <row r="89" spans="1:5" x14ac:dyDescent="0.3">
      <c r="A89" s="3" t="s">
        <v>106</v>
      </c>
      <c r="B89" s="49">
        <v>46076</v>
      </c>
      <c r="C89" s="3" t="s">
        <v>253</v>
      </c>
      <c r="D89" s="3" t="s">
        <v>251</v>
      </c>
      <c r="E89" s="3">
        <v>20</v>
      </c>
    </row>
    <row r="90" spans="1:5" x14ac:dyDescent="0.3">
      <c r="A90" s="3" t="s">
        <v>107</v>
      </c>
      <c r="B90" s="49">
        <v>46076</v>
      </c>
      <c r="C90" s="3" t="s">
        <v>254</v>
      </c>
      <c r="D90" s="3" t="s">
        <v>251</v>
      </c>
      <c r="E90" s="3">
        <v>3</v>
      </c>
    </row>
    <row r="91" spans="1:5" x14ac:dyDescent="0.3">
      <c r="A91" s="3" t="s">
        <v>108</v>
      </c>
      <c r="B91" s="49">
        <v>46076</v>
      </c>
      <c r="C91" s="3" t="s">
        <v>253</v>
      </c>
      <c r="D91" s="3" t="s">
        <v>251</v>
      </c>
      <c r="E91" s="3">
        <v>1</v>
      </c>
    </row>
    <row r="92" spans="1:5" x14ac:dyDescent="0.3">
      <c r="A92" s="3" t="s">
        <v>109</v>
      </c>
      <c r="B92" s="6">
        <v>46076</v>
      </c>
      <c r="C92" s="3" t="s">
        <v>255</v>
      </c>
      <c r="D92" s="3" t="s">
        <v>251</v>
      </c>
      <c r="E92" s="3">
        <v>1</v>
      </c>
    </row>
    <row r="93" spans="1:5" x14ac:dyDescent="0.3">
      <c r="A93" s="3" t="s">
        <v>110</v>
      </c>
      <c r="B93" s="6">
        <v>46076</v>
      </c>
      <c r="C93" s="3" t="s">
        <v>256</v>
      </c>
      <c r="D93" s="3" t="s">
        <v>251</v>
      </c>
      <c r="E93" s="3">
        <v>1</v>
      </c>
    </row>
    <row r="94" spans="1:5" x14ac:dyDescent="0.3">
      <c r="A94" s="3" t="s">
        <v>111</v>
      </c>
      <c r="B94" s="6">
        <v>46080</v>
      </c>
      <c r="C94" s="3" t="s">
        <v>257</v>
      </c>
      <c r="D94" s="3" t="s">
        <v>258</v>
      </c>
      <c r="E94" s="3">
        <v>4</v>
      </c>
    </row>
    <row r="95" spans="1:5" x14ac:dyDescent="0.3">
      <c r="A95" s="3" t="s">
        <v>112</v>
      </c>
      <c r="B95" s="6">
        <v>46080</v>
      </c>
      <c r="C95" s="3" t="s">
        <v>257</v>
      </c>
      <c r="D95" s="3" t="s">
        <v>258</v>
      </c>
      <c r="E95" s="3">
        <v>2</v>
      </c>
    </row>
    <row r="96" spans="1:5" x14ac:dyDescent="0.3">
      <c r="A96" s="3" t="s">
        <v>113</v>
      </c>
      <c r="B96" s="6">
        <v>46108</v>
      </c>
      <c r="C96" s="3" t="s">
        <v>202</v>
      </c>
      <c r="D96" s="3" t="s">
        <v>258</v>
      </c>
      <c r="E96" s="3">
        <v>5</v>
      </c>
    </row>
    <row r="97" spans="1:5" x14ac:dyDescent="0.3">
      <c r="A97" s="3" t="s">
        <v>114</v>
      </c>
      <c r="B97" s="6">
        <v>46080</v>
      </c>
      <c r="C97" s="3" t="s">
        <v>257</v>
      </c>
      <c r="D97" s="3" t="s">
        <v>258</v>
      </c>
      <c r="E97" s="3">
        <v>4</v>
      </c>
    </row>
    <row r="98" spans="1:5" x14ac:dyDescent="0.3">
      <c r="A98" s="3" t="s">
        <v>115</v>
      </c>
      <c r="B98" s="6">
        <v>46080</v>
      </c>
      <c r="C98" s="3" t="s">
        <v>202</v>
      </c>
      <c r="D98" s="3" t="s">
        <v>258</v>
      </c>
      <c r="E98" s="3">
        <v>15</v>
      </c>
    </row>
    <row r="99" spans="1:5" x14ac:dyDescent="0.3">
      <c r="A99" s="3" t="s">
        <v>116</v>
      </c>
      <c r="B99" s="6">
        <v>46080</v>
      </c>
      <c r="C99" s="3" t="s">
        <v>259</v>
      </c>
      <c r="D99" s="3" t="s">
        <v>258</v>
      </c>
      <c r="E99" s="3">
        <v>1</v>
      </c>
    </row>
    <row r="100" spans="1:5" x14ac:dyDescent="0.3">
      <c r="A100" s="3" t="s">
        <v>117</v>
      </c>
      <c r="B100" s="6">
        <v>46085</v>
      </c>
      <c r="C100" s="3" t="s">
        <v>246</v>
      </c>
      <c r="D100" s="3" t="s">
        <v>258</v>
      </c>
      <c r="E100" s="3">
        <v>2</v>
      </c>
    </row>
    <row r="101" spans="1:5" x14ac:dyDescent="0.3">
      <c r="A101" s="3" t="s">
        <v>118</v>
      </c>
      <c r="B101" s="6">
        <v>46085</v>
      </c>
      <c r="C101" s="3" t="s">
        <v>260</v>
      </c>
      <c r="D101" s="3" t="s">
        <v>258</v>
      </c>
      <c r="E101" s="3">
        <v>1</v>
      </c>
    </row>
    <row r="102" spans="1:5" x14ac:dyDescent="0.3">
      <c r="A102" s="3" t="s">
        <v>119</v>
      </c>
      <c r="B102" s="6">
        <v>46086</v>
      </c>
      <c r="C102" s="3" t="s">
        <v>261</v>
      </c>
      <c r="D102" s="3" t="s">
        <v>262</v>
      </c>
      <c r="E102" s="3">
        <v>1</v>
      </c>
    </row>
    <row r="103" spans="1:5" x14ac:dyDescent="0.3">
      <c r="A103" s="3" t="s">
        <v>120</v>
      </c>
      <c r="B103" s="6">
        <v>46105</v>
      </c>
      <c r="C103" s="3" t="s">
        <v>263</v>
      </c>
      <c r="D103" s="3" t="s">
        <v>264</v>
      </c>
      <c r="E103" s="3">
        <v>5</v>
      </c>
    </row>
    <row r="104" spans="1:5" x14ac:dyDescent="0.3">
      <c r="A104" s="3" t="s">
        <v>121</v>
      </c>
      <c r="B104" s="6">
        <v>46105</v>
      </c>
      <c r="C104" s="3" t="s">
        <v>263</v>
      </c>
      <c r="D104" s="3" t="s">
        <v>264</v>
      </c>
      <c r="E104" s="3">
        <v>5</v>
      </c>
    </row>
    <row r="105" spans="1:5" x14ac:dyDescent="0.3">
      <c r="A105" s="3" t="s">
        <v>122</v>
      </c>
      <c r="B105" s="6">
        <v>46105</v>
      </c>
      <c r="C105" s="3" t="s">
        <v>263</v>
      </c>
      <c r="D105" s="3" t="s">
        <v>264</v>
      </c>
      <c r="E105" s="3">
        <v>5</v>
      </c>
    </row>
    <row r="106" spans="1:5" x14ac:dyDescent="0.3">
      <c r="A106" s="3" t="s">
        <v>123</v>
      </c>
      <c r="B106" s="6">
        <v>46105</v>
      </c>
      <c r="C106" s="3" t="s">
        <v>263</v>
      </c>
      <c r="D106" s="3" t="s">
        <v>264</v>
      </c>
      <c r="E106" s="3">
        <v>5</v>
      </c>
    </row>
    <row r="107" spans="1:5" x14ac:dyDescent="0.3">
      <c r="A107" s="3" t="s">
        <v>124</v>
      </c>
      <c r="B107" s="6">
        <v>46105</v>
      </c>
      <c r="C107" s="3" t="s">
        <v>265</v>
      </c>
      <c r="D107" s="3" t="s">
        <v>264</v>
      </c>
      <c r="E107" s="3">
        <v>3</v>
      </c>
    </row>
    <row r="108" spans="1:5" x14ac:dyDescent="0.3">
      <c r="A108" s="3" t="s">
        <v>125</v>
      </c>
      <c r="B108" s="6">
        <v>46105</v>
      </c>
      <c r="C108" s="3" t="s">
        <v>243</v>
      </c>
      <c r="D108" s="3" t="s">
        <v>264</v>
      </c>
      <c r="E108" s="3">
        <v>4</v>
      </c>
    </row>
    <row r="109" spans="1:5" x14ac:dyDescent="0.3">
      <c r="A109" s="3" t="s">
        <v>126</v>
      </c>
      <c r="B109" s="6">
        <v>46105</v>
      </c>
      <c r="C109" s="3" t="s">
        <v>266</v>
      </c>
      <c r="D109" s="3" t="s">
        <v>264</v>
      </c>
      <c r="E109" s="3">
        <v>2</v>
      </c>
    </row>
    <row r="110" spans="1:5" x14ac:dyDescent="0.3">
      <c r="A110" s="3" t="s">
        <v>127</v>
      </c>
      <c r="B110" s="6">
        <v>46105</v>
      </c>
      <c r="C110" s="3" t="s">
        <v>267</v>
      </c>
      <c r="D110" s="3" t="s">
        <v>264</v>
      </c>
      <c r="E110" s="3">
        <v>4</v>
      </c>
    </row>
    <row r="111" spans="1:5" x14ac:dyDescent="0.3">
      <c r="A111" s="3" t="s">
        <v>128</v>
      </c>
      <c r="B111" s="6">
        <v>46105</v>
      </c>
      <c r="C111" s="3" t="s">
        <v>227</v>
      </c>
      <c r="D111" s="3" t="s">
        <v>264</v>
      </c>
      <c r="E111" s="3">
        <v>4</v>
      </c>
    </row>
    <row r="112" spans="1:5" x14ac:dyDescent="0.3">
      <c r="A112" s="3" t="s">
        <v>129</v>
      </c>
      <c r="B112" s="6">
        <v>46105</v>
      </c>
      <c r="C112" s="3" t="s">
        <v>202</v>
      </c>
      <c r="D112" s="3" t="s">
        <v>264</v>
      </c>
      <c r="E112" s="3">
        <v>11</v>
      </c>
    </row>
    <row r="113" spans="1:5" x14ac:dyDescent="0.3">
      <c r="A113" s="3" t="s">
        <v>130</v>
      </c>
      <c r="B113" s="6">
        <v>46105</v>
      </c>
      <c r="C113" s="3" t="s">
        <v>217</v>
      </c>
      <c r="D113" s="3" t="s">
        <v>264</v>
      </c>
      <c r="E113" s="3">
        <v>10</v>
      </c>
    </row>
    <row r="114" spans="1:5" x14ac:dyDescent="0.3">
      <c r="A114" s="3" t="s">
        <v>131</v>
      </c>
      <c r="B114" s="6">
        <v>46105</v>
      </c>
      <c r="C114" s="3" t="s">
        <v>202</v>
      </c>
      <c r="D114" s="3" t="s">
        <v>264</v>
      </c>
      <c r="E114" s="3">
        <v>9</v>
      </c>
    </row>
    <row r="115" spans="1:5" x14ac:dyDescent="0.3">
      <c r="A115" s="3" t="s">
        <v>132</v>
      </c>
      <c r="B115" s="6">
        <v>46105</v>
      </c>
      <c r="C115" s="3" t="s">
        <v>217</v>
      </c>
      <c r="D115" s="3" t="s">
        <v>264</v>
      </c>
      <c r="E115" s="3">
        <v>15</v>
      </c>
    </row>
    <row r="116" spans="1:5" x14ac:dyDescent="0.3">
      <c r="A116" s="3" t="s">
        <v>133</v>
      </c>
      <c r="B116" s="6">
        <v>46105</v>
      </c>
      <c r="C116" s="3" t="s">
        <v>202</v>
      </c>
      <c r="D116" s="3" t="s">
        <v>264</v>
      </c>
      <c r="E116" s="3">
        <v>14</v>
      </c>
    </row>
    <row r="117" spans="1:5" x14ac:dyDescent="0.3">
      <c r="A117" s="3" t="s">
        <v>134</v>
      </c>
      <c r="B117" s="6">
        <v>46105</v>
      </c>
      <c r="C117" s="3" t="s">
        <v>217</v>
      </c>
      <c r="D117" s="3" t="s">
        <v>264</v>
      </c>
      <c r="E117" s="3">
        <v>9</v>
      </c>
    </row>
    <row r="118" spans="1:5" x14ac:dyDescent="0.3">
      <c r="A118" s="3" t="s">
        <v>135</v>
      </c>
      <c r="B118" s="6">
        <v>46105</v>
      </c>
      <c r="C118" s="3" t="s">
        <v>268</v>
      </c>
      <c r="D118" s="3" t="s">
        <v>264</v>
      </c>
      <c r="E118" s="3">
        <v>2</v>
      </c>
    </row>
    <row r="119" spans="1:5" x14ac:dyDescent="0.3">
      <c r="A119" s="3" t="s">
        <v>136</v>
      </c>
      <c r="B119" s="6">
        <v>46105</v>
      </c>
      <c r="C119" s="3" t="s">
        <v>269</v>
      </c>
      <c r="D119" s="3" t="s">
        <v>264</v>
      </c>
      <c r="E119" s="3">
        <v>1</v>
      </c>
    </row>
    <row r="120" spans="1:5" x14ac:dyDescent="0.3">
      <c r="A120" s="3" t="s">
        <v>137</v>
      </c>
      <c r="B120" s="6">
        <v>46105</v>
      </c>
      <c r="C120" s="3" t="s">
        <v>270</v>
      </c>
      <c r="D120" s="3" t="s">
        <v>264</v>
      </c>
      <c r="E120" s="3">
        <v>1</v>
      </c>
    </row>
    <row r="121" spans="1:5" x14ac:dyDescent="0.3">
      <c r="A121" s="3" t="s">
        <v>138</v>
      </c>
      <c r="B121" s="6">
        <v>46105</v>
      </c>
      <c r="C121" s="3" t="s">
        <v>245</v>
      </c>
      <c r="D121" s="3" t="s">
        <v>264</v>
      </c>
      <c r="E121" s="3">
        <v>2</v>
      </c>
    </row>
    <row r="122" spans="1:5" x14ac:dyDescent="0.3">
      <c r="A122" s="3" t="s">
        <v>139</v>
      </c>
      <c r="B122" s="6">
        <v>46105</v>
      </c>
      <c r="C122" s="3" t="s">
        <v>271</v>
      </c>
      <c r="D122" s="3" t="s">
        <v>264</v>
      </c>
      <c r="E122" s="3">
        <v>1</v>
      </c>
    </row>
    <row r="123" spans="1:5" ht="15.75" customHeight="1" x14ac:dyDescent="0.3">
      <c r="A123" s="3" t="s">
        <v>140</v>
      </c>
      <c r="B123" s="6">
        <v>46105</v>
      </c>
      <c r="C123" s="3" t="s">
        <v>272</v>
      </c>
      <c r="D123" s="3" t="s">
        <v>264</v>
      </c>
      <c r="E123" s="3">
        <v>2</v>
      </c>
    </row>
    <row r="124" spans="1:5" ht="15.75" customHeight="1" x14ac:dyDescent="0.3">
      <c r="A124" s="3" t="s">
        <v>141</v>
      </c>
      <c r="B124" s="6">
        <v>46113</v>
      </c>
      <c r="C124" s="3" t="s">
        <v>273</v>
      </c>
      <c r="D124" s="3" t="s">
        <v>274</v>
      </c>
      <c r="E124" s="3">
        <v>1</v>
      </c>
    </row>
    <row r="125" spans="1:5" x14ac:dyDescent="0.3">
      <c r="A125" s="3" t="s">
        <v>142</v>
      </c>
      <c r="B125" s="6">
        <v>46119</v>
      </c>
      <c r="C125" s="3" t="s">
        <v>275</v>
      </c>
      <c r="D125" s="3" t="s">
        <v>276</v>
      </c>
      <c r="E125" s="3">
        <v>10</v>
      </c>
    </row>
    <row r="126" spans="1:5" x14ac:dyDescent="0.3">
      <c r="A126" s="3" t="s">
        <v>143</v>
      </c>
      <c r="B126" s="6">
        <v>46119</v>
      </c>
      <c r="C126" s="3" t="s">
        <v>277</v>
      </c>
      <c r="D126" s="3" t="s">
        <v>276</v>
      </c>
      <c r="E126" s="3">
        <v>2</v>
      </c>
    </row>
    <row r="127" spans="1:5" x14ac:dyDescent="0.3">
      <c r="A127" s="3" t="s">
        <v>144</v>
      </c>
      <c r="B127" s="6">
        <v>46119</v>
      </c>
      <c r="C127" s="3" t="s">
        <v>278</v>
      </c>
      <c r="D127" s="3" t="s">
        <v>276</v>
      </c>
      <c r="E127" s="3">
        <v>2</v>
      </c>
    </row>
    <row r="128" spans="1:5" x14ac:dyDescent="0.3">
      <c r="A128" s="3" t="s">
        <v>145</v>
      </c>
      <c r="B128" s="6">
        <v>46119</v>
      </c>
      <c r="C128" s="3" t="s">
        <v>279</v>
      </c>
      <c r="D128" s="3" t="s">
        <v>276</v>
      </c>
      <c r="E128" s="3">
        <v>2</v>
      </c>
    </row>
    <row r="129" spans="1:5" x14ac:dyDescent="0.3">
      <c r="A129" s="3" t="s">
        <v>146</v>
      </c>
      <c r="B129" s="6">
        <v>46119</v>
      </c>
      <c r="C129" s="3" t="s">
        <v>280</v>
      </c>
      <c r="D129" s="3" t="s">
        <v>276</v>
      </c>
      <c r="E129" s="3">
        <v>2</v>
      </c>
    </row>
    <row r="130" spans="1:5" x14ac:dyDescent="0.3">
      <c r="A130" s="3" t="s">
        <v>147</v>
      </c>
      <c r="B130" s="6">
        <v>46119</v>
      </c>
      <c r="C130" s="3" t="s">
        <v>281</v>
      </c>
      <c r="D130" s="3" t="s">
        <v>276</v>
      </c>
      <c r="E130" s="3">
        <v>2</v>
      </c>
    </row>
    <row r="131" spans="1:5" x14ac:dyDescent="0.3">
      <c r="A131" s="3" t="s">
        <v>148</v>
      </c>
      <c r="B131" s="6">
        <v>46119</v>
      </c>
      <c r="C131" s="82" t="s">
        <v>282</v>
      </c>
      <c r="D131" s="3" t="s">
        <v>276</v>
      </c>
      <c r="E131" s="3">
        <v>7</v>
      </c>
    </row>
    <row r="132" spans="1:5" x14ac:dyDescent="0.3">
      <c r="A132" s="3" t="s">
        <v>149</v>
      </c>
      <c r="B132" s="6">
        <v>46119</v>
      </c>
      <c r="C132" s="3" t="s">
        <v>283</v>
      </c>
      <c r="D132" s="3" t="s">
        <v>276</v>
      </c>
      <c r="E132" s="3">
        <v>1</v>
      </c>
    </row>
    <row r="133" spans="1:5" x14ac:dyDescent="0.3">
      <c r="A133" s="3" t="s">
        <v>150</v>
      </c>
      <c r="B133" s="6">
        <v>46119</v>
      </c>
      <c r="C133" s="3" t="s">
        <v>283</v>
      </c>
      <c r="D133" s="3" t="s">
        <v>276</v>
      </c>
      <c r="E133" s="3">
        <v>19</v>
      </c>
    </row>
    <row r="134" spans="1:5" x14ac:dyDescent="0.3">
      <c r="A134" s="3" t="s">
        <v>151</v>
      </c>
      <c r="B134" s="6">
        <v>46119</v>
      </c>
      <c r="C134" s="3" t="s">
        <v>284</v>
      </c>
      <c r="D134" s="3" t="s">
        <v>276</v>
      </c>
      <c r="E134" s="3">
        <v>7</v>
      </c>
    </row>
    <row r="135" spans="1:5" x14ac:dyDescent="0.3">
      <c r="A135" s="3" t="s">
        <v>152</v>
      </c>
      <c r="B135" s="6">
        <v>46119</v>
      </c>
      <c r="C135" s="3" t="s">
        <v>285</v>
      </c>
      <c r="D135" s="3" t="s">
        <v>276</v>
      </c>
      <c r="E135" s="3">
        <v>10</v>
      </c>
    </row>
    <row r="136" spans="1:5" x14ac:dyDescent="0.3">
      <c r="A136" s="3" t="s">
        <v>153</v>
      </c>
      <c r="B136" s="6">
        <v>46119</v>
      </c>
      <c r="C136" s="3" t="s">
        <v>286</v>
      </c>
      <c r="D136" s="3" t="s">
        <v>276</v>
      </c>
      <c r="E136" s="3">
        <v>4</v>
      </c>
    </row>
    <row r="137" spans="1:5" x14ac:dyDescent="0.3">
      <c r="A137" s="3" t="s">
        <v>154</v>
      </c>
      <c r="B137" s="6">
        <v>46119</v>
      </c>
      <c r="C137" s="3" t="s">
        <v>287</v>
      </c>
      <c r="D137" s="3" t="s">
        <v>276</v>
      </c>
      <c r="E137" s="3">
        <v>20</v>
      </c>
    </row>
    <row r="138" spans="1:5" x14ac:dyDescent="0.3">
      <c r="A138" s="3" t="s">
        <v>155</v>
      </c>
      <c r="B138" s="6">
        <v>46119</v>
      </c>
      <c r="C138" s="3" t="s">
        <v>288</v>
      </c>
      <c r="D138" s="3" t="s">
        <v>276</v>
      </c>
      <c r="E138" s="3">
        <v>10</v>
      </c>
    </row>
    <row r="139" spans="1:5" x14ac:dyDescent="0.3">
      <c r="A139" s="3" t="s">
        <v>156</v>
      </c>
      <c r="B139" s="6">
        <v>46119</v>
      </c>
      <c r="C139" s="3" t="s">
        <v>284</v>
      </c>
      <c r="D139" s="3" t="s">
        <v>276</v>
      </c>
      <c r="E139" s="3">
        <v>20</v>
      </c>
    </row>
    <row r="140" spans="1:5" x14ac:dyDescent="0.3">
      <c r="A140" s="3" t="s">
        <v>157</v>
      </c>
      <c r="B140" s="6">
        <v>46119</v>
      </c>
      <c r="C140" s="3" t="s">
        <v>289</v>
      </c>
      <c r="D140" s="3" t="s">
        <v>276</v>
      </c>
      <c r="E140" s="3">
        <v>20</v>
      </c>
    </row>
    <row r="141" spans="1:5" x14ac:dyDescent="0.3">
      <c r="A141" s="3" t="s">
        <v>158</v>
      </c>
      <c r="B141" s="6">
        <v>46119</v>
      </c>
      <c r="C141" s="3" t="s">
        <v>290</v>
      </c>
      <c r="D141" s="3" t="s">
        <v>276</v>
      </c>
      <c r="E141" s="3">
        <v>6</v>
      </c>
    </row>
    <row r="142" spans="1:5" x14ac:dyDescent="0.3">
      <c r="A142" s="3" t="s">
        <v>159</v>
      </c>
      <c r="B142" s="6">
        <v>46119</v>
      </c>
      <c r="C142" s="3" t="s">
        <v>291</v>
      </c>
      <c r="D142" s="3" t="s">
        <v>276</v>
      </c>
      <c r="E142" s="3">
        <v>4</v>
      </c>
    </row>
    <row r="143" spans="1:5" x14ac:dyDescent="0.3">
      <c r="A143" s="3" t="s">
        <v>160</v>
      </c>
      <c r="B143" s="6">
        <v>46119</v>
      </c>
      <c r="C143" s="3" t="s">
        <v>292</v>
      </c>
      <c r="D143" s="3" t="s">
        <v>276</v>
      </c>
      <c r="E143" s="3">
        <v>2</v>
      </c>
    </row>
    <row r="144" spans="1:5" x14ac:dyDescent="0.3">
      <c r="A144" s="3" t="s">
        <v>161</v>
      </c>
      <c r="B144" s="6">
        <v>46119</v>
      </c>
      <c r="C144" s="3" t="s">
        <v>293</v>
      </c>
      <c r="D144" s="3" t="s">
        <v>276</v>
      </c>
      <c r="E144" s="3">
        <v>2</v>
      </c>
    </row>
    <row r="145" spans="1:5" x14ac:dyDescent="0.3">
      <c r="A145" s="3" t="s">
        <v>162</v>
      </c>
      <c r="B145" s="6">
        <v>46119</v>
      </c>
      <c r="C145" s="3" t="s">
        <v>294</v>
      </c>
      <c r="D145" s="3" t="s">
        <v>276</v>
      </c>
      <c r="E145" s="3">
        <v>2</v>
      </c>
    </row>
    <row r="146" spans="1:5" x14ac:dyDescent="0.3">
      <c r="A146" s="3" t="s">
        <v>163</v>
      </c>
      <c r="B146" s="6">
        <v>46119</v>
      </c>
      <c r="C146" s="3" t="s">
        <v>295</v>
      </c>
      <c r="D146" s="3" t="s">
        <v>276</v>
      </c>
      <c r="E146" s="3">
        <v>3</v>
      </c>
    </row>
    <row r="147" spans="1:5" x14ac:dyDescent="0.3">
      <c r="A147" s="3" t="s">
        <v>164</v>
      </c>
      <c r="B147" s="6">
        <v>46133</v>
      </c>
      <c r="C147" s="3" t="s">
        <v>296</v>
      </c>
      <c r="D147" s="3" t="s">
        <v>297</v>
      </c>
      <c r="E147" s="3">
        <v>20</v>
      </c>
    </row>
    <row r="148" spans="1:5" x14ac:dyDescent="0.3">
      <c r="A148" s="3" t="s">
        <v>165</v>
      </c>
      <c r="B148" s="6">
        <v>46133</v>
      </c>
      <c r="C148" s="3" t="s">
        <v>291</v>
      </c>
      <c r="D148" s="3" t="s">
        <v>297</v>
      </c>
      <c r="E148" s="3">
        <v>1</v>
      </c>
    </row>
    <row r="149" spans="1:5" x14ac:dyDescent="0.3">
      <c r="A149" s="3" t="s">
        <v>166</v>
      </c>
      <c r="B149" s="6">
        <v>46133</v>
      </c>
      <c r="C149" s="3" t="s">
        <v>298</v>
      </c>
      <c r="D149" s="3" t="s">
        <v>297</v>
      </c>
      <c r="E149" s="3">
        <v>2</v>
      </c>
    </row>
    <row r="150" spans="1:5" x14ac:dyDescent="0.3">
      <c r="A150" s="3" t="s">
        <v>167</v>
      </c>
      <c r="B150" s="6">
        <v>46133</v>
      </c>
      <c r="C150" s="3" t="s">
        <v>211</v>
      </c>
      <c r="D150" s="3" t="s">
        <v>297</v>
      </c>
      <c r="E150" s="3">
        <v>30</v>
      </c>
    </row>
    <row r="151" spans="1:5" x14ac:dyDescent="0.3">
      <c r="A151" s="3" t="s">
        <v>168</v>
      </c>
      <c r="B151" s="6">
        <v>46133</v>
      </c>
      <c r="C151" s="3" t="s">
        <v>228</v>
      </c>
      <c r="D151" s="3" t="s">
        <v>297</v>
      </c>
      <c r="E151" s="3">
        <v>9</v>
      </c>
    </row>
    <row r="152" spans="1:5" x14ac:dyDescent="0.3">
      <c r="A152" s="3" t="s">
        <v>169</v>
      </c>
      <c r="B152" s="6">
        <v>46133</v>
      </c>
      <c r="C152" s="3" t="s">
        <v>299</v>
      </c>
      <c r="D152" s="3" t="s">
        <v>297</v>
      </c>
      <c r="E152" s="3">
        <v>6</v>
      </c>
    </row>
    <row r="153" spans="1:5" x14ac:dyDescent="0.3">
      <c r="A153" s="3" t="s">
        <v>170</v>
      </c>
      <c r="B153" s="6">
        <v>46133</v>
      </c>
      <c r="C153" s="3" t="s">
        <v>289</v>
      </c>
      <c r="D153" s="3" t="s">
        <v>297</v>
      </c>
      <c r="E153" s="3">
        <v>20</v>
      </c>
    </row>
    <row r="154" spans="1:5" x14ac:dyDescent="0.3">
      <c r="A154" s="3" t="s">
        <v>171</v>
      </c>
      <c r="B154" s="6">
        <v>46133</v>
      </c>
      <c r="C154" s="3" t="s">
        <v>300</v>
      </c>
      <c r="D154" s="3" t="s">
        <v>297</v>
      </c>
      <c r="E154" s="3">
        <v>10</v>
      </c>
    </row>
    <row r="155" spans="1:5" x14ac:dyDescent="0.3">
      <c r="A155" s="3" t="s">
        <v>172</v>
      </c>
      <c r="B155" s="6">
        <v>46133</v>
      </c>
      <c r="C155" s="3" t="s">
        <v>301</v>
      </c>
      <c r="D155" s="3" t="s">
        <v>297</v>
      </c>
      <c r="E155" s="3">
        <v>2</v>
      </c>
    </row>
    <row r="156" spans="1:5" x14ac:dyDescent="0.3">
      <c r="A156" s="3" t="s">
        <v>173</v>
      </c>
      <c r="B156" s="6">
        <v>46133</v>
      </c>
      <c r="C156" s="3" t="s">
        <v>302</v>
      </c>
      <c r="D156" s="3" t="s">
        <v>297</v>
      </c>
      <c r="E156" s="3">
        <v>3</v>
      </c>
    </row>
    <row r="157" spans="1:5" x14ac:dyDescent="0.3">
      <c r="A157" s="3" t="s">
        <v>174</v>
      </c>
      <c r="B157" s="6">
        <v>46133</v>
      </c>
      <c r="C157" s="3" t="s">
        <v>303</v>
      </c>
      <c r="D157" s="3" t="s">
        <v>297</v>
      </c>
      <c r="E157" s="3">
        <v>2</v>
      </c>
    </row>
    <row r="158" spans="1:5" x14ac:dyDescent="0.3">
      <c r="A158" s="3" t="s">
        <v>175</v>
      </c>
      <c r="B158" s="6">
        <v>46133</v>
      </c>
      <c r="C158" s="3" t="s">
        <v>300</v>
      </c>
      <c r="D158" s="3" t="s">
        <v>297</v>
      </c>
      <c r="E158" s="3">
        <v>2</v>
      </c>
    </row>
    <row r="159" spans="1:5" x14ac:dyDescent="0.3">
      <c r="A159" s="3" t="s">
        <v>176</v>
      </c>
      <c r="B159" s="6">
        <v>46133</v>
      </c>
      <c r="C159" s="3" t="s">
        <v>201</v>
      </c>
      <c r="D159" s="3" t="s">
        <v>297</v>
      </c>
      <c r="E159" s="3">
        <v>5</v>
      </c>
    </row>
    <row r="160" spans="1:5" x14ac:dyDescent="0.3">
      <c r="A160" s="3" t="s">
        <v>177</v>
      </c>
      <c r="B160" s="6">
        <v>46133</v>
      </c>
      <c r="C160" s="3" t="s">
        <v>304</v>
      </c>
      <c r="D160" s="3" t="s">
        <v>297</v>
      </c>
      <c r="E160" s="3">
        <v>2</v>
      </c>
    </row>
    <row r="161" spans="1:5" x14ac:dyDescent="0.3">
      <c r="A161" s="3" t="s">
        <v>178</v>
      </c>
      <c r="B161" s="6">
        <v>46133</v>
      </c>
      <c r="C161" s="3" t="s">
        <v>305</v>
      </c>
      <c r="D161" s="3" t="s">
        <v>297</v>
      </c>
      <c r="E161" s="3">
        <v>2</v>
      </c>
    </row>
    <row r="162" spans="1:5" x14ac:dyDescent="0.3">
      <c r="A162" s="3" t="s">
        <v>179</v>
      </c>
      <c r="B162" s="6">
        <v>46133</v>
      </c>
      <c r="C162" s="3" t="s">
        <v>306</v>
      </c>
      <c r="D162" s="3" t="s">
        <v>297</v>
      </c>
      <c r="E162" s="3">
        <v>4</v>
      </c>
    </row>
    <row r="163" spans="1:5" x14ac:dyDescent="0.3">
      <c r="A163" s="3" t="s">
        <v>180</v>
      </c>
      <c r="B163" s="6">
        <v>46133</v>
      </c>
      <c r="C163" s="3" t="s">
        <v>284</v>
      </c>
      <c r="D163" s="3" t="s">
        <v>297</v>
      </c>
      <c r="E163" s="3">
        <v>3</v>
      </c>
    </row>
    <row r="164" spans="1:5" x14ac:dyDescent="0.3">
      <c r="A164" s="3" t="s">
        <v>181</v>
      </c>
      <c r="B164" s="6">
        <v>46133</v>
      </c>
      <c r="C164" s="3" t="s">
        <v>307</v>
      </c>
      <c r="D164" s="3" t="s">
        <v>297</v>
      </c>
      <c r="E164" s="3">
        <v>2</v>
      </c>
    </row>
    <row r="165" spans="1:5" x14ac:dyDescent="0.3">
      <c r="A165" s="3" t="s">
        <v>182</v>
      </c>
      <c r="B165" s="6">
        <v>46133</v>
      </c>
      <c r="C165" s="3" t="s">
        <v>308</v>
      </c>
      <c r="D165" s="3" t="s">
        <v>297</v>
      </c>
      <c r="E165" s="3">
        <v>1</v>
      </c>
    </row>
    <row r="166" spans="1:5" x14ac:dyDescent="0.3">
      <c r="A166" s="3" t="s">
        <v>183</v>
      </c>
      <c r="B166" s="6">
        <v>46133</v>
      </c>
      <c r="C166" s="3" t="s">
        <v>309</v>
      </c>
      <c r="D166" s="3" t="s">
        <v>297</v>
      </c>
      <c r="E166" s="3">
        <v>1</v>
      </c>
    </row>
    <row r="167" spans="1:5" x14ac:dyDescent="0.3">
      <c r="A167" s="3" t="s">
        <v>184</v>
      </c>
      <c r="B167" s="6">
        <v>46133</v>
      </c>
      <c r="C167" s="3" t="s">
        <v>255</v>
      </c>
      <c r="D167" s="3" t="s">
        <v>297</v>
      </c>
      <c r="E167" s="3">
        <v>20</v>
      </c>
    </row>
    <row r="168" spans="1:5" x14ac:dyDescent="0.3">
      <c r="A168" s="3" t="s">
        <v>494</v>
      </c>
      <c r="B168" s="6">
        <v>46134</v>
      </c>
      <c r="C168" s="3" t="s">
        <v>496</v>
      </c>
      <c r="D168" s="3" t="s">
        <v>495</v>
      </c>
      <c r="E168" s="3">
        <v>10</v>
      </c>
    </row>
  </sheetData>
  <mergeCells count="1">
    <mergeCell ref="C1:I1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4360-3DAB-4DF0-9F76-9AB669C428E7}">
  <sheetPr>
    <tabColor theme="6"/>
  </sheetPr>
  <dimension ref="A1:T798"/>
  <sheetViews>
    <sheetView tabSelected="1" topLeftCell="A690" zoomScale="80" zoomScaleNormal="80" workbookViewId="0">
      <selection activeCell="N691" sqref="N691"/>
    </sheetView>
  </sheetViews>
  <sheetFormatPr defaultRowHeight="15" x14ac:dyDescent="0.25"/>
  <cols>
    <col min="1" max="1" width="31.140625" customWidth="1"/>
    <col min="2" max="2" width="16.85546875" style="70" customWidth="1"/>
    <col min="3" max="3" width="24.7109375" bestFit="1" customWidth="1"/>
    <col min="4" max="4" width="53.5703125" bestFit="1" customWidth="1"/>
    <col min="5" max="5" width="21.5703125" bestFit="1" customWidth="1"/>
    <col min="6" max="6" width="19.42578125" bestFit="1" customWidth="1"/>
    <col min="7" max="7" width="27" bestFit="1" customWidth="1"/>
    <col min="8" max="8" width="18" customWidth="1"/>
    <col min="9" max="9" width="14.5703125" customWidth="1"/>
    <col min="10" max="10" width="15.28515625" customWidth="1"/>
    <col min="11" max="11" width="15.42578125" customWidth="1"/>
    <col min="12" max="12" width="14.5703125" customWidth="1"/>
    <col min="13" max="13" width="17.28515625" customWidth="1"/>
    <col min="14" max="14" width="24.42578125" bestFit="1" customWidth="1"/>
    <col min="15" max="15" width="16.5703125" customWidth="1"/>
    <col min="16" max="16" width="29.140625" customWidth="1"/>
    <col min="17" max="17" width="24.42578125" customWidth="1"/>
    <col min="18" max="18" width="31" customWidth="1"/>
    <col min="19" max="19" width="15.140625" customWidth="1"/>
    <col min="20" max="20" width="23.28515625" customWidth="1"/>
  </cols>
  <sheetData>
    <row r="1" spans="1:15" ht="152.25" customHeight="1" x14ac:dyDescent="0.25">
      <c r="A1" s="92" t="e" vm="2">
        <v>#VALUE!</v>
      </c>
      <c r="B1" s="92"/>
      <c r="C1" s="92"/>
      <c r="D1" s="92"/>
      <c r="E1" s="93" t="s">
        <v>310</v>
      </c>
      <c r="F1" s="93"/>
      <c r="G1" s="93"/>
      <c r="H1" s="93"/>
      <c r="I1" s="93"/>
      <c r="J1" s="93"/>
      <c r="K1" s="93"/>
      <c r="L1" s="93"/>
    </row>
    <row r="3" spans="1:15" ht="21.75" customHeight="1" x14ac:dyDescent="0.25"/>
    <row r="4" spans="1:15" ht="15" customHeight="1" x14ac:dyDescent="0.3">
      <c r="A4" s="7" t="s">
        <v>311</v>
      </c>
      <c r="B4" s="71">
        <v>46023</v>
      </c>
      <c r="C4" s="8" t="s">
        <v>30</v>
      </c>
      <c r="D4" s="20" t="str">
        <f>IFERROR(VLOOKUP(Pagos[[#This Row],[Codigo del producto]],Entradas[],3,FALSE),"No existe")</f>
        <v>KZ AZ09 Bluetooth Adapter</v>
      </c>
      <c r="E4" s="7">
        <v>1</v>
      </c>
      <c r="F4" s="10">
        <v>900</v>
      </c>
      <c r="G4" s="22">
        <f>IFERROR(Pagos[[#This Row],[Cantidad vendida]]*Pagos[[#This Row],[Precio de venta]],"-")</f>
        <v>900</v>
      </c>
      <c r="H4" s="22">
        <f>IFERROR(Pagos[[#This Row],[Precio de venta]]-VLOOKUP(Pagos[[#This Row],[Codigo del producto]],Stock[],13,FALSE),"-")</f>
        <v>451.904</v>
      </c>
      <c r="I4" s="22">
        <f>IFERROR(
  IF(H4&lt;=0,"-",
    IF(H4&lt;=300, H4*0.45,
      IF(H4&lt;=600, H4*0.4,
        IF(H4&lt;=900, H4*0.38,
          IF(H4&lt;=1000, H4*0.35,
            IF(H4&lt;=1400, H4*0.32,
              IF(H4&lt;=1800, H4*0.3,
                IF(H4&gt;=2000, H4*0.28,
                  "-"
                )
              )
            )
          )
        )
      )
    )
  ),
  "-"
)</f>
        <v>180.76160000000002</v>
      </c>
      <c r="J4" s="22">
        <f>IFERROR(Pagos[[#This Row],[Cantidad vendida]]*Pagos[[#This Row],[Ganancia unitaria (Vendedor)]],"-")</f>
        <v>180.76160000000002</v>
      </c>
      <c r="K4" s="1">
        <f>IFERROR(Pagos[[#This Row],[Ganancia unitaria]]-Pagos[[#This Row],[Ganancia unitaria (Vendedor)]],"-")</f>
        <v>271.14239999999995</v>
      </c>
      <c r="L4" s="1">
        <f>IFERROR(Pagos[[#This Row],[Cantidad vendida]]*(Pagos[[#This Row],[Ganancia individual (Tienda)]]),"-")</f>
        <v>271.14239999999995</v>
      </c>
      <c r="M4" s="1">
        <f>(VLOOKUP(Pagos[[#This Row],[Codigo del producto]],Stock[],13,FALSE))*Pagos[[#This Row],[Cantidad vendida]]</f>
        <v>448.096</v>
      </c>
      <c r="N4" s="1" t="s">
        <v>312</v>
      </c>
      <c r="O4" s="1"/>
    </row>
    <row r="5" spans="1:15" ht="15" customHeight="1" x14ac:dyDescent="0.3">
      <c r="A5" s="7" t="s">
        <v>311</v>
      </c>
      <c r="B5" s="71">
        <v>46023</v>
      </c>
      <c r="C5" s="8" t="s">
        <v>18</v>
      </c>
      <c r="D5" s="20" t="str">
        <f>IFERROR(VLOOKUP(Pagos[[#This Row],[Codigo del producto]],Entradas[],3,FALSE),"No existe")</f>
        <v>Mouse Inalambrico Shark attack X11</v>
      </c>
      <c r="E5" s="7">
        <v>1</v>
      </c>
      <c r="F5" s="10">
        <v>1200</v>
      </c>
      <c r="G5" s="22">
        <f>IFERROR(Pagos[[#This Row],[Cantidad vendida]]*Pagos[[#This Row],[Precio de venta]],"-")</f>
        <v>1200</v>
      </c>
      <c r="H5" s="22">
        <f>IFERROR(Pagos[[#This Row],[Precio de venta]]-VLOOKUP(Pagos[[#This Row],[Codigo del producto]],Stock[],13,FALSE),"-")</f>
        <v>363.13649999999996</v>
      </c>
      <c r="I5" s="22">
        <f t="shared" ref="I5:I67" si="0">IFERROR(
  IF(H5&lt;=0,"-",
    IF(H5&lt;=300, H5*0.45,
      IF(H5&lt;=600, H5*0.4,
        IF(H5&lt;=900, H5*0.38,
          IF(H5&lt;=1000, H5*0.35,
            IF(H5&lt;=1400, H5*0.32,
              IF(H5&lt;=1800, H5*0.3,
                IF(H5&gt;=2000, H5*0.28,
                  "-"
                )
              )
            )
          )
        )
      )
    )
  ),
  "-"
)</f>
        <v>145.25459999999998</v>
      </c>
      <c r="J5" s="22">
        <f>IFERROR(Pagos[[#This Row],[Cantidad vendida]]*Pagos[[#This Row],[Ganancia unitaria (Vendedor)]],"-")</f>
        <v>145.25459999999998</v>
      </c>
      <c r="K5" s="1">
        <f>IFERROR(Pagos[[#This Row],[Ganancia unitaria]]-Pagos[[#This Row],[Ganancia unitaria (Vendedor)]],"-")</f>
        <v>217.88189999999997</v>
      </c>
      <c r="L5" s="1">
        <f>IFERROR(Pagos[[#This Row],[Cantidad vendida]]*(Pagos[[#This Row],[Ganancia individual (Tienda)]]),"-")</f>
        <v>217.88189999999997</v>
      </c>
      <c r="M5" s="1">
        <f>(VLOOKUP(Pagos[[#This Row],[Codigo del producto]],Stock[],13,FALSE))*Pagos[[#This Row],[Cantidad vendida]]</f>
        <v>836.86350000000004</v>
      </c>
      <c r="N5" s="1" t="s">
        <v>312</v>
      </c>
      <c r="O5" s="1"/>
    </row>
    <row r="6" spans="1:15" ht="15" customHeight="1" x14ac:dyDescent="0.3">
      <c r="A6" s="7" t="s">
        <v>311</v>
      </c>
      <c r="B6" s="71">
        <v>46023</v>
      </c>
      <c r="C6" s="7" t="s">
        <v>28</v>
      </c>
      <c r="D6" s="9" t="str">
        <f>IFERROR(VLOOKUP(Pagos[[#This Row],[Codigo del producto]],Entradas[],3,FALSE),"No existe")</f>
        <v>Headset Bluetooth para moto</v>
      </c>
      <c r="E6" s="7">
        <v>1</v>
      </c>
      <c r="F6" s="10">
        <v>500</v>
      </c>
      <c r="G6" s="11">
        <f>IFERROR(Pagos[[#This Row],[Cantidad vendida]]*Pagos[[#This Row],[Precio de venta]],"-")</f>
        <v>500</v>
      </c>
      <c r="H6" s="11">
        <f>IFERROR(Pagos[[#This Row],[Precio de venta]]-VLOOKUP(Pagos[[#This Row],[Codigo del producto]],Stock[],13,FALSE),"-")</f>
        <v>319.80349999999999</v>
      </c>
      <c r="I6" s="40">
        <f t="shared" si="0"/>
        <v>127.92140000000001</v>
      </c>
      <c r="J6" s="11">
        <f>IFERROR(Pagos[[#This Row],[Cantidad vendida]]*Pagos[[#This Row],[Ganancia unitaria (Vendedor)]],"-")</f>
        <v>127.92140000000001</v>
      </c>
      <c r="K6" s="1">
        <f>IFERROR(Pagos[[#This Row],[Ganancia unitaria]]-Pagos[[#This Row],[Ganancia unitaria (Vendedor)]],"-")</f>
        <v>191.88209999999998</v>
      </c>
      <c r="L6" s="1">
        <f>IFERROR(Pagos[[#This Row],[Cantidad vendida]]*(Pagos[[#This Row],[Ganancia individual (Tienda)]]),"-")</f>
        <v>191.88209999999998</v>
      </c>
      <c r="M6" s="1">
        <f>(VLOOKUP(Pagos[[#This Row],[Codigo del producto]],Stock[],13,FALSE))*Pagos[[#This Row],[Cantidad vendida]]</f>
        <v>180.19650000000001</v>
      </c>
      <c r="N6" s="1" t="s">
        <v>312</v>
      </c>
      <c r="O6" s="1"/>
    </row>
    <row r="7" spans="1:15" ht="15" customHeight="1" x14ac:dyDescent="0.3">
      <c r="A7" s="7" t="s">
        <v>311</v>
      </c>
      <c r="B7" s="71">
        <v>46023</v>
      </c>
      <c r="C7" s="7" t="s">
        <v>23</v>
      </c>
      <c r="D7" s="20" t="str">
        <f>IFERROR(VLOOKUP(Pagos[[#This Row],[Codigo del producto]],Entradas[],3,FALSE),"No existe")</f>
        <v>KZ EDX PRO X</v>
      </c>
      <c r="E7" s="7">
        <v>1</v>
      </c>
      <c r="F7" s="10">
        <v>400</v>
      </c>
      <c r="G7" s="22">
        <f>IFERROR(Pagos[[#This Row],[Cantidad vendida]]*Pagos[[#This Row],[Precio de venta]],"-")</f>
        <v>400</v>
      </c>
      <c r="H7" s="22">
        <f>IFERROR(Pagos[[#This Row],[Precio de venta]]-VLOOKUP(Pagos[[#This Row],[Codigo del producto]],Stock[],13,FALSE),"-")</f>
        <v>231.964</v>
      </c>
      <c r="I7" s="22">
        <f t="shared" si="0"/>
        <v>104.38380000000001</v>
      </c>
      <c r="J7" s="22">
        <f>IFERROR(Pagos[[#This Row],[Cantidad vendida]]*Pagos[[#This Row],[Ganancia unitaria (Vendedor)]],"-")</f>
        <v>104.38380000000001</v>
      </c>
      <c r="K7" s="1">
        <f>IFERROR(Pagos[[#This Row],[Ganancia unitaria]]-Pagos[[#This Row],[Ganancia unitaria (Vendedor)]],"-")</f>
        <v>127.58019999999999</v>
      </c>
      <c r="L7" s="1">
        <f>IFERROR(Pagos[[#This Row],[Cantidad vendida]]*(Pagos[[#This Row],[Ganancia individual (Tienda)]]),"-")</f>
        <v>127.58019999999999</v>
      </c>
      <c r="M7" s="1">
        <f>(VLOOKUP(Pagos[[#This Row],[Codigo del producto]],Stock[],13,FALSE))*Pagos[[#This Row],[Cantidad vendida]]</f>
        <v>168.036</v>
      </c>
      <c r="N7" s="1" t="s">
        <v>312</v>
      </c>
      <c r="O7" s="1"/>
    </row>
    <row r="8" spans="1:15" ht="15" customHeight="1" x14ac:dyDescent="0.3">
      <c r="A8" s="7" t="s">
        <v>313</v>
      </c>
      <c r="B8" s="71">
        <v>46024</v>
      </c>
      <c r="C8" s="7" t="s">
        <v>27</v>
      </c>
      <c r="D8" s="20" t="str">
        <f>IFERROR(VLOOKUP(Pagos[[#This Row],[Codigo del producto]],Entradas[],3,FALSE),"No existe")</f>
        <v>KZ Castor PRO Improved Bass</v>
      </c>
      <c r="E8" s="7">
        <v>1</v>
      </c>
      <c r="F8" s="10">
        <v>900</v>
      </c>
      <c r="G8" s="22">
        <f>IFERROR(Pagos[[#This Row],[Cantidad vendida]]*Pagos[[#This Row],[Precio de venta]],"-")</f>
        <v>900</v>
      </c>
      <c r="H8" s="22">
        <f>IFERROR(Pagos[[#This Row],[Precio de venta]]-VLOOKUP(Pagos[[#This Row],[Codigo del producto]],Stock[],13,FALSE),"-")</f>
        <v>542.92349999999999</v>
      </c>
      <c r="I8" s="22">
        <f t="shared" si="0"/>
        <v>217.1694</v>
      </c>
      <c r="J8" s="22">
        <f>IFERROR(Pagos[[#This Row],[Cantidad vendida]]*Pagos[[#This Row],[Ganancia unitaria (Vendedor)]],"-")</f>
        <v>217.1694</v>
      </c>
      <c r="K8" s="1">
        <f>IFERROR(Pagos[[#This Row],[Ganancia unitaria]]-Pagos[[#This Row],[Ganancia unitaria (Vendedor)]],"-")</f>
        <v>325.75409999999999</v>
      </c>
      <c r="L8" s="1">
        <f>IFERROR(Pagos[[#This Row],[Cantidad vendida]]*(Pagos[[#This Row],[Ganancia individual (Tienda)]]),"-")</f>
        <v>325.75409999999999</v>
      </c>
      <c r="M8" s="1">
        <f>(VLOOKUP(Pagos[[#This Row],[Codigo del producto]],Stock[],13,FALSE))*Pagos[[#This Row],[Cantidad vendida]]</f>
        <v>357.07650000000001</v>
      </c>
      <c r="N8" s="1" t="s">
        <v>312</v>
      </c>
      <c r="O8" s="1"/>
    </row>
    <row r="9" spans="1:15" ht="15" customHeight="1" x14ac:dyDescent="0.3">
      <c r="A9" s="7" t="s">
        <v>311</v>
      </c>
      <c r="B9" s="71">
        <v>46024</v>
      </c>
      <c r="C9" s="7" t="s">
        <v>18</v>
      </c>
      <c r="D9" s="20" t="str">
        <f>IFERROR(VLOOKUP(Pagos[[#This Row],[Codigo del producto]],Entradas[],3,FALSE),"No existe")</f>
        <v>Mouse Inalambrico Shark attack X11</v>
      </c>
      <c r="E9" s="7">
        <v>1</v>
      </c>
      <c r="F9" s="10">
        <v>1200</v>
      </c>
      <c r="G9" s="22">
        <f>IFERROR(Pagos[[#This Row],[Cantidad vendida]]*Pagos[[#This Row],[Precio de venta]],"-")</f>
        <v>1200</v>
      </c>
      <c r="H9" s="22">
        <f>IFERROR(Pagos[[#This Row],[Precio de venta]]-VLOOKUP(Pagos[[#This Row],[Codigo del producto]],Stock[],13,FALSE),"-")</f>
        <v>363.13649999999996</v>
      </c>
      <c r="I9" s="22">
        <f t="shared" si="0"/>
        <v>145.25459999999998</v>
      </c>
      <c r="J9" s="22">
        <f>IFERROR(Pagos[[#This Row],[Cantidad vendida]]*Pagos[[#This Row],[Ganancia unitaria (Vendedor)]],"-")</f>
        <v>145.25459999999998</v>
      </c>
      <c r="K9" s="1">
        <f>IFERROR(Pagos[[#This Row],[Ganancia unitaria]]-Pagos[[#This Row],[Ganancia unitaria (Vendedor)]],"-")</f>
        <v>217.88189999999997</v>
      </c>
      <c r="L9" s="1">
        <f>IFERROR(Pagos[[#This Row],[Cantidad vendida]]*(Pagos[[#This Row],[Ganancia individual (Tienda)]]),"-")</f>
        <v>217.88189999999997</v>
      </c>
      <c r="M9" s="1">
        <f>(VLOOKUP(Pagos[[#This Row],[Codigo del producto]],Stock[],13,FALSE))*Pagos[[#This Row],[Cantidad vendida]]</f>
        <v>836.86350000000004</v>
      </c>
      <c r="N9" s="1" t="s">
        <v>312</v>
      </c>
      <c r="O9" s="1"/>
    </row>
    <row r="10" spans="1:15" ht="17.25" x14ac:dyDescent="0.3">
      <c r="A10" s="7" t="s">
        <v>313</v>
      </c>
      <c r="B10" s="71">
        <v>46024</v>
      </c>
      <c r="C10" s="7" t="s">
        <v>28</v>
      </c>
      <c r="D10" s="20" t="str">
        <f>IFERROR(VLOOKUP(Pagos[[#This Row],[Codigo del producto]],Entradas[],3,FALSE),"No existe")</f>
        <v>Headset Bluetooth para moto</v>
      </c>
      <c r="E10" s="7">
        <v>1</v>
      </c>
      <c r="F10" s="10">
        <v>500</v>
      </c>
      <c r="G10" s="22">
        <f>IFERROR(Pagos[[#This Row],[Cantidad vendida]]*Pagos[[#This Row],[Precio de venta]],"-")</f>
        <v>500</v>
      </c>
      <c r="H10" s="22">
        <f>IFERROR(Pagos[[#This Row],[Precio de venta]]-VLOOKUP(Pagos[[#This Row],[Codigo del producto]],Stock[],13,FALSE),"-")</f>
        <v>319.80349999999999</v>
      </c>
      <c r="I10" s="22">
        <f t="shared" si="0"/>
        <v>127.92140000000001</v>
      </c>
      <c r="J10" s="22">
        <f>IFERROR(Pagos[[#This Row],[Cantidad vendida]]*Pagos[[#This Row],[Ganancia unitaria (Vendedor)]],"-")</f>
        <v>127.92140000000001</v>
      </c>
      <c r="K10" s="1">
        <f>IFERROR(Pagos[[#This Row],[Ganancia unitaria]]-Pagos[[#This Row],[Ganancia unitaria (Vendedor)]],"-")</f>
        <v>191.88209999999998</v>
      </c>
      <c r="L10" s="1">
        <f>IFERROR(Pagos[[#This Row],[Cantidad vendida]]*(Pagos[[#This Row],[Ganancia individual (Tienda)]]),"-")</f>
        <v>191.88209999999998</v>
      </c>
      <c r="M10" s="1">
        <f>(VLOOKUP(Pagos[[#This Row],[Codigo del producto]],Stock[],13,FALSE))*Pagos[[#This Row],[Cantidad vendida]]</f>
        <v>180.19650000000001</v>
      </c>
      <c r="N10" s="1" t="s">
        <v>312</v>
      </c>
      <c r="O10" s="1"/>
    </row>
    <row r="11" spans="1:15" ht="17.25" x14ac:dyDescent="0.3">
      <c r="A11" s="7" t="s">
        <v>311</v>
      </c>
      <c r="B11" s="71">
        <v>46024</v>
      </c>
      <c r="C11" s="7" t="s">
        <v>28</v>
      </c>
      <c r="D11" s="20" t="str">
        <f>IFERROR(VLOOKUP(Pagos[[#This Row],[Codigo del producto]],Entradas[],3,FALSE),"No existe")</f>
        <v>Headset Bluetooth para moto</v>
      </c>
      <c r="E11" s="7">
        <v>1</v>
      </c>
      <c r="F11" s="10">
        <v>500</v>
      </c>
      <c r="G11" s="22">
        <f>IFERROR(Pagos[[#This Row],[Cantidad vendida]]*Pagos[[#This Row],[Precio de venta]],"-")</f>
        <v>500</v>
      </c>
      <c r="H11" s="22">
        <f>IFERROR(Pagos[[#This Row],[Precio de venta]]-VLOOKUP(Pagos[[#This Row],[Codigo del producto]],Stock[],13,FALSE),"-")</f>
        <v>319.80349999999999</v>
      </c>
      <c r="I11" s="22">
        <f t="shared" si="0"/>
        <v>127.92140000000001</v>
      </c>
      <c r="J11" s="22">
        <f>IFERROR(Pagos[[#This Row],[Cantidad vendida]]*Pagos[[#This Row],[Ganancia unitaria (Vendedor)]],"-")</f>
        <v>127.92140000000001</v>
      </c>
      <c r="K11" s="1">
        <f>IFERROR(Pagos[[#This Row],[Ganancia unitaria]]-Pagos[[#This Row],[Ganancia unitaria (Vendedor)]],"-")</f>
        <v>191.88209999999998</v>
      </c>
      <c r="L11" s="1">
        <f>IFERROR(Pagos[[#This Row],[Cantidad vendida]]*(Pagos[[#This Row],[Ganancia individual (Tienda)]]),"-")</f>
        <v>191.88209999999998</v>
      </c>
      <c r="M11" s="1">
        <f>(VLOOKUP(Pagos[[#This Row],[Codigo del producto]],Stock[],13,FALSE))*Pagos[[#This Row],[Cantidad vendida]]</f>
        <v>180.19650000000001</v>
      </c>
      <c r="N11" s="1" t="s">
        <v>312</v>
      </c>
      <c r="O11" s="1"/>
    </row>
    <row r="12" spans="1:15" ht="17.25" x14ac:dyDescent="0.3">
      <c r="A12" s="7" t="s">
        <v>311</v>
      </c>
      <c r="B12" s="71">
        <v>46024</v>
      </c>
      <c r="C12" s="7" t="s">
        <v>31</v>
      </c>
      <c r="D12" s="20" t="str">
        <f>IFERROR(VLOOKUP(Pagos[[#This Row],[Codigo del producto]],Entradas[],3,FALSE),"No existe")</f>
        <v>KZ Saga Bass</v>
      </c>
      <c r="E12" s="7">
        <v>1</v>
      </c>
      <c r="F12" s="10">
        <v>700</v>
      </c>
      <c r="G12" s="22">
        <f>IFERROR(Pagos[[#This Row],[Cantidad vendida]]*Pagos[[#This Row],[Precio de venta]],"-")</f>
        <v>700</v>
      </c>
      <c r="H12" s="22">
        <f>IFERROR(Pagos[[#This Row],[Precio de venta]]-VLOOKUP(Pagos[[#This Row],[Codigo del producto]],Stock[],13,FALSE),"-")</f>
        <v>224.63499999999999</v>
      </c>
      <c r="I12" s="22">
        <f t="shared" si="0"/>
        <v>101.08575</v>
      </c>
      <c r="J12" s="22">
        <f>IFERROR(Pagos[[#This Row],[Cantidad vendida]]*Pagos[[#This Row],[Ganancia unitaria (Vendedor)]],"-")</f>
        <v>101.08575</v>
      </c>
      <c r="K12" s="1">
        <f>IFERROR(Pagos[[#This Row],[Ganancia unitaria]]-Pagos[[#This Row],[Ganancia unitaria (Vendedor)]],"-")</f>
        <v>123.54924999999999</v>
      </c>
      <c r="L12" s="1">
        <f>IFERROR(Pagos[[#This Row],[Cantidad vendida]]*(Pagos[[#This Row],[Ganancia individual (Tienda)]]),"-")</f>
        <v>123.54924999999999</v>
      </c>
      <c r="M12" s="1">
        <f>(VLOOKUP(Pagos[[#This Row],[Codigo del producto]],Stock[],13,FALSE))*Pagos[[#This Row],[Cantidad vendida]]</f>
        <v>475.36500000000001</v>
      </c>
      <c r="N12" s="1" t="s">
        <v>312</v>
      </c>
      <c r="O12" s="1"/>
    </row>
    <row r="13" spans="1:15" ht="17.25" x14ac:dyDescent="0.3">
      <c r="A13" s="7" t="s">
        <v>311</v>
      </c>
      <c r="B13" s="71">
        <v>46024</v>
      </c>
      <c r="C13" s="7" t="s">
        <v>20</v>
      </c>
      <c r="D13" s="20" t="str">
        <f>IFERROR(VLOOKUP(Pagos[[#This Row],[Codigo del producto]],Entradas[],3,FALSE),"No existe")</f>
        <v>Holder/cargador para moto</v>
      </c>
      <c r="E13" s="7">
        <v>1</v>
      </c>
      <c r="F13" s="10">
        <v>650</v>
      </c>
      <c r="G13" s="22">
        <f>IFERROR(Pagos[[#This Row],[Cantidad vendida]]*Pagos[[#This Row],[Precio de venta]],"-")</f>
        <v>650</v>
      </c>
      <c r="H13" s="22">
        <f>IFERROR(Pagos[[#This Row],[Precio de venta]]-VLOOKUP(Pagos[[#This Row],[Codigo del producto]],Stock[],13,FALSE),"-")</f>
        <v>203.00949999999995</v>
      </c>
      <c r="I13" s="22">
        <f t="shared" si="0"/>
        <v>91.354274999999973</v>
      </c>
      <c r="J13" s="22">
        <f>IFERROR(Pagos[[#This Row],[Cantidad vendida]]*Pagos[[#This Row],[Ganancia unitaria (Vendedor)]],"-")</f>
        <v>91.354274999999973</v>
      </c>
      <c r="K13" s="1">
        <f>IFERROR(Pagos[[#This Row],[Ganancia unitaria]]-Pagos[[#This Row],[Ganancia unitaria (Vendedor)]],"-")</f>
        <v>111.65522499999997</v>
      </c>
      <c r="L13" s="1">
        <f>IFERROR(Pagos[[#This Row],[Cantidad vendida]]*(Pagos[[#This Row],[Ganancia individual (Tienda)]]),"-")</f>
        <v>111.65522499999997</v>
      </c>
      <c r="M13" s="1">
        <f>(VLOOKUP(Pagos[[#This Row],[Codigo del producto]],Stock[],13,FALSE))*Pagos[[#This Row],[Cantidad vendida]]</f>
        <v>446.99050000000005</v>
      </c>
      <c r="N13" s="1" t="s">
        <v>312</v>
      </c>
      <c r="O13" s="1" t="s">
        <v>314</v>
      </c>
    </row>
    <row r="14" spans="1:15" ht="17.25" x14ac:dyDescent="0.3">
      <c r="A14" s="7" t="s">
        <v>313</v>
      </c>
      <c r="B14" s="71">
        <v>46025</v>
      </c>
      <c r="C14" s="7" t="s">
        <v>27</v>
      </c>
      <c r="D14" s="20" t="str">
        <f>IFERROR(VLOOKUP(Pagos[[#This Row],[Codigo del producto]],Entradas[],3,FALSE),"No existe")</f>
        <v>KZ Castor PRO Improved Bass</v>
      </c>
      <c r="E14" s="7">
        <v>1</v>
      </c>
      <c r="F14" s="10">
        <v>900</v>
      </c>
      <c r="G14" s="22">
        <f>IFERROR(Pagos[[#This Row],[Cantidad vendida]]*Pagos[[#This Row],[Precio de venta]],"-")</f>
        <v>900</v>
      </c>
      <c r="H14" s="22">
        <f>IFERROR(Pagos[[#This Row],[Precio de venta]]-VLOOKUP(Pagos[[#This Row],[Codigo del producto]],Stock[],13,FALSE),"-")</f>
        <v>542.92349999999999</v>
      </c>
      <c r="I14" s="22">
        <f t="shared" si="0"/>
        <v>217.1694</v>
      </c>
      <c r="J14" s="22">
        <f>IFERROR(Pagos[[#This Row],[Cantidad vendida]]*Pagos[[#This Row],[Ganancia unitaria (Vendedor)]],"-")</f>
        <v>217.1694</v>
      </c>
      <c r="K14" s="1">
        <f>IFERROR(Pagos[[#This Row],[Ganancia unitaria]]-Pagos[[#This Row],[Ganancia unitaria (Vendedor)]],"-")</f>
        <v>325.75409999999999</v>
      </c>
      <c r="L14" s="1">
        <f>IFERROR(Pagos[[#This Row],[Cantidad vendida]]*(Pagos[[#This Row],[Ganancia individual (Tienda)]]),"-")</f>
        <v>325.75409999999999</v>
      </c>
      <c r="M14" s="1">
        <f>(VLOOKUP(Pagos[[#This Row],[Codigo del producto]],Stock[],13,FALSE))*Pagos[[#This Row],[Cantidad vendida]]</f>
        <v>357.07650000000001</v>
      </c>
      <c r="N14" s="1" t="s">
        <v>312</v>
      </c>
      <c r="O14" s="1"/>
    </row>
    <row r="15" spans="1:15" ht="17.25" x14ac:dyDescent="0.3">
      <c r="A15" s="7" t="s">
        <v>311</v>
      </c>
      <c r="B15" s="71">
        <v>46025</v>
      </c>
      <c r="C15" s="7" t="s">
        <v>30</v>
      </c>
      <c r="D15" s="20" t="str">
        <f>IFERROR(VLOOKUP(Pagos[[#This Row],[Codigo del producto]],Entradas[],3,FALSE),"No existe")</f>
        <v>KZ AZ09 Bluetooth Adapter</v>
      </c>
      <c r="E15" s="7">
        <v>1</v>
      </c>
      <c r="F15" s="10">
        <v>900</v>
      </c>
      <c r="G15" s="22">
        <f>IFERROR(Pagos[[#This Row],[Cantidad vendida]]*Pagos[[#This Row],[Precio de venta]],"-")</f>
        <v>900</v>
      </c>
      <c r="H15" s="22">
        <f>IFERROR(Pagos[[#This Row],[Precio de venta]]-VLOOKUP(Pagos[[#This Row],[Codigo del producto]],Stock[],13,FALSE),"-")</f>
        <v>451.904</v>
      </c>
      <c r="I15" s="22">
        <f t="shared" si="0"/>
        <v>180.76160000000002</v>
      </c>
      <c r="J15" s="22">
        <f>IFERROR(Pagos[[#This Row],[Cantidad vendida]]*Pagos[[#This Row],[Ganancia unitaria (Vendedor)]],"-")</f>
        <v>180.76160000000002</v>
      </c>
      <c r="K15" s="1">
        <f>IFERROR(Pagos[[#This Row],[Ganancia unitaria]]-Pagos[[#This Row],[Ganancia unitaria (Vendedor)]],"-")</f>
        <v>271.14239999999995</v>
      </c>
      <c r="L15" s="1">
        <f>IFERROR(Pagos[[#This Row],[Cantidad vendida]]*(Pagos[[#This Row],[Ganancia individual (Tienda)]]),"-")</f>
        <v>271.14239999999995</v>
      </c>
      <c r="M15" s="1">
        <f>(VLOOKUP(Pagos[[#This Row],[Codigo del producto]],Stock[],13,FALSE))*Pagos[[#This Row],[Cantidad vendida]]</f>
        <v>448.096</v>
      </c>
      <c r="N15" s="1" t="s">
        <v>312</v>
      </c>
      <c r="O15" s="1"/>
    </row>
    <row r="16" spans="1:15" ht="17.25" x14ac:dyDescent="0.3">
      <c r="A16" s="7" t="s">
        <v>313</v>
      </c>
      <c r="B16" s="71">
        <v>46025</v>
      </c>
      <c r="C16" s="7" t="s">
        <v>18</v>
      </c>
      <c r="D16" s="20" t="str">
        <f>IFERROR(VLOOKUP(Pagos[[#This Row],[Codigo del producto]],Entradas[],3,FALSE),"No existe")</f>
        <v>Mouse Inalambrico Shark attack X11</v>
      </c>
      <c r="E16" s="7">
        <v>1</v>
      </c>
      <c r="F16" s="10">
        <v>1200</v>
      </c>
      <c r="G16" s="22">
        <f>IFERROR(Pagos[[#This Row],[Cantidad vendida]]*Pagos[[#This Row],[Precio de venta]],"-")</f>
        <v>1200</v>
      </c>
      <c r="H16" s="22">
        <f>IFERROR(Pagos[[#This Row],[Precio de venta]]-VLOOKUP(Pagos[[#This Row],[Codigo del producto]],Stock[],13,FALSE),"-")</f>
        <v>363.13649999999996</v>
      </c>
      <c r="I16" s="22">
        <f t="shared" si="0"/>
        <v>145.25459999999998</v>
      </c>
      <c r="J16" s="22">
        <f>IFERROR(Pagos[[#This Row],[Cantidad vendida]]*Pagos[[#This Row],[Ganancia unitaria (Vendedor)]],"-")</f>
        <v>145.25459999999998</v>
      </c>
      <c r="K16" s="1">
        <f>IFERROR(Pagos[[#This Row],[Ganancia unitaria]]-Pagos[[#This Row],[Ganancia unitaria (Vendedor)]],"-")</f>
        <v>217.88189999999997</v>
      </c>
      <c r="L16" s="1">
        <f>IFERROR(Pagos[[#This Row],[Cantidad vendida]]*(Pagos[[#This Row],[Ganancia individual (Tienda)]]),"-")</f>
        <v>217.88189999999997</v>
      </c>
      <c r="M16" s="1">
        <f>(VLOOKUP(Pagos[[#This Row],[Codigo del producto]],Stock[],13,FALSE))*Pagos[[#This Row],[Cantidad vendida]]</f>
        <v>836.86350000000004</v>
      </c>
      <c r="N16" s="1" t="s">
        <v>312</v>
      </c>
      <c r="O16" s="1"/>
    </row>
    <row r="17" spans="1:15" ht="17.25" x14ac:dyDescent="0.3">
      <c r="A17" s="7" t="s">
        <v>313</v>
      </c>
      <c r="B17" s="71">
        <v>46025</v>
      </c>
      <c r="C17" s="7" t="s">
        <v>18</v>
      </c>
      <c r="D17" s="20" t="str">
        <f>IFERROR(VLOOKUP(Pagos[[#This Row],[Codigo del producto]],Entradas[],3,FALSE),"No existe")</f>
        <v>Mouse Inalambrico Shark attack X11</v>
      </c>
      <c r="E17" s="7">
        <v>1</v>
      </c>
      <c r="F17" s="10">
        <v>1200</v>
      </c>
      <c r="G17" s="22">
        <f>IFERROR(Pagos[[#This Row],[Cantidad vendida]]*Pagos[[#This Row],[Precio de venta]],"-")</f>
        <v>1200</v>
      </c>
      <c r="H17" s="22">
        <f>IFERROR(Pagos[[#This Row],[Precio de venta]]-VLOOKUP(Pagos[[#This Row],[Codigo del producto]],Stock[],13,FALSE),"-")</f>
        <v>363.13649999999996</v>
      </c>
      <c r="I17" s="22">
        <f t="shared" si="0"/>
        <v>145.25459999999998</v>
      </c>
      <c r="J17" s="22">
        <f>IFERROR(Pagos[[#This Row],[Cantidad vendida]]*Pagos[[#This Row],[Ganancia unitaria (Vendedor)]],"-")</f>
        <v>145.25459999999998</v>
      </c>
      <c r="K17" s="1">
        <f>IFERROR(Pagos[[#This Row],[Ganancia unitaria]]-Pagos[[#This Row],[Ganancia unitaria (Vendedor)]],"-")</f>
        <v>217.88189999999997</v>
      </c>
      <c r="L17" s="1">
        <f>IFERROR(Pagos[[#This Row],[Cantidad vendida]]*(Pagos[[#This Row],[Ganancia individual (Tienda)]]),"-")</f>
        <v>217.88189999999997</v>
      </c>
      <c r="M17" s="1">
        <f>(VLOOKUP(Pagos[[#This Row],[Codigo del producto]],Stock[],13,FALSE))*Pagos[[#This Row],[Cantidad vendida]]</f>
        <v>836.86350000000004</v>
      </c>
      <c r="N17" s="1" t="s">
        <v>312</v>
      </c>
      <c r="O17" s="1"/>
    </row>
    <row r="18" spans="1:15" ht="17.25" x14ac:dyDescent="0.3">
      <c r="A18" s="7" t="s">
        <v>311</v>
      </c>
      <c r="B18" s="71">
        <v>46025</v>
      </c>
      <c r="C18" s="7" t="s">
        <v>18</v>
      </c>
      <c r="D18" s="20" t="str">
        <f>IFERROR(VLOOKUP(Pagos[[#This Row],[Codigo del producto]],Entradas[],3,FALSE),"No existe")</f>
        <v>Mouse Inalambrico Shark attack X11</v>
      </c>
      <c r="E18" s="7">
        <v>1</v>
      </c>
      <c r="F18" s="10">
        <v>1200</v>
      </c>
      <c r="G18" s="22">
        <f>IFERROR(Pagos[[#This Row],[Cantidad vendida]]*Pagos[[#This Row],[Precio de venta]],"-")</f>
        <v>1200</v>
      </c>
      <c r="H18" s="22">
        <f>IFERROR(Pagos[[#This Row],[Precio de venta]]-VLOOKUP(Pagos[[#This Row],[Codigo del producto]],Stock[],13,FALSE),"-")</f>
        <v>363.13649999999996</v>
      </c>
      <c r="I18" s="22">
        <f t="shared" si="0"/>
        <v>145.25459999999998</v>
      </c>
      <c r="J18" s="22">
        <f>IFERROR(Pagos[[#This Row],[Cantidad vendida]]*Pagos[[#This Row],[Ganancia unitaria (Vendedor)]],"-")</f>
        <v>145.25459999999998</v>
      </c>
      <c r="K18" s="1">
        <f>IFERROR(Pagos[[#This Row],[Ganancia unitaria]]-Pagos[[#This Row],[Ganancia unitaria (Vendedor)]],"-")</f>
        <v>217.88189999999997</v>
      </c>
      <c r="L18" s="1">
        <f>IFERROR(Pagos[[#This Row],[Cantidad vendida]]*(Pagos[[#This Row],[Ganancia individual (Tienda)]]),"-")</f>
        <v>217.88189999999997</v>
      </c>
      <c r="M18" s="1">
        <f>(VLOOKUP(Pagos[[#This Row],[Codigo del producto]],Stock[],13,FALSE))*Pagos[[#This Row],[Cantidad vendida]]</f>
        <v>836.86350000000004</v>
      </c>
      <c r="N18" s="1" t="s">
        <v>312</v>
      </c>
      <c r="O18" s="1"/>
    </row>
    <row r="19" spans="1:15" ht="17.25" x14ac:dyDescent="0.3">
      <c r="A19" s="7" t="s">
        <v>313</v>
      </c>
      <c r="B19" s="71">
        <v>46025</v>
      </c>
      <c r="C19" s="7" t="s">
        <v>28</v>
      </c>
      <c r="D19" s="20" t="str">
        <f>IFERROR(VLOOKUP(Pagos[[#This Row],[Codigo del producto]],Entradas[],3,FALSE),"No existe")</f>
        <v>Headset Bluetooth para moto</v>
      </c>
      <c r="E19" s="7">
        <v>2</v>
      </c>
      <c r="F19" s="10">
        <v>500</v>
      </c>
      <c r="G19" s="22">
        <f>IFERROR(Pagos[[#This Row],[Cantidad vendida]]*Pagos[[#This Row],[Precio de venta]],"-")</f>
        <v>1000</v>
      </c>
      <c r="H19" s="22">
        <f>IFERROR(Pagos[[#This Row],[Precio de venta]]-VLOOKUP(Pagos[[#This Row],[Codigo del producto]],Stock[],13,FALSE),"-")</f>
        <v>319.80349999999999</v>
      </c>
      <c r="I19" s="22">
        <f t="shared" si="0"/>
        <v>127.92140000000001</v>
      </c>
      <c r="J19" s="22">
        <f>IFERROR(Pagos[[#This Row],[Cantidad vendida]]*Pagos[[#This Row],[Ganancia unitaria (Vendedor)]],"-")</f>
        <v>255.84280000000001</v>
      </c>
      <c r="K19" s="1">
        <f>IFERROR(Pagos[[#This Row],[Ganancia unitaria]]-Pagos[[#This Row],[Ganancia unitaria (Vendedor)]],"-")</f>
        <v>191.88209999999998</v>
      </c>
      <c r="L19" s="1">
        <f>IFERROR(Pagos[[#This Row],[Cantidad vendida]]*(Pagos[[#This Row],[Ganancia individual (Tienda)]]),"-")</f>
        <v>383.76419999999996</v>
      </c>
      <c r="M19" s="1">
        <f>(VLOOKUP(Pagos[[#This Row],[Codigo del producto]],Stock[],13,FALSE))*Pagos[[#This Row],[Cantidad vendida]]</f>
        <v>360.39300000000003</v>
      </c>
      <c r="N19" s="1" t="s">
        <v>312</v>
      </c>
      <c r="O19" s="1"/>
    </row>
    <row r="20" spans="1:15" ht="17.25" x14ac:dyDescent="0.3">
      <c r="A20" s="7" t="s">
        <v>313</v>
      </c>
      <c r="B20" s="71">
        <v>46025</v>
      </c>
      <c r="C20" s="7" t="s">
        <v>28</v>
      </c>
      <c r="D20" s="20" t="str">
        <f>IFERROR(VLOOKUP(Pagos[[#This Row],[Codigo del producto]],Entradas[],3,FALSE),"No existe")</f>
        <v>Headset Bluetooth para moto</v>
      </c>
      <c r="E20" s="7">
        <v>2</v>
      </c>
      <c r="F20" s="10">
        <v>475</v>
      </c>
      <c r="G20" s="22">
        <f>IFERROR(Pagos[[#This Row],[Cantidad vendida]]*Pagos[[#This Row],[Precio de venta]],"-")</f>
        <v>950</v>
      </c>
      <c r="H20" s="22">
        <f>IFERROR(Pagos[[#This Row],[Precio de venta]]-VLOOKUP(Pagos[[#This Row],[Codigo del producto]],Stock[],13,FALSE),"-")</f>
        <v>294.80349999999999</v>
      </c>
      <c r="I20" s="22">
        <f t="shared" si="0"/>
        <v>132.661575</v>
      </c>
      <c r="J20" s="22">
        <f>IFERROR(Pagos[[#This Row],[Cantidad vendida]]*Pagos[[#This Row],[Ganancia unitaria (Vendedor)]],"-")</f>
        <v>265.32315</v>
      </c>
      <c r="K20" s="1">
        <f>IFERROR(Pagos[[#This Row],[Ganancia unitaria]]-Pagos[[#This Row],[Ganancia unitaria (Vendedor)]],"-")</f>
        <v>162.14192499999999</v>
      </c>
      <c r="L20" s="1">
        <f>IFERROR(Pagos[[#This Row],[Cantidad vendida]]*(Pagos[[#This Row],[Ganancia individual (Tienda)]]),"-")</f>
        <v>324.28384999999997</v>
      </c>
      <c r="M20" s="1">
        <f>(VLOOKUP(Pagos[[#This Row],[Codigo del producto]],Stock[],13,FALSE))*Pagos[[#This Row],[Cantidad vendida]]</f>
        <v>360.39300000000003</v>
      </c>
      <c r="N20" s="1" t="s">
        <v>312</v>
      </c>
      <c r="O20" s="1"/>
    </row>
    <row r="21" spans="1:15" ht="17.25" x14ac:dyDescent="0.3">
      <c r="A21" s="7" t="s">
        <v>315</v>
      </c>
      <c r="B21" s="71">
        <v>46026</v>
      </c>
      <c r="C21" s="7" t="s">
        <v>28</v>
      </c>
      <c r="D21" s="20" t="str">
        <f>IFERROR(VLOOKUP(Pagos[[#This Row],[Codigo del producto]],Entradas[],3,FALSE),"No existe")</f>
        <v>Headset Bluetooth para moto</v>
      </c>
      <c r="E21" s="7">
        <v>2</v>
      </c>
      <c r="F21" s="10">
        <v>500</v>
      </c>
      <c r="G21" s="22">
        <f>IFERROR(Pagos[[#This Row],[Cantidad vendida]]*Pagos[[#This Row],[Precio de venta]],"-")</f>
        <v>1000</v>
      </c>
      <c r="H21" s="22">
        <f>IFERROR(Pagos[[#This Row],[Precio de venta]]-VLOOKUP(Pagos[[#This Row],[Codigo del producto]],Stock[],13,FALSE),"-")</f>
        <v>319.80349999999999</v>
      </c>
      <c r="I21" s="22">
        <f t="shared" si="0"/>
        <v>127.92140000000001</v>
      </c>
      <c r="J21" s="22">
        <f>IFERROR(Pagos[[#This Row],[Cantidad vendida]]*Pagos[[#This Row],[Ganancia unitaria (Vendedor)]],"-")</f>
        <v>255.84280000000001</v>
      </c>
      <c r="K21" s="1">
        <f>IFERROR(Pagos[[#This Row],[Ganancia unitaria]]-Pagos[[#This Row],[Ganancia unitaria (Vendedor)]],"-")</f>
        <v>191.88209999999998</v>
      </c>
      <c r="L21" s="1">
        <f>IFERROR(Pagos[[#This Row],[Cantidad vendida]]*(Pagos[[#This Row],[Ganancia individual (Tienda)]]),"-")</f>
        <v>383.76419999999996</v>
      </c>
      <c r="M21" s="1">
        <f>(VLOOKUP(Pagos[[#This Row],[Codigo del producto]],Stock[],13,FALSE))*Pagos[[#This Row],[Cantidad vendida]]</f>
        <v>360.39300000000003</v>
      </c>
      <c r="N21" s="1" t="s">
        <v>312</v>
      </c>
      <c r="O21" s="1"/>
    </row>
    <row r="22" spans="1:15" ht="17.25" x14ac:dyDescent="0.3">
      <c r="A22" s="7" t="s">
        <v>311</v>
      </c>
      <c r="B22" s="71">
        <v>46027</v>
      </c>
      <c r="C22" s="7" t="s">
        <v>23</v>
      </c>
      <c r="D22" s="20" t="str">
        <f>IFERROR(VLOOKUP(Pagos[[#This Row],[Codigo del producto]],Entradas[],3,FALSE),"No existe")</f>
        <v>KZ EDX PRO X</v>
      </c>
      <c r="E22" s="7">
        <v>3</v>
      </c>
      <c r="F22" s="10">
        <v>420</v>
      </c>
      <c r="G22" s="22">
        <f>IFERROR(Pagos[[#This Row],[Cantidad vendida]]*Pagos[[#This Row],[Precio de venta]],"-")</f>
        <v>1260</v>
      </c>
      <c r="H22" s="22">
        <f>IFERROR(Pagos[[#This Row],[Precio de venta]]-VLOOKUP(Pagos[[#This Row],[Codigo del producto]],Stock[],13,FALSE),"-")</f>
        <v>251.964</v>
      </c>
      <c r="I22" s="22">
        <f t="shared" si="0"/>
        <v>113.38380000000001</v>
      </c>
      <c r="J22" s="22">
        <f>IFERROR(Pagos[[#This Row],[Cantidad vendida]]*Pagos[[#This Row],[Ganancia unitaria (Vendedor)]],"-")</f>
        <v>340.15140000000002</v>
      </c>
      <c r="K22" s="1">
        <f>IFERROR(Pagos[[#This Row],[Ganancia unitaria]]-Pagos[[#This Row],[Ganancia unitaria (Vendedor)]],"-")</f>
        <v>138.58019999999999</v>
      </c>
      <c r="L22" s="1">
        <f>IFERROR(Pagos[[#This Row],[Cantidad vendida]]*(Pagos[[#This Row],[Ganancia individual (Tienda)]]),"-")</f>
        <v>415.74059999999997</v>
      </c>
      <c r="M22" s="1">
        <f>(VLOOKUP(Pagos[[#This Row],[Codigo del producto]],Stock[],13,FALSE))*Pagos[[#This Row],[Cantidad vendida]]</f>
        <v>504.108</v>
      </c>
      <c r="N22" s="1" t="s">
        <v>312</v>
      </c>
      <c r="O22" s="1"/>
    </row>
    <row r="23" spans="1:15" ht="17.25" x14ac:dyDescent="0.3">
      <c r="A23" s="7" t="s">
        <v>311</v>
      </c>
      <c r="B23" s="71">
        <v>46027</v>
      </c>
      <c r="C23" s="7" t="s">
        <v>26</v>
      </c>
      <c r="D23" s="20" t="str">
        <f>IFERROR(VLOOKUP(Pagos[[#This Row],[Codigo del producto]],Entradas[],3,FALSE),"No existe")</f>
        <v>KZ ZSN PRO X</v>
      </c>
      <c r="E23" s="7">
        <v>1</v>
      </c>
      <c r="F23" s="10">
        <v>700</v>
      </c>
      <c r="G23" s="22">
        <f>IFERROR(Pagos[[#This Row],[Cantidad vendida]]*Pagos[[#This Row],[Precio de venta]],"-")</f>
        <v>700</v>
      </c>
      <c r="H23" s="22">
        <f>IFERROR(Pagos[[#This Row],[Precio de venta]]-VLOOKUP(Pagos[[#This Row],[Codigo del producto]],Stock[],13,FALSE),"-")</f>
        <v>208.78949999999998</v>
      </c>
      <c r="I23" s="22">
        <f t="shared" si="0"/>
        <v>93.955274999999986</v>
      </c>
      <c r="J23" s="22">
        <f>IFERROR(Pagos[[#This Row],[Cantidad vendida]]*Pagos[[#This Row],[Ganancia unitaria (Vendedor)]],"-")</f>
        <v>93.955274999999986</v>
      </c>
      <c r="K23" s="1">
        <f>IFERROR(Pagos[[#This Row],[Ganancia unitaria]]-Pagos[[#This Row],[Ganancia unitaria (Vendedor)]],"-")</f>
        <v>114.83422499999999</v>
      </c>
      <c r="L23" s="1">
        <f>IFERROR(Pagos[[#This Row],[Cantidad vendida]]*(Pagos[[#This Row],[Ganancia individual (Tienda)]]),"-")</f>
        <v>114.83422499999999</v>
      </c>
      <c r="M23" s="1">
        <f>(VLOOKUP(Pagos[[#This Row],[Codigo del producto]],Stock[],13,FALSE))*Pagos[[#This Row],[Cantidad vendida]]</f>
        <v>491.21050000000002</v>
      </c>
      <c r="N23" s="1" t="s">
        <v>312</v>
      </c>
      <c r="O23" s="1"/>
    </row>
    <row r="24" spans="1:15" ht="17.25" x14ac:dyDescent="0.3">
      <c r="A24" s="7" t="s">
        <v>311</v>
      </c>
      <c r="B24" s="71">
        <v>46028</v>
      </c>
      <c r="C24" s="7" t="s">
        <v>27</v>
      </c>
      <c r="D24" s="20" t="str">
        <f>IFERROR(VLOOKUP(Pagos[[#This Row],[Codigo del producto]],Entradas[],3,FALSE),"No existe")</f>
        <v>KZ Castor PRO Improved Bass</v>
      </c>
      <c r="E24" s="7">
        <v>1</v>
      </c>
      <c r="F24" s="10">
        <v>900</v>
      </c>
      <c r="G24" s="22">
        <f>IFERROR(Pagos[[#This Row],[Cantidad vendida]]*Pagos[[#This Row],[Precio de venta]],"-")</f>
        <v>900</v>
      </c>
      <c r="H24" s="22">
        <f>IFERROR(Pagos[[#This Row],[Precio de venta]]-VLOOKUP(Pagos[[#This Row],[Codigo del producto]],Stock[],13,FALSE),"-")</f>
        <v>542.92349999999999</v>
      </c>
      <c r="I24" s="22">
        <f t="shared" si="0"/>
        <v>217.1694</v>
      </c>
      <c r="J24" s="22">
        <f>IFERROR(Pagos[[#This Row],[Cantidad vendida]]*Pagos[[#This Row],[Ganancia unitaria (Vendedor)]],"-")</f>
        <v>217.1694</v>
      </c>
      <c r="K24" s="1">
        <f>IFERROR(Pagos[[#This Row],[Ganancia unitaria]]-Pagos[[#This Row],[Ganancia unitaria (Vendedor)]],"-")</f>
        <v>325.75409999999999</v>
      </c>
      <c r="L24" s="1">
        <f>IFERROR(Pagos[[#This Row],[Cantidad vendida]]*(Pagos[[#This Row],[Ganancia individual (Tienda)]]),"-")</f>
        <v>325.75409999999999</v>
      </c>
      <c r="M24" s="1">
        <f>(VLOOKUP(Pagos[[#This Row],[Codigo del producto]],Stock[],13,FALSE))*Pagos[[#This Row],[Cantidad vendida]]</f>
        <v>357.07650000000001</v>
      </c>
      <c r="N24" s="1" t="s">
        <v>312</v>
      </c>
      <c r="O24" s="1"/>
    </row>
    <row r="25" spans="1:15" ht="17.25" x14ac:dyDescent="0.3">
      <c r="A25" s="7" t="s">
        <v>311</v>
      </c>
      <c r="B25" s="71">
        <v>46028</v>
      </c>
      <c r="C25" s="7" t="s">
        <v>23</v>
      </c>
      <c r="D25" s="20" t="str">
        <f>IFERROR(VLOOKUP(Pagos[[#This Row],[Codigo del producto]],Entradas[],3,FALSE),"No existe")</f>
        <v>KZ EDX PRO X</v>
      </c>
      <c r="E25" s="7">
        <v>1</v>
      </c>
      <c r="F25" s="10">
        <v>420</v>
      </c>
      <c r="G25" s="22">
        <f>IFERROR(Pagos[[#This Row],[Cantidad vendida]]*Pagos[[#This Row],[Precio de venta]],"-")</f>
        <v>420</v>
      </c>
      <c r="H25" s="22">
        <f>IFERROR(Pagos[[#This Row],[Precio de venta]]-VLOOKUP(Pagos[[#This Row],[Codigo del producto]],Stock[],13,FALSE),"-")</f>
        <v>251.964</v>
      </c>
      <c r="I25" s="22">
        <f t="shared" si="0"/>
        <v>113.38380000000001</v>
      </c>
      <c r="J25" s="22">
        <f>IFERROR(Pagos[[#This Row],[Cantidad vendida]]*Pagos[[#This Row],[Ganancia unitaria (Vendedor)]],"-")</f>
        <v>113.38380000000001</v>
      </c>
      <c r="K25" s="1">
        <f>IFERROR(Pagos[[#This Row],[Ganancia unitaria]]-Pagos[[#This Row],[Ganancia unitaria (Vendedor)]],"-")</f>
        <v>138.58019999999999</v>
      </c>
      <c r="L25" s="1">
        <f>IFERROR(Pagos[[#This Row],[Cantidad vendida]]*(Pagos[[#This Row],[Ganancia individual (Tienda)]]),"-")</f>
        <v>138.58019999999999</v>
      </c>
      <c r="M25" s="1">
        <f>(VLOOKUP(Pagos[[#This Row],[Codigo del producto]],Stock[],13,FALSE))*Pagos[[#This Row],[Cantidad vendida]]</f>
        <v>168.036</v>
      </c>
      <c r="N25" s="1" t="s">
        <v>312</v>
      </c>
      <c r="O25" s="1"/>
    </row>
    <row r="26" spans="1:15" ht="17.25" x14ac:dyDescent="0.3">
      <c r="A26" s="7" t="s">
        <v>316</v>
      </c>
      <c r="B26" s="71">
        <v>46029</v>
      </c>
      <c r="C26" s="7" t="s">
        <v>27</v>
      </c>
      <c r="D26" s="20" t="str">
        <f>IFERROR(VLOOKUP(Pagos[[#This Row],[Codigo del producto]],Entradas[],3,FALSE),"No existe")</f>
        <v>KZ Castor PRO Improved Bass</v>
      </c>
      <c r="E26" s="7">
        <v>1</v>
      </c>
      <c r="F26" s="10">
        <v>900</v>
      </c>
      <c r="G26" s="22">
        <f>IFERROR(Pagos[[#This Row],[Cantidad vendida]]*Pagos[[#This Row],[Precio de venta]],"-")</f>
        <v>900</v>
      </c>
      <c r="H26" s="22">
        <f>IFERROR(Pagos[[#This Row],[Precio de venta]]-VLOOKUP(Pagos[[#This Row],[Codigo del producto]],Stock[],13,FALSE),"-")</f>
        <v>542.92349999999999</v>
      </c>
      <c r="I26" s="22">
        <f t="shared" si="0"/>
        <v>217.1694</v>
      </c>
      <c r="J26" s="22">
        <f>IFERROR(Pagos[[#This Row],[Cantidad vendida]]*Pagos[[#This Row],[Ganancia unitaria (Vendedor)]],"-")</f>
        <v>217.1694</v>
      </c>
      <c r="K26" s="1">
        <f>IFERROR(Pagos[[#This Row],[Ganancia unitaria]]-Pagos[[#This Row],[Ganancia unitaria (Vendedor)]],"-")</f>
        <v>325.75409999999999</v>
      </c>
      <c r="L26" s="1">
        <f>IFERROR(Pagos[[#This Row],[Cantidad vendida]]*(Pagos[[#This Row],[Ganancia individual (Tienda)]]),"-")</f>
        <v>325.75409999999999</v>
      </c>
      <c r="M26" s="1">
        <f>(VLOOKUP(Pagos[[#This Row],[Codigo del producto]],Stock[],13,FALSE))*Pagos[[#This Row],[Cantidad vendida]]</f>
        <v>357.07650000000001</v>
      </c>
      <c r="N26" s="1" t="s">
        <v>312</v>
      </c>
      <c r="O26" s="1" t="s">
        <v>317</v>
      </c>
    </row>
    <row r="27" spans="1:15" ht="17.25" x14ac:dyDescent="0.3">
      <c r="A27" s="7" t="s">
        <v>313</v>
      </c>
      <c r="B27" s="41">
        <v>46029</v>
      </c>
      <c r="C27" s="7" t="s">
        <v>30</v>
      </c>
      <c r="D27" s="20" t="str">
        <f>IFERROR(VLOOKUP(Pagos[[#This Row],[Codigo del producto]],Entradas[],3,FALSE),"No existe")</f>
        <v>KZ AZ09 Bluetooth Adapter</v>
      </c>
      <c r="E27" s="7">
        <v>1</v>
      </c>
      <c r="F27" s="10">
        <v>900</v>
      </c>
      <c r="G27" s="22">
        <f>IFERROR(Pagos[[#This Row],[Cantidad vendida]]*Pagos[[#This Row],[Precio de venta]],"-")</f>
        <v>900</v>
      </c>
      <c r="H27" s="22">
        <f>IFERROR(Pagos[[#This Row],[Precio de venta]]-VLOOKUP(Pagos[[#This Row],[Codigo del producto]],Stock[],13,FALSE),"-")</f>
        <v>451.904</v>
      </c>
      <c r="I27" s="22">
        <f t="shared" si="0"/>
        <v>180.76160000000002</v>
      </c>
      <c r="J27" s="22">
        <f>IFERROR(Pagos[[#This Row],[Cantidad vendida]]*Pagos[[#This Row],[Ganancia unitaria (Vendedor)]],"-")</f>
        <v>180.76160000000002</v>
      </c>
      <c r="K27" s="1">
        <f>IFERROR(Pagos[[#This Row],[Ganancia unitaria]]-Pagos[[#This Row],[Ganancia unitaria (Vendedor)]],"-")</f>
        <v>271.14239999999995</v>
      </c>
      <c r="L27" s="1">
        <f>IFERROR(Pagos[[#This Row],[Cantidad vendida]]*(Pagos[[#This Row],[Ganancia individual (Tienda)]]),"-")</f>
        <v>271.14239999999995</v>
      </c>
      <c r="M27" s="1">
        <f>(VLOOKUP(Pagos[[#This Row],[Codigo del producto]],Stock[],13,FALSE))*Pagos[[#This Row],[Cantidad vendida]]</f>
        <v>448.096</v>
      </c>
      <c r="N27" s="1" t="s">
        <v>312</v>
      </c>
      <c r="O27" s="1"/>
    </row>
    <row r="28" spans="1:15" ht="17.25" x14ac:dyDescent="0.3">
      <c r="A28" s="7" t="s">
        <v>311</v>
      </c>
      <c r="B28" s="71">
        <v>46030</v>
      </c>
      <c r="C28" s="7" t="s">
        <v>25</v>
      </c>
      <c r="D28" s="20" t="str">
        <f>IFERROR(VLOOKUP(Pagos[[#This Row],[Codigo del producto]],Entradas[],3,FALSE),"No existe")</f>
        <v>Sharck Attack R1 Negro</v>
      </c>
      <c r="E28" s="7">
        <v>1</v>
      </c>
      <c r="F28" s="10">
        <v>1100</v>
      </c>
      <c r="G28" s="22">
        <f>IFERROR(Pagos[[#This Row],[Cantidad vendida]]*Pagos[[#This Row],[Precio de venta]],"-")</f>
        <v>1100</v>
      </c>
      <c r="H28" s="22">
        <f>IFERROR(Pagos[[#This Row],[Precio de venta]]-VLOOKUP(Pagos[[#This Row],[Codigo del producto]],Stock[],13,FALSE),"-")</f>
        <v>410.16800000000001</v>
      </c>
      <c r="I28" s="22">
        <f t="shared" si="0"/>
        <v>164.06720000000001</v>
      </c>
      <c r="J28" s="22">
        <f>IFERROR(Pagos[[#This Row],[Cantidad vendida]]*Pagos[[#This Row],[Ganancia unitaria (Vendedor)]],"-")</f>
        <v>164.06720000000001</v>
      </c>
      <c r="K28" s="1">
        <f>IFERROR(Pagos[[#This Row],[Ganancia unitaria]]-Pagos[[#This Row],[Ganancia unitaria (Vendedor)]],"-")</f>
        <v>246.10079999999999</v>
      </c>
      <c r="L28" s="1">
        <f>IFERROR(Pagos[[#This Row],[Cantidad vendida]]*(Pagos[[#This Row],[Ganancia individual (Tienda)]]),"-")</f>
        <v>246.10079999999999</v>
      </c>
      <c r="M28" s="1">
        <f>(VLOOKUP(Pagos[[#This Row],[Codigo del producto]],Stock[],13,FALSE))*Pagos[[#This Row],[Cantidad vendida]]</f>
        <v>689.83199999999999</v>
      </c>
      <c r="N28" s="1" t="s">
        <v>312</v>
      </c>
      <c r="O28" s="1"/>
    </row>
    <row r="29" spans="1:15" ht="17.25" x14ac:dyDescent="0.3">
      <c r="A29" s="7" t="s">
        <v>315</v>
      </c>
      <c r="B29" s="71">
        <v>46030</v>
      </c>
      <c r="C29" s="7" t="s">
        <v>32</v>
      </c>
      <c r="D29" s="20" t="str">
        <f>IFERROR(VLOOKUP(Pagos[[#This Row],[Codigo del producto]],Entradas[],3,FALSE),"No existe")</f>
        <v>Cargadores USB para moto</v>
      </c>
      <c r="E29" s="7">
        <v>10</v>
      </c>
      <c r="F29" s="10">
        <v>380</v>
      </c>
      <c r="G29" s="22">
        <f>IFERROR(Pagos[[#This Row],[Cantidad vendida]]*Pagos[[#This Row],[Precio de venta]],"-")</f>
        <v>3800</v>
      </c>
      <c r="H29" s="22">
        <f>IFERROR(Pagos[[#This Row],[Precio de venta]]-VLOOKUP(Pagos[[#This Row],[Codigo del producto]],Stock[],13,FALSE),"-")</f>
        <v>94.043999999999983</v>
      </c>
      <c r="I29" s="22">
        <f t="shared" si="0"/>
        <v>42.319799999999994</v>
      </c>
      <c r="J29" s="22">
        <f>IFERROR(Pagos[[#This Row],[Cantidad vendida]]*Pagos[[#This Row],[Ganancia unitaria (Vendedor)]],"-")</f>
        <v>423.19799999999992</v>
      </c>
      <c r="K29" s="1">
        <f>IFERROR(Pagos[[#This Row],[Ganancia unitaria]]-Pagos[[#This Row],[Ganancia unitaria (Vendedor)]],"-")</f>
        <v>51.724199999999989</v>
      </c>
      <c r="L29" s="1">
        <f>IFERROR(Pagos[[#This Row],[Cantidad vendida]]*(Pagos[[#This Row],[Ganancia individual (Tienda)]]),"-")</f>
        <v>517.24199999999985</v>
      </c>
      <c r="M29" s="1">
        <f>(VLOOKUP(Pagos[[#This Row],[Codigo del producto]],Stock[],13,FALSE))*Pagos[[#This Row],[Cantidad vendida]]</f>
        <v>2859.5600000000004</v>
      </c>
      <c r="N29" s="1" t="s">
        <v>312</v>
      </c>
      <c r="O29" s="1" t="s">
        <v>318</v>
      </c>
    </row>
    <row r="30" spans="1:15" ht="17.25" x14ac:dyDescent="0.3">
      <c r="A30" s="7" t="s">
        <v>311</v>
      </c>
      <c r="B30" s="71">
        <v>46031</v>
      </c>
      <c r="C30" s="7" t="s">
        <v>30</v>
      </c>
      <c r="D30" s="20" t="str">
        <f>IFERROR(VLOOKUP(Pagos[[#This Row],[Codigo del producto]],Entradas[],3,FALSE),"No existe")</f>
        <v>KZ AZ09 Bluetooth Adapter</v>
      </c>
      <c r="E30" s="7">
        <v>1</v>
      </c>
      <c r="F30" s="10">
        <v>900</v>
      </c>
      <c r="G30" s="22">
        <f>IFERROR(Pagos[[#This Row],[Cantidad vendida]]*Pagos[[#This Row],[Precio de venta]],"-")</f>
        <v>900</v>
      </c>
      <c r="H30" s="22">
        <f>IFERROR(Pagos[[#This Row],[Precio de venta]]-VLOOKUP(Pagos[[#This Row],[Codigo del producto]],Stock[],13,FALSE),"-")</f>
        <v>451.904</v>
      </c>
      <c r="I30" s="22">
        <f t="shared" si="0"/>
        <v>180.76160000000002</v>
      </c>
      <c r="J30" s="22">
        <f>IFERROR(Pagos[[#This Row],[Cantidad vendida]]*Pagos[[#This Row],[Ganancia unitaria (Vendedor)]],"-")</f>
        <v>180.76160000000002</v>
      </c>
      <c r="K30" s="1">
        <f>IFERROR(Pagos[[#This Row],[Ganancia unitaria]]-Pagos[[#This Row],[Ganancia unitaria (Vendedor)]],"-")</f>
        <v>271.14239999999995</v>
      </c>
      <c r="L30" s="1">
        <f>IFERROR(Pagos[[#This Row],[Cantidad vendida]]*(Pagos[[#This Row],[Ganancia individual (Tienda)]]),"-")</f>
        <v>271.14239999999995</v>
      </c>
      <c r="M30" s="1">
        <f>(VLOOKUP(Pagos[[#This Row],[Codigo del producto]],Stock[],13,FALSE))*Pagos[[#This Row],[Cantidad vendida]]</f>
        <v>448.096</v>
      </c>
      <c r="N30" s="1" t="s">
        <v>312</v>
      </c>
      <c r="O30" s="1"/>
    </row>
    <row r="31" spans="1:15" ht="17.25" x14ac:dyDescent="0.3">
      <c r="A31" s="7" t="s">
        <v>311</v>
      </c>
      <c r="B31" s="71">
        <v>46031</v>
      </c>
      <c r="C31" s="7" t="s">
        <v>27</v>
      </c>
      <c r="D31" s="20" t="str">
        <f>IFERROR(VLOOKUP(Pagos[[#This Row],[Codigo del producto]],Entradas[],3,FALSE),"No existe")</f>
        <v>KZ Castor PRO Improved Bass</v>
      </c>
      <c r="E31" s="7">
        <v>1</v>
      </c>
      <c r="F31" s="10">
        <v>800</v>
      </c>
      <c r="G31" s="22">
        <f>IFERROR(Pagos[[#This Row],[Cantidad vendida]]*Pagos[[#This Row],[Precio de venta]],"-")</f>
        <v>800</v>
      </c>
      <c r="H31" s="22">
        <f>IFERROR(Pagos[[#This Row],[Precio de venta]]-VLOOKUP(Pagos[[#This Row],[Codigo del producto]],Stock[],13,FALSE),"-")</f>
        <v>442.92349999999999</v>
      </c>
      <c r="I31" s="22">
        <f t="shared" si="0"/>
        <v>177.1694</v>
      </c>
      <c r="J31" s="22">
        <f>IFERROR(Pagos[[#This Row],[Cantidad vendida]]*Pagos[[#This Row],[Ganancia unitaria (Vendedor)]],"-")</f>
        <v>177.1694</v>
      </c>
      <c r="K31" s="1">
        <f>IFERROR(Pagos[[#This Row],[Ganancia unitaria]]-Pagos[[#This Row],[Ganancia unitaria (Vendedor)]],"-")</f>
        <v>265.75409999999999</v>
      </c>
      <c r="L31" s="1">
        <f>IFERROR(Pagos[[#This Row],[Cantidad vendida]]*(Pagos[[#This Row],[Ganancia individual (Tienda)]]),"-")</f>
        <v>265.75409999999999</v>
      </c>
      <c r="M31" s="1">
        <f>(VLOOKUP(Pagos[[#This Row],[Codigo del producto]],Stock[],13,FALSE))*Pagos[[#This Row],[Cantidad vendida]]</f>
        <v>357.07650000000001</v>
      </c>
      <c r="N31" s="1" t="s">
        <v>312</v>
      </c>
      <c r="O31" s="1"/>
    </row>
    <row r="32" spans="1:15" ht="17.25" x14ac:dyDescent="0.3">
      <c r="A32" s="7" t="s">
        <v>311</v>
      </c>
      <c r="B32" s="71">
        <v>46031</v>
      </c>
      <c r="C32" s="7" t="s">
        <v>32</v>
      </c>
      <c r="D32" s="20" t="str">
        <f>IFERROR(VLOOKUP(Pagos[[#This Row],[Codigo del producto]],Entradas[],3,FALSE),"No existe")</f>
        <v>Cargadores USB para moto</v>
      </c>
      <c r="E32" s="7">
        <v>1</v>
      </c>
      <c r="F32" s="10">
        <v>500</v>
      </c>
      <c r="G32" s="22">
        <f>IFERROR(Pagos[[#This Row],[Cantidad vendida]]*Pagos[[#This Row],[Precio de venta]],"-")</f>
        <v>500</v>
      </c>
      <c r="H32" s="22">
        <f>IFERROR(Pagos[[#This Row],[Precio de venta]]-VLOOKUP(Pagos[[#This Row],[Codigo del producto]],Stock[],13,FALSE),"-")</f>
        <v>214.04399999999998</v>
      </c>
      <c r="I32" s="22">
        <f t="shared" si="0"/>
        <v>96.319800000000001</v>
      </c>
      <c r="J32" s="22">
        <f>IFERROR(Pagos[[#This Row],[Cantidad vendida]]*Pagos[[#This Row],[Ganancia unitaria (Vendedor)]],"-")</f>
        <v>96.319800000000001</v>
      </c>
      <c r="K32" s="1">
        <f>IFERROR(Pagos[[#This Row],[Ganancia unitaria]]-Pagos[[#This Row],[Ganancia unitaria (Vendedor)]],"-")</f>
        <v>117.72419999999998</v>
      </c>
      <c r="L32" s="1">
        <f>IFERROR(Pagos[[#This Row],[Cantidad vendida]]*(Pagos[[#This Row],[Ganancia individual (Tienda)]]),"-")</f>
        <v>117.72419999999998</v>
      </c>
      <c r="M32" s="1">
        <f>(VLOOKUP(Pagos[[#This Row],[Codigo del producto]],Stock[],13,FALSE))*Pagos[[#This Row],[Cantidad vendida]]</f>
        <v>285.95600000000002</v>
      </c>
      <c r="N32" s="1" t="s">
        <v>312</v>
      </c>
      <c r="O32" s="1" t="s">
        <v>319</v>
      </c>
    </row>
    <row r="33" spans="1:15" ht="17.25" x14ac:dyDescent="0.3">
      <c r="A33" s="7" t="s">
        <v>315</v>
      </c>
      <c r="B33" s="71">
        <v>46032</v>
      </c>
      <c r="C33" s="7" t="s">
        <v>49</v>
      </c>
      <c r="D33" s="20" t="str">
        <f>IFERROR(VLOOKUP(Pagos[[#This Row],[Codigo del producto]],Entradas[],3,FALSE),"No existe")</f>
        <v>Teclado Mecanico CK600</v>
      </c>
      <c r="E33" s="7">
        <v>1</v>
      </c>
      <c r="F33" s="10">
        <v>3600</v>
      </c>
      <c r="G33" s="22">
        <f>IFERROR(Pagos[[#This Row],[Cantidad vendida]]*Pagos[[#This Row],[Precio de venta]],"-")</f>
        <v>3600</v>
      </c>
      <c r="H33" s="22">
        <f>IFERROR(Pagos[[#This Row],[Precio de venta]]-VLOOKUP(Pagos[[#This Row],[Codigo del producto]],Stock[],13,FALSE),"-")</f>
        <v>1136.5775000000003</v>
      </c>
      <c r="I33" s="22">
        <f t="shared" si="0"/>
        <v>363.70480000000009</v>
      </c>
      <c r="J33" s="22">
        <f>IFERROR(Pagos[[#This Row],[Cantidad vendida]]*Pagos[[#This Row],[Ganancia unitaria (Vendedor)]],"-")</f>
        <v>363.70480000000009</v>
      </c>
      <c r="K33" s="1">
        <f>IFERROR(Pagos[[#This Row],[Ganancia unitaria]]-Pagos[[#This Row],[Ganancia unitaria (Vendedor)]],"-")</f>
        <v>772.87270000000024</v>
      </c>
      <c r="L33" s="1">
        <f>IFERROR(Pagos[[#This Row],[Cantidad vendida]]*(Pagos[[#This Row],[Ganancia individual (Tienda)]]),"-")</f>
        <v>772.87270000000024</v>
      </c>
      <c r="M33" s="1">
        <f>(VLOOKUP(Pagos[[#This Row],[Codigo del producto]],Stock[],13,FALSE))*Pagos[[#This Row],[Cantidad vendida]]</f>
        <v>2463.4224999999997</v>
      </c>
      <c r="N33" s="1" t="s">
        <v>312</v>
      </c>
      <c r="O33" s="1" t="s">
        <v>320</v>
      </c>
    </row>
    <row r="34" spans="1:15" ht="17.25" x14ac:dyDescent="0.3">
      <c r="A34" s="7" t="s">
        <v>315</v>
      </c>
      <c r="B34" s="41">
        <v>46032</v>
      </c>
      <c r="C34" s="7" t="s">
        <v>30</v>
      </c>
      <c r="D34" s="20" t="str">
        <f>IFERROR(VLOOKUP(Pagos[[#This Row],[Codigo del producto]],Entradas[],3,FALSE),"No existe")</f>
        <v>KZ AZ09 Bluetooth Adapter</v>
      </c>
      <c r="E34" s="7">
        <v>1</v>
      </c>
      <c r="F34" s="10">
        <v>900</v>
      </c>
      <c r="G34" s="22">
        <f>IFERROR(Pagos[[#This Row],[Cantidad vendida]]*Pagos[[#This Row],[Precio de venta]],"-")</f>
        <v>900</v>
      </c>
      <c r="H34" s="22">
        <f>IFERROR(Pagos[[#This Row],[Precio de venta]]-VLOOKUP(Pagos[[#This Row],[Codigo del producto]],Stock[],13,FALSE),"-")</f>
        <v>451.904</v>
      </c>
      <c r="I34" s="22">
        <f t="shared" si="0"/>
        <v>180.76160000000002</v>
      </c>
      <c r="J34" s="22">
        <f>IFERROR(Pagos[[#This Row],[Cantidad vendida]]*Pagos[[#This Row],[Ganancia unitaria (Vendedor)]],"-")</f>
        <v>180.76160000000002</v>
      </c>
      <c r="K34" s="1">
        <f>IFERROR(Pagos[[#This Row],[Ganancia unitaria]]-Pagos[[#This Row],[Ganancia unitaria (Vendedor)]],"-")</f>
        <v>271.14239999999995</v>
      </c>
      <c r="L34" s="1">
        <f>IFERROR(Pagos[[#This Row],[Cantidad vendida]]*(Pagos[[#This Row],[Ganancia individual (Tienda)]]),"-")</f>
        <v>271.14239999999995</v>
      </c>
      <c r="M34" s="1">
        <f>(VLOOKUP(Pagos[[#This Row],[Codigo del producto]],Stock[],13,FALSE))*Pagos[[#This Row],[Cantidad vendida]]</f>
        <v>448.096</v>
      </c>
      <c r="N34" s="1" t="s">
        <v>312</v>
      </c>
      <c r="O34" s="1"/>
    </row>
    <row r="35" spans="1:15" ht="17.25" x14ac:dyDescent="0.3">
      <c r="A35" s="7" t="s">
        <v>315</v>
      </c>
      <c r="B35" s="41">
        <v>46032</v>
      </c>
      <c r="C35" s="7" t="s">
        <v>23</v>
      </c>
      <c r="D35" s="20" t="str">
        <f>IFERROR(VLOOKUP(Pagos[[#This Row],[Codigo del producto]],Entradas[],3,FALSE),"No existe")</f>
        <v>KZ EDX PRO X</v>
      </c>
      <c r="E35" s="7">
        <v>1</v>
      </c>
      <c r="F35" s="10">
        <v>400</v>
      </c>
      <c r="G35" s="22">
        <f>IFERROR(Pagos[[#This Row],[Cantidad vendida]]*Pagos[[#This Row],[Precio de venta]],"-")</f>
        <v>400</v>
      </c>
      <c r="H35" s="22">
        <f>IFERROR(Pagos[[#This Row],[Precio de venta]]-VLOOKUP(Pagos[[#This Row],[Codigo del producto]],Stock[],13,FALSE),"-")</f>
        <v>231.964</v>
      </c>
      <c r="I35" s="22">
        <f t="shared" si="0"/>
        <v>104.38380000000001</v>
      </c>
      <c r="J35" s="22">
        <f>IFERROR(Pagos[[#This Row],[Cantidad vendida]]*Pagos[[#This Row],[Ganancia unitaria (Vendedor)]],"-")</f>
        <v>104.38380000000001</v>
      </c>
      <c r="K35" s="1">
        <f>IFERROR(Pagos[[#This Row],[Ganancia unitaria]]-Pagos[[#This Row],[Ganancia unitaria (Vendedor)]],"-")</f>
        <v>127.58019999999999</v>
      </c>
      <c r="L35" s="1">
        <f>IFERROR(Pagos[[#This Row],[Cantidad vendida]]*(Pagos[[#This Row],[Ganancia individual (Tienda)]]),"-")</f>
        <v>127.58019999999999</v>
      </c>
      <c r="M35" s="1">
        <f>(VLOOKUP(Pagos[[#This Row],[Codigo del producto]],Stock[],13,FALSE))*Pagos[[#This Row],[Cantidad vendida]]</f>
        <v>168.036</v>
      </c>
      <c r="N35" s="1" t="s">
        <v>312</v>
      </c>
      <c r="O35" s="1"/>
    </row>
    <row r="36" spans="1:15" ht="17.25" x14ac:dyDescent="0.3">
      <c r="A36" s="7" t="s">
        <v>315</v>
      </c>
      <c r="B36" s="71">
        <v>46032</v>
      </c>
      <c r="C36" s="7" t="s">
        <v>40</v>
      </c>
      <c r="D36" s="20" t="str">
        <f>IFERROR(VLOOKUP(Pagos[[#This Row],[Codigo del producto]],Entradas[],3,FALSE),"No existe")</f>
        <v xml:space="preserve">Adaptador DAC </v>
      </c>
      <c r="E36" s="7">
        <v>1</v>
      </c>
      <c r="F36" s="10">
        <v>350</v>
      </c>
      <c r="G36" s="22">
        <f>IFERROR(Pagos[[#This Row],[Cantidad vendida]]*Pagos[[#This Row],[Precio de venta]],"-")</f>
        <v>350</v>
      </c>
      <c r="H36" s="22">
        <f>IFERROR(Pagos[[#This Row],[Precio de venta]]-VLOOKUP(Pagos[[#This Row],[Codigo del producto]],Stock[],13,FALSE),"-")</f>
        <v>166.48700000000002</v>
      </c>
      <c r="I36" s="22">
        <f t="shared" si="0"/>
        <v>74.919150000000016</v>
      </c>
      <c r="J36" s="22">
        <f>IFERROR(Pagos[[#This Row],[Cantidad vendida]]*Pagos[[#This Row],[Ganancia unitaria (Vendedor)]],"-")</f>
        <v>74.919150000000016</v>
      </c>
      <c r="K36" s="1">
        <f>IFERROR(Pagos[[#This Row],[Ganancia unitaria]]-Pagos[[#This Row],[Ganancia unitaria (Vendedor)]],"-")</f>
        <v>91.567850000000007</v>
      </c>
      <c r="L36" s="1">
        <f>IFERROR(Pagos[[#This Row],[Cantidad vendida]]*(Pagos[[#This Row],[Ganancia individual (Tienda)]]),"-")</f>
        <v>91.567850000000007</v>
      </c>
      <c r="M36" s="1">
        <f>(VLOOKUP(Pagos[[#This Row],[Codigo del producto]],Stock[],13,FALSE))*Pagos[[#This Row],[Cantidad vendida]]</f>
        <v>183.51299999999998</v>
      </c>
      <c r="N36" s="1" t="s">
        <v>312</v>
      </c>
      <c r="O36" s="1"/>
    </row>
    <row r="37" spans="1:15" ht="17.25" x14ac:dyDescent="0.3">
      <c r="A37" s="7" t="s">
        <v>311</v>
      </c>
      <c r="B37" s="71">
        <v>46033</v>
      </c>
      <c r="C37" s="7" t="s">
        <v>33</v>
      </c>
      <c r="D37" s="20" t="str">
        <f>IFERROR(VLOOKUP(Pagos[[#This Row],[Codigo del producto]],Entradas[],3,FALSE),"No existe")</f>
        <v>Sharck Attack X11 Blanco</v>
      </c>
      <c r="E37" s="7">
        <v>1</v>
      </c>
      <c r="F37" s="10">
        <v>1200</v>
      </c>
      <c r="G37" s="22">
        <f>IFERROR(Pagos[[#This Row],[Cantidad vendida]]*Pagos[[#This Row],[Precio de venta]],"-")</f>
        <v>1200</v>
      </c>
      <c r="H37" s="22">
        <f>IFERROR(Pagos[[#This Row],[Precio de venta]]-VLOOKUP(Pagos[[#This Row],[Codigo del producto]],Stock[],13,FALSE),"-")</f>
        <v>602.66149999999993</v>
      </c>
      <c r="I37" s="22">
        <f t="shared" si="0"/>
        <v>229.01136999999997</v>
      </c>
      <c r="J37" s="22">
        <f>IFERROR(Pagos[[#This Row],[Cantidad vendida]]*Pagos[[#This Row],[Ganancia unitaria (Vendedor)]],"-")</f>
        <v>229.01136999999997</v>
      </c>
      <c r="K37" s="1">
        <f>IFERROR(Pagos[[#This Row],[Ganancia unitaria]]-Pagos[[#This Row],[Ganancia unitaria (Vendedor)]],"-")</f>
        <v>373.65012999999999</v>
      </c>
      <c r="L37" s="1">
        <f>IFERROR(Pagos[[#This Row],[Cantidad vendida]]*(Pagos[[#This Row],[Ganancia individual (Tienda)]]),"-")</f>
        <v>373.65012999999999</v>
      </c>
      <c r="M37" s="1">
        <f>(VLOOKUP(Pagos[[#This Row],[Codigo del producto]],Stock[],13,FALSE))*Pagos[[#This Row],[Cantidad vendida]]</f>
        <v>597.33850000000007</v>
      </c>
      <c r="N37" s="1" t="s">
        <v>312</v>
      </c>
      <c r="O37" s="1"/>
    </row>
    <row r="38" spans="1:15" ht="17.25" x14ac:dyDescent="0.3">
      <c r="A38" s="7" t="s">
        <v>315</v>
      </c>
      <c r="B38" s="71">
        <v>46033</v>
      </c>
      <c r="C38" s="7" t="s">
        <v>30</v>
      </c>
      <c r="D38" s="20" t="str">
        <f>IFERROR(VLOOKUP(Pagos[[#This Row],[Codigo del producto]],Entradas[],3,FALSE),"No existe")</f>
        <v>KZ AZ09 Bluetooth Adapter</v>
      </c>
      <c r="E38" s="7">
        <v>2</v>
      </c>
      <c r="F38" s="10">
        <v>800</v>
      </c>
      <c r="G38" s="22">
        <f>IFERROR(Pagos[[#This Row],[Cantidad vendida]]*Pagos[[#This Row],[Precio de venta]],"-")</f>
        <v>1600</v>
      </c>
      <c r="H38" s="22">
        <f>IFERROR(Pagos[[#This Row],[Precio de venta]]-VLOOKUP(Pagos[[#This Row],[Codigo del producto]],Stock[],13,FALSE),"-")</f>
        <v>351.904</v>
      </c>
      <c r="I38" s="22">
        <f t="shared" si="0"/>
        <v>140.76160000000002</v>
      </c>
      <c r="J38" s="22">
        <f>IFERROR(Pagos[[#This Row],[Cantidad vendida]]*Pagos[[#This Row],[Ganancia unitaria (Vendedor)]],"-")</f>
        <v>281.52320000000003</v>
      </c>
      <c r="K38" s="1">
        <f>IFERROR(Pagos[[#This Row],[Ganancia unitaria]]-Pagos[[#This Row],[Ganancia unitaria (Vendedor)]],"-")</f>
        <v>211.14239999999998</v>
      </c>
      <c r="L38" s="1">
        <f>IFERROR(Pagos[[#This Row],[Cantidad vendida]]*(Pagos[[#This Row],[Ganancia individual (Tienda)]]),"-")</f>
        <v>422.28479999999996</v>
      </c>
      <c r="M38" s="1">
        <f>(VLOOKUP(Pagos[[#This Row],[Codigo del producto]],Stock[],13,FALSE))*Pagos[[#This Row],[Cantidad vendida]]</f>
        <v>896.19200000000001</v>
      </c>
      <c r="N38" s="1" t="s">
        <v>312</v>
      </c>
      <c r="O38" s="1"/>
    </row>
    <row r="39" spans="1:15" ht="17.25" x14ac:dyDescent="0.3">
      <c r="A39" s="7" t="s">
        <v>315</v>
      </c>
      <c r="B39" s="71">
        <v>46033</v>
      </c>
      <c r="C39" s="7" t="s">
        <v>45</v>
      </c>
      <c r="D39" s="20" t="str">
        <f>IFERROR(VLOOKUP(Pagos[[#This Row],[Codigo del producto]],Entradas[],3,FALSE),"No existe")</f>
        <v>KZ Castor Improved Bass</v>
      </c>
      <c r="E39" s="7">
        <v>2</v>
      </c>
      <c r="F39" s="10">
        <v>600</v>
      </c>
      <c r="G39" s="22">
        <f>IFERROR(Pagos[[#This Row],[Cantidad vendida]]*Pagos[[#This Row],[Precio de venta]],"-")</f>
        <v>1200</v>
      </c>
      <c r="H39" s="22">
        <f>IFERROR(Pagos[[#This Row],[Precio de venta]]-VLOOKUP(Pagos[[#This Row],[Codigo del producto]],Stock[],13,FALSE),"-")</f>
        <v>267.98149999999993</v>
      </c>
      <c r="I39" s="22">
        <f t="shared" si="0"/>
        <v>120.59167499999997</v>
      </c>
      <c r="J39" s="22">
        <f>IFERROR(Pagos[[#This Row],[Cantidad vendida]]*Pagos[[#This Row],[Ganancia unitaria (Vendedor)]],"-")</f>
        <v>241.18334999999993</v>
      </c>
      <c r="K39" s="1">
        <f>IFERROR(Pagos[[#This Row],[Ganancia unitaria]]-Pagos[[#This Row],[Ganancia unitaria (Vendedor)]],"-")</f>
        <v>147.38982499999997</v>
      </c>
      <c r="L39" s="1">
        <f>IFERROR(Pagos[[#This Row],[Cantidad vendida]]*(Pagos[[#This Row],[Ganancia individual (Tienda)]]),"-")</f>
        <v>294.77964999999995</v>
      </c>
      <c r="M39" s="1">
        <f>(VLOOKUP(Pagos[[#This Row],[Codigo del producto]],Stock[],13,FALSE))*Pagos[[#This Row],[Cantidad vendida]]</f>
        <v>664.03700000000015</v>
      </c>
      <c r="N39" s="1" t="s">
        <v>312</v>
      </c>
      <c r="O39" s="1"/>
    </row>
    <row r="40" spans="1:15" ht="17.25" x14ac:dyDescent="0.3">
      <c r="A40" s="7" t="s">
        <v>311</v>
      </c>
      <c r="B40" s="71">
        <v>46033</v>
      </c>
      <c r="C40" s="7" t="s">
        <v>23</v>
      </c>
      <c r="D40" s="20" t="str">
        <f>IFERROR(VLOOKUP(Pagos[[#This Row],[Codigo del producto]],Entradas[],3,FALSE),"No existe")</f>
        <v>KZ EDX PRO X</v>
      </c>
      <c r="E40" s="7">
        <v>1</v>
      </c>
      <c r="F40" s="10">
        <v>400</v>
      </c>
      <c r="G40" s="22">
        <f>IFERROR(Pagos[[#This Row],[Cantidad vendida]]*Pagos[[#This Row],[Precio de venta]],"-")</f>
        <v>400</v>
      </c>
      <c r="H40" s="22">
        <f>IFERROR(Pagos[[#This Row],[Precio de venta]]-VLOOKUP(Pagos[[#This Row],[Codigo del producto]],Stock[],13,FALSE),"-")</f>
        <v>231.964</v>
      </c>
      <c r="I40" s="22">
        <f t="shared" si="0"/>
        <v>104.38380000000001</v>
      </c>
      <c r="J40" s="22">
        <f>IFERROR(Pagos[[#This Row],[Cantidad vendida]]*Pagos[[#This Row],[Ganancia unitaria (Vendedor)]],"-")</f>
        <v>104.38380000000001</v>
      </c>
      <c r="K40" s="1">
        <f>IFERROR(Pagos[[#This Row],[Ganancia unitaria]]-Pagos[[#This Row],[Ganancia unitaria (Vendedor)]],"-")</f>
        <v>127.58019999999999</v>
      </c>
      <c r="L40" s="1">
        <f>IFERROR(Pagos[[#This Row],[Cantidad vendida]]*(Pagos[[#This Row],[Ganancia individual (Tienda)]]),"-")</f>
        <v>127.58019999999999</v>
      </c>
      <c r="M40" s="1">
        <f>(VLOOKUP(Pagos[[#This Row],[Codigo del producto]],Stock[],13,FALSE))*Pagos[[#This Row],[Cantidad vendida]]</f>
        <v>168.036</v>
      </c>
      <c r="N40" s="1" t="s">
        <v>312</v>
      </c>
      <c r="O40" s="1"/>
    </row>
    <row r="41" spans="1:15" ht="17.25" x14ac:dyDescent="0.3">
      <c r="A41" s="7" t="s">
        <v>311</v>
      </c>
      <c r="B41" s="71">
        <v>46033</v>
      </c>
      <c r="C41" s="7" t="s">
        <v>19</v>
      </c>
      <c r="D41" s="20" t="str">
        <f>IFERROR(VLOOKUP(Pagos[[#This Row],[Codigo del producto]],Entradas[],3,FALSE),"No existe")</f>
        <v>Estuche Protecto KZ</v>
      </c>
      <c r="E41" s="7">
        <v>1</v>
      </c>
      <c r="F41" s="10">
        <v>150</v>
      </c>
      <c r="G41" s="22">
        <f>IFERROR(Pagos[[#This Row],[Cantidad vendida]]*Pagos[[#This Row],[Precio de venta]],"-")</f>
        <v>150</v>
      </c>
      <c r="H41" s="22">
        <f>IFERROR(Pagos[[#This Row],[Precio de venta]]-VLOOKUP(Pagos[[#This Row],[Codigo del producto]],Stock[],13,FALSE),"-")</f>
        <v>70.035499999999999</v>
      </c>
      <c r="I41" s="22">
        <f t="shared" si="0"/>
        <v>31.515975000000001</v>
      </c>
      <c r="J41" s="22">
        <f>IFERROR(Pagos[[#This Row],[Cantidad vendida]]*Pagos[[#This Row],[Ganancia unitaria (Vendedor)]],"-")</f>
        <v>31.515975000000001</v>
      </c>
      <c r="K41" s="1">
        <f>IFERROR(Pagos[[#This Row],[Ganancia unitaria]]-Pagos[[#This Row],[Ganancia unitaria (Vendedor)]],"-")</f>
        <v>38.519525000000002</v>
      </c>
      <c r="L41" s="1">
        <f>IFERROR(Pagos[[#This Row],[Cantidad vendida]]*(Pagos[[#This Row],[Ganancia individual (Tienda)]]),"-")</f>
        <v>38.519525000000002</v>
      </c>
      <c r="M41" s="1">
        <f>(VLOOKUP(Pagos[[#This Row],[Codigo del producto]],Stock[],13,FALSE))*Pagos[[#This Row],[Cantidad vendida]]</f>
        <v>79.964500000000001</v>
      </c>
      <c r="N41" s="1" t="s">
        <v>312</v>
      </c>
      <c r="O41" s="1"/>
    </row>
    <row r="42" spans="1:15" ht="17.25" x14ac:dyDescent="0.3">
      <c r="A42" s="7" t="s">
        <v>311</v>
      </c>
      <c r="B42" s="71">
        <v>46034</v>
      </c>
      <c r="C42" s="7" t="s">
        <v>33</v>
      </c>
      <c r="D42" s="20" t="str">
        <f>IFERROR(VLOOKUP(Pagos[[#This Row],[Codigo del producto]],Entradas[],3,FALSE),"No existe")</f>
        <v>Sharck Attack X11 Blanco</v>
      </c>
      <c r="E42" s="7">
        <v>1</v>
      </c>
      <c r="F42" s="10">
        <v>1200</v>
      </c>
      <c r="G42" s="22">
        <f>IFERROR(Pagos[[#This Row],[Cantidad vendida]]*Pagos[[#This Row],[Precio de venta]],"-")</f>
        <v>1200</v>
      </c>
      <c r="H42" s="22">
        <f>IFERROR(Pagos[[#This Row],[Precio de venta]]-VLOOKUP(Pagos[[#This Row],[Codigo del producto]],Stock[],13,FALSE),"-")</f>
        <v>602.66149999999993</v>
      </c>
      <c r="I42" s="22">
        <f t="shared" si="0"/>
        <v>229.01136999999997</v>
      </c>
      <c r="J42" s="22">
        <f>IFERROR(Pagos[[#This Row],[Cantidad vendida]]*Pagos[[#This Row],[Ganancia unitaria (Vendedor)]],"-")</f>
        <v>229.01136999999997</v>
      </c>
      <c r="K42" s="1">
        <f>IFERROR(Pagos[[#This Row],[Ganancia unitaria]]-Pagos[[#This Row],[Ganancia unitaria (Vendedor)]],"-")</f>
        <v>373.65012999999999</v>
      </c>
      <c r="L42" s="1">
        <f>IFERROR(Pagos[[#This Row],[Cantidad vendida]]*(Pagos[[#This Row],[Ganancia individual (Tienda)]]),"-")</f>
        <v>373.65012999999999</v>
      </c>
      <c r="M42" s="1">
        <f>(VLOOKUP(Pagos[[#This Row],[Codigo del producto]],Stock[],13,FALSE))*Pagos[[#This Row],[Cantidad vendida]]</f>
        <v>597.33850000000007</v>
      </c>
      <c r="N42" s="1" t="s">
        <v>312</v>
      </c>
      <c r="O42" s="1"/>
    </row>
    <row r="43" spans="1:15" ht="17.25" x14ac:dyDescent="0.3">
      <c r="A43" s="7" t="s">
        <v>321</v>
      </c>
      <c r="B43" s="71">
        <v>46034</v>
      </c>
      <c r="C43" s="7" t="s">
        <v>25</v>
      </c>
      <c r="D43" s="20" t="str">
        <f>IFERROR(VLOOKUP(Pagos[[#This Row],[Codigo del producto]],Entradas[],3,FALSE),"No existe")</f>
        <v>Sharck Attack R1 Negro</v>
      </c>
      <c r="E43" s="7">
        <v>1</v>
      </c>
      <c r="F43" s="10">
        <v>1000</v>
      </c>
      <c r="G43" s="22">
        <f>IFERROR(Pagos[[#This Row],[Cantidad vendida]]*Pagos[[#This Row],[Precio de venta]],"-")</f>
        <v>1000</v>
      </c>
      <c r="H43" s="22">
        <f>IFERROR(Pagos[[#This Row],[Precio de venta]]-VLOOKUP(Pagos[[#This Row],[Codigo del producto]],Stock[],13,FALSE),"-")</f>
        <v>310.16800000000001</v>
      </c>
      <c r="I43" s="22">
        <f t="shared" si="0"/>
        <v>124.06720000000001</v>
      </c>
      <c r="J43" s="22">
        <f>IFERROR(Pagos[[#This Row],[Cantidad vendida]]*Pagos[[#This Row],[Ganancia unitaria (Vendedor)]],"-")</f>
        <v>124.06720000000001</v>
      </c>
      <c r="K43" s="1">
        <f>IFERROR(Pagos[[#This Row],[Ganancia unitaria]]-Pagos[[#This Row],[Ganancia unitaria (Vendedor)]],"-")</f>
        <v>186.10079999999999</v>
      </c>
      <c r="L43" s="1">
        <f>IFERROR(Pagos[[#This Row],[Cantidad vendida]]*(Pagos[[#This Row],[Ganancia individual (Tienda)]]),"-")</f>
        <v>186.10079999999999</v>
      </c>
      <c r="M43" s="1">
        <f>(VLOOKUP(Pagos[[#This Row],[Codigo del producto]],Stock[],13,FALSE))*Pagos[[#This Row],[Cantidad vendida]]</f>
        <v>689.83199999999999</v>
      </c>
      <c r="N43" s="1" t="s">
        <v>312</v>
      </c>
      <c r="O43" s="1"/>
    </row>
    <row r="44" spans="1:15" ht="17.25" x14ac:dyDescent="0.3">
      <c r="A44" s="7" t="s">
        <v>311</v>
      </c>
      <c r="B44" s="71">
        <v>46034</v>
      </c>
      <c r="C44" s="7" t="s">
        <v>32</v>
      </c>
      <c r="D44" s="20" t="str">
        <f>IFERROR(VLOOKUP(Pagos[[#This Row],[Codigo del producto]],Entradas[],3,FALSE),"No existe")</f>
        <v>Cargadores USB para moto</v>
      </c>
      <c r="E44" s="7">
        <v>1</v>
      </c>
      <c r="F44" s="10">
        <v>500</v>
      </c>
      <c r="G44" s="22">
        <f>IFERROR(Pagos[[#This Row],[Cantidad vendida]]*Pagos[[#This Row],[Precio de venta]],"-")</f>
        <v>500</v>
      </c>
      <c r="H44" s="22">
        <f>IFERROR(Pagos[[#This Row],[Precio de venta]]-VLOOKUP(Pagos[[#This Row],[Codigo del producto]],Stock[],13,FALSE),"-")</f>
        <v>214.04399999999998</v>
      </c>
      <c r="I44" s="22">
        <f t="shared" si="0"/>
        <v>96.319800000000001</v>
      </c>
      <c r="J44" s="22">
        <f>IFERROR(Pagos[[#This Row],[Cantidad vendida]]*Pagos[[#This Row],[Ganancia unitaria (Vendedor)]],"-")</f>
        <v>96.319800000000001</v>
      </c>
      <c r="K44" s="1">
        <f>IFERROR(Pagos[[#This Row],[Ganancia unitaria]]-Pagos[[#This Row],[Ganancia unitaria (Vendedor)]],"-")</f>
        <v>117.72419999999998</v>
      </c>
      <c r="L44" s="1">
        <f>IFERROR(Pagos[[#This Row],[Cantidad vendida]]*(Pagos[[#This Row],[Ganancia individual (Tienda)]]),"-")</f>
        <v>117.72419999999998</v>
      </c>
      <c r="M44" s="1">
        <f>(VLOOKUP(Pagos[[#This Row],[Codigo del producto]],Stock[],13,FALSE))*Pagos[[#This Row],[Cantidad vendida]]</f>
        <v>285.95600000000002</v>
      </c>
      <c r="N44" s="1" t="s">
        <v>312</v>
      </c>
      <c r="O44" s="1"/>
    </row>
    <row r="45" spans="1:15" ht="17.25" x14ac:dyDescent="0.3">
      <c r="A45" s="7" t="s">
        <v>315</v>
      </c>
      <c r="B45" s="71">
        <v>46035</v>
      </c>
      <c r="C45" s="7" t="s">
        <v>34</v>
      </c>
      <c r="D45" s="20" t="str">
        <f>IFERROR(VLOOKUP(Pagos[[#This Row],[Codigo del producto]],Entradas[],3,FALSE),"No existe")</f>
        <v>Teclado Mecanico EPOMaker Galaxy100 Lite</v>
      </c>
      <c r="E45" s="7">
        <v>1</v>
      </c>
      <c r="F45" s="10">
        <v>3600</v>
      </c>
      <c r="G45" s="22">
        <f>IFERROR(Pagos[[#This Row],[Cantidad vendida]]*Pagos[[#This Row],[Precio de venta]],"-")</f>
        <v>3600</v>
      </c>
      <c r="H45" s="22">
        <f>IFERROR(Pagos[[#This Row],[Precio de venta]]-VLOOKUP(Pagos[[#This Row],[Codigo del producto]],Stock[],13,FALSE),"-")</f>
        <v>1107.4659999999999</v>
      </c>
      <c r="I45" s="22">
        <f t="shared" si="0"/>
        <v>354.38911999999999</v>
      </c>
      <c r="J45" s="22">
        <f>IFERROR(Pagos[[#This Row],[Cantidad vendida]]*Pagos[[#This Row],[Ganancia unitaria (Vendedor)]],"-")</f>
        <v>354.38911999999999</v>
      </c>
      <c r="K45" s="1">
        <f>IFERROR(Pagos[[#This Row],[Ganancia unitaria]]-Pagos[[#This Row],[Ganancia unitaria (Vendedor)]],"-")</f>
        <v>753.07687999999985</v>
      </c>
      <c r="L45" s="1">
        <f>IFERROR(Pagos[[#This Row],[Cantidad vendida]]*(Pagos[[#This Row],[Ganancia individual (Tienda)]]),"-")</f>
        <v>753.07687999999985</v>
      </c>
      <c r="M45" s="1">
        <f>(VLOOKUP(Pagos[[#This Row],[Codigo del producto]],Stock[],13,FALSE))*Pagos[[#This Row],[Cantidad vendida]]</f>
        <v>2492.5340000000001</v>
      </c>
      <c r="N45" s="1" t="s">
        <v>312</v>
      </c>
      <c r="O45" s="1" t="s">
        <v>322</v>
      </c>
    </row>
    <row r="46" spans="1:15" ht="17.25" x14ac:dyDescent="0.3">
      <c r="A46" s="7" t="s">
        <v>311</v>
      </c>
      <c r="B46" s="71">
        <v>46035</v>
      </c>
      <c r="C46" s="7" t="s">
        <v>27</v>
      </c>
      <c r="D46" s="20" t="str">
        <f>IFERROR(VLOOKUP(Pagos[[#This Row],[Codigo del producto]],Entradas[],3,FALSE),"No existe")</f>
        <v>KZ Castor PRO Improved Bass</v>
      </c>
      <c r="E46" s="7">
        <v>1</v>
      </c>
      <c r="F46" s="10">
        <v>900</v>
      </c>
      <c r="G46" s="22">
        <f>IFERROR(Pagos[[#This Row],[Cantidad vendida]]*Pagos[[#This Row],[Precio de venta]],"-")</f>
        <v>900</v>
      </c>
      <c r="H46" s="22">
        <f>IFERROR(Pagos[[#This Row],[Precio de venta]]-VLOOKUP(Pagos[[#This Row],[Codigo del producto]],Stock[],13,FALSE),"-")</f>
        <v>542.92349999999999</v>
      </c>
      <c r="I46" s="22">
        <f t="shared" si="0"/>
        <v>217.1694</v>
      </c>
      <c r="J46" s="22">
        <f>IFERROR(Pagos[[#This Row],[Cantidad vendida]]*Pagos[[#This Row],[Ganancia unitaria (Vendedor)]],"-")</f>
        <v>217.1694</v>
      </c>
      <c r="K46" s="1">
        <f>IFERROR(Pagos[[#This Row],[Ganancia unitaria]]-Pagos[[#This Row],[Ganancia unitaria (Vendedor)]],"-")</f>
        <v>325.75409999999999</v>
      </c>
      <c r="L46" s="1">
        <f>IFERROR(Pagos[[#This Row],[Cantidad vendida]]*(Pagos[[#This Row],[Ganancia individual (Tienda)]]),"-")</f>
        <v>325.75409999999999</v>
      </c>
      <c r="M46" s="1">
        <f>(VLOOKUP(Pagos[[#This Row],[Codigo del producto]],Stock[],13,FALSE))*Pagos[[#This Row],[Cantidad vendida]]</f>
        <v>357.07650000000001</v>
      </c>
      <c r="N46" s="1" t="s">
        <v>312</v>
      </c>
      <c r="O46" s="1"/>
    </row>
    <row r="47" spans="1:15" ht="17.25" x14ac:dyDescent="0.3">
      <c r="A47" s="7" t="s">
        <v>311</v>
      </c>
      <c r="B47" s="71">
        <v>46035</v>
      </c>
      <c r="C47" s="7" t="s">
        <v>45</v>
      </c>
      <c r="D47" s="20" t="str">
        <f>IFERROR(VLOOKUP(Pagos[[#This Row],[Codigo del producto]],Entradas[],3,FALSE),"No existe")</f>
        <v>KZ Castor Improved Bass</v>
      </c>
      <c r="E47" s="7">
        <v>1</v>
      </c>
      <c r="F47" s="10">
        <v>650</v>
      </c>
      <c r="G47" s="22">
        <f>IFERROR(Pagos[[#This Row],[Cantidad vendida]]*Pagos[[#This Row],[Precio de venta]],"-")</f>
        <v>650</v>
      </c>
      <c r="H47" s="22">
        <f>IFERROR(Pagos[[#This Row],[Precio de venta]]-VLOOKUP(Pagos[[#This Row],[Codigo del producto]],Stock[],13,FALSE),"-")</f>
        <v>317.98149999999993</v>
      </c>
      <c r="I47" s="22">
        <f t="shared" si="0"/>
        <v>127.19259999999997</v>
      </c>
      <c r="J47" s="22">
        <f>IFERROR(Pagos[[#This Row],[Cantidad vendida]]*Pagos[[#This Row],[Ganancia unitaria (Vendedor)]],"-")</f>
        <v>127.19259999999997</v>
      </c>
      <c r="K47" s="1">
        <f>IFERROR(Pagos[[#This Row],[Ganancia unitaria]]-Pagos[[#This Row],[Ganancia unitaria (Vendedor)]],"-")</f>
        <v>190.78889999999996</v>
      </c>
      <c r="L47" s="1">
        <f>IFERROR(Pagos[[#This Row],[Cantidad vendida]]*(Pagos[[#This Row],[Ganancia individual (Tienda)]]),"-")</f>
        <v>190.78889999999996</v>
      </c>
      <c r="M47" s="1">
        <f>(VLOOKUP(Pagos[[#This Row],[Codigo del producto]],Stock[],13,FALSE))*Pagos[[#This Row],[Cantidad vendida]]</f>
        <v>332.01850000000007</v>
      </c>
      <c r="N47" s="1" t="s">
        <v>312</v>
      </c>
      <c r="O47" s="1"/>
    </row>
    <row r="48" spans="1:15" ht="17.25" x14ac:dyDescent="0.3">
      <c r="A48" s="7" t="s">
        <v>311</v>
      </c>
      <c r="B48" s="71">
        <v>46035</v>
      </c>
      <c r="C48" s="7" t="s">
        <v>45</v>
      </c>
      <c r="D48" s="20" t="str">
        <f>IFERROR(VLOOKUP(Pagos[[#This Row],[Codigo del producto]],Entradas[],3,FALSE),"No existe")</f>
        <v>KZ Castor Improved Bass</v>
      </c>
      <c r="E48" s="7">
        <v>1</v>
      </c>
      <c r="F48" s="10">
        <v>650</v>
      </c>
      <c r="G48" s="22">
        <f>IFERROR(Pagos[[#This Row],[Cantidad vendida]]*Pagos[[#This Row],[Precio de venta]],"-")</f>
        <v>650</v>
      </c>
      <c r="H48" s="22">
        <f>IFERROR(Pagos[[#This Row],[Precio de venta]]-VLOOKUP(Pagos[[#This Row],[Codigo del producto]],Stock[],13,FALSE),"-")</f>
        <v>317.98149999999993</v>
      </c>
      <c r="I48" s="22">
        <f t="shared" si="0"/>
        <v>127.19259999999997</v>
      </c>
      <c r="J48" s="22">
        <f>IFERROR(Pagos[[#This Row],[Cantidad vendida]]*Pagos[[#This Row],[Ganancia unitaria (Vendedor)]],"-")</f>
        <v>127.19259999999997</v>
      </c>
      <c r="K48" s="1">
        <f>IFERROR(Pagos[[#This Row],[Ganancia unitaria]]-Pagos[[#This Row],[Ganancia unitaria (Vendedor)]],"-")</f>
        <v>190.78889999999996</v>
      </c>
      <c r="L48" s="1">
        <f>IFERROR(Pagos[[#This Row],[Cantidad vendida]]*(Pagos[[#This Row],[Ganancia individual (Tienda)]]),"-")</f>
        <v>190.78889999999996</v>
      </c>
      <c r="M48" s="1">
        <f>(VLOOKUP(Pagos[[#This Row],[Codigo del producto]],Stock[],13,FALSE))*Pagos[[#This Row],[Cantidad vendida]]</f>
        <v>332.01850000000007</v>
      </c>
      <c r="N48" s="1" t="s">
        <v>312</v>
      </c>
      <c r="O48" s="1"/>
    </row>
    <row r="49" spans="1:15" ht="17.25" x14ac:dyDescent="0.3">
      <c r="A49" s="7" t="s">
        <v>311</v>
      </c>
      <c r="B49" s="71">
        <v>46035</v>
      </c>
      <c r="C49" s="7" t="s">
        <v>23</v>
      </c>
      <c r="D49" s="20" t="str">
        <f>IFERROR(VLOOKUP(Pagos[[#This Row],[Codigo del producto]],Entradas[],3,FALSE),"No existe")</f>
        <v>KZ EDX PRO X</v>
      </c>
      <c r="E49" s="7">
        <v>1</v>
      </c>
      <c r="F49" s="10">
        <v>400</v>
      </c>
      <c r="G49" s="22">
        <f>IFERROR(Pagos[[#This Row],[Cantidad vendida]]*Pagos[[#This Row],[Precio de venta]],"-")</f>
        <v>400</v>
      </c>
      <c r="H49" s="22">
        <f>IFERROR(Pagos[[#This Row],[Precio de venta]]-VLOOKUP(Pagos[[#This Row],[Codigo del producto]],Stock[],13,FALSE),"-")</f>
        <v>231.964</v>
      </c>
      <c r="I49" s="22">
        <f t="shared" si="0"/>
        <v>104.38380000000001</v>
      </c>
      <c r="J49" s="22">
        <f>IFERROR(Pagos[[#This Row],[Cantidad vendida]]*Pagos[[#This Row],[Ganancia unitaria (Vendedor)]],"-")</f>
        <v>104.38380000000001</v>
      </c>
      <c r="K49" s="1">
        <f>IFERROR(Pagos[[#This Row],[Ganancia unitaria]]-Pagos[[#This Row],[Ganancia unitaria (Vendedor)]],"-")</f>
        <v>127.58019999999999</v>
      </c>
      <c r="L49" s="1">
        <f>IFERROR(Pagos[[#This Row],[Cantidad vendida]]*(Pagos[[#This Row],[Ganancia individual (Tienda)]]),"-")</f>
        <v>127.58019999999999</v>
      </c>
      <c r="M49" s="1">
        <f>(VLOOKUP(Pagos[[#This Row],[Codigo del producto]],Stock[],13,FALSE))*Pagos[[#This Row],[Cantidad vendida]]</f>
        <v>168.036</v>
      </c>
      <c r="N49" s="1" t="s">
        <v>312</v>
      </c>
      <c r="O49" s="1"/>
    </row>
    <row r="50" spans="1:15" ht="17.25" x14ac:dyDescent="0.3">
      <c r="A50" s="7" t="s">
        <v>311</v>
      </c>
      <c r="B50" s="71">
        <v>46036</v>
      </c>
      <c r="C50" s="7" t="s">
        <v>33</v>
      </c>
      <c r="D50" s="20" t="str">
        <f>IFERROR(VLOOKUP(Pagos[[#This Row],[Codigo del producto]],Entradas[],3,FALSE),"No existe")</f>
        <v>Sharck Attack X11 Blanco</v>
      </c>
      <c r="E50" s="7">
        <v>1</v>
      </c>
      <c r="F50" s="10">
        <v>1200</v>
      </c>
      <c r="G50" s="22">
        <f>IFERROR(Pagos[[#This Row],[Cantidad vendida]]*Pagos[[#This Row],[Precio de venta]],"-")</f>
        <v>1200</v>
      </c>
      <c r="H50" s="22">
        <f>IFERROR(Pagos[[#This Row],[Precio de venta]]-VLOOKUP(Pagos[[#This Row],[Codigo del producto]],Stock[],13,FALSE),"-")</f>
        <v>602.66149999999993</v>
      </c>
      <c r="I50" s="22">
        <f t="shared" si="0"/>
        <v>229.01136999999997</v>
      </c>
      <c r="J50" s="22">
        <f>IFERROR(Pagos[[#This Row],[Cantidad vendida]]*Pagos[[#This Row],[Ganancia unitaria (Vendedor)]],"-")</f>
        <v>229.01136999999997</v>
      </c>
      <c r="K50" s="1">
        <f>IFERROR(Pagos[[#This Row],[Ganancia unitaria]]-Pagos[[#This Row],[Ganancia unitaria (Vendedor)]],"-")</f>
        <v>373.65012999999999</v>
      </c>
      <c r="L50" s="1">
        <f>IFERROR(Pagos[[#This Row],[Cantidad vendida]]*(Pagos[[#This Row],[Ganancia individual (Tienda)]]),"-")</f>
        <v>373.65012999999999</v>
      </c>
      <c r="M50" s="1">
        <f>(VLOOKUP(Pagos[[#This Row],[Codigo del producto]],Stock[],13,FALSE))*Pagos[[#This Row],[Cantidad vendida]]</f>
        <v>597.33850000000007</v>
      </c>
      <c r="N50" s="1" t="s">
        <v>312</v>
      </c>
      <c r="O50" s="1"/>
    </row>
    <row r="51" spans="1:15" ht="17.25" x14ac:dyDescent="0.3">
      <c r="A51" s="7" t="s">
        <v>315</v>
      </c>
      <c r="B51" s="71">
        <v>46036</v>
      </c>
      <c r="C51" s="7" t="s">
        <v>50</v>
      </c>
      <c r="D51" s="20" t="str">
        <f>IFERROR(VLOOKUP(Pagos[[#This Row],[Codigo del producto]],Entradas[],3,FALSE),"No existe")</f>
        <v>Headset L80 Negro</v>
      </c>
      <c r="E51" s="7">
        <v>1</v>
      </c>
      <c r="F51" s="10">
        <v>1300</v>
      </c>
      <c r="G51" s="22">
        <f>IFERROR(Pagos[[#This Row],[Cantidad vendida]]*Pagos[[#This Row],[Precio de venta]],"-")</f>
        <v>1300</v>
      </c>
      <c r="H51" s="22">
        <f>IFERROR(Pagos[[#This Row],[Precio de venta]]-VLOOKUP(Pagos[[#This Row],[Codigo del producto]],Stock[],13,FALSE),"-")</f>
        <v>420.02200000000005</v>
      </c>
      <c r="I51" s="22">
        <f t="shared" si="0"/>
        <v>168.00880000000004</v>
      </c>
      <c r="J51" s="22">
        <f>IFERROR(Pagos[[#This Row],[Cantidad vendida]]*Pagos[[#This Row],[Ganancia unitaria (Vendedor)]],"-")</f>
        <v>168.00880000000004</v>
      </c>
      <c r="K51" s="1">
        <f>IFERROR(Pagos[[#This Row],[Ganancia unitaria]]-Pagos[[#This Row],[Ganancia unitaria (Vendedor)]],"-")</f>
        <v>252.01320000000001</v>
      </c>
      <c r="L51" s="1">
        <f>IFERROR(Pagos[[#This Row],[Cantidad vendida]]*(Pagos[[#This Row],[Ganancia individual (Tienda)]]),"-")</f>
        <v>252.01320000000001</v>
      </c>
      <c r="M51" s="1">
        <f>(VLOOKUP(Pagos[[#This Row],[Codigo del producto]],Stock[],13,FALSE))*Pagos[[#This Row],[Cantidad vendida]]</f>
        <v>879.97799999999995</v>
      </c>
      <c r="N51" s="1" t="s">
        <v>312</v>
      </c>
      <c r="O51" s="1" t="s">
        <v>323</v>
      </c>
    </row>
    <row r="52" spans="1:15" ht="17.25" x14ac:dyDescent="0.3">
      <c r="A52" s="7" t="s">
        <v>315</v>
      </c>
      <c r="B52" s="71">
        <v>46036</v>
      </c>
      <c r="C52" s="7" t="s">
        <v>22</v>
      </c>
      <c r="D52" s="20" t="str">
        <f>IFERROR(VLOOKUP(Pagos[[#This Row],[Codigo del producto]],Entradas[],3,FALSE),"No existe")</f>
        <v xml:space="preserve">Nintendo Switch Pro controller </v>
      </c>
      <c r="E52" s="7">
        <v>1</v>
      </c>
      <c r="F52" s="10">
        <v>1000</v>
      </c>
      <c r="G52" s="22">
        <f>IFERROR(Pagos[[#This Row],[Cantidad vendida]]*Pagos[[#This Row],[Precio de venta]],"-")</f>
        <v>1000</v>
      </c>
      <c r="H52" s="22">
        <f>IFERROR(Pagos[[#This Row],[Precio de venta]]-VLOOKUP(Pagos[[#This Row],[Codigo del producto]],Stock[],13,FALSE),"-")</f>
        <v>319.74899999999991</v>
      </c>
      <c r="I52" s="22">
        <f t="shared" si="0"/>
        <v>127.89959999999996</v>
      </c>
      <c r="J52" s="22">
        <f>IFERROR(Pagos[[#This Row],[Cantidad vendida]]*Pagos[[#This Row],[Ganancia unitaria (Vendedor)]],"-")</f>
        <v>127.89959999999996</v>
      </c>
      <c r="K52" s="1">
        <f>IFERROR(Pagos[[#This Row],[Ganancia unitaria]]-Pagos[[#This Row],[Ganancia unitaria (Vendedor)]],"-")</f>
        <v>191.84939999999995</v>
      </c>
      <c r="L52" s="1">
        <f>IFERROR(Pagos[[#This Row],[Cantidad vendida]]*(Pagos[[#This Row],[Ganancia individual (Tienda)]]),"-")</f>
        <v>191.84939999999995</v>
      </c>
      <c r="M52" s="1">
        <f>(VLOOKUP(Pagos[[#This Row],[Codigo del producto]],Stock[],13,FALSE))*Pagos[[#This Row],[Cantidad vendida]]</f>
        <v>680.25100000000009</v>
      </c>
      <c r="N52" s="1" t="s">
        <v>312</v>
      </c>
      <c r="O52" s="1" t="s">
        <v>324</v>
      </c>
    </row>
    <row r="53" spans="1:15" ht="17.25" x14ac:dyDescent="0.3">
      <c r="A53" s="7" t="s">
        <v>313</v>
      </c>
      <c r="B53" s="71">
        <v>46036</v>
      </c>
      <c r="C53" s="7" t="s">
        <v>32</v>
      </c>
      <c r="D53" s="20" t="str">
        <f>IFERROR(VLOOKUP(Pagos[[#This Row],[Codigo del producto]],Entradas[],3,FALSE),"No existe")</f>
        <v>Cargadores USB para moto</v>
      </c>
      <c r="E53" s="7">
        <v>2</v>
      </c>
      <c r="F53" s="10">
        <v>470</v>
      </c>
      <c r="G53" s="22">
        <f>IFERROR(Pagos[[#This Row],[Cantidad vendida]]*Pagos[[#This Row],[Precio de venta]],"-")</f>
        <v>940</v>
      </c>
      <c r="H53" s="22">
        <f>IFERROR(Pagos[[#This Row],[Precio de venta]]-VLOOKUP(Pagos[[#This Row],[Codigo del producto]],Stock[],13,FALSE),"-")</f>
        <v>184.04399999999998</v>
      </c>
      <c r="I53" s="22">
        <f t="shared" si="0"/>
        <v>82.819800000000001</v>
      </c>
      <c r="J53" s="22">
        <f>IFERROR(Pagos[[#This Row],[Cantidad vendida]]*Pagos[[#This Row],[Ganancia unitaria (Vendedor)]],"-")</f>
        <v>165.6396</v>
      </c>
      <c r="K53" s="1">
        <f>IFERROR(Pagos[[#This Row],[Ganancia unitaria]]-Pagos[[#This Row],[Ganancia unitaria (Vendedor)]],"-")</f>
        <v>101.22419999999998</v>
      </c>
      <c r="L53" s="1">
        <f>IFERROR(Pagos[[#This Row],[Cantidad vendida]]*(Pagos[[#This Row],[Ganancia individual (Tienda)]]),"-")</f>
        <v>202.44839999999996</v>
      </c>
      <c r="M53" s="1">
        <f>(VLOOKUP(Pagos[[#This Row],[Codigo del producto]],Stock[],13,FALSE))*Pagos[[#This Row],[Cantidad vendida]]</f>
        <v>571.91200000000003</v>
      </c>
      <c r="N53" s="1" t="s">
        <v>312</v>
      </c>
      <c r="O53" s="1"/>
    </row>
    <row r="54" spans="1:15" ht="17.25" x14ac:dyDescent="0.3">
      <c r="A54" s="7" t="s">
        <v>311</v>
      </c>
      <c r="B54" s="71">
        <v>46037</v>
      </c>
      <c r="C54" s="7" t="s">
        <v>48</v>
      </c>
      <c r="D54" s="20" t="str">
        <f>IFERROR(VLOOKUP(Pagos[[#This Row],[Codigo del producto]],Entradas[],3,FALSE),"No existe")</f>
        <v>Pantalla para moto 5 inch</v>
      </c>
      <c r="E54" s="7">
        <v>1</v>
      </c>
      <c r="F54" s="10">
        <v>2500</v>
      </c>
      <c r="G54" s="22">
        <f>IFERROR(Pagos[[#This Row],[Cantidad vendida]]*Pagos[[#This Row],[Precio de venta]],"-")</f>
        <v>2500</v>
      </c>
      <c r="H54" s="22">
        <f>IFERROR(Pagos[[#This Row],[Precio de venta]]-VLOOKUP(Pagos[[#This Row],[Codigo del producto]],Stock[],13,FALSE),"-")</f>
        <v>736.72749999999996</v>
      </c>
      <c r="I54" s="22">
        <f t="shared" si="0"/>
        <v>279.95644999999996</v>
      </c>
      <c r="J54" s="22">
        <f>IFERROR(Pagos[[#This Row],[Cantidad vendida]]*Pagos[[#This Row],[Ganancia unitaria (Vendedor)]],"-")</f>
        <v>279.95644999999996</v>
      </c>
      <c r="K54" s="1">
        <f>IFERROR(Pagos[[#This Row],[Ganancia unitaria]]-Pagos[[#This Row],[Ganancia unitaria (Vendedor)]],"-")</f>
        <v>456.77105</v>
      </c>
      <c r="L54" s="1">
        <f>IFERROR(Pagos[[#This Row],[Cantidad vendida]]*(Pagos[[#This Row],[Ganancia individual (Tienda)]]),"-")</f>
        <v>456.77105</v>
      </c>
      <c r="M54" s="1">
        <f>(VLOOKUP(Pagos[[#This Row],[Codigo del producto]],Stock[],13,FALSE))*Pagos[[#This Row],[Cantidad vendida]]</f>
        <v>1763.2725</v>
      </c>
      <c r="N54" s="1" t="s">
        <v>312</v>
      </c>
      <c r="O54" s="1"/>
    </row>
    <row r="55" spans="1:15" ht="17.25" x14ac:dyDescent="0.3">
      <c r="A55" s="7" t="s">
        <v>311</v>
      </c>
      <c r="B55" s="71">
        <v>46037</v>
      </c>
      <c r="C55" s="7" t="s">
        <v>33</v>
      </c>
      <c r="D55" s="20" t="str">
        <f>IFERROR(VLOOKUP(Pagos[[#This Row],[Codigo del producto]],Entradas[],3,FALSE),"No existe")</f>
        <v>Sharck Attack X11 Blanco</v>
      </c>
      <c r="E55" s="7">
        <v>1</v>
      </c>
      <c r="F55" s="10">
        <v>1200</v>
      </c>
      <c r="G55" s="22">
        <f>IFERROR(Pagos[[#This Row],[Cantidad vendida]]*Pagos[[#This Row],[Precio de venta]],"-")</f>
        <v>1200</v>
      </c>
      <c r="H55" s="22">
        <f>IFERROR(Pagos[[#This Row],[Precio de venta]]-VLOOKUP(Pagos[[#This Row],[Codigo del producto]],Stock[],13,FALSE),"-")</f>
        <v>602.66149999999993</v>
      </c>
      <c r="I55" s="22">
        <f t="shared" si="0"/>
        <v>229.01136999999997</v>
      </c>
      <c r="J55" s="22">
        <f>IFERROR(Pagos[[#This Row],[Cantidad vendida]]*Pagos[[#This Row],[Ganancia unitaria (Vendedor)]],"-")</f>
        <v>229.01136999999997</v>
      </c>
      <c r="K55" s="1">
        <f>IFERROR(Pagos[[#This Row],[Ganancia unitaria]]-Pagos[[#This Row],[Ganancia unitaria (Vendedor)]],"-")</f>
        <v>373.65012999999999</v>
      </c>
      <c r="L55" s="1">
        <f>IFERROR(Pagos[[#This Row],[Cantidad vendida]]*(Pagos[[#This Row],[Ganancia individual (Tienda)]]),"-")</f>
        <v>373.65012999999999</v>
      </c>
      <c r="M55" s="1">
        <f>(VLOOKUP(Pagos[[#This Row],[Codigo del producto]],Stock[],13,FALSE))*Pagos[[#This Row],[Cantidad vendida]]</f>
        <v>597.33850000000007</v>
      </c>
      <c r="N55" s="1" t="s">
        <v>312</v>
      </c>
      <c r="O55" s="1"/>
    </row>
    <row r="56" spans="1:15" ht="17.25" x14ac:dyDescent="0.3">
      <c r="A56" s="7" t="s">
        <v>313</v>
      </c>
      <c r="B56" s="71">
        <v>46037</v>
      </c>
      <c r="C56" s="7" t="s">
        <v>30</v>
      </c>
      <c r="D56" s="20" t="str">
        <f>IFERROR(VLOOKUP(Pagos[[#This Row],[Codigo del producto]],Entradas[],3,FALSE),"No existe")</f>
        <v>KZ AZ09 Bluetooth Adapter</v>
      </c>
      <c r="E56" s="7">
        <v>1</v>
      </c>
      <c r="F56" s="10">
        <v>900</v>
      </c>
      <c r="G56" s="22">
        <f>IFERROR(Pagos[[#This Row],[Cantidad vendida]]*Pagos[[#This Row],[Precio de venta]],"-")</f>
        <v>900</v>
      </c>
      <c r="H56" s="22">
        <f>IFERROR(Pagos[[#This Row],[Precio de venta]]-VLOOKUP(Pagos[[#This Row],[Codigo del producto]],Stock[],13,FALSE),"-")</f>
        <v>451.904</v>
      </c>
      <c r="I56" s="22">
        <f t="shared" si="0"/>
        <v>180.76160000000002</v>
      </c>
      <c r="J56" s="22">
        <f>IFERROR(Pagos[[#This Row],[Cantidad vendida]]*Pagos[[#This Row],[Ganancia unitaria (Vendedor)]],"-")</f>
        <v>180.76160000000002</v>
      </c>
      <c r="K56" s="1">
        <f>IFERROR(Pagos[[#This Row],[Ganancia unitaria]]-Pagos[[#This Row],[Ganancia unitaria (Vendedor)]],"-")</f>
        <v>271.14239999999995</v>
      </c>
      <c r="L56" s="1">
        <f>IFERROR(Pagos[[#This Row],[Cantidad vendida]]*(Pagos[[#This Row],[Ganancia individual (Tienda)]]),"-")</f>
        <v>271.14239999999995</v>
      </c>
      <c r="M56" s="1">
        <f>(VLOOKUP(Pagos[[#This Row],[Codigo del producto]],Stock[],13,FALSE))*Pagos[[#This Row],[Cantidad vendida]]</f>
        <v>448.096</v>
      </c>
      <c r="N56" s="1" t="s">
        <v>312</v>
      </c>
      <c r="O56" s="1"/>
    </row>
    <row r="57" spans="1:15" ht="17.25" x14ac:dyDescent="0.3">
      <c r="A57" s="7" t="s">
        <v>313</v>
      </c>
      <c r="B57" s="71">
        <v>46037</v>
      </c>
      <c r="C57" s="7" t="s">
        <v>27</v>
      </c>
      <c r="D57" s="20" t="str">
        <f>IFERROR(VLOOKUP(Pagos[[#This Row],[Codigo del producto]],Entradas[],3,FALSE),"No existe")</f>
        <v>KZ Castor PRO Improved Bass</v>
      </c>
      <c r="E57" s="7">
        <v>1</v>
      </c>
      <c r="F57" s="10">
        <v>800</v>
      </c>
      <c r="G57" s="22">
        <f>IFERROR(Pagos[[#This Row],[Cantidad vendida]]*Pagos[[#This Row],[Precio de venta]],"-")</f>
        <v>800</v>
      </c>
      <c r="H57" s="22">
        <f>IFERROR(Pagos[[#This Row],[Precio de venta]]-VLOOKUP(Pagos[[#This Row],[Codigo del producto]],Stock[],13,FALSE),"-")</f>
        <v>442.92349999999999</v>
      </c>
      <c r="I57" s="22">
        <f t="shared" si="0"/>
        <v>177.1694</v>
      </c>
      <c r="J57" s="22">
        <f>IFERROR(Pagos[[#This Row],[Cantidad vendida]]*Pagos[[#This Row],[Ganancia unitaria (Vendedor)]],"-")</f>
        <v>177.1694</v>
      </c>
      <c r="K57" s="1">
        <f>IFERROR(Pagos[[#This Row],[Ganancia unitaria]]-Pagos[[#This Row],[Ganancia unitaria (Vendedor)]],"-")</f>
        <v>265.75409999999999</v>
      </c>
      <c r="L57" s="1">
        <f>IFERROR(Pagos[[#This Row],[Cantidad vendida]]*(Pagos[[#This Row],[Ganancia individual (Tienda)]]),"-")</f>
        <v>265.75409999999999</v>
      </c>
      <c r="M57" s="1">
        <f>(VLOOKUP(Pagos[[#This Row],[Codigo del producto]],Stock[],13,FALSE))*Pagos[[#This Row],[Cantidad vendida]]</f>
        <v>357.07650000000001</v>
      </c>
      <c r="N57" s="1" t="s">
        <v>312</v>
      </c>
      <c r="O57" s="1"/>
    </row>
    <row r="58" spans="1:15" ht="17.25" x14ac:dyDescent="0.3">
      <c r="A58" s="7" t="s">
        <v>311</v>
      </c>
      <c r="B58" s="71">
        <v>46037</v>
      </c>
      <c r="C58" s="7" t="s">
        <v>23</v>
      </c>
      <c r="D58" s="20" t="str">
        <f>IFERROR(VLOOKUP(Pagos[[#This Row],[Codigo del producto]],Entradas[],3,FALSE),"No existe")</f>
        <v>KZ EDX PRO X</v>
      </c>
      <c r="E58" s="7">
        <v>1</v>
      </c>
      <c r="F58" s="10">
        <v>400</v>
      </c>
      <c r="G58" s="22">
        <f>IFERROR(Pagos[[#This Row],[Cantidad vendida]]*Pagos[[#This Row],[Precio de venta]],"-")</f>
        <v>400</v>
      </c>
      <c r="H58" s="22">
        <f>IFERROR(Pagos[[#This Row],[Precio de venta]]-VLOOKUP(Pagos[[#This Row],[Codigo del producto]],Stock[],13,FALSE),"-")</f>
        <v>231.964</v>
      </c>
      <c r="I58" s="22">
        <f t="shared" si="0"/>
        <v>104.38380000000001</v>
      </c>
      <c r="J58" s="22">
        <f>IFERROR(Pagos[[#This Row],[Cantidad vendida]]*Pagos[[#This Row],[Ganancia unitaria (Vendedor)]],"-")</f>
        <v>104.38380000000001</v>
      </c>
      <c r="K58" s="1">
        <f>IFERROR(Pagos[[#This Row],[Ganancia unitaria]]-Pagos[[#This Row],[Ganancia unitaria (Vendedor)]],"-")</f>
        <v>127.58019999999999</v>
      </c>
      <c r="L58" s="1">
        <f>IFERROR(Pagos[[#This Row],[Cantidad vendida]]*(Pagos[[#This Row],[Ganancia individual (Tienda)]]),"-")</f>
        <v>127.58019999999999</v>
      </c>
      <c r="M58" s="1">
        <f>(VLOOKUP(Pagos[[#This Row],[Codigo del producto]],Stock[],13,FALSE))*Pagos[[#This Row],[Cantidad vendida]]</f>
        <v>168.036</v>
      </c>
      <c r="N58" s="1" t="s">
        <v>312</v>
      </c>
      <c r="O58" s="1"/>
    </row>
    <row r="59" spans="1:15" ht="17.25" x14ac:dyDescent="0.3">
      <c r="A59" s="7" t="s">
        <v>311</v>
      </c>
      <c r="B59" s="71">
        <v>46037</v>
      </c>
      <c r="C59" s="7" t="s">
        <v>19</v>
      </c>
      <c r="D59" s="20" t="str">
        <f>IFERROR(VLOOKUP(Pagos[[#This Row],[Codigo del producto]],Entradas[],3,FALSE),"No existe")</f>
        <v>Estuche Protecto KZ</v>
      </c>
      <c r="E59" s="7">
        <v>1</v>
      </c>
      <c r="F59" s="10">
        <v>150</v>
      </c>
      <c r="G59" s="22">
        <f>IFERROR(Pagos[[#This Row],[Cantidad vendida]]*Pagos[[#This Row],[Precio de venta]],"-")</f>
        <v>150</v>
      </c>
      <c r="H59" s="22">
        <f>IFERROR(Pagos[[#This Row],[Precio de venta]]-VLOOKUP(Pagos[[#This Row],[Codigo del producto]],Stock[],13,FALSE),"-")</f>
        <v>70.035499999999999</v>
      </c>
      <c r="I59" s="22">
        <f t="shared" si="0"/>
        <v>31.515975000000001</v>
      </c>
      <c r="J59" s="22">
        <f>IFERROR(Pagos[[#This Row],[Cantidad vendida]]*Pagos[[#This Row],[Ganancia unitaria (Vendedor)]],"-")</f>
        <v>31.515975000000001</v>
      </c>
      <c r="K59" s="1">
        <f>IFERROR(Pagos[[#This Row],[Ganancia unitaria]]-Pagos[[#This Row],[Ganancia unitaria (Vendedor)]],"-")</f>
        <v>38.519525000000002</v>
      </c>
      <c r="L59" s="1">
        <f>IFERROR(Pagos[[#This Row],[Cantidad vendida]]*(Pagos[[#This Row],[Ganancia individual (Tienda)]]),"-")</f>
        <v>38.519525000000002</v>
      </c>
      <c r="M59" s="1">
        <f>(VLOOKUP(Pagos[[#This Row],[Codigo del producto]],Stock[],13,FALSE))*Pagos[[#This Row],[Cantidad vendida]]</f>
        <v>79.964500000000001</v>
      </c>
      <c r="N59" s="1" t="s">
        <v>312</v>
      </c>
      <c r="O59" s="1"/>
    </row>
    <row r="60" spans="1:15" ht="17.25" x14ac:dyDescent="0.3">
      <c r="A60" s="7" t="s">
        <v>311</v>
      </c>
      <c r="B60" s="71">
        <v>46038</v>
      </c>
      <c r="C60" s="7" t="s">
        <v>33</v>
      </c>
      <c r="D60" s="20" t="str">
        <f>IFERROR(VLOOKUP(Pagos[[#This Row],[Codigo del producto]],Entradas[],3,FALSE),"No existe")</f>
        <v>Sharck Attack X11 Blanco</v>
      </c>
      <c r="E60" s="7">
        <v>1</v>
      </c>
      <c r="F60" s="10">
        <v>1200</v>
      </c>
      <c r="G60" s="22">
        <f>IFERROR(Pagos[[#This Row],[Cantidad vendida]]*Pagos[[#This Row],[Precio de venta]],"-")</f>
        <v>1200</v>
      </c>
      <c r="H60" s="22">
        <f>IFERROR(Pagos[[#This Row],[Precio de venta]]-VLOOKUP(Pagos[[#This Row],[Codigo del producto]],Stock[],13,FALSE),"-")</f>
        <v>602.66149999999993</v>
      </c>
      <c r="I60" s="22">
        <f t="shared" si="0"/>
        <v>229.01136999999997</v>
      </c>
      <c r="J60" s="22">
        <f>IFERROR(Pagos[[#This Row],[Cantidad vendida]]*Pagos[[#This Row],[Ganancia unitaria (Vendedor)]],"-")</f>
        <v>229.01136999999997</v>
      </c>
      <c r="K60" s="1">
        <f>IFERROR(Pagos[[#This Row],[Ganancia unitaria]]-Pagos[[#This Row],[Ganancia unitaria (Vendedor)]],"-")</f>
        <v>373.65012999999999</v>
      </c>
      <c r="L60" s="1">
        <f>IFERROR(Pagos[[#This Row],[Cantidad vendida]]*(Pagos[[#This Row],[Ganancia individual (Tienda)]]),"-")</f>
        <v>373.65012999999999</v>
      </c>
      <c r="M60" s="1">
        <f>(VLOOKUP(Pagos[[#This Row],[Codigo del producto]],Stock[],13,FALSE))*Pagos[[#This Row],[Cantidad vendida]]</f>
        <v>597.33850000000007</v>
      </c>
      <c r="N60" s="1" t="s">
        <v>312</v>
      </c>
      <c r="O60" s="1"/>
    </row>
    <row r="61" spans="1:15" ht="17.25" x14ac:dyDescent="0.3">
      <c r="A61" s="7" t="s">
        <v>311</v>
      </c>
      <c r="B61" s="71">
        <v>46038</v>
      </c>
      <c r="C61" s="7" t="s">
        <v>30</v>
      </c>
      <c r="D61" s="20" t="str">
        <f>IFERROR(VLOOKUP(Pagos[[#This Row],[Codigo del producto]],Entradas[],3,FALSE),"No existe")</f>
        <v>KZ AZ09 Bluetooth Adapter</v>
      </c>
      <c r="E61" s="7">
        <v>1</v>
      </c>
      <c r="F61" s="10">
        <v>900</v>
      </c>
      <c r="G61" s="22">
        <f>IFERROR(Pagos[[#This Row],[Cantidad vendida]]*Pagos[[#This Row],[Precio de venta]],"-")</f>
        <v>900</v>
      </c>
      <c r="H61" s="22">
        <f>IFERROR(Pagos[[#This Row],[Precio de venta]]-VLOOKUP(Pagos[[#This Row],[Codigo del producto]],Stock[],13,FALSE),"-")</f>
        <v>451.904</v>
      </c>
      <c r="I61" s="22">
        <f t="shared" si="0"/>
        <v>180.76160000000002</v>
      </c>
      <c r="J61" s="22">
        <f>IFERROR(Pagos[[#This Row],[Cantidad vendida]]*Pagos[[#This Row],[Ganancia unitaria (Vendedor)]],"-")</f>
        <v>180.76160000000002</v>
      </c>
      <c r="K61" s="1">
        <f>IFERROR(Pagos[[#This Row],[Ganancia unitaria]]-Pagos[[#This Row],[Ganancia unitaria (Vendedor)]],"-")</f>
        <v>271.14239999999995</v>
      </c>
      <c r="L61" s="1">
        <f>IFERROR(Pagos[[#This Row],[Cantidad vendida]]*(Pagos[[#This Row],[Ganancia individual (Tienda)]]),"-")</f>
        <v>271.14239999999995</v>
      </c>
      <c r="M61" s="1">
        <f>(VLOOKUP(Pagos[[#This Row],[Codigo del producto]],Stock[],13,FALSE))*Pagos[[#This Row],[Cantidad vendida]]</f>
        <v>448.096</v>
      </c>
      <c r="N61" s="1" t="s">
        <v>312</v>
      </c>
      <c r="O61" s="1"/>
    </row>
    <row r="62" spans="1:15" ht="17.25" x14ac:dyDescent="0.3">
      <c r="A62" s="7" t="s">
        <v>311</v>
      </c>
      <c r="B62" s="71">
        <v>46038</v>
      </c>
      <c r="C62" s="7" t="s">
        <v>45</v>
      </c>
      <c r="D62" s="20" t="str">
        <f>IFERROR(VLOOKUP(Pagos[[#This Row],[Codigo del producto]],Entradas[],3,FALSE),"No existe")</f>
        <v>KZ Castor Improved Bass</v>
      </c>
      <c r="E62" s="7">
        <v>1</v>
      </c>
      <c r="F62" s="10">
        <v>650</v>
      </c>
      <c r="G62" s="22">
        <f>IFERROR(Pagos[[#This Row],[Cantidad vendida]]*Pagos[[#This Row],[Precio de venta]],"-")</f>
        <v>650</v>
      </c>
      <c r="H62" s="22">
        <f>IFERROR(Pagos[[#This Row],[Precio de venta]]-VLOOKUP(Pagos[[#This Row],[Codigo del producto]],Stock[],13,FALSE),"-")</f>
        <v>317.98149999999993</v>
      </c>
      <c r="I62" s="22">
        <f t="shared" si="0"/>
        <v>127.19259999999997</v>
      </c>
      <c r="J62" s="22">
        <f>IFERROR(Pagos[[#This Row],[Cantidad vendida]]*Pagos[[#This Row],[Ganancia unitaria (Vendedor)]],"-")</f>
        <v>127.19259999999997</v>
      </c>
      <c r="K62" s="1">
        <f>IFERROR(Pagos[[#This Row],[Ganancia unitaria]]-Pagos[[#This Row],[Ganancia unitaria (Vendedor)]],"-")</f>
        <v>190.78889999999996</v>
      </c>
      <c r="L62" s="1">
        <f>IFERROR(Pagos[[#This Row],[Cantidad vendida]]*(Pagos[[#This Row],[Ganancia individual (Tienda)]]),"-")</f>
        <v>190.78889999999996</v>
      </c>
      <c r="M62" s="1">
        <f>(VLOOKUP(Pagos[[#This Row],[Codigo del producto]],Stock[],13,FALSE))*Pagos[[#This Row],[Cantidad vendida]]</f>
        <v>332.01850000000007</v>
      </c>
      <c r="N62" s="1" t="s">
        <v>312</v>
      </c>
      <c r="O62" s="1"/>
    </row>
    <row r="63" spans="1:15" ht="17.25" x14ac:dyDescent="0.3">
      <c r="A63" s="7" t="s">
        <v>315</v>
      </c>
      <c r="B63" s="71">
        <v>46038</v>
      </c>
      <c r="C63" s="7" t="s">
        <v>25</v>
      </c>
      <c r="D63" s="20" t="str">
        <f>IFERROR(VLOOKUP(Pagos[[#This Row],[Codigo del producto]],Entradas[],3,FALSE),"No existe")</f>
        <v>Sharck Attack R1 Negro</v>
      </c>
      <c r="E63" s="7">
        <v>1</v>
      </c>
      <c r="F63" s="10">
        <v>1000</v>
      </c>
      <c r="G63" s="22">
        <f>IFERROR(Pagos[[#This Row],[Cantidad vendida]]*Pagos[[#This Row],[Precio de venta]],"-")</f>
        <v>1000</v>
      </c>
      <c r="H63" s="22">
        <f>IFERROR(Pagos[[#This Row],[Precio de venta]]-VLOOKUP(Pagos[[#This Row],[Codigo del producto]],Stock[],13,FALSE),"-")</f>
        <v>310.16800000000001</v>
      </c>
      <c r="I63" s="22">
        <f t="shared" si="0"/>
        <v>124.06720000000001</v>
      </c>
      <c r="J63" s="22">
        <f>IFERROR(Pagos[[#This Row],[Cantidad vendida]]*Pagos[[#This Row],[Ganancia unitaria (Vendedor)]],"-")</f>
        <v>124.06720000000001</v>
      </c>
      <c r="K63" s="1">
        <f>IFERROR(Pagos[[#This Row],[Ganancia unitaria]]-Pagos[[#This Row],[Ganancia unitaria (Vendedor)]],"-")</f>
        <v>186.10079999999999</v>
      </c>
      <c r="L63" s="1">
        <f>IFERROR(Pagos[[#This Row],[Cantidad vendida]]*(Pagos[[#This Row],[Ganancia individual (Tienda)]]),"-")</f>
        <v>186.10079999999999</v>
      </c>
      <c r="M63" s="1">
        <f>(VLOOKUP(Pagos[[#This Row],[Codigo del producto]],Stock[],13,FALSE))*Pagos[[#This Row],[Cantidad vendida]]</f>
        <v>689.83199999999999</v>
      </c>
      <c r="N63" s="1" t="s">
        <v>312</v>
      </c>
      <c r="O63" s="1" t="s">
        <v>325</v>
      </c>
    </row>
    <row r="64" spans="1:15" ht="17.25" x14ac:dyDescent="0.3">
      <c r="A64" s="7" t="s">
        <v>311</v>
      </c>
      <c r="B64" s="71">
        <v>46038</v>
      </c>
      <c r="C64" s="7" t="s">
        <v>23</v>
      </c>
      <c r="D64" s="20" t="str">
        <f>IFERROR(VLOOKUP(Pagos[[#This Row],[Codigo del producto]],Entradas[],3,FALSE),"No existe")</f>
        <v>KZ EDX PRO X</v>
      </c>
      <c r="E64" s="7">
        <v>1</v>
      </c>
      <c r="F64" s="10">
        <v>400</v>
      </c>
      <c r="G64" s="22">
        <f>IFERROR(Pagos[[#This Row],[Cantidad vendida]]*Pagos[[#This Row],[Precio de venta]],"-")</f>
        <v>400</v>
      </c>
      <c r="H64" s="22">
        <f>IFERROR(Pagos[[#This Row],[Precio de venta]]-VLOOKUP(Pagos[[#This Row],[Codigo del producto]],Stock[],13,FALSE),"-")</f>
        <v>231.964</v>
      </c>
      <c r="I64" s="22">
        <f t="shared" si="0"/>
        <v>104.38380000000001</v>
      </c>
      <c r="J64" s="22">
        <f>IFERROR(Pagos[[#This Row],[Cantidad vendida]]*Pagos[[#This Row],[Ganancia unitaria (Vendedor)]],"-")</f>
        <v>104.38380000000001</v>
      </c>
      <c r="K64" s="1">
        <f>IFERROR(Pagos[[#This Row],[Ganancia unitaria]]-Pagos[[#This Row],[Ganancia unitaria (Vendedor)]],"-")</f>
        <v>127.58019999999999</v>
      </c>
      <c r="L64" s="1">
        <f>IFERROR(Pagos[[#This Row],[Cantidad vendida]]*(Pagos[[#This Row],[Ganancia individual (Tienda)]]),"-")</f>
        <v>127.58019999999999</v>
      </c>
      <c r="M64" s="1">
        <f>(VLOOKUP(Pagos[[#This Row],[Codigo del producto]],Stock[],13,FALSE))*Pagos[[#This Row],[Cantidad vendida]]</f>
        <v>168.036</v>
      </c>
      <c r="N64" s="1" t="s">
        <v>312</v>
      </c>
      <c r="O64" s="1"/>
    </row>
    <row r="65" spans="1:15" ht="17.25" x14ac:dyDescent="0.3">
      <c r="A65" s="7" t="s">
        <v>313</v>
      </c>
      <c r="B65" s="71">
        <v>46038</v>
      </c>
      <c r="C65" s="7" t="s">
        <v>32</v>
      </c>
      <c r="D65" s="20" t="str">
        <f>IFERROR(VLOOKUP(Pagos[[#This Row],[Codigo del producto]],Entradas[],3,FALSE),"No existe")</f>
        <v>Cargadores USB para moto</v>
      </c>
      <c r="E65" s="7">
        <v>1</v>
      </c>
      <c r="F65" s="10">
        <v>500</v>
      </c>
      <c r="G65" s="22">
        <f>IFERROR(Pagos[[#This Row],[Cantidad vendida]]*Pagos[[#This Row],[Precio de venta]],"-")</f>
        <v>500</v>
      </c>
      <c r="H65" s="22">
        <f>IFERROR(Pagos[[#This Row],[Precio de venta]]-VLOOKUP(Pagos[[#This Row],[Codigo del producto]],Stock[],13,FALSE),"-")</f>
        <v>214.04399999999998</v>
      </c>
      <c r="I65" s="22">
        <f t="shared" si="0"/>
        <v>96.319800000000001</v>
      </c>
      <c r="J65" s="22">
        <f>IFERROR(Pagos[[#This Row],[Cantidad vendida]]*Pagos[[#This Row],[Ganancia unitaria (Vendedor)]],"-")</f>
        <v>96.319800000000001</v>
      </c>
      <c r="K65" s="1">
        <f>IFERROR(Pagos[[#This Row],[Ganancia unitaria]]-Pagos[[#This Row],[Ganancia unitaria (Vendedor)]],"-")</f>
        <v>117.72419999999998</v>
      </c>
      <c r="L65" s="1">
        <f>IFERROR(Pagos[[#This Row],[Cantidad vendida]]*(Pagos[[#This Row],[Ganancia individual (Tienda)]]),"-")</f>
        <v>117.72419999999998</v>
      </c>
      <c r="M65" s="1">
        <f>(VLOOKUP(Pagos[[#This Row],[Codigo del producto]],Stock[],13,FALSE))*Pagos[[#This Row],[Cantidad vendida]]</f>
        <v>285.95600000000002</v>
      </c>
      <c r="N65" s="1" t="s">
        <v>312</v>
      </c>
      <c r="O65" s="1"/>
    </row>
    <row r="66" spans="1:15" ht="17.25" x14ac:dyDescent="0.3">
      <c r="A66" s="7" t="s">
        <v>311</v>
      </c>
      <c r="B66" s="71">
        <v>46038</v>
      </c>
      <c r="C66" s="7" t="s">
        <v>40</v>
      </c>
      <c r="D66" s="20" t="str">
        <f>IFERROR(VLOOKUP(Pagos[[#This Row],[Codigo del producto]],Entradas[],3,FALSE),"No existe")</f>
        <v xml:space="preserve">Adaptador DAC </v>
      </c>
      <c r="E66" s="7">
        <v>1</v>
      </c>
      <c r="F66" s="10">
        <v>350</v>
      </c>
      <c r="G66" s="22">
        <f>IFERROR(Pagos[[#This Row],[Cantidad vendida]]*Pagos[[#This Row],[Precio de venta]],"-")</f>
        <v>350</v>
      </c>
      <c r="H66" s="22">
        <f>IFERROR(Pagos[[#This Row],[Precio de venta]]-VLOOKUP(Pagos[[#This Row],[Codigo del producto]],Stock[],13,FALSE),"-")</f>
        <v>166.48700000000002</v>
      </c>
      <c r="I66" s="22">
        <f t="shared" si="0"/>
        <v>74.919150000000016</v>
      </c>
      <c r="J66" s="22">
        <f>IFERROR(Pagos[[#This Row],[Cantidad vendida]]*Pagos[[#This Row],[Ganancia unitaria (Vendedor)]],"-")</f>
        <v>74.919150000000016</v>
      </c>
      <c r="K66" s="1">
        <f>IFERROR(Pagos[[#This Row],[Ganancia unitaria]]-Pagos[[#This Row],[Ganancia unitaria (Vendedor)]],"-")</f>
        <v>91.567850000000007</v>
      </c>
      <c r="L66" s="1">
        <f>IFERROR(Pagos[[#This Row],[Cantidad vendida]]*(Pagos[[#This Row],[Ganancia individual (Tienda)]]),"-")</f>
        <v>91.567850000000007</v>
      </c>
      <c r="M66" s="1">
        <f>(VLOOKUP(Pagos[[#This Row],[Codigo del producto]],Stock[],13,FALSE))*Pagos[[#This Row],[Cantidad vendida]]</f>
        <v>183.51299999999998</v>
      </c>
      <c r="N66" s="1" t="s">
        <v>312</v>
      </c>
      <c r="O66" s="1"/>
    </row>
    <row r="67" spans="1:15" ht="17.25" x14ac:dyDescent="0.3">
      <c r="A67" s="7" t="s">
        <v>311</v>
      </c>
      <c r="B67" s="71">
        <v>46038</v>
      </c>
      <c r="C67" s="7" t="s">
        <v>40</v>
      </c>
      <c r="D67" s="20" t="str">
        <f>IFERROR(VLOOKUP(Pagos[[#This Row],[Codigo del producto]],Entradas[],3,FALSE),"No existe")</f>
        <v xml:space="preserve">Adaptador DAC </v>
      </c>
      <c r="E67" s="7">
        <v>1</v>
      </c>
      <c r="F67" s="10">
        <v>350</v>
      </c>
      <c r="G67" s="22">
        <f>IFERROR(Pagos[[#This Row],[Cantidad vendida]]*Pagos[[#This Row],[Precio de venta]],"-")</f>
        <v>350</v>
      </c>
      <c r="H67" s="22">
        <f>IFERROR(Pagos[[#This Row],[Precio de venta]]-VLOOKUP(Pagos[[#This Row],[Codigo del producto]],Stock[],13,FALSE),"-")</f>
        <v>166.48700000000002</v>
      </c>
      <c r="I67" s="22">
        <f t="shared" si="0"/>
        <v>74.919150000000016</v>
      </c>
      <c r="J67" s="22">
        <f>IFERROR(Pagos[[#This Row],[Cantidad vendida]]*Pagos[[#This Row],[Ganancia unitaria (Vendedor)]],"-")</f>
        <v>74.919150000000016</v>
      </c>
      <c r="K67" s="1">
        <f>IFERROR(Pagos[[#This Row],[Ganancia unitaria]]-Pagos[[#This Row],[Ganancia unitaria (Vendedor)]],"-")</f>
        <v>91.567850000000007</v>
      </c>
      <c r="L67" s="1">
        <f>IFERROR(Pagos[[#This Row],[Cantidad vendida]]*(Pagos[[#This Row],[Ganancia individual (Tienda)]]),"-")</f>
        <v>91.567850000000007</v>
      </c>
      <c r="M67" s="1">
        <f>(VLOOKUP(Pagos[[#This Row],[Codigo del producto]],Stock[],13,FALSE))*Pagos[[#This Row],[Cantidad vendida]]</f>
        <v>183.51299999999998</v>
      </c>
      <c r="N67" s="1" t="s">
        <v>312</v>
      </c>
      <c r="O67" s="1" t="s">
        <v>326</v>
      </c>
    </row>
    <row r="68" spans="1:15" ht="17.25" x14ac:dyDescent="0.3">
      <c r="A68" s="7" t="s">
        <v>311</v>
      </c>
      <c r="B68" s="71">
        <v>46039</v>
      </c>
      <c r="C68" s="7" t="s">
        <v>33</v>
      </c>
      <c r="D68" s="20" t="str">
        <f>IFERROR(VLOOKUP(Pagos[[#This Row],[Codigo del producto]],Entradas[],3,FALSE),"No existe")</f>
        <v>Sharck Attack X11 Blanco</v>
      </c>
      <c r="E68" s="7">
        <v>1</v>
      </c>
      <c r="F68" s="10">
        <v>1200</v>
      </c>
      <c r="G68" s="22">
        <f>IFERROR(Pagos[[#This Row],[Cantidad vendida]]*Pagos[[#This Row],[Precio de venta]],"-")</f>
        <v>1200</v>
      </c>
      <c r="H68" s="22">
        <f>IFERROR(Pagos[[#This Row],[Precio de venta]]-VLOOKUP(Pagos[[#This Row],[Codigo del producto]],Stock[],13,FALSE),"-")</f>
        <v>602.66149999999993</v>
      </c>
      <c r="I68" s="22">
        <f t="shared" ref="I68:I131" si="1">IFERROR(
  IF(H68&lt;=0,"-",
    IF(H68&lt;=300, H68*0.45,
      IF(H68&lt;=600, H68*0.4,
        IF(H68&lt;=900, H68*0.38,
          IF(H68&lt;=1000, H68*0.35,
            IF(H68&lt;=1400, H68*0.32,
              IF(H68&lt;=1800, H68*0.3,
                IF(H68&gt;=2000, H68*0.28,
                  "-"
                )
              )
            )
          )
        )
      )
    )
  ),
  "-"
)</f>
        <v>229.01136999999997</v>
      </c>
      <c r="J68" s="22">
        <f>IFERROR(Pagos[[#This Row],[Cantidad vendida]]*Pagos[[#This Row],[Ganancia unitaria (Vendedor)]],"-")</f>
        <v>229.01136999999997</v>
      </c>
      <c r="K68" s="1">
        <f>IFERROR(Pagos[[#This Row],[Ganancia unitaria]]-Pagos[[#This Row],[Ganancia unitaria (Vendedor)]],"-")</f>
        <v>373.65012999999999</v>
      </c>
      <c r="L68" s="1">
        <f>IFERROR(Pagos[[#This Row],[Cantidad vendida]]*(Pagos[[#This Row],[Ganancia individual (Tienda)]]),"-")</f>
        <v>373.65012999999999</v>
      </c>
      <c r="M68" s="1">
        <f>(VLOOKUP(Pagos[[#This Row],[Codigo del producto]],Stock[],13,FALSE))*Pagos[[#This Row],[Cantidad vendida]]</f>
        <v>597.33850000000007</v>
      </c>
      <c r="N68" s="1" t="s">
        <v>312</v>
      </c>
      <c r="O68" s="1"/>
    </row>
    <row r="69" spans="1:15" ht="17.25" x14ac:dyDescent="0.3">
      <c r="A69" s="7" t="s">
        <v>311</v>
      </c>
      <c r="B69" s="71">
        <v>46039</v>
      </c>
      <c r="C69" s="7" t="s">
        <v>60</v>
      </c>
      <c r="D69" s="20" t="str">
        <f>IFERROR(VLOOKUP(Pagos[[#This Row],[Codigo del producto]],Entradas[],3,FALSE),"No existe")</f>
        <v>NUBWO G06</v>
      </c>
      <c r="E69" s="7">
        <v>1</v>
      </c>
      <c r="F69" s="10">
        <v>1200</v>
      </c>
      <c r="G69" s="22">
        <f>IFERROR(Pagos[[#This Row],[Cantidad vendida]]*Pagos[[#This Row],[Precio de venta]],"-")</f>
        <v>1200</v>
      </c>
      <c r="H69" s="22">
        <f>IFERROR(Pagos[[#This Row],[Precio de venta]]-VLOOKUP(Pagos[[#This Row],[Codigo del producto]],Stock[],13,FALSE),"-")</f>
        <v>464.47399999999993</v>
      </c>
      <c r="I69" s="22">
        <f t="shared" si="1"/>
        <v>185.78959999999998</v>
      </c>
      <c r="J69" s="22">
        <f>IFERROR(Pagos[[#This Row],[Cantidad vendida]]*Pagos[[#This Row],[Ganancia unitaria (Vendedor)]],"-")</f>
        <v>185.78959999999998</v>
      </c>
      <c r="K69" s="1">
        <f>IFERROR(Pagos[[#This Row],[Ganancia unitaria]]-Pagos[[#This Row],[Ganancia unitaria (Vendedor)]],"-")</f>
        <v>278.68439999999998</v>
      </c>
      <c r="L69" s="1">
        <f>IFERROR(Pagos[[#This Row],[Cantidad vendida]]*(Pagos[[#This Row],[Ganancia individual (Tienda)]]),"-")</f>
        <v>278.68439999999998</v>
      </c>
      <c r="M69" s="1">
        <f>(VLOOKUP(Pagos[[#This Row],[Codigo del producto]],Stock[],13,FALSE))*Pagos[[#This Row],[Cantidad vendida]]</f>
        <v>735.52600000000007</v>
      </c>
      <c r="N69" s="1" t="s">
        <v>312</v>
      </c>
      <c r="O69" s="1"/>
    </row>
    <row r="70" spans="1:15" ht="17.25" x14ac:dyDescent="0.3">
      <c r="A70" s="7" t="s">
        <v>313</v>
      </c>
      <c r="B70" s="71">
        <v>46039</v>
      </c>
      <c r="C70" s="7" t="s">
        <v>45</v>
      </c>
      <c r="D70" s="20" t="str">
        <f>IFERROR(VLOOKUP(Pagos[[#This Row],[Codigo del producto]],Entradas[],3,FALSE),"No existe")</f>
        <v>KZ Castor Improved Bass</v>
      </c>
      <c r="E70" s="7">
        <v>1</v>
      </c>
      <c r="F70" s="10">
        <v>650</v>
      </c>
      <c r="G70" s="22">
        <f>IFERROR(Pagos[[#This Row],[Cantidad vendida]]*Pagos[[#This Row],[Precio de venta]],"-")</f>
        <v>650</v>
      </c>
      <c r="H70" s="22">
        <f>IFERROR(Pagos[[#This Row],[Precio de venta]]-VLOOKUP(Pagos[[#This Row],[Codigo del producto]],Stock[],13,FALSE),"-")</f>
        <v>317.98149999999993</v>
      </c>
      <c r="I70" s="22">
        <f t="shared" si="1"/>
        <v>127.19259999999997</v>
      </c>
      <c r="J70" s="22">
        <f>IFERROR(Pagos[[#This Row],[Cantidad vendida]]*Pagos[[#This Row],[Ganancia unitaria (Vendedor)]],"-")</f>
        <v>127.19259999999997</v>
      </c>
      <c r="K70" s="1">
        <f>IFERROR(Pagos[[#This Row],[Ganancia unitaria]]-Pagos[[#This Row],[Ganancia unitaria (Vendedor)]],"-")</f>
        <v>190.78889999999996</v>
      </c>
      <c r="L70" s="1">
        <f>IFERROR(Pagos[[#This Row],[Cantidad vendida]]*(Pagos[[#This Row],[Ganancia individual (Tienda)]]),"-")</f>
        <v>190.78889999999996</v>
      </c>
      <c r="M70" s="1">
        <f>(VLOOKUP(Pagos[[#This Row],[Codigo del producto]],Stock[],13,FALSE))*Pagos[[#This Row],[Cantidad vendida]]</f>
        <v>332.01850000000007</v>
      </c>
      <c r="N70" s="1" t="s">
        <v>312</v>
      </c>
      <c r="O70" s="1"/>
    </row>
    <row r="71" spans="1:15" ht="17.25" x14ac:dyDescent="0.3">
      <c r="A71" s="7" t="s">
        <v>311</v>
      </c>
      <c r="B71" s="71">
        <v>46039</v>
      </c>
      <c r="C71" s="7" t="s">
        <v>23</v>
      </c>
      <c r="D71" s="20" t="str">
        <f>IFERROR(VLOOKUP(Pagos[[#This Row],[Codigo del producto]],Entradas[],3,FALSE),"No existe")</f>
        <v>KZ EDX PRO X</v>
      </c>
      <c r="E71" s="7">
        <v>1</v>
      </c>
      <c r="F71" s="10">
        <v>400</v>
      </c>
      <c r="G71" s="22">
        <f>IFERROR(Pagos[[#This Row],[Cantidad vendida]]*Pagos[[#This Row],[Precio de venta]],"-")</f>
        <v>400</v>
      </c>
      <c r="H71" s="22">
        <f>IFERROR(Pagos[[#This Row],[Precio de venta]]-VLOOKUP(Pagos[[#This Row],[Codigo del producto]],Stock[],13,FALSE),"-")</f>
        <v>231.964</v>
      </c>
      <c r="I71" s="22">
        <f t="shared" si="1"/>
        <v>104.38380000000001</v>
      </c>
      <c r="J71" s="22">
        <f>IFERROR(Pagos[[#This Row],[Cantidad vendida]]*Pagos[[#This Row],[Ganancia unitaria (Vendedor)]],"-")</f>
        <v>104.38380000000001</v>
      </c>
      <c r="K71" s="1">
        <f>IFERROR(Pagos[[#This Row],[Ganancia unitaria]]-Pagos[[#This Row],[Ganancia unitaria (Vendedor)]],"-")</f>
        <v>127.58019999999999</v>
      </c>
      <c r="L71" s="1">
        <f>IFERROR(Pagos[[#This Row],[Cantidad vendida]]*(Pagos[[#This Row],[Ganancia individual (Tienda)]]),"-")</f>
        <v>127.58019999999999</v>
      </c>
      <c r="M71" s="1">
        <f>(VLOOKUP(Pagos[[#This Row],[Codigo del producto]],Stock[],13,FALSE))*Pagos[[#This Row],[Cantidad vendida]]</f>
        <v>168.036</v>
      </c>
      <c r="N71" s="1" t="s">
        <v>312</v>
      </c>
      <c r="O71" s="1"/>
    </row>
    <row r="72" spans="1:15" ht="17.25" x14ac:dyDescent="0.3">
      <c r="A72" s="7" t="s">
        <v>313</v>
      </c>
      <c r="B72" s="71">
        <v>46039</v>
      </c>
      <c r="C72" s="7" t="s">
        <v>32</v>
      </c>
      <c r="D72" s="20" t="str">
        <f>IFERROR(VLOOKUP(Pagos[[#This Row],[Codigo del producto]],Entradas[],3,FALSE),"No existe")</f>
        <v>Cargadores USB para moto</v>
      </c>
      <c r="E72" s="7">
        <v>1</v>
      </c>
      <c r="F72" s="10">
        <v>500</v>
      </c>
      <c r="G72" s="22">
        <f>IFERROR(Pagos[[#This Row],[Cantidad vendida]]*Pagos[[#This Row],[Precio de venta]],"-")</f>
        <v>500</v>
      </c>
      <c r="H72" s="22">
        <f>IFERROR(Pagos[[#This Row],[Precio de venta]]-VLOOKUP(Pagos[[#This Row],[Codigo del producto]],Stock[],13,FALSE),"-")</f>
        <v>214.04399999999998</v>
      </c>
      <c r="I72" s="22">
        <f t="shared" si="1"/>
        <v>96.319800000000001</v>
      </c>
      <c r="J72" s="22">
        <f>IFERROR(Pagos[[#This Row],[Cantidad vendida]]*Pagos[[#This Row],[Ganancia unitaria (Vendedor)]],"-")</f>
        <v>96.319800000000001</v>
      </c>
      <c r="K72" s="1">
        <f>IFERROR(Pagos[[#This Row],[Ganancia unitaria]]-Pagos[[#This Row],[Ganancia unitaria (Vendedor)]],"-")</f>
        <v>117.72419999999998</v>
      </c>
      <c r="L72" s="1">
        <f>IFERROR(Pagos[[#This Row],[Cantidad vendida]]*(Pagos[[#This Row],[Ganancia individual (Tienda)]]),"-")</f>
        <v>117.72419999999998</v>
      </c>
      <c r="M72" s="1">
        <f>(VLOOKUP(Pagos[[#This Row],[Codigo del producto]],Stock[],13,FALSE))*Pagos[[#This Row],[Cantidad vendida]]</f>
        <v>285.95600000000002</v>
      </c>
      <c r="N72" s="1" t="s">
        <v>312</v>
      </c>
      <c r="O72" s="1"/>
    </row>
    <row r="73" spans="1:15" ht="17.25" x14ac:dyDescent="0.3">
      <c r="A73" s="7" t="s">
        <v>311</v>
      </c>
      <c r="B73" s="71">
        <v>46039</v>
      </c>
      <c r="C73" s="7" t="s">
        <v>32</v>
      </c>
      <c r="D73" s="20" t="str">
        <f>IFERROR(VLOOKUP(Pagos[[#This Row],[Codigo del producto]],Entradas[],3,FALSE),"No existe")</f>
        <v>Cargadores USB para moto</v>
      </c>
      <c r="E73" s="7">
        <v>1</v>
      </c>
      <c r="F73" s="10">
        <v>500</v>
      </c>
      <c r="G73" s="22">
        <f>IFERROR(Pagos[[#This Row],[Cantidad vendida]]*Pagos[[#This Row],[Precio de venta]],"-")</f>
        <v>500</v>
      </c>
      <c r="H73" s="22">
        <f>IFERROR(Pagos[[#This Row],[Precio de venta]]-VLOOKUP(Pagos[[#This Row],[Codigo del producto]],Stock[],13,FALSE),"-")</f>
        <v>214.04399999999998</v>
      </c>
      <c r="I73" s="22">
        <f t="shared" si="1"/>
        <v>96.319800000000001</v>
      </c>
      <c r="J73" s="22">
        <f>IFERROR(Pagos[[#This Row],[Cantidad vendida]]*Pagos[[#This Row],[Ganancia unitaria (Vendedor)]],"-")</f>
        <v>96.319800000000001</v>
      </c>
      <c r="K73" s="1">
        <f>IFERROR(Pagos[[#This Row],[Ganancia unitaria]]-Pagos[[#This Row],[Ganancia unitaria (Vendedor)]],"-")</f>
        <v>117.72419999999998</v>
      </c>
      <c r="L73" s="1">
        <f>IFERROR(Pagos[[#This Row],[Cantidad vendida]]*(Pagos[[#This Row],[Ganancia individual (Tienda)]]),"-")</f>
        <v>117.72419999999998</v>
      </c>
      <c r="M73" s="1">
        <f>(VLOOKUP(Pagos[[#This Row],[Codigo del producto]],Stock[],13,FALSE))*Pagos[[#This Row],[Cantidad vendida]]</f>
        <v>285.95600000000002</v>
      </c>
      <c r="N73" s="1" t="s">
        <v>312</v>
      </c>
      <c r="O73" s="1"/>
    </row>
    <row r="74" spans="1:15" ht="17.25" x14ac:dyDescent="0.3">
      <c r="A74" s="7" t="s">
        <v>313</v>
      </c>
      <c r="B74" s="71">
        <v>46039</v>
      </c>
      <c r="C74" s="7" t="s">
        <v>41</v>
      </c>
      <c r="D74" s="20" t="str">
        <f>IFERROR(VLOOKUP(Pagos[[#This Row],[Codigo del producto]],Entradas[],3,FALSE),"No existe")</f>
        <v>Halogenos para moto</v>
      </c>
      <c r="E74" s="7">
        <v>1</v>
      </c>
      <c r="F74" s="10">
        <v>350</v>
      </c>
      <c r="G74" s="22">
        <f>IFERROR(Pagos[[#This Row],[Cantidad vendida]]*Pagos[[#This Row],[Precio de venta]],"-")</f>
        <v>350</v>
      </c>
      <c r="H74" s="22">
        <f>IFERROR(Pagos[[#This Row],[Precio de venta]]-VLOOKUP(Pagos[[#This Row],[Codigo del producto]],Stock[],13,FALSE),"-")</f>
        <v>203.33699999999999</v>
      </c>
      <c r="I74" s="22">
        <f t="shared" si="1"/>
        <v>91.501649999999998</v>
      </c>
      <c r="J74" s="22">
        <f>IFERROR(Pagos[[#This Row],[Cantidad vendida]]*Pagos[[#This Row],[Ganancia unitaria (Vendedor)]],"-")</f>
        <v>91.501649999999998</v>
      </c>
      <c r="K74" s="1">
        <f>IFERROR(Pagos[[#This Row],[Ganancia unitaria]]-Pagos[[#This Row],[Ganancia unitaria (Vendedor)]],"-")</f>
        <v>111.83534999999999</v>
      </c>
      <c r="L74" s="1">
        <f>IFERROR(Pagos[[#This Row],[Cantidad vendida]]*(Pagos[[#This Row],[Ganancia individual (Tienda)]]),"-")</f>
        <v>111.83534999999999</v>
      </c>
      <c r="M74" s="1">
        <f>(VLOOKUP(Pagos[[#This Row],[Codigo del producto]],Stock[],13,FALSE))*Pagos[[#This Row],[Cantidad vendida]]</f>
        <v>146.66300000000001</v>
      </c>
      <c r="N74" s="1" t="s">
        <v>312</v>
      </c>
      <c r="O74" s="1"/>
    </row>
    <row r="75" spans="1:15" ht="17.25" x14ac:dyDescent="0.3">
      <c r="A75" s="7" t="s">
        <v>316</v>
      </c>
      <c r="B75" s="71">
        <v>46039</v>
      </c>
      <c r="C75" s="7" t="s">
        <v>40</v>
      </c>
      <c r="D75" s="20" t="str">
        <f>IFERROR(VLOOKUP(Pagos[[#This Row],[Codigo del producto]],Entradas[],3,FALSE),"No existe")</f>
        <v xml:space="preserve">Adaptador DAC </v>
      </c>
      <c r="E75" s="7">
        <v>1</v>
      </c>
      <c r="F75" s="10">
        <v>350</v>
      </c>
      <c r="G75" s="22">
        <f>IFERROR(Pagos[[#This Row],[Cantidad vendida]]*Pagos[[#This Row],[Precio de venta]],"-")</f>
        <v>350</v>
      </c>
      <c r="H75" s="22">
        <f>IFERROR(Pagos[[#This Row],[Precio de venta]]-VLOOKUP(Pagos[[#This Row],[Codigo del producto]],Stock[],13,FALSE),"-")</f>
        <v>166.48700000000002</v>
      </c>
      <c r="I75" s="22">
        <f t="shared" si="1"/>
        <v>74.919150000000016</v>
      </c>
      <c r="J75" s="22">
        <f>IFERROR(Pagos[[#This Row],[Cantidad vendida]]*Pagos[[#This Row],[Ganancia unitaria (Vendedor)]],"-")</f>
        <v>74.919150000000016</v>
      </c>
      <c r="K75" s="1">
        <f>IFERROR(Pagos[[#This Row],[Ganancia unitaria]]-Pagos[[#This Row],[Ganancia unitaria (Vendedor)]],"-")</f>
        <v>91.567850000000007</v>
      </c>
      <c r="L75" s="1">
        <f>IFERROR(Pagos[[#This Row],[Cantidad vendida]]*(Pagos[[#This Row],[Ganancia individual (Tienda)]]),"-")</f>
        <v>91.567850000000007</v>
      </c>
      <c r="M75" s="1">
        <f>(VLOOKUP(Pagos[[#This Row],[Codigo del producto]],Stock[],13,FALSE))*Pagos[[#This Row],[Cantidad vendida]]</f>
        <v>183.51299999999998</v>
      </c>
      <c r="N75" s="1" t="s">
        <v>312</v>
      </c>
      <c r="O75" s="1"/>
    </row>
    <row r="76" spans="1:15" ht="17.25" x14ac:dyDescent="0.3">
      <c r="A76" s="7" t="s">
        <v>311</v>
      </c>
      <c r="B76" s="71">
        <v>46040</v>
      </c>
      <c r="C76" s="7" t="s">
        <v>59</v>
      </c>
      <c r="D76" s="20" t="str">
        <f>IFERROR(VLOOKUP(Pagos[[#This Row],[Codigo del producto]],Entradas[],3,FALSE),"No existe")</f>
        <v>Teclado Mecanico EPOMaker Galaxy100 Lite - Black</v>
      </c>
      <c r="E76" s="7">
        <v>1</v>
      </c>
      <c r="F76" s="10">
        <v>4390</v>
      </c>
      <c r="G76" s="22">
        <f>IFERROR(Pagos[[#This Row],[Cantidad vendida]]*Pagos[[#This Row],[Precio de venta]],"-")</f>
        <v>4390</v>
      </c>
      <c r="H76" s="22">
        <f>IFERROR(Pagos[[#This Row],[Precio de venta]]-VLOOKUP(Pagos[[#This Row],[Codigo del producto]],Stock[],13,FALSE),"-")</f>
        <v>1266.2255</v>
      </c>
      <c r="I76" s="22">
        <f t="shared" si="1"/>
        <v>405.19216</v>
      </c>
      <c r="J76" s="22">
        <f>IFERROR(Pagos[[#This Row],[Cantidad vendida]]*Pagos[[#This Row],[Ganancia unitaria (Vendedor)]],"-")</f>
        <v>405.19216</v>
      </c>
      <c r="K76" s="1">
        <f>IFERROR(Pagos[[#This Row],[Ganancia unitaria]]-Pagos[[#This Row],[Ganancia unitaria (Vendedor)]],"-")</f>
        <v>861.03333999999995</v>
      </c>
      <c r="L76" s="1">
        <f>IFERROR(Pagos[[#This Row],[Cantidad vendida]]*(Pagos[[#This Row],[Ganancia individual (Tienda)]]),"-")</f>
        <v>861.03333999999995</v>
      </c>
      <c r="M76" s="1">
        <f>(VLOOKUP(Pagos[[#This Row],[Codigo del producto]],Stock[],13,FALSE))*Pagos[[#This Row],[Cantidad vendida]]</f>
        <v>3123.7745</v>
      </c>
      <c r="N76" s="1" t="s">
        <v>312</v>
      </c>
      <c r="O76" s="1"/>
    </row>
    <row r="77" spans="1:15" ht="17.25" x14ac:dyDescent="0.3">
      <c r="A77" s="7" t="s">
        <v>311</v>
      </c>
      <c r="B77" s="71">
        <v>46040</v>
      </c>
      <c r="C77" s="7" t="s">
        <v>52</v>
      </c>
      <c r="D77" s="20" t="str">
        <f>IFERROR(VLOOKUP(Pagos[[#This Row],[Codigo del producto]],Entradas[],3,FALSE),"No existe")</f>
        <v>NYXI Pro controller (Orange)</v>
      </c>
      <c r="E77" s="7">
        <v>1</v>
      </c>
      <c r="F77" s="10">
        <v>2190</v>
      </c>
      <c r="G77" s="22">
        <f>IFERROR(Pagos[[#This Row],[Cantidad vendida]]*Pagos[[#This Row],[Precio de venta]],"-")</f>
        <v>2190</v>
      </c>
      <c r="H77" s="22">
        <f>IFERROR(Pagos[[#This Row],[Precio de venta]]-VLOOKUP(Pagos[[#This Row],[Codigo del producto]],Stock[],13,FALSE),"-")</f>
        <v>717.10549999999989</v>
      </c>
      <c r="I77" s="22">
        <f t="shared" si="1"/>
        <v>272.50008999999994</v>
      </c>
      <c r="J77" s="22">
        <f>IFERROR(Pagos[[#This Row],[Cantidad vendida]]*Pagos[[#This Row],[Ganancia unitaria (Vendedor)]],"-")</f>
        <v>272.50008999999994</v>
      </c>
      <c r="K77" s="1">
        <f>IFERROR(Pagos[[#This Row],[Ganancia unitaria]]-Pagos[[#This Row],[Ganancia unitaria (Vendedor)]],"-")</f>
        <v>444.60540999999995</v>
      </c>
      <c r="L77" s="1">
        <f>IFERROR(Pagos[[#This Row],[Cantidad vendida]]*(Pagos[[#This Row],[Ganancia individual (Tienda)]]),"-")</f>
        <v>444.60540999999995</v>
      </c>
      <c r="M77" s="1">
        <f>(VLOOKUP(Pagos[[#This Row],[Codigo del producto]],Stock[],13,FALSE))*Pagos[[#This Row],[Cantidad vendida]]</f>
        <v>1472.8945000000001</v>
      </c>
      <c r="N77" s="1" t="s">
        <v>312</v>
      </c>
      <c r="O77" s="1"/>
    </row>
    <row r="78" spans="1:15" ht="17.25" x14ac:dyDescent="0.3">
      <c r="A78" s="7" t="s">
        <v>311</v>
      </c>
      <c r="B78" s="71">
        <v>46040</v>
      </c>
      <c r="C78" s="7" t="s">
        <v>56</v>
      </c>
      <c r="D78" s="20" t="str">
        <f>IFERROR(VLOOKUP(Pagos[[#This Row],[Codigo del producto]],Entradas[],3,FALSE),"No existe")</f>
        <v>Teclado Mecanico K500 60%</v>
      </c>
      <c r="E78" s="7">
        <v>1</v>
      </c>
      <c r="F78" s="10">
        <v>2000</v>
      </c>
      <c r="G78" s="22">
        <f>IFERROR(Pagos[[#This Row],[Cantidad vendida]]*Pagos[[#This Row],[Precio de venta]],"-")</f>
        <v>2000</v>
      </c>
      <c r="H78" s="22">
        <f>IFERROR(Pagos[[#This Row],[Precio de venta]]-VLOOKUP(Pagos[[#This Row],[Codigo del producto]],Stock[],13,FALSE),"-")</f>
        <v>653.86950000000002</v>
      </c>
      <c r="I78" s="22">
        <f t="shared" si="1"/>
        <v>248.47041000000002</v>
      </c>
      <c r="J78" s="22">
        <f>IFERROR(Pagos[[#This Row],[Cantidad vendida]]*Pagos[[#This Row],[Ganancia unitaria (Vendedor)]],"-")</f>
        <v>248.47041000000002</v>
      </c>
      <c r="K78" s="1">
        <f>IFERROR(Pagos[[#This Row],[Ganancia unitaria]]-Pagos[[#This Row],[Ganancia unitaria (Vendedor)]],"-")</f>
        <v>405.39909</v>
      </c>
      <c r="L78" s="1">
        <f>IFERROR(Pagos[[#This Row],[Cantidad vendida]]*(Pagos[[#This Row],[Ganancia individual (Tienda)]]),"-")</f>
        <v>405.39909</v>
      </c>
      <c r="M78" s="1">
        <f>(VLOOKUP(Pagos[[#This Row],[Codigo del producto]],Stock[],13,FALSE))*Pagos[[#This Row],[Cantidad vendida]]</f>
        <v>1346.1305</v>
      </c>
      <c r="N78" s="1" t="s">
        <v>312</v>
      </c>
      <c r="O78" s="1"/>
    </row>
    <row r="79" spans="1:15" ht="17.25" x14ac:dyDescent="0.3">
      <c r="A79" s="1" t="s">
        <v>315</v>
      </c>
      <c r="B79" s="71">
        <v>46040</v>
      </c>
      <c r="C79" s="7" t="s">
        <v>30</v>
      </c>
      <c r="D79" s="20" t="str">
        <f>IFERROR(VLOOKUP(Pagos[[#This Row],[Codigo del producto]],Entradas[],3,FALSE),"No existe")</f>
        <v>KZ AZ09 Bluetooth Adapter</v>
      </c>
      <c r="E79" s="7">
        <v>1</v>
      </c>
      <c r="F79" s="10">
        <v>900</v>
      </c>
      <c r="G79" s="22">
        <f>IFERROR(Pagos[[#This Row],[Cantidad vendida]]*Pagos[[#This Row],[Precio de venta]],"-")</f>
        <v>900</v>
      </c>
      <c r="H79" s="22">
        <f>IFERROR(Pagos[[#This Row],[Precio de venta]]-VLOOKUP(Pagos[[#This Row],[Codigo del producto]],Stock[],13,FALSE),"-")</f>
        <v>451.904</v>
      </c>
      <c r="I79" s="22">
        <f t="shared" si="1"/>
        <v>180.76160000000002</v>
      </c>
      <c r="J79" s="22">
        <f>IFERROR(Pagos[[#This Row],[Cantidad vendida]]*Pagos[[#This Row],[Ganancia unitaria (Vendedor)]],"-")</f>
        <v>180.76160000000002</v>
      </c>
      <c r="K79" s="1">
        <f>IFERROR(Pagos[[#This Row],[Ganancia unitaria]]-Pagos[[#This Row],[Ganancia unitaria (Vendedor)]],"-")</f>
        <v>271.14239999999995</v>
      </c>
      <c r="L79" s="1">
        <f>IFERROR(Pagos[[#This Row],[Cantidad vendida]]*(Pagos[[#This Row],[Ganancia individual (Tienda)]]),"-")</f>
        <v>271.14239999999995</v>
      </c>
      <c r="M79" s="1">
        <f>(VLOOKUP(Pagos[[#This Row],[Codigo del producto]],Stock[],13,FALSE))*Pagos[[#This Row],[Cantidad vendida]]</f>
        <v>448.096</v>
      </c>
      <c r="N79" s="1" t="s">
        <v>312</v>
      </c>
      <c r="O79" s="1"/>
    </row>
    <row r="80" spans="1:15" ht="17.25" x14ac:dyDescent="0.3">
      <c r="A80" s="1" t="s">
        <v>315</v>
      </c>
      <c r="B80" s="71">
        <v>46040</v>
      </c>
      <c r="C80" s="7" t="s">
        <v>45</v>
      </c>
      <c r="D80" s="20" t="str">
        <f>IFERROR(VLOOKUP(Pagos[[#This Row],[Codigo del producto]],Entradas[],3,FALSE),"No existe")</f>
        <v>KZ Castor Improved Bass</v>
      </c>
      <c r="E80" s="7">
        <v>1</v>
      </c>
      <c r="F80" s="10">
        <v>650</v>
      </c>
      <c r="G80" s="22">
        <f>IFERROR(Pagos[[#This Row],[Cantidad vendida]]*Pagos[[#This Row],[Precio de venta]],"-")</f>
        <v>650</v>
      </c>
      <c r="H80" s="22">
        <f>IFERROR(Pagos[[#This Row],[Precio de venta]]-VLOOKUP(Pagos[[#This Row],[Codigo del producto]],Stock[],13,FALSE),"-")</f>
        <v>317.98149999999993</v>
      </c>
      <c r="I80" s="22">
        <f t="shared" si="1"/>
        <v>127.19259999999997</v>
      </c>
      <c r="J80" s="22">
        <f>IFERROR(Pagos[[#This Row],[Cantidad vendida]]*Pagos[[#This Row],[Ganancia unitaria (Vendedor)]],"-")</f>
        <v>127.19259999999997</v>
      </c>
      <c r="K80" s="1">
        <f>IFERROR(Pagos[[#This Row],[Ganancia unitaria]]-Pagos[[#This Row],[Ganancia unitaria (Vendedor)]],"-")</f>
        <v>190.78889999999996</v>
      </c>
      <c r="L80" s="1">
        <f>IFERROR(Pagos[[#This Row],[Cantidad vendida]]*(Pagos[[#This Row],[Ganancia individual (Tienda)]]),"-")</f>
        <v>190.78889999999996</v>
      </c>
      <c r="M80" s="1">
        <f>(VLOOKUP(Pagos[[#This Row],[Codigo del producto]],Stock[],13,FALSE))*Pagos[[#This Row],[Cantidad vendida]]</f>
        <v>332.01850000000007</v>
      </c>
      <c r="N80" s="1" t="s">
        <v>312</v>
      </c>
      <c r="O80" s="1"/>
    </row>
    <row r="81" spans="1:15" ht="17.25" x14ac:dyDescent="0.3">
      <c r="A81" s="7" t="s">
        <v>311</v>
      </c>
      <c r="B81" s="71">
        <v>46040</v>
      </c>
      <c r="C81" s="7" t="s">
        <v>32</v>
      </c>
      <c r="D81" s="20" t="str">
        <f>IFERROR(VLOOKUP(Pagos[[#This Row],[Codigo del producto]],Entradas[],3,FALSE),"No existe")</f>
        <v>Cargadores USB para moto</v>
      </c>
      <c r="E81" s="7">
        <v>1</v>
      </c>
      <c r="F81" s="10">
        <v>500</v>
      </c>
      <c r="G81" s="22">
        <f>IFERROR(Pagos[[#This Row],[Cantidad vendida]]*Pagos[[#This Row],[Precio de venta]],"-")</f>
        <v>500</v>
      </c>
      <c r="H81" s="22">
        <f>IFERROR(Pagos[[#This Row],[Precio de venta]]-VLOOKUP(Pagos[[#This Row],[Codigo del producto]],Stock[],13,FALSE),"-")</f>
        <v>214.04399999999998</v>
      </c>
      <c r="I81" s="22">
        <f t="shared" si="1"/>
        <v>96.319800000000001</v>
      </c>
      <c r="J81" s="22">
        <f>IFERROR(Pagos[[#This Row],[Cantidad vendida]]*Pagos[[#This Row],[Ganancia unitaria (Vendedor)]],"-")</f>
        <v>96.319800000000001</v>
      </c>
      <c r="K81" s="1">
        <f>IFERROR(Pagos[[#This Row],[Ganancia unitaria]]-Pagos[[#This Row],[Ganancia unitaria (Vendedor)]],"-")</f>
        <v>117.72419999999998</v>
      </c>
      <c r="L81" s="1">
        <f>IFERROR(Pagos[[#This Row],[Cantidad vendida]]*(Pagos[[#This Row],[Ganancia individual (Tienda)]]),"-")</f>
        <v>117.72419999999998</v>
      </c>
      <c r="M81" s="1">
        <f>(VLOOKUP(Pagos[[#This Row],[Codigo del producto]],Stock[],13,FALSE))*Pagos[[#This Row],[Cantidad vendida]]</f>
        <v>285.95600000000002</v>
      </c>
      <c r="N81" s="1" t="s">
        <v>312</v>
      </c>
      <c r="O81" s="1"/>
    </row>
    <row r="82" spans="1:15" ht="17.25" x14ac:dyDescent="0.3">
      <c r="A82" s="1" t="s">
        <v>315</v>
      </c>
      <c r="B82" s="71">
        <v>46040</v>
      </c>
      <c r="C82" s="7" t="s">
        <v>19</v>
      </c>
      <c r="D82" s="20" t="str">
        <f>IFERROR(VLOOKUP(Pagos[[#This Row],[Codigo del producto]],Entradas[],3,FALSE),"No existe")</f>
        <v>Estuche Protecto KZ</v>
      </c>
      <c r="E82" s="7">
        <v>1</v>
      </c>
      <c r="F82" s="10">
        <v>150</v>
      </c>
      <c r="G82" s="22">
        <f>IFERROR(Pagos[[#This Row],[Cantidad vendida]]*Pagos[[#This Row],[Precio de venta]],"-")</f>
        <v>150</v>
      </c>
      <c r="H82" s="22">
        <f>IFERROR(Pagos[[#This Row],[Precio de venta]]-VLOOKUP(Pagos[[#This Row],[Codigo del producto]],Stock[],13,FALSE),"-")</f>
        <v>70.035499999999999</v>
      </c>
      <c r="I82" s="22">
        <f t="shared" si="1"/>
        <v>31.515975000000001</v>
      </c>
      <c r="J82" s="22">
        <f>IFERROR(Pagos[[#This Row],[Cantidad vendida]]*Pagos[[#This Row],[Ganancia unitaria (Vendedor)]],"-")</f>
        <v>31.515975000000001</v>
      </c>
      <c r="K82" s="1">
        <f>IFERROR(Pagos[[#This Row],[Ganancia unitaria]]-Pagos[[#This Row],[Ganancia unitaria (Vendedor)]],"-")</f>
        <v>38.519525000000002</v>
      </c>
      <c r="L82" s="1">
        <f>IFERROR(Pagos[[#This Row],[Cantidad vendida]]*(Pagos[[#This Row],[Ganancia individual (Tienda)]]),"-")</f>
        <v>38.519525000000002</v>
      </c>
      <c r="M82" s="1">
        <f>(VLOOKUP(Pagos[[#This Row],[Codigo del producto]],Stock[],13,FALSE))*Pagos[[#This Row],[Cantidad vendida]]</f>
        <v>79.964500000000001</v>
      </c>
      <c r="N82" s="1" t="s">
        <v>312</v>
      </c>
      <c r="O82" s="1"/>
    </row>
    <row r="83" spans="1:15" ht="17.25" x14ac:dyDescent="0.3">
      <c r="A83" s="1" t="s">
        <v>327</v>
      </c>
      <c r="B83" s="71">
        <v>46041</v>
      </c>
      <c r="C83" s="7" t="s">
        <v>30</v>
      </c>
      <c r="D83" s="20" t="str">
        <f>IFERROR(VLOOKUP(Pagos[[#This Row],[Codigo del producto]],Entradas[],3,FALSE),"No existe")</f>
        <v>KZ AZ09 Bluetooth Adapter</v>
      </c>
      <c r="E83" s="7">
        <v>1</v>
      </c>
      <c r="F83" s="10">
        <v>900</v>
      </c>
      <c r="G83" s="22">
        <f>IFERROR(Pagos[[#This Row],[Cantidad vendida]]*Pagos[[#This Row],[Precio de venta]],"-")</f>
        <v>900</v>
      </c>
      <c r="H83" s="22">
        <f>IFERROR(Pagos[[#This Row],[Precio de venta]]-VLOOKUP(Pagos[[#This Row],[Codigo del producto]],Stock[],13,FALSE),"-")</f>
        <v>451.904</v>
      </c>
      <c r="I83" s="22">
        <f t="shared" si="1"/>
        <v>180.76160000000002</v>
      </c>
      <c r="J83" s="22">
        <f>IFERROR(Pagos[[#This Row],[Cantidad vendida]]*Pagos[[#This Row],[Ganancia unitaria (Vendedor)]],"-")</f>
        <v>180.76160000000002</v>
      </c>
      <c r="K83" s="1">
        <f>IFERROR(Pagos[[#This Row],[Ganancia unitaria]]-Pagos[[#This Row],[Ganancia unitaria (Vendedor)]],"-")</f>
        <v>271.14239999999995</v>
      </c>
      <c r="L83" s="1">
        <f>IFERROR(Pagos[[#This Row],[Cantidad vendida]]*(Pagos[[#This Row],[Ganancia individual (Tienda)]]),"-")</f>
        <v>271.14239999999995</v>
      </c>
      <c r="M83" s="1">
        <f>(VLOOKUP(Pagos[[#This Row],[Codigo del producto]],Stock[],13,FALSE))*Pagos[[#This Row],[Cantidad vendida]]</f>
        <v>448.096</v>
      </c>
      <c r="N83" s="1" t="s">
        <v>312</v>
      </c>
      <c r="O83" s="1"/>
    </row>
    <row r="84" spans="1:15" ht="17.25" x14ac:dyDescent="0.3">
      <c r="A84" s="1" t="s">
        <v>315</v>
      </c>
      <c r="B84" s="71">
        <v>46042</v>
      </c>
      <c r="C84" s="7" t="s">
        <v>53</v>
      </c>
      <c r="D84" s="20" t="str">
        <f>IFERROR(VLOOKUP(Pagos[[#This Row],[Codigo del producto]],Entradas[],3,FALSE),"No existe")</f>
        <v>Teclado Mecanico CK600</v>
      </c>
      <c r="E84" s="7">
        <v>1</v>
      </c>
      <c r="F84" s="10">
        <v>3660</v>
      </c>
      <c r="G84" s="22">
        <f>IFERROR(Pagos[[#This Row],[Cantidad vendida]]*Pagos[[#This Row],[Precio de venta]],"-")</f>
        <v>3660</v>
      </c>
      <c r="H84" s="22">
        <f>IFERROR(Pagos[[#This Row],[Precio de venta]]-VLOOKUP(Pagos[[#This Row],[Codigo del producto]],Stock[],13,FALSE),"-")</f>
        <v>1602.2959999999998</v>
      </c>
      <c r="I84" s="22">
        <f t="shared" si="1"/>
        <v>480.6887999999999</v>
      </c>
      <c r="J84" s="22">
        <f>IFERROR(Pagos[[#This Row],[Cantidad vendida]]*Pagos[[#This Row],[Ganancia unitaria (Vendedor)]],"-")</f>
        <v>480.6887999999999</v>
      </c>
      <c r="K84" s="1">
        <f>IFERROR(Pagos[[#This Row],[Ganancia unitaria]]-Pagos[[#This Row],[Ganancia unitaria (Vendedor)]],"-")</f>
        <v>1121.6071999999999</v>
      </c>
      <c r="L84" s="1">
        <f>IFERROR(Pagos[[#This Row],[Cantidad vendida]]*(Pagos[[#This Row],[Ganancia individual (Tienda)]]),"-")</f>
        <v>1121.6071999999999</v>
      </c>
      <c r="M84" s="1">
        <f>(VLOOKUP(Pagos[[#This Row],[Codigo del producto]],Stock[],13,FALSE))*Pagos[[#This Row],[Cantidad vendida]]</f>
        <v>2057.7040000000002</v>
      </c>
      <c r="N84" s="1" t="s">
        <v>312</v>
      </c>
      <c r="O84" s="1" t="s">
        <v>328</v>
      </c>
    </row>
    <row r="85" spans="1:15" ht="17.25" x14ac:dyDescent="0.3">
      <c r="A85" s="1" t="s">
        <v>315</v>
      </c>
      <c r="B85" s="71">
        <v>46042</v>
      </c>
      <c r="C85" s="7" t="s">
        <v>58</v>
      </c>
      <c r="D85" s="20" t="str">
        <f>IFERROR(VLOOKUP(Pagos[[#This Row],[Codigo del producto]],Entradas[],3,FALSE),"No existe")</f>
        <v>Teclado Mecanico EPOMaker Galaxy100 Lite - White</v>
      </c>
      <c r="E85" s="7">
        <v>1</v>
      </c>
      <c r="F85" s="10">
        <v>4390</v>
      </c>
      <c r="G85" s="22">
        <f>IFERROR(Pagos[[#This Row],[Cantidad vendida]]*Pagos[[#This Row],[Precio de venta]],"-")</f>
        <v>4390</v>
      </c>
      <c r="H85" s="22">
        <f>IFERROR(Pagos[[#This Row],[Precio de venta]]-VLOOKUP(Pagos[[#This Row],[Codigo del producto]],Stock[],13,FALSE),"-")</f>
        <v>1266.2255</v>
      </c>
      <c r="I85" s="22">
        <f t="shared" si="1"/>
        <v>405.19216</v>
      </c>
      <c r="J85" s="22">
        <f>IFERROR(Pagos[[#This Row],[Cantidad vendida]]*Pagos[[#This Row],[Ganancia unitaria (Vendedor)]],"-")</f>
        <v>405.19216</v>
      </c>
      <c r="K85" s="1">
        <f>IFERROR(Pagos[[#This Row],[Ganancia unitaria]]-Pagos[[#This Row],[Ganancia unitaria (Vendedor)]],"-")</f>
        <v>861.03333999999995</v>
      </c>
      <c r="L85" s="1">
        <f>IFERROR(Pagos[[#This Row],[Cantidad vendida]]*(Pagos[[#This Row],[Ganancia individual (Tienda)]]),"-")</f>
        <v>861.03333999999995</v>
      </c>
      <c r="M85" s="1">
        <f>(VLOOKUP(Pagos[[#This Row],[Codigo del producto]],Stock[],13,FALSE))*Pagos[[#This Row],[Cantidad vendida]]</f>
        <v>3123.7745</v>
      </c>
      <c r="N85" s="1" t="s">
        <v>312</v>
      </c>
      <c r="O85" s="1" t="s">
        <v>329</v>
      </c>
    </row>
    <row r="86" spans="1:15" ht="17.25" x14ac:dyDescent="0.3">
      <c r="A86" s="1" t="s">
        <v>315</v>
      </c>
      <c r="B86" s="71">
        <v>46042</v>
      </c>
      <c r="C86" s="7" t="s">
        <v>58</v>
      </c>
      <c r="D86" s="20" t="str">
        <f>IFERROR(VLOOKUP(Pagos[[#This Row],[Codigo del producto]],Entradas[],3,FALSE),"No existe")</f>
        <v>Teclado Mecanico EPOMaker Galaxy100 Lite - White</v>
      </c>
      <c r="E86" s="7">
        <v>1</v>
      </c>
      <c r="F86" s="10">
        <v>4390</v>
      </c>
      <c r="G86" s="22">
        <f>IFERROR(Pagos[[#This Row],[Cantidad vendida]]*Pagos[[#This Row],[Precio de venta]],"-")</f>
        <v>4390</v>
      </c>
      <c r="H86" s="22">
        <f>IFERROR(Pagos[[#This Row],[Precio de venta]]-VLOOKUP(Pagos[[#This Row],[Codigo del producto]],Stock[],13,FALSE),"-")</f>
        <v>1266.2255</v>
      </c>
      <c r="I86" s="22">
        <f t="shared" si="1"/>
        <v>405.19216</v>
      </c>
      <c r="J86" s="22">
        <f>IFERROR(Pagos[[#This Row],[Cantidad vendida]]*Pagos[[#This Row],[Ganancia unitaria (Vendedor)]],"-")</f>
        <v>405.19216</v>
      </c>
      <c r="K86" s="1">
        <f>IFERROR(Pagos[[#This Row],[Ganancia unitaria]]-Pagos[[#This Row],[Ganancia unitaria (Vendedor)]],"-")</f>
        <v>861.03333999999995</v>
      </c>
      <c r="L86" s="1">
        <f>IFERROR(Pagos[[#This Row],[Cantidad vendida]]*(Pagos[[#This Row],[Ganancia individual (Tienda)]]),"-")</f>
        <v>861.03333999999995</v>
      </c>
      <c r="M86" s="1">
        <f>(VLOOKUP(Pagos[[#This Row],[Codigo del producto]],Stock[],13,FALSE))*Pagos[[#This Row],[Cantidad vendida]]</f>
        <v>3123.7745</v>
      </c>
      <c r="N86" s="1" t="s">
        <v>312</v>
      </c>
      <c r="O86" s="1" t="s">
        <v>330</v>
      </c>
    </row>
    <row r="87" spans="1:15" ht="17.25" x14ac:dyDescent="0.3">
      <c r="A87" s="1" t="s">
        <v>315</v>
      </c>
      <c r="B87" s="71">
        <v>46042</v>
      </c>
      <c r="C87" s="7" t="s">
        <v>59</v>
      </c>
      <c r="D87" s="20" t="str">
        <f>IFERROR(VLOOKUP(Pagos[[#This Row],[Codigo del producto]],Entradas[],3,FALSE),"No existe")</f>
        <v>Teclado Mecanico EPOMaker Galaxy100 Lite - Black</v>
      </c>
      <c r="E87" s="7">
        <v>1</v>
      </c>
      <c r="F87" s="10">
        <v>3660</v>
      </c>
      <c r="G87" s="22">
        <f>IFERROR(Pagos[[#This Row],[Cantidad vendida]]*Pagos[[#This Row],[Precio de venta]],"-")</f>
        <v>3660</v>
      </c>
      <c r="H87" s="22">
        <f>IFERROR(Pagos[[#This Row],[Precio de venta]]-VLOOKUP(Pagos[[#This Row],[Codigo del producto]],Stock[],13,FALSE),"-")</f>
        <v>536.22550000000001</v>
      </c>
      <c r="I87" s="22">
        <f t="shared" si="1"/>
        <v>214.49020000000002</v>
      </c>
      <c r="J87" s="22">
        <f>IFERROR(Pagos[[#This Row],[Cantidad vendida]]*Pagos[[#This Row],[Ganancia unitaria (Vendedor)]],"-")</f>
        <v>214.49020000000002</v>
      </c>
      <c r="K87" s="1">
        <f>IFERROR(Pagos[[#This Row],[Ganancia unitaria]]-Pagos[[#This Row],[Ganancia unitaria (Vendedor)]],"-")</f>
        <v>321.7353</v>
      </c>
      <c r="L87" s="1">
        <f>IFERROR(Pagos[[#This Row],[Cantidad vendida]]*(Pagos[[#This Row],[Ganancia individual (Tienda)]]),"-")</f>
        <v>321.7353</v>
      </c>
      <c r="M87" s="1">
        <f>(VLOOKUP(Pagos[[#This Row],[Codigo del producto]],Stock[],13,FALSE))*Pagos[[#This Row],[Cantidad vendida]]</f>
        <v>3123.7745</v>
      </c>
      <c r="N87" s="1" t="s">
        <v>312</v>
      </c>
      <c r="O87" s="1" t="s">
        <v>331</v>
      </c>
    </row>
    <row r="88" spans="1:15" ht="17.25" x14ac:dyDescent="0.3">
      <c r="A88" s="7" t="s">
        <v>311</v>
      </c>
      <c r="B88" s="71">
        <v>46042</v>
      </c>
      <c r="C88" s="7" t="s">
        <v>30</v>
      </c>
      <c r="D88" s="20" t="str">
        <f>IFERROR(VLOOKUP(Pagos[[#This Row],[Codigo del producto]],Entradas[],3,FALSE),"No existe")</f>
        <v>KZ AZ09 Bluetooth Adapter</v>
      </c>
      <c r="E88" s="7">
        <v>1</v>
      </c>
      <c r="F88" s="10">
        <v>900</v>
      </c>
      <c r="G88" s="22">
        <f>IFERROR(Pagos[[#This Row],[Cantidad vendida]]*Pagos[[#This Row],[Precio de venta]],"-")</f>
        <v>900</v>
      </c>
      <c r="H88" s="22">
        <f>IFERROR(Pagos[[#This Row],[Precio de venta]]-VLOOKUP(Pagos[[#This Row],[Codigo del producto]],Stock[],13,FALSE),"-")</f>
        <v>451.904</v>
      </c>
      <c r="I88" s="22">
        <f t="shared" si="1"/>
        <v>180.76160000000002</v>
      </c>
      <c r="J88" s="22">
        <f>IFERROR(Pagos[[#This Row],[Cantidad vendida]]*Pagos[[#This Row],[Ganancia unitaria (Vendedor)]],"-")</f>
        <v>180.76160000000002</v>
      </c>
      <c r="K88" s="1">
        <f>IFERROR(Pagos[[#This Row],[Ganancia unitaria]]-Pagos[[#This Row],[Ganancia unitaria (Vendedor)]],"-")</f>
        <v>271.14239999999995</v>
      </c>
      <c r="L88" s="1">
        <f>IFERROR(Pagos[[#This Row],[Cantidad vendida]]*(Pagos[[#This Row],[Ganancia individual (Tienda)]]),"-")</f>
        <v>271.14239999999995</v>
      </c>
      <c r="M88" s="1">
        <f>(VLOOKUP(Pagos[[#This Row],[Codigo del producto]],Stock[],13,FALSE))*Pagos[[#This Row],[Cantidad vendida]]</f>
        <v>448.096</v>
      </c>
      <c r="N88" s="1" t="s">
        <v>312</v>
      </c>
      <c r="O88" s="1"/>
    </row>
    <row r="89" spans="1:15" ht="17.25" x14ac:dyDescent="0.3">
      <c r="A89" s="1" t="s">
        <v>315</v>
      </c>
      <c r="B89" s="71">
        <v>46042</v>
      </c>
      <c r="C89" s="7" t="s">
        <v>50</v>
      </c>
      <c r="D89" s="20" t="str">
        <f>IFERROR(VLOOKUP(Pagos[[#This Row],[Codigo del producto]],Entradas[],3,FALSE),"No existe")</f>
        <v>Headset L80 Negro</v>
      </c>
      <c r="E89" s="7">
        <v>1</v>
      </c>
      <c r="F89" s="10">
        <v>1300</v>
      </c>
      <c r="G89" s="22">
        <f>IFERROR(Pagos[[#This Row],[Cantidad vendida]]*Pagos[[#This Row],[Precio de venta]],"-")</f>
        <v>1300</v>
      </c>
      <c r="H89" s="22">
        <f>IFERROR(Pagos[[#This Row],[Precio de venta]]-VLOOKUP(Pagos[[#This Row],[Codigo del producto]],Stock[],13,FALSE),"-")</f>
        <v>420.02200000000005</v>
      </c>
      <c r="I89" s="22">
        <f t="shared" si="1"/>
        <v>168.00880000000004</v>
      </c>
      <c r="J89" s="22">
        <f>IFERROR(Pagos[[#This Row],[Cantidad vendida]]*Pagos[[#This Row],[Ganancia unitaria (Vendedor)]],"-")</f>
        <v>168.00880000000004</v>
      </c>
      <c r="K89" s="1">
        <f>IFERROR(Pagos[[#This Row],[Ganancia unitaria]]-Pagos[[#This Row],[Ganancia unitaria (Vendedor)]],"-")</f>
        <v>252.01320000000001</v>
      </c>
      <c r="L89" s="1">
        <f>IFERROR(Pagos[[#This Row],[Cantidad vendida]]*(Pagos[[#This Row],[Ganancia individual (Tienda)]]),"-")</f>
        <v>252.01320000000001</v>
      </c>
      <c r="M89" s="1">
        <f>(VLOOKUP(Pagos[[#This Row],[Codigo del producto]],Stock[],13,FALSE))*Pagos[[#This Row],[Cantidad vendida]]</f>
        <v>879.97799999999995</v>
      </c>
      <c r="N89" s="1" t="s">
        <v>312</v>
      </c>
      <c r="O89" s="1" t="s">
        <v>332</v>
      </c>
    </row>
    <row r="90" spans="1:15" ht="17.25" x14ac:dyDescent="0.3">
      <c r="A90" s="7" t="s">
        <v>311</v>
      </c>
      <c r="B90" s="71">
        <v>46042</v>
      </c>
      <c r="C90" s="7" t="s">
        <v>45</v>
      </c>
      <c r="D90" s="20" t="str">
        <f>IFERROR(VLOOKUP(Pagos[[#This Row],[Codigo del producto]],Entradas[],3,FALSE),"No existe")</f>
        <v>KZ Castor Improved Bass</v>
      </c>
      <c r="E90" s="7">
        <v>2</v>
      </c>
      <c r="F90" s="10">
        <v>650</v>
      </c>
      <c r="G90" s="22">
        <f>IFERROR(Pagos[[#This Row],[Cantidad vendida]]*Pagos[[#This Row],[Precio de venta]],"-")</f>
        <v>1300</v>
      </c>
      <c r="H90" s="22">
        <f>IFERROR(Pagos[[#This Row],[Precio de venta]]-VLOOKUP(Pagos[[#This Row],[Codigo del producto]],Stock[],13,FALSE),"-")</f>
        <v>317.98149999999993</v>
      </c>
      <c r="I90" s="22">
        <f t="shared" si="1"/>
        <v>127.19259999999997</v>
      </c>
      <c r="J90" s="22">
        <f>IFERROR(Pagos[[#This Row],[Cantidad vendida]]*Pagos[[#This Row],[Ganancia unitaria (Vendedor)]],"-")</f>
        <v>254.38519999999994</v>
      </c>
      <c r="K90" s="1">
        <f>IFERROR(Pagos[[#This Row],[Ganancia unitaria]]-Pagos[[#This Row],[Ganancia unitaria (Vendedor)]],"-")</f>
        <v>190.78889999999996</v>
      </c>
      <c r="L90" s="1">
        <f>IFERROR(Pagos[[#This Row],[Cantidad vendida]]*(Pagos[[#This Row],[Ganancia individual (Tienda)]]),"-")</f>
        <v>381.57779999999991</v>
      </c>
      <c r="M90" s="1">
        <f>(VLOOKUP(Pagos[[#This Row],[Codigo del producto]],Stock[],13,FALSE))*Pagos[[#This Row],[Cantidad vendida]]</f>
        <v>664.03700000000015</v>
      </c>
      <c r="N90" s="1" t="s">
        <v>312</v>
      </c>
      <c r="O90" s="1"/>
    </row>
    <row r="91" spans="1:15" ht="17.25" x14ac:dyDescent="0.3">
      <c r="A91" s="7" t="s">
        <v>311</v>
      </c>
      <c r="B91" s="71">
        <v>46042</v>
      </c>
      <c r="C91" s="7" t="s">
        <v>25</v>
      </c>
      <c r="D91" s="20" t="str">
        <f>IFERROR(VLOOKUP(Pagos[[#This Row],[Codigo del producto]],Entradas[],3,FALSE),"No existe")</f>
        <v>Sharck Attack R1 Negro</v>
      </c>
      <c r="E91" s="7">
        <v>1</v>
      </c>
      <c r="F91" s="10">
        <v>1000</v>
      </c>
      <c r="G91" s="22">
        <f>IFERROR(Pagos[[#This Row],[Cantidad vendida]]*Pagos[[#This Row],[Precio de venta]],"-")</f>
        <v>1000</v>
      </c>
      <c r="H91" s="22">
        <f>IFERROR(Pagos[[#This Row],[Precio de venta]]-VLOOKUP(Pagos[[#This Row],[Codigo del producto]],Stock[],13,FALSE),"-")</f>
        <v>310.16800000000001</v>
      </c>
      <c r="I91" s="22">
        <f t="shared" si="1"/>
        <v>124.06720000000001</v>
      </c>
      <c r="J91" s="22">
        <f>IFERROR(Pagos[[#This Row],[Cantidad vendida]]*Pagos[[#This Row],[Ganancia unitaria (Vendedor)]],"-")</f>
        <v>124.06720000000001</v>
      </c>
      <c r="K91" s="1">
        <f>IFERROR(Pagos[[#This Row],[Ganancia unitaria]]-Pagos[[#This Row],[Ganancia unitaria (Vendedor)]],"-")</f>
        <v>186.10079999999999</v>
      </c>
      <c r="L91" s="1">
        <f>IFERROR(Pagos[[#This Row],[Cantidad vendida]]*(Pagos[[#This Row],[Ganancia individual (Tienda)]]),"-")</f>
        <v>186.10079999999999</v>
      </c>
      <c r="M91" s="1">
        <f>(VLOOKUP(Pagos[[#This Row],[Codigo del producto]],Stock[],13,FALSE))*Pagos[[#This Row],[Cantidad vendida]]</f>
        <v>689.83199999999999</v>
      </c>
      <c r="N91" s="1" t="s">
        <v>312</v>
      </c>
      <c r="O91" s="1"/>
    </row>
    <row r="92" spans="1:15" ht="17.25" x14ac:dyDescent="0.3">
      <c r="A92" s="1" t="s">
        <v>327</v>
      </c>
      <c r="B92" s="71">
        <v>46042</v>
      </c>
      <c r="C92" s="7" t="s">
        <v>32</v>
      </c>
      <c r="D92" s="20" t="str">
        <f>IFERROR(VLOOKUP(Pagos[[#This Row],[Codigo del producto]],Entradas[],3,FALSE),"No existe")</f>
        <v>Cargadores USB para moto</v>
      </c>
      <c r="E92" s="7">
        <v>1</v>
      </c>
      <c r="F92" s="10">
        <v>500</v>
      </c>
      <c r="G92" s="22">
        <f>IFERROR(Pagos[[#This Row],[Cantidad vendida]]*Pagos[[#This Row],[Precio de venta]],"-")</f>
        <v>500</v>
      </c>
      <c r="H92" s="22">
        <f>IFERROR(Pagos[[#This Row],[Precio de venta]]-VLOOKUP(Pagos[[#This Row],[Codigo del producto]],Stock[],13,FALSE),"-")</f>
        <v>214.04399999999998</v>
      </c>
      <c r="I92" s="22">
        <f t="shared" si="1"/>
        <v>96.319800000000001</v>
      </c>
      <c r="J92" s="22">
        <f>IFERROR(Pagos[[#This Row],[Cantidad vendida]]*Pagos[[#This Row],[Ganancia unitaria (Vendedor)]],"-")</f>
        <v>96.319800000000001</v>
      </c>
      <c r="K92" s="1">
        <f>IFERROR(Pagos[[#This Row],[Ganancia unitaria]]-Pagos[[#This Row],[Ganancia unitaria (Vendedor)]],"-")</f>
        <v>117.72419999999998</v>
      </c>
      <c r="L92" s="1">
        <f>IFERROR(Pagos[[#This Row],[Cantidad vendida]]*(Pagos[[#This Row],[Ganancia individual (Tienda)]]),"-")</f>
        <v>117.72419999999998</v>
      </c>
      <c r="M92" s="1">
        <f>(VLOOKUP(Pagos[[#This Row],[Codigo del producto]],Stock[],13,FALSE))*Pagos[[#This Row],[Cantidad vendida]]</f>
        <v>285.95600000000002</v>
      </c>
      <c r="N92" s="1" t="s">
        <v>312</v>
      </c>
      <c r="O92" s="1"/>
    </row>
    <row r="93" spans="1:15" ht="17.25" x14ac:dyDescent="0.3">
      <c r="A93" s="7" t="s">
        <v>313</v>
      </c>
      <c r="B93" s="71">
        <v>46043</v>
      </c>
      <c r="C93" s="7" t="s">
        <v>30</v>
      </c>
      <c r="D93" s="20" t="str">
        <f>IFERROR(VLOOKUP(Pagos[[#This Row],[Codigo del producto]],Entradas[],3,FALSE),"No existe")</f>
        <v>KZ AZ09 Bluetooth Adapter</v>
      </c>
      <c r="E93" s="7">
        <v>1</v>
      </c>
      <c r="F93" s="10">
        <v>900</v>
      </c>
      <c r="G93" s="22">
        <f>IFERROR(Pagos[[#This Row],[Cantidad vendida]]*Pagos[[#This Row],[Precio de venta]],"-")</f>
        <v>900</v>
      </c>
      <c r="H93" s="22">
        <f>IFERROR(Pagos[[#This Row],[Precio de venta]]-VLOOKUP(Pagos[[#This Row],[Codigo del producto]],Stock[],13,FALSE),"-")</f>
        <v>451.904</v>
      </c>
      <c r="I93" s="22">
        <f t="shared" si="1"/>
        <v>180.76160000000002</v>
      </c>
      <c r="J93" s="22">
        <f>IFERROR(Pagos[[#This Row],[Cantidad vendida]]*Pagos[[#This Row],[Ganancia unitaria (Vendedor)]],"-")</f>
        <v>180.76160000000002</v>
      </c>
      <c r="K93" s="1">
        <f>IFERROR(Pagos[[#This Row],[Ganancia unitaria]]-Pagos[[#This Row],[Ganancia unitaria (Vendedor)]],"-")</f>
        <v>271.14239999999995</v>
      </c>
      <c r="L93" s="1">
        <f>IFERROR(Pagos[[#This Row],[Cantidad vendida]]*(Pagos[[#This Row],[Ganancia individual (Tienda)]]),"-")</f>
        <v>271.14239999999995</v>
      </c>
      <c r="M93" s="1">
        <f>(VLOOKUP(Pagos[[#This Row],[Codigo del producto]],Stock[],13,FALSE))*Pagos[[#This Row],[Cantidad vendida]]</f>
        <v>448.096</v>
      </c>
      <c r="N93" s="1" t="s">
        <v>312</v>
      </c>
      <c r="O93" s="1"/>
    </row>
    <row r="94" spans="1:15" ht="17.25" x14ac:dyDescent="0.3">
      <c r="A94" s="7" t="s">
        <v>313</v>
      </c>
      <c r="B94" s="71">
        <v>46044</v>
      </c>
      <c r="C94" s="7" t="s">
        <v>33</v>
      </c>
      <c r="D94" s="20" t="str">
        <f>IFERROR(VLOOKUP(Pagos[[#This Row],[Codigo del producto]],Entradas[],3,FALSE),"No existe")</f>
        <v>Sharck Attack X11 Blanco</v>
      </c>
      <c r="E94" s="7">
        <v>1</v>
      </c>
      <c r="F94" s="10">
        <v>1200</v>
      </c>
      <c r="G94" s="22">
        <f>IFERROR(Pagos[[#This Row],[Cantidad vendida]]*Pagos[[#This Row],[Precio de venta]],"-")</f>
        <v>1200</v>
      </c>
      <c r="H94" s="22">
        <f>IFERROR(Pagos[[#This Row],[Precio de venta]]-VLOOKUP(Pagos[[#This Row],[Codigo del producto]],Stock[],13,FALSE),"-")</f>
        <v>602.66149999999993</v>
      </c>
      <c r="I94" s="22">
        <f t="shared" si="1"/>
        <v>229.01136999999997</v>
      </c>
      <c r="J94" s="22">
        <f>IFERROR(Pagos[[#This Row],[Cantidad vendida]]*Pagos[[#This Row],[Ganancia unitaria (Vendedor)]],"-")</f>
        <v>229.01136999999997</v>
      </c>
      <c r="K94" s="1">
        <f>IFERROR(Pagos[[#This Row],[Ganancia unitaria]]-Pagos[[#This Row],[Ganancia unitaria (Vendedor)]],"-")</f>
        <v>373.65012999999999</v>
      </c>
      <c r="L94" s="1">
        <f>IFERROR(Pagos[[#This Row],[Cantidad vendida]]*(Pagos[[#This Row],[Ganancia individual (Tienda)]]),"-")</f>
        <v>373.65012999999999</v>
      </c>
      <c r="M94" s="1">
        <f>(VLOOKUP(Pagos[[#This Row],[Codigo del producto]],Stock[],13,FALSE))*Pagos[[#This Row],[Cantidad vendida]]</f>
        <v>597.33850000000007</v>
      </c>
      <c r="N94" s="1" t="s">
        <v>312</v>
      </c>
      <c r="O94" s="1"/>
    </row>
    <row r="95" spans="1:15" ht="17.25" x14ac:dyDescent="0.3">
      <c r="A95" s="7" t="s">
        <v>311</v>
      </c>
      <c r="B95" s="41">
        <v>46044</v>
      </c>
      <c r="C95" s="7" t="s">
        <v>33</v>
      </c>
      <c r="D95" s="20" t="str">
        <f>IFERROR(VLOOKUP(Pagos[[#This Row],[Codigo del producto]],Entradas[],3,FALSE),"No existe")</f>
        <v>Sharck Attack X11 Blanco</v>
      </c>
      <c r="E95" s="7">
        <v>1</v>
      </c>
      <c r="F95" s="10">
        <v>1200</v>
      </c>
      <c r="G95" s="22">
        <f>IFERROR(Pagos[[#This Row],[Cantidad vendida]]*Pagos[[#This Row],[Precio de venta]],"-")</f>
        <v>1200</v>
      </c>
      <c r="H95" s="22">
        <f>IFERROR(Pagos[[#This Row],[Precio de venta]]-VLOOKUP(Pagos[[#This Row],[Codigo del producto]],Stock[],13,FALSE),"-")</f>
        <v>602.66149999999993</v>
      </c>
      <c r="I95" s="22">
        <f t="shared" si="1"/>
        <v>229.01136999999997</v>
      </c>
      <c r="J95" s="22">
        <f>IFERROR(Pagos[[#This Row],[Cantidad vendida]]*Pagos[[#This Row],[Ganancia unitaria (Vendedor)]],"-")</f>
        <v>229.01136999999997</v>
      </c>
      <c r="K95" s="1">
        <f>IFERROR(Pagos[[#This Row],[Ganancia unitaria]]-Pagos[[#This Row],[Ganancia unitaria (Vendedor)]],"-")</f>
        <v>373.65012999999999</v>
      </c>
      <c r="L95" s="1">
        <f>IFERROR(Pagos[[#This Row],[Cantidad vendida]]*(Pagos[[#This Row],[Ganancia individual (Tienda)]]),"-")</f>
        <v>373.65012999999999</v>
      </c>
      <c r="M95" s="1">
        <f>(VLOOKUP(Pagos[[#This Row],[Codigo del producto]],Stock[],13,FALSE))*Pagos[[#This Row],[Cantidad vendida]]</f>
        <v>597.33850000000007</v>
      </c>
      <c r="N95" s="1" t="s">
        <v>312</v>
      </c>
      <c r="O95" s="1"/>
    </row>
    <row r="96" spans="1:15" ht="17.25" x14ac:dyDescent="0.3">
      <c r="A96" s="7" t="s">
        <v>313</v>
      </c>
      <c r="B96" s="72">
        <v>46044</v>
      </c>
      <c r="C96" s="7" t="s">
        <v>60</v>
      </c>
      <c r="D96" s="20" t="str">
        <f>IFERROR(VLOOKUP(Pagos[[#This Row],[Codigo del producto]],Entradas[],3,FALSE),"No existe")</f>
        <v>NUBWO G06</v>
      </c>
      <c r="E96" s="7">
        <v>1</v>
      </c>
      <c r="F96" s="10">
        <v>1200</v>
      </c>
      <c r="G96" s="22">
        <f>IFERROR(Pagos[[#This Row],[Cantidad vendida]]*Pagos[[#This Row],[Precio de venta]],"-")</f>
        <v>1200</v>
      </c>
      <c r="H96" s="22">
        <f>IFERROR(Pagos[[#This Row],[Precio de venta]]-VLOOKUP(Pagos[[#This Row],[Codigo del producto]],Stock[],13,FALSE),"-")</f>
        <v>464.47399999999993</v>
      </c>
      <c r="I96" s="22">
        <f t="shared" si="1"/>
        <v>185.78959999999998</v>
      </c>
      <c r="J96" s="22">
        <f>IFERROR(Pagos[[#This Row],[Cantidad vendida]]*Pagos[[#This Row],[Ganancia unitaria (Vendedor)]],"-")</f>
        <v>185.78959999999998</v>
      </c>
      <c r="K96" s="1">
        <f>IFERROR(Pagos[[#This Row],[Ganancia unitaria]]-Pagos[[#This Row],[Ganancia unitaria (Vendedor)]],"-")</f>
        <v>278.68439999999998</v>
      </c>
      <c r="L96" s="1">
        <f>IFERROR(Pagos[[#This Row],[Cantidad vendida]]*(Pagos[[#This Row],[Ganancia individual (Tienda)]]),"-")</f>
        <v>278.68439999999998</v>
      </c>
      <c r="M96" s="1">
        <f>(VLOOKUP(Pagos[[#This Row],[Codigo del producto]],Stock[],13,FALSE))*Pagos[[#This Row],[Cantidad vendida]]</f>
        <v>735.52600000000007</v>
      </c>
      <c r="N96" s="1" t="s">
        <v>312</v>
      </c>
      <c r="O96" s="1"/>
    </row>
    <row r="97" spans="1:15" ht="17.25" x14ac:dyDescent="0.3">
      <c r="A97" s="7" t="s">
        <v>311</v>
      </c>
      <c r="B97" s="43">
        <v>46044</v>
      </c>
      <c r="C97" s="7" t="s">
        <v>43</v>
      </c>
      <c r="D97" s="20" t="str">
        <f>IFERROR(VLOOKUP(Pagos[[#This Row],[Codigo del producto]],Entradas[],3,FALSE),"No existe")</f>
        <v>Mouse R1 Blanco</v>
      </c>
      <c r="E97" s="7">
        <v>1</v>
      </c>
      <c r="F97" s="10">
        <v>1000</v>
      </c>
      <c r="G97" s="22">
        <f>IFERROR(Pagos[[#This Row],[Cantidad vendida]]*Pagos[[#This Row],[Precio de venta]],"-")</f>
        <v>1000</v>
      </c>
      <c r="H97" s="22">
        <f>IFERROR(Pagos[[#This Row],[Precio de venta]]-VLOOKUP(Pagos[[#This Row],[Codigo del producto]],Stock[],13,FALSE),"-")</f>
        <v>277.37149999999997</v>
      </c>
      <c r="I97" s="22">
        <f t="shared" si="1"/>
        <v>124.81717499999999</v>
      </c>
      <c r="J97" s="22">
        <f>IFERROR(Pagos[[#This Row],[Cantidad vendida]]*Pagos[[#This Row],[Ganancia unitaria (Vendedor)]],"-")</f>
        <v>124.81717499999999</v>
      </c>
      <c r="K97" s="1">
        <f>IFERROR(Pagos[[#This Row],[Ganancia unitaria]]-Pagos[[#This Row],[Ganancia unitaria (Vendedor)]],"-")</f>
        <v>152.55432499999998</v>
      </c>
      <c r="L97" s="1">
        <f>IFERROR(Pagos[[#This Row],[Cantidad vendida]]*(Pagos[[#This Row],[Ganancia individual (Tienda)]]),"-")</f>
        <v>152.55432499999998</v>
      </c>
      <c r="M97" s="1">
        <f>(VLOOKUP(Pagos[[#This Row],[Codigo del producto]],Stock[],13,FALSE))*Pagos[[#This Row],[Cantidad vendida]]</f>
        <v>722.62850000000003</v>
      </c>
      <c r="N97" s="1" t="s">
        <v>312</v>
      </c>
      <c r="O97" s="1"/>
    </row>
    <row r="98" spans="1:15" ht="17.25" x14ac:dyDescent="0.3">
      <c r="A98" s="7" t="s">
        <v>311</v>
      </c>
      <c r="B98" s="43">
        <v>46044</v>
      </c>
      <c r="C98" s="7" t="s">
        <v>40</v>
      </c>
      <c r="D98" s="20" t="str">
        <f>IFERROR(VLOOKUP(Pagos[[#This Row],[Codigo del producto]],Entradas[],3,FALSE),"No existe")</f>
        <v xml:space="preserve">Adaptador DAC </v>
      </c>
      <c r="E98" s="7">
        <v>1</v>
      </c>
      <c r="F98" s="10">
        <v>350</v>
      </c>
      <c r="G98" s="22">
        <f>IFERROR(Pagos[[#This Row],[Cantidad vendida]]*Pagos[[#This Row],[Precio de venta]],"-")</f>
        <v>350</v>
      </c>
      <c r="H98" s="22">
        <f>IFERROR(Pagos[[#This Row],[Precio de venta]]-VLOOKUP(Pagos[[#This Row],[Codigo del producto]],Stock[],13,FALSE),"-")</f>
        <v>166.48700000000002</v>
      </c>
      <c r="I98" s="22">
        <f t="shared" si="1"/>
        <v>74.919150000000016</v>
      </c>
      <c r="J98" s="22">
        <f>IFERROR(Pagos[[#This Row],[Cantidad vendida]]*Pagos[[#This Row],[Ganancia unitaria (Vendedor)]],"-")</f>
        <v>74.919150000000016</v>
      </c>
      <c r="K98" s="1">
        <f>IFERROR(Pagos[[#This Row],[Ganancia unitaria]]-Pagos[[#This Row],[Ganancia unitaria (Vendedor)]],"-")</f>
        <v>91.567850000000007</v>
      </c>
      <c r="L98" s="1">
        <f>IFERROR(Pagos[[#This Row],[Cantidad vendida]]*(Pagos[[#This Row],[Ganancia individual (Tienda)]]),"-")</f>
        <v>91.567850000000007</v>
      </c>
      <c r="M98" s="1">
        <f>(VLOOKUP(Pagos[[#This Row],[Codigo del producto]],Stock[],13,FALSE))*Pagos[[#This Row],[Cantidad vendida]]</f>
        <v>183.51299999999998</v>
      </c>
      <c r="N98" s="1" t="s">
        <v>312</v>
      </c>
      <c r="O98" s="1"/>
    </row>
    <row r="99" spans="1:15" ht="17.25" x14ac:dyDescent="0.3">
      <c r="A99" s="7" t="s">
        <v>311</v>
      </c>
      <c r="B99" s="43">
        <v>46045</v>
      </c>
      <c r="C99" s="7" t="s">
        <v>57</v>
      </c>
      <c r="D99" s="20" t="str">
        <f>IFERROR(VLOOKUP(Pagos[[#This Row],[Codigo del producto]],Entradas[],3,FALSE),"No existe")</f>
        <v>Monitor 34 3440x1440</v>
      </c>
      <c r="E99" s="7">
        <v>1</v>
      </c>
      <c r="F99" s="10">
        <v>10600</v>
      </c>
      <c r="G99" s="22">
        <f>IFERROR(Pagos[[#This Row],[Cantidad vendida]]*Pagos[[#This Row],[Precio de venta]],"-")</f>
        <v>10600</v>
      </c>
      <c r="H99" s="22">
        <f>IFERROR(Pagos[[#This Row],[Precio de venta]]-VLOOKUP(Pagos[[#This Row],[Codigo del producto]],Stock[],13,FALSE),"-")</f>
        <v>3552.4375</v>
      </c>
      <c r="I99" s="22">
        <f t="shared" si="1"/>
        <v>994.68250000000012</v>
      </c>
      <c r="J99" s="22">
        <f>IFERROR(Pagos[[#This Row],[Cantidad vendida]]*Pagos[[#This Row],[Ganancia unitaria (Vendedor)]],"-")</f>
        <v>994.68250000000012</v>
      </c>
      <c r="K99" s="1">
        <f>IFERROR(Pagos[[#This Row],[Ganancia unitaria]]-Pagos[[#This Row],[Ganancia unitaria (Vendedor)]],"-")</f>
        <v>2557.7550000000001</v>
      </c>
      <c r="L99" s="1">
        <f>IFERROR(Pagos[[#This Row],[Cantidad vendida]]*(Pagos[[#This Row],[Ganancia individual (Tienda)]]),"-")</f>
        <v>2557.7550000000001</v>
      </c>
      <c r="M99" s="1">
        <f>(VLOOKUP(Pagos[[#This Row],[Codigo del producto]],Stock[],13,FALSE))*Pagos[[#This Row],[Cantidad vendida]]</f>
        <v>7047.5625</v>
      </c>
      <c r="N99" s="1" t="s">
        <v>312</v>
      </c>
      <c r="O99" s="1"/>
    </row>
    <row r="100" spans="1:15" ht="17.25" x14ac:dyDescent="0.3">
      <c r="A100" s="10" t="s">
        <v>315</v>
      </c>
      <c r="B100" s="43">
        <v>46045</v>
      </c>
      <c r="C100" s="7" t="s">
        <v>27</v>
      </c>
      <c r="D100" s="20" t="str">
        <f>IFERROR(VLOOKUP(Pagos[[#This Row],[Codigo del producto]],Entradas[],3,FALSE),"No existe")</f>
        <v>KZ Castor PRO Improved Bass</v>
      </c>
      <c r="E100" s="7">
        <v>1</v>
      </c>
      <c r="F100" s="10">
        <v>900</v>
      </c>
      <c r="G100" s="22">
        <f>IFERROR(Pagos[[#This Row],[Cantidad vendida]]*Pagos[[#This Row],[Precio de venta]],"-")</f>
        <v>900</v>
      </c>
      <c r="H100" s="22">
        <f>IFERROR(Pagos[[#This Row],[Precio de venta]]-VLOOKUP(Pagos[[#This Row],[Codigo del producto]],Stock[],13,FALSE),"-")</f>
        <v>542.92349999999999</v>
      </c>
      <c r="I100" s="22">
        <f t="shared" si="1"/>
        <v>217.1694</v>
      </c>
      <c r="J100" s="22">
        <f>IFERROR(Pagos[[#This Row],[Cantidad vendida]]*Pagos[[#This Row],[Ganancia unitaria (Vendedor)]],"-")</f>
        <v>217.1694</v>
      </c>
      <c r="K100" s="1">
        <f>IFERROR(Pagos[[#This Row],[Ganancia unitaria]]-Pagos[[#This Row],[Ganancia unitaria (Vendedor)]],"-")</f>
        <v>325.75409999999999</v>
      </c>
      <c r="L100" s="1">
        <f>IFERROR(Pagos[[#This Row],[Cantidad vendida]]*(Pagos[[#This Row],[Ganancia individual (Tienda)]]),"-")</f>
        <v>325.75409999999999</v>
      </c>
      <c r="M100" s="1">
        <f>(VLOOKUP(Pagos[[#This Row],[Codigo del producto]],Stock[],13,FALSE))*Pagos[[#This Row],[Cantidad vendida]]</f>
        <v>357.07650000000001</v>
      </c>
      <c r="N100" s="1" t="s">
        <v>312</v>
      </c>
      <c r="O100" s="1" t="s">
        <v>333</v>
      </c>
    </row>
    <row r="101" spans="1:15" ht="17.25" x14ac:dyDescent="0.3">
      <c r="A101" s="10" t="s">
        <v>315</v>
      </c>
      <c r="B101" s="43">
        <v>46045</v>
      </c>
      <c r="C101" s="7" t="s">
        <v>60</v>
      </c>
      <c r="D101" s="20" t="str">
        <f>IFERROR(VLOOKUP(Pagos[[#This Row],[Codigo del producto]],Entradas[],3,FALSE),"No existe")</f>
        <v>NUBWO G06</v>
      </c>
      <c r="E101" s="7">
        <v>1</v>
      </c>
      <c r="F101" s="10">
        <v>1200</v>
      </c>
      <c r="G101" s="22">
        <f>IFERROR(Pagos[[#This Row],[Cantidad vendida]]*Pagos[[#This Row],[Precio de venta]],"-")</f>
        <v>1200</v>
      </c>
      <c r="H101" s="22">
        <f>IFERROR(Pagos[[#This Row],[Precio de venta]]-VLOOKUP(Pagos[[#This Row],[Codigo del producto]],Stock[],13,FALSE),"-")</f>
        <v>464.47399999999993</v>
      </c>
      <c r="I101" s="22">
        <f t="shared" si="1"/>
        <v>185.78959999999998</v>
      </c>
      <c r="J101" s="22">
        <f>IFERROR(Pagos[[#This Row],[Cantidad vendida]]*Pagos[[#This Row],[Ganancia unitaria (Vendedor)]],"-")</f>
        <v>185.78959999999998</v>
      </c>
      <c r="K101" s="1">
        <f>IFERROR(Pagos[[#This Row],[Ganancia unitaria]]-Pagos[[#This Row],[Ganancia unitaria (Vendedor)]],"-")</f>
        <v>278.68439999999998</v>
      </c>
      <c r="L101" s="1">
        <f>IFERROR(Pagos[[#This Row],[Cantidad vendida]]*(Pagos[[#This Row],[Ganancia individual (Tienda)]]),"-")</f>
        <v>278.68439999999998</v>
      </c>
      <c r="M101" s="1">
        <f>(VLOOKUP(Pagos[[#This Row],[Codigo del producto]],Stock[],13,FALSE))*Pagos[[#This Row],[Cantidad vendida]]</f>
        <v>735.52600000000007</v>
      </c>
      <c r="N101" s="1" t="s">
        <v>312</v>
      </c>
      <c r="O101" s="1" t="s">
        <v>322</v>
      </c>
    </row>
    <row r="102" spans="1:15" ht="17.25" x14ac:dyDescent="0.3">
      <c r="A102" s="7" t="s">
        <v>311</v>
      </c>
      <c r="B102" s="43">
        <v>46045</v>
      </c>
      <c r="C102" s="7" t="s">
        <v>29</v>
      </c>
      <c r="D102" s="20" t="str">
        <f>IFERROR(VLOOKUP(Pagos[[#This Row],[Codigo del producto]],Entradas[],3,FALSE),"No existe")</f>
        <v>KZ EDX PRO X</v>
      </c>
      <c r="E102" s="7">
        <v>2</v>
      </c>
      <c r="F102" s="10">
        <v>400</v>
      </c>
      <c r="G102" s="22">
        <f>IFERROR(Pagos[[#This Row],[Cantidad vendida]]*Pagos[[#This Row],[Precio de venta]],"-")</f>
        <v>800</v>
      </c>
      <c r="H102" s="22">
        <f>IFERROR(Pagos[[#This Row],[Precio de venta]]-VLOOKUP(Pagos[[#This Row],[Codigo del producto]],Stock[],13,FALSE),"-")</f>
        <v>238.59700000000001</v>
      </c>
      <c r="I102" s="22">
        <f t="shared" si="1"/>
        <v>107.36865</v>
      </c>
      <c r="J102" s="22">
        <f>IFERROR(Pagos[[#This Row],[Cantidad vendida]]*Pagos[[#This Row],[Ganancia unitaria (Vendedor)]],"-")</f>
        <v>214.7373</v>
      </c>
      <c r="K102" s="1">
        <f>IFERROR(Pagos[[#This Row],[Ganancia unitaria]]-Pagos[[#This Row],[Ganancia unitaria (Vendedor)]],"-")</f>
        <v>131.22835000000001</v>
      </c>
      <c r="L102" s="1">
        <f>IFERROR(Pagos[[#This Row],[Cantidad vendida]]*(Pagos[[#This Row],[Ganancia individual (Tienda)]]),"-")</f>
        <v>262.45670000000001</v>
      </c>
      <c r="M102" s="1">
        <f>(VLOOKUP(Pagos[[#This Row],[Codigo del producto]],Stock[],13,FALSE))*Pagos[[#This Row],[Cantidad vendida]]</f>
        <v>322.80599999999998</v>
      </c>
      <c r="N102" s="1" t="s">
        <v>312</v>
      </c>
      <c r="O102" s="1"/>
    </row>
    <row r="103" spans="1:15" ht="17.25" x14ac:dyDescent="0.3">
      <c r="A103" s="7" t="s">
        <v>313</v>
      </c>
      <c r="B103" s="43">
        <v>46045</v>
      </c>
      <c r="C103" s="7" t="s">
        <v>32</v>
      </c>
      <c r="D103" s="20" t="str">
        <f>IFERROR(VLOOKUP(Pagos[[#This Row],[Codigo del producto]],Entradas[],3,FALSE),"No existe")</f>
        <v>Cargadores USB para moto</v>
      </c>
      <c r="E103" s="7">
        <v>1</v>
      </c>
      <c r="F103" s="10">
        <v>500</v>
      </c>
      <c r="G103" s="22">
        <f>IFERROR(Pagos[[#This Row],[Cantidad vendida]]*Pagos[[#This Row],[Precio de venta]],"-")</f>
        <v>500</v>
      </c>
      <c r="H103" s="22">
        <f>IFERROR(Pagos[[#This Row],[Precio de venta]]-VLOOKUP(Pagos[[#This Row],[Codigo del producto]],Stock[],13,FALSE),"-")</f>
        <v>214.04399999999998</v>
      </c>
      <c r="I103" s="22">
        <f t="shared" si="1"/>
        <v>96.319800000000001</v>
      </c>
      <c r="J103" s="22">
        <f>IFERROR(Pagos[[#This Row],[Cantidad vendida]]*Pagos[[#This Row],[Ganancia unitaria (Vendedor)]],"-")</f>
        <v>96.319800000000001</v>
      </c>
      <c r="K103" s="1">
        <f>IFERROR(Pagos[[#This Row],[Ganancia unitaria]]-Pagos[[#This Row],[Ganancia unitaria (Vendedor)]],"-")</f>
        <v>117.72419999999998</v>
      </c>
      <c r="L103" s="1">
        <f>IFERROR(Pagos[[#This Row],[Cantidad vendida]]*(Pagos[[#This Row],[Ganancia individual (Tienda)]]),"-")</f>
        <v>117.72419999999998</v>
      </c>
      <c r="M103" s="1">
        <f>(VLOOKUP(Pagos[[#This Row],[Codigo del producto]],Stock[],13,FALSE))*Pagos[[#This Row],[Cantidad vendida]]</f>
        <v>285.95600000000002</v>
      </c>
      <c r="N103" s="1" t="s">
        <v>312</v>
      </c>
      <c r="O103" s="1"/>
    </row>
    <row r="104" spans="1:15" ht="17.25" x14ac:dyDescent="0.3">
      <c r="A104" s="7" t="s">
        <v>311</v>
      </c>
      <c r="B104" s="43">
        <v>46045</v>
      </c>
      <c r="C104" s="7" t="s">
        <v>26</v>
      </c>
      <c r="D104" s="20" t="str">
        <f>IFERROR(VLOOKUP(Pagos[[#This Row],[Codigo del producto]],Entradas[],3,FALSE),"No existe")</f>
        <v>KZ ZSN PRO X</v>
      </c>
      <c r="E104" s="7">
        <v>1</v>
      </c>
      <c r="F104" s="10">
        <v>700</v>
      </c>
      <c r="G104" s="22">
        <f>IFERROR(Pagos[[#This Row],[Cantidad vendida]]*Pagos[[#This Row],[Precio de venta]],"-")</f>
        <v>700</v>
      </c>
      <c r="H104" s="22">
        <f>IFERROR(Pagos[[#This Row],[Precio de venta]]-VLOOKUP(Pagos[[#This Row],[Codigo del producto]],Stock[],13,FALSE),"-")</f>
        <v>208.78949999999998</v>
      </c>
      <c r="I104" s="22">
        <f t="shared" si="1"/>
        <v>93.955274999999986</v>
      </c>
      <c r="J104" s="22">
        <f>IFERROR(Pagos[[#This Row],[Cantidad vendida]]*Pagos[[#This Row],[Ganancia unitaria (Vendedor)]],"-")</f>
        <v>93.955274999999986</v>
      </c>
      <c r="K104" s="1">
        <f>IFERROR(Pagos[[#This Row],[Ganancia unitaria]]-Pagos[[#This Row],[Ganancia unitaria (Vendedor)]],"-")</f>
        <v>114.83422499999999</v>
      </c>
      <c r="L104" s="1">
        <f>IFERROR(Pagos[[#This Row],[Cantidad vendida]]*(Pagos[[#This Row],[Ganancia individual (Tienda)]]),"-")</f>
        <v>114.83422499999999</v>
      </c>
      <c r="M104" s="1">
        <f>(VLOOKUP(Pagos[[#This Row],[Codigo del producto]],Stock[],13,FALSE))*Pagos[[#This Row],[Cantidad vendida]]</f>
        <v>491.21050000000002</v>
      </c>
      <c r="N104" s="1" t="s">
        <v>312</v>
      </c>
      <c r="O104" s="1"/>
    </row>
    <row r="105" spans="1:15" ht="17.25" x14ac:dyDescent="0.3">
      <c r="A105" s="7" t="s">
        <v>311</v>
      </c>
      <c r="B105" s="43">
        <v>46045</v>
      </c>
      <c r="C105" s="7" t="s">
        <v>40</v>
      </c>
      <c r="D105" s="20" t="str">
        <f>IFERROR(VLOOKUP(Pagos[[#This Row],[Codigo del producto]],Entradas[],3,FALSE),"No existe")</f>
        <v xml:space="preserve">Adaptador DAC </v>
      </c>
      <c r="E105" s="7">
        <v>1</v>
      </c>
      <c r="F105" s="10">
        <v>350</v>
      </c>
      <c r="G105" s="22">
        <f>IFERROR(Pagos[[#This Row],[Cantidad vendida]]*Pagos[[#This Row],[Precio de venta]],"-")</f>
        <v>350</v>
      </c>
      <c r="H105" s="22">
        <f>IFERROR(Pagos[[#This Row],[Precio de venta]]-VLOOKUP(Pagos[[#This Row],[Codigo del producto]],Stock[],13,FALSE),"-")</f>
        <v>166.48700000000002</v>
      </c>
      <c r="I105" s="22">
        <f t="shared" si="1"/>
        <v>74.919150000000016</v>
      </c>
      <c r="J105" s="22">
        <f>IFERROR(Pagos[[#This Row],[Cantidad vendida]]*Pagos[[#This Row],[Ganancia unitaria (Vendedor)]],"-")</f>
        <v>74.919150000000016</v>
      </c>
      <c r="K105" s="1">
        <f>IFERROR(Pagos[[#This Row],[Ganancia unitaria]]-Pagos[[#This Row],[Ganancia unitaria (Vendedor)]],"-")</f>
        <v>91.567850000000007</v>
      </c>
      <c r="L105" s="1">
        <f>IFERROR(Pagos[[#This Row],[Cantidad vendida]]*(Pagos[[#This Row],[Ganancia individual (Tienda)]]),"-")</f>
        <v>91.567850000000007</v>
      </c>
      <c r="M105" s="1">
        <f>(VLOOKUP(Pagos[[#This Row],[Codigo del producto]],Stock[],13,FALSE))*Pagos[[#This Row],[Cantidad vendida]]</f>
        <v>183.51299999999998</v>
      </c>
      <c r="N105" s="1" t="s">
        <v>312</v>
      </c>
      <c r="O105" s="1"/>
    </row>
    <row r="106" spans="1:15" ht="17.25" x14ac:dyDescent="0.3">
      <c r="A106" s="10" t="s">
        <v>315</v>
      </c>
      <c r="B106" s="43">
        <v>46046</v>
      </c>
      <c r="C106" s="7" t="s">
        <v>27</v>
      </c>
      <c r="D106" s="20" t="str">
        <f>IFERROR(VLOOKUP(Pagos[[#This Row],[Codigo del producto]],Entradas[],3,FALSE),"No existe")</f>
        <v>KZ Castor PRO Improved Bass</v>
      </c>
      <c r="E106" s="7">
        <v>1</v>
      </c>
      <c r="F106" s="10">
        <v>900</v>
      </c>
      <c r="G106" s="22">
        <f>IFERROR(Pagos[[#This Row],[Cantidad vendida]]*Pagos[[#This Row],[Precio de venta]],"-")</f>
        <v>900</v>
      </c>
      <c r="H106" s="22">
        <f>IFERROR(Pagos[[#This Row],[Precio de venta]]-VLOOKUP(Pagos[[#This Row],[Codigo del producto]],Stock[],13,FALSE),"-")</f>
        <v>542.92349999999999</v>
      </c>
      <c r="I106" s="22">
        <f t="shared" si="1"/>
        <v>217.1694</v>
      </c>
      <c r="J106" s="22">
        <f>IFERROR(Pagos[[#This Row],[Cantidad vendida]]*Pagos[[#This Row],[Ganancia unitaria (Vendedor)]],"-")</f>
        <v>217.1694</v>
      </c>
      <c r="K106" s="1">
        <f>IFERROR(Pagos[[#This Row],[Ganancia unitaria]]-Pagos[[#This Row],[Ganancia unitaria (Vendedor)]],"-")</f>
        <v>325.75409999999999</v>
      </c>
      <c r="L106" s="1">
        <f>IFERROR(Pagos[[#This Row],[Cantidad vendida]]*(Pagos[[#This Row],[Ganancia individual (Tienda)]]),"-")</f>
        <v>325.75409999999999</v>
      </c>
      <c r="M106" s="1">
        <f>(VLOOKUP(Pagos[[#This Row],[Codigo del producto]],Stock[],13,FALSE))*Pagos[[#This Row],[Cantidad vendida]]</f>
        <v>357.07650000000001</v>
      </c>
      <c r="N106" s="1" t="s">
        <v>312</v>
      </c>
      <c r="O106" s="1"/>
    </row>
    <row r="107" spans="1:15" ht="17.25" x14ac:dyDescent="0.3">
      <c r="A107" s="7" t="s">
        <v>313</v>
      </c>
      <c r="B107" s="43">
        <v>46046</v>
      </c>
      <c r="C107" s="7" t="s">
        <v>56</v>
      </c>
      <c r="D107" s="20" t="str">
        <f>IFERROR(VLOOKUP(Pagos[[#This Row],[Codigo del producto]],Entradas[],3,FALSE),"No existe")</f>
        <v>Teclado Mecanico K500 60%</v>
      </c>
      <c r="E107" s="7">
        <v>1</v>
      </c>
      <c r="F107" s="10">
        <v>1800</v>
      </c>
      <c r="G107" s="22">
        <f>IFERROR(Pagos[[#This Row],[Cantidad vendida]]*Pagos[[#This Row],[Precio de venta]],"-")</f>
        <v>1800</v>
      </c>
      <c r="H107" s="22">
        <f>IFERROR(Pagos[[#This Row],[Precio de venta]]-VLOOKUP(Pagos[[#This Row],[Codigo del producto]],Stock[],13,FALSE),"-")</f>
        <v>453.86950000000002</v>
      </c>
      <c r="I107" s="22">
        <f t="shared" si="1"/>
        <v>181.54780000000002</v>
      </c>
      <c r="J107" s="22">
        <f>IFERROR(Pagos[[#This Row],[Cantidad vendida]]*Pagos[[#This Row],[Ganancia unitaria (Vendedor)]],"-")</f>
        <v>181.54780000000002</v>
      </c>
      <c r="K107" s="1">
        <f>IFERROR(Pagos[[#This Row],[Ganancia unitaria]]-Pagos[[#This Row],[Ganancia unitaria (Vendedor)]],"-")</f>
        <v>272.32169999999996</v>
      </c>
      <c r="L107" s="1">
        <f>IFERROR(Pagos[[#This Row],[Cantidad vendida]]*(Pagos[[#This Row],[Ganancia individual (Tienda)]]),"-")</f>
        <v>272.32169999999996</v>
      </c>
      <c r="M107" s="1">
        <f>(VLOOKUP(Pagos[[#This Row],[Codigo del producto]],Stock[],13,FALSE))*Pagos[[#This Row],[Cantidad vendida]]</f>
        <v>1346.1305</v>
      </c>
      <c r="N107" s="1" t="s">
        <v>312</v>
      </c>
      <c r="O107" s="1"/>
    </row>
    <row r="108" spans="1:15" ht="17.25" x14ac:dyDescent="0.3">
      <c r="A108" s="7" t="s">
        <v>311</v>
      </c>
      <c r="B108" s="43">
        <v>46046</v>
      </c>
      <c r="C108" s="7" t="s">
        <v>45</v>
      </c>
      <c r="D108" s="20" t="str">
        <f>IFERROR(VLOOKUP(Pagos[[#This Row],[Codigo del producto]],Entradas[],3,FALSE),"No existe")</f>
        <v>KZ Castor Improved Bass</v>
      </c>
      <c r="E108" s="7">
        <v>1</v>
      </c>
      <c r="F108" s="10">
        <v>650</v>
      </c>
      <c r="G108" s="22">
        <f>IFERROR(Pagos[[#This Row],[Cantidad vendida]]*Pagos[[#This Row],[Precio de venta]],"-")</f>
        <v>650</v>
      </c>
      <c r="H108" s="22">
        <f>IFERROR(Pagos[[#This Row],[Precio de venta]]-VLOOKUP(Pagos[[#This Row],[Codigo del producto]],Stock[],13,FALSE),"-")</f>
        <v>317.98149999999993</v>
      </c>
      <c r="I108" s="22">
        <f t="shared" si="1"/>
        <v>127.19259999999997</v>
      </c>
      <c r="J108" s="22">
        <f>IFERROR(Pagos[[#This Row],[Cantidad vendida]]*Pagos[[#This Row],[Ganancia unitaria (Vendedor)]],"-")</f>
        <v>127.19259999999997</v>
      </c>
      <c r="K108" s="1">
        <f>IFERROR(Pagos[[#This Row],[Ganancia unitaria]]-Pagos[[#This Row],[Ganancia unitaria (Vendedor)]],"-")</f>
        <v>190.78889999999996</v>
      </c>
      <c r="L108" s="1">
        <f>IFERROR(Pagos[[#This Row],[Cantidad vendida]]*(Pagos[[#This Row],[Ganancia individual (Tienda)]]),"-")</f>
        <v>190.78889999999996</v>
      </c>
      <c r="M108" s="1">
        <f>(VLOOKUP(Pagos[[#This Row],[Codigo del producto]],Stock[],13,FALSE))*Pagos[[#This Row],[Cantidad vendida]]</f>
        <v>332.01850000000007</v>
      </c>
      <c r="N108" s="1" t="s">
        <v>312</v>
      </c>
      <c r="O108" s="1"/>
    </row>
    <row r="109" spans="1:15" ht="17.25" x14ac:dyDescent="0.3">
      <c r="A109" s="7" t="s">
        <v>313</v>
      </c>
      <c r="B109" s="43">
        <v>46046</v>
      </c>
      <c r="C109" s="7" t="s">
        <v>43</v>
      </c>
      <c r="D109" s="20" t="str">
        <f>IFERROR(VLOOKUP(Pagos[[#This Row],[Codigo del producto]],Entradas[],3,FALSE),"No existe")</f>
        <v>Mouse R1 Blanco</v>
      </c>
      <c r="E109" s="7">
        <v>1</v>
      </c>
      <c r="F109" s="10">
        <v>1000</v>
      </c>
      <c r="G109" s="22">
        <f>IFERROR(Pagos[[#This Row],[Cantidad vendida]]*Pagos[[#This Row],[Precio de venta]],"-")</f>
        <v>1000</v>
      </c>
      <c r="H109" s="22">
        <f>IFERROR(Pagos[[#This Row],[Precio de venta]]-VLOOKUP(Pagos[[#This Row],[Codigo del producto]],Stock[],13,FALSE),"-")</f>
        <v>277.37149999999997</v>
      </c>
      <c r="I109" s="22">
        <f t="shared" si="1"/>
        <v>124.81717499999999</v>
      </c>
      <c r="J109" s="22">
        <f>IFERROR(Pagos[[#This Row],[Cantidad vendida]]*Pagos[[#This Row],[Ganancia unitaria (Vendedor)]],"-")</f>
        <v>124.81717499999999</v>
      </c>
      <c r="K109" s="1">
        <f>IFERROR(Pagos[[#This Row],[Ganancia unitaria]]-Pagos[[#This Row],[Ganancia unitaria (Vendedor)]],"-")</f>
        <v>152.55432499999998</v>
      </c>
      <c r="L109" s="1">
        <f>IFERROR(Pagos[[#This Row],[Cantidad vendida]]*(Pagos[[#This Row],[Ganancia individual (Tienda)]]),"-")</f>
        <v>152.55432499999998</v>
      </c>
      <c r="M109" s="1">
        <f>(VLOOKUP(Pagos[[#This Row],[Codigo del producto]],Stock[],13,FALSE))*Pagos[[#This Row],[Cantidad vendida]]</f>
        <v>722.62850000000003</v>
      </c>
      <c r="N109" s="1" t="s">
        <v>312</v>
      </c>
      <c r="O109" s="1"/>
    </row>
    <row r="110" spans="1:15" ht="17.25" x14ac:dyDescent="0.3">
      <c r="A110" s="7" t="s">
        <v>313</v>
      </c>
      <c r="B110" s="43">
        <v>46046</v>
      </c>
      <c r="C110" s="7" t="s">
        <v>54</v>
      </c>
      <c r="D110" s="20" t="str">
        <f>IFERROR(VLOOKUP(Pagos[[#This Row],[Codigo del producto]],Entradas[],3,FALSE),"No existe")</f>
        <v>Cargadores USB para moto</v>
      </c>
      <c r="E110" s="7">
        <v>1</v>
      </c>
      <c r="F110" s="10">
        <v>500</v>
      </c>
      <c r="G110" s="22">
        <f>IFERROR(Pagos[[#This Row],[Cantidad vendida]]*Pagos[[#This Row],[Precio de venta]],"-")</f>
        <v>500</v>
      </c>
      <c r="H110" s="22">
        <f>IFERROR(Pagos[[#This Row],[Precio de venta]]-VLOOKUP(Pagos[[#This Row],[Codigo del producto]],Stock[],13,FALSE),"-")</f>
        <v>198.56700000000001</v>
      </c>
      <c r="I110" s="22">
        <f t="shared" si="1"/>
        <v>89.355150000000009</v>
      </c>
      <c r="J110" s="22">
        <f>IFERROR(Pagos[[#This Row],[Cantidad vendida]]*Pagos[[#This Row],[Ganancia unitaria (Vendedor)]],"-")</f>
        <v>89.355150000000009</v>
      </c>
      <c r="K110" s="1">
        <f>IFERROR(Pagos[[#This Row],[Ganancia unitaria]]-Pagos[[#This Row],[Ganancia unitaria (Vendedor)]],"-")</f>
        <v>109.21185</v>
      </c>
      <c r="L110" s="1">
        <f>IFERROR(Pagos[[#This Row],[Cantidad vendida]]*(Pagos[[#This Row],[Ganancia individual (Tienda)]]),"-")</f>
        <v>109.21185</v>
      </c>
      <c r="M110" s="1">
        <f>(VLOOKUP(Pagos[[#This Row],[Codigo del producto]],Stock[],13,FALSE))*Pagos[[#This Row],[Cantidad vendida]]</f>
        <v>301.43299999999999</v>
      </c>
      <c r="N110" s="1" t="s">
        <v>312</v>
      </c>
      <c r="O110" s="1"/>
    </row>
    <row r="111" spans="1:15" ht="17.25" x14ac:dyDescent="0.3">
      <c r="A111" s="10" t="s">
        <v>315</v>
      </c>
      <c r="B111" s="43">
        <v>46046</v>
      </c>
      <c r="C111" s="7" t="s">
        <v>40</v>
      </c>
      <c r="D111" s="20" t="str">
        <f>IFERROR(VLOOKUP(Pagos[[#This Row],[Codigo del producto]],Entradas[],3,FALSE),"No existe")</f>
        <v xml:space="preserve">Adaptador DAC </v>
      </c>
      <c r="E111" s="7">
        <v>1</v>
      </c>
      <c r="F111" s="10">
        <v>300</v>
      </c>
      <c r="G111" s="22">
        <f>IFERROR(Pagos[[#This Row],[Cantidad vendida]]*Pagos[[#This Row],[Precio de venta]],"-")</f>
        <v>300</v>
      </c>
      <c r="H111" s="22">
        <f>IFERROR(Pagos[[#This Row],[Precio de venta]]-VLOOKUP(Pagos[[#This Row],[Codigo del producto]],Stock[],13,FALSE),"-")</f>
        <v>116.48700000000002</v>
      </c>
      <c r="I111" s="22">
        <f t="shared" si="1"/>
        <v>52.419150000000009</v>
      </c>
      <c r="J111" s="22">
        <f>IFERROR(Pagos[[#This Row],[Cantidad vendida]]*Pagos[[#This Row],[Ganancia unitaria (Vendedor)]],"-")</f>
        <v>52.419150000000009</v>
      </c>
      <c r="K111" s="1">
        <f>IFERROR(Pagos[[#This Row],[Ganancia unitaria]]-Pagos[[#This Row],[Ganancia unitaria (Vendedor)]],"-")</f>
        <v>64.067850000000021</v>
      </c>
      <c r="L111" s="1">
        <f>IFERROR(Pagos[[#This Row],[Cantidad vendida]]*(Pagos[[#This Row],[Ganancia individual (Tienda)]]),"-")</f>
        <v>64.067850000000021</v>
      </c>
      <c r="M111" s="1">
        <f>(VLOOKUP(Pagos[[#This Row],[Codigo del producto]],Stock[],13,FALSE))*Pagos[[#This Row],[Cantidad vendida]]</f>
        <v>183.51299999999998</v>
      </c>
      <c r="N111" s="1" t="s">
        <v>312</v>
      </c>
      <c r="O111" s="1"/>
    </row>
    <row r="112" spans="1:15" ht="17.25" x14ac:dyDescent="0.3">
      <c r="A112" s="7" t="s">
        <v>311</v>
      </c>
      <c r="B112" s="43">
        <v>46046</v>
      </c>
      <c r="C112" s="7" t="s">
        <v>40</v>
      </c>
      <c r="D112" s="20" t="str">
        <f>IFERROR(VLOOKUP(Pagos[[#This Row],[Codigo del producto]],Entradas[],3,FALSE),"No existe")</f>
        <v xml:space="preserve">Adaptador DAC </v>
      </c>
      <c r="E112" s="7">
        <v>1</v>
      </c>
      <c r="F112" s="10">
        <v>300</v>
      </c>
      <c r="G112" s="22">
        <f>IFERROR(Pagos[[#This Row],[Cantidad vendida]]*Pagos[[#This Row],[Precio de venta]],"-")</f>
        <v>300</v>
      </c>
      <c r="H112" s="22">
        <f>IFERROR(Pagos[[#This Row],[Precio de venta]]-VLOOKUP(Pagos[[#This Row],[Codigo del producto]],Stock[],13,FALSE),"-")</f>
        <v>116.48700000000002</v>
      </c>
      <c r="I112" s="22">
        <f t="shared" si="1"/>
        <v>52.419150000000009</v>
      </c>
      <c r="J112" s="22">
        <f>IFERROR(Pagos[[#This Row],[Cantidad vendida]]*Pagos[[#This Row],[Ganancia unitaria (Vendedor)]],"-")</f>
        <v>52.419150000000009</v>
      </c>
      <c r="K112" s="1">
        <f>IFERROR(Pagos[[#This Row],[Ganancia unitaria]]-Pagos[[#This Row],[Ganancia unitaria (Vendedor)]],"-")</f>
        <v>64.067850000000021</v>
      </c>
      <c r="L112" s="1">
        <f>IFERROR(Pagos[[#This Row],[Cantidad vendida]]*(Pagos[[#This Row],[Ganancia individual (Tienda)]]),"-")</f>
        <v>64.067850000000021</v>
      </c>
      <c r="M112" s="1">
        <f>(VLOOKUP(Pagos[[#This Row],[Codigo del producto]],Stock[],13,FALSE))*Pagos[[#This Row],[Cantidad vendida]]</f>
        <v>183.51299999999998</v>
      </c>
      <c r="N112" s="1" t="s">
        <v>312</v>
      </c>
      <c r="O112" s="44">
        <v>2600</v>
      </c>
    </row>
    <row r="113" spans="1:15" ht="17.25" x14ac:dyDescent="0.3">
      <c r="A113" s="7" t="s">
        <v>311</v>
      </c>
      <c r="B113" s="43">
        <v>46047</v>
      </c>
      <c r="C113" s="7" t="s">
        <v>57</v>
      </c>
      <c r="D113" s="20" t="str">
        <f>IFERROR(VLOOKUP(Pagos[[#This Row],[Codigo del producto]],Entradas[],3,FALSE),"No existe")</f>
        <v>Monitor 34 3440x1440</v>
      </c>
      <c r="E113" s="7">
        <v>1</v>
      </c>
      <c r="F113" s="10">
        <v>10600</v>
      </c>
      <c r="G113" s="22">
        <f>IFERROR(Pagos[[#This Row],[Cantidad vendida]]*Pagos[[#This Row],[Precio de venta]],"-")</f>
        <v>10600</v>
      </c>
      <c r="H113" s="22">
        <f>IFERROR(Pagos[[#This Row],[Precio de venta]]-VLOOKUP(Pagos[[#This Row],[Codigo del producto]],Stock[],13,FALSE),"-")</f>
        <v>3552.4375</v>
      </c>
      <c r="I113" s="22">
        <f t="shared" si="1"/>
        <v>994.68250000000012</v>
      </c>
      <c r="J113" s="22">
        <f>IFERROR(Pagos[[#This Row],[Cantidad vendida]]*Pagos[[#This Row],[Ganancia unitaria (Vendedor)]],"-")</f>
        <v>994.68250000000012</v>
      </c>
      <c r="K113" s="1">
        <f>IFERROR(Pagos[[#This Row],[Ganancia unitaria]]-Pagos[[#This Row],[Ganancia unitaria (Vendedor)]],"-")</f>
        <v>2557.7550000000001</v>
      </c>
      <c r="L113" s="1">
        <f>IFERROR(Pagos[[#This Row],[Cantidad vendida]]*(Pagos[[#This Row],[Ganancia individual (Tienda)]]),"-")</f>
        <v>2557.7550000000001</v>
      </c>
      <c r="M113" s="1">
        <f>(VLOOKUP(Pagos[[#This Row],[Codigo del producto]],Stock[],13,FALSE))*Pagos[[#This Row],[Cantidad vendida]]</f>
        <v>7047.5625</v>
      </c>
      <c r="N113" s="1" t="s">
        <v>312</v>
      </c>
      <c r="O113" s="1"/>
    </row>
    <row r="114" spans="1:15" ht="17.25" x14ac:dyDescent="0.3">
      <c r="A114" s="7" t="s">
        <v>311</v>
      </c>
      <c r="B114" s="43">
        <v>46047</v>
      </c>
      <c r="C114" s="7" t="s">
        <v>33</v>
      </c>
      <c r="D114" s="20" t="str">
        <f>IFERROR(VLOOKUP(Pagos[[#This Row],[Codigo del producto]],Entradas[],3,FALSE),"No existe")</f>
        <v>Sharck Attack X11 Blanco</v>
      </c>
      <c r="E114" s="7">
        <v>2</v>
      </c>
      <c r="F114" s="10">
        <v>1200</v>
      </c>
      <c r="G114" s="22">
        <f>IFERROR(Pagos[[#This Row],[Cantidad vendida]]*Pagos[[#This Row],[Precio de venta]],"-")</f>
        <v>2400</v>
      </c>
      <c r="H114" s="22">
        <f>IFERROR(Pagos[[#This Row],[Precio de venta]]-VLOOKUP(Pagos[[#This Row],[Codigo del producto]],Stock[],13,FALSE),"-")</f>
        <v>602.66149999999993</v>
      </c>
      <c r="I114" s="22">
        <f t="shared" si="1"/>
        <v>229.01136999999997</v>
      </c>
      <c r="J114" s="22">
        <f>IFERROR(Pagos[[#This Row],[Cantidad vendida]]*Pagos[[#This Row],[Ganancia unitaria (Vendedor)]],"-")</f>
        <v>458.02273999999994</v>
      </c>
      <c r="K114" s="1">
        <f>IFERROR(Pagos[[#This Row],[Ganancia unitaria]]-Pagos[[#This Row],[Ganancia unitaria (Vendedor)]],"-")</f>
        <v>373.65012999999999</v>
      </c>
      <c r="L114" s="1">
        <f>IFERROR(Pagos[[#This Row],[Cantidad vendida]]*(Pagos[[#This Row],[Ganancia individual (Tienda)]]),"-")</f>
        <v>747.30025999999998</v>
      </c>
      <c r="M114" s="1">
        <f>(VLOOKUP(Pagos[[#This Row],[Codigo del producto]],Stock[],13,FALSE))*Pagos[[#This Row],[Cantidad vendida]]</f>
        <v>1194.6770000000001</v>
      </c>
      <c r="N114" s="1" t="s">
        <v>312</v>
      </c>
      <c r="O114" s="1"/>
    </row>
    <row r="115" spans="1:15" ht="17.25" x14ac:dyDescent="0.3">
      <c r="A115" s="7" t="s">
        <v>313</v>
      </c>
      <c r="B115" s="43">
        <v>46047</v>
      </c>
      <c r="C115" s="7" t="s">
        <v>27</v>
      </c>
      <c r="D115" s="20" t="str">
        <f>IFERROR(VLOOKUP(Pagos[[#This Row],[Codigo del producto]],Entradas[],3,FALSE),"No existe")</f>
        <v>KZ Castor PRO Improved Bass</v>
      </c>
      <c r="E115" s="7">
        <v>1</v>
      </c>
      <c r="F115" s="10">
        <v>900</v>
      </c>
      <c r="G115" s="22">
        <f>IFERROR(Pagos[[#This Row],[Cantidad vendida]]*Pagos[[#This Row],[Precio de venta]],"-")</f>
        <v>900</v>
      </c>
      <c r="H115" s="22">
        <f>IFERROR(Pagos[[#This Row],[Precio de venta]]-VLOOKUP(Pagos[[#This Row],[Codigo del producto]],Stock[],13,FALSE),"-")</f>
        <v>542.92349999999999</v>
      </c>
      <c r="I115" s="22">
        <f t="shared" si="1"/>
        <v>217.1694</v>
      </c>
      <c r="J115" s="22">
        <f>IFERROR(Pagos[[#This Row],[Cantidad vendida]]*Pagos[[#This Row],[Ganancia unitaria (Vendedor)]],"-")</f>
        <v>217.1694</v>
      </c>
      <c r="K115" s="1">
        <f>IFERROR(Pagos[[#This Row],[Ganancia unitaria]]-Pagos[[#This Row],[Ganancia unitaria (Vendedor)]],"-")</f>
        <v>325.75409999999999</v>
      </c>
      <c r="L115" s="1">
        <f>IFERROR(Pagos[[#This Row],[Cantidad vendida]]*(Pagos[[#This Row],[Ganancia individual (Tienda)]]),"-")</f>
        <v>325.75409999999999</v>
      </c>
      <c r="M115" s="1">
        <f>(VLOOKUP(Pagos[[#This Row],[Codigo del producto]],Stock[],13,FALSE))*Pagos[[#This Row],[Cantidad vendida]]</f>
        <v>357.07650000000001</v>
      </c>
      <c r="N115" s="1" t="s">
        <v>312</v>
      </c>
      <c r="O115" s="1"/>
    </row>
    <row r="116" spans="1:15" ht="17.25" x14ac:dyDescent="0.3">
      <c r="A116" s="7" t="s">
        <v>313</v>
      </c>
      <c r="B116" s="43">
        <v>46047</v>
      </c>
      <c r="C116" s="7" t="s">
        <v>47</v>
      </c>
      <c r="D116" s="20" t="str">
        <f>IFERROR(VLOOKUP(Pagos[[#This Row],[Codigo del producto]],Entradas[],3,FALSE),"No existe")</f>
        <v>Halogenos Grandes</v>
      </c>
      <c r="E116" s="7">
        <v>2</v>
      </c>
      <c r="F116" s="10">
        <v>400</v>
      </c>
      <c r="G116" s="22">
        <f>IFERROR(Pagos[[#This Row],[Cantidad vendida]]*Pagos[[#This Row],[Precio de venta]],"-")</f>
        <v>800</v>
      </c>
      <c r="H116" s="22">
        <f>IFERROR(Pagos[[#This Row],[Precio de venta]]-VLOOKUP(Pagos[[#This Row],[Codigo del producto]],Stock[],13,FALSE),"-")</f>
        <v>221.64599999999999</v>
      </c>
      <c r="I116" s="22">
        <f t="shared" si="1"/>
        <v>99.74069999999999</v>
      </c>
      <c r="J116" s="22">
        <f>IFERROR(Pagos[[#This Row],[Cantidad vendida]]*Pagos[[#This Row],[Ganancia unitaria (Vendedor)]],"-")</f>
        <v>199.48139999999998</v>
      </c>
      <c r="K116" s="1">
        <f>IFERROR(Pagos[[#This Row],[Ganancia unitaria]]-Pagos[[#This Row],[Ganancia unitaria (Vendedor)]],"-")</f>
        <v>121.9053</v>
      </c>
      <c r="L116" s="1">
        <f>IFERROR(Pagos[[#This Row],[Cantidad vendida]]*(Pagos[[#This Row],[Ganancia individual (Tienda)]]),"-")</f>
        <v>243.81059999999999</v>
      </c>
      <c r="M116" s="1">
        <f>(VLOOKUP(Pagos[[#This Row],[Codigo del producto]],Stock[],13,FALSE))*Pagos[[#This Row],[Cantidad vendida]]</f>
        <v>356.70800000000003</v>
      </c>
      <c r="N116" s="1" t="s">
        <v>312</v>
      </c>
      <c r="O116" s="1"/>
    </row>
    <row r="117" spans="1:15" ht="17.25" x14ac:dyDescent="0.3">
      <c r="A117" s="10" t="s">
        <v>315</v>
      </c>
      <c r="B117" s="43">
        <v>46048</v>
      </c>
      <c r="C117" s="7" t="s">
        <v>57</v>
      </c>
      <c r="D117" s="20" t="str">
        <f>IFERROR(VLOOKUP(Pagos[[#This Row],[Codigo del producto]],Entradas[],3,FALSE),"No existe")</f>
        <v>Monitor 34 3440x1440</v>
      </c>
      <c r="E117" s="7">
        <v>1</v>
      </c>
      <c r="F117" s="10">
        <v>9800</v>
      </c>
      <c r="G117" s="22">
        <f>IFERROR(Pagos[[#This Row],[Cantidad vendida]]*Pagos[[#This Row],[Precio de venta]],"-")</f>
        <v>9800</v>
      </c>
      <c r="H117" s="22">
        <f>IFERROR(Pagos[[#This Row],[Precio de venta]]-VLOOKUP(Pagos[[#This Row],[Codigo del producto]],Stock[],13,FALSE),"-")</f>
        <v>2752.4375</v>
      </c>
      <c r="I117" s="22">
        <f t="shared" si="1"/>
        <v>770.68250000000012</v>
      </c>
      <c r="J117" s="22">
        <f>IFERROR(Pagos[[#This Row],[Cantidad vendida]]*Pagos[[#This Row],[Ganancia unitaria (Vendedor)]],"-")</f>
        <v>770.68250000000012</v>
      </c>
      <c r="K117" s="1">
        <f>IFERROR(Pagos[[#This Row],[Ganancia unitaria]]-Pagos[[#This Row],[Ganancia unitaria (Vendedor)]],"-")</f>
        <v>1981.7549999999999</v>
      </c>
      <c r="L117" s="1">
        <f>IFERROR(Pagos[[#This Row],[Cantidad vendida]]*(Pagos[[#This Row],[Ganancia individual (Tienda)]]),"-")</f>
        <v>1981.7549999999999</v>
      </c>
      <c r="M117" s="1">
        <f>(VLOOKUP(Pagos[[#This Row],[Codigo del producto]],Stock[],13,FALSE))*Pagos[[#This Row],[Cantidad vendida]]</f>
        <v>7047.5625</v>
      </c>
      <c r="N117" s="1" t="s">
        <v>312</v>
      </c>
      <c r="O117" s="1"/>
    </row>
    <row r="118" spans="1:15" ht="17.25" x14ac:dyDescent="0.3">
      <c r="A118" s="10" t="s">
        <v>315</v>
      </c>
      <c r="B118" s="43">
        <v>46048</v>
      </c>
      <c r="C118" s="7" t="s">
        <v>48</v>
      </c>
      <c r="D118" s="20" t="str">
        <f>IFERROR(VLOOKUP(Pagos[[#This Row],[Codigo del producto]],Entradas[],3,FALSE),"No existe")</f>
        <v>Pantalla para moto 5 inch</v>
      </c>
      <c r="E118" s="7">
        <v>1</v>
      </c>
      <c r="F118" s="10">
        <v>2500</v>
      </c>
      <c r="G118" s="22">
        <f>IFERROR(Pagos[[#This Row],[Cantidad vendida]]*Pagos[[#This Row],[Precio de venta]],"-")</f>
        <v>2500</v>
      </c>
      <c r="H118" s="22">
        <f>IFERROR(Pagos[[#This Row],[Precio de venta]]-VLOOKUP(Pagos[[#This Row],[Codigo del producto]],Stock[],13,FALSE),"-")</f>
        <v>736.72749999999996</v>
      </c>
      <c r="I118" s="22">
        <f t="shared" si="1"/>
        <v>279.95644999999996</v>
      </c>
      <c r="J118" s="22">
        <f>IFERROR(Pagos[[#This Row],[Cantidad vendida]]*Pagos[[#This Row],[Ganancia unitaria (Vendedor)]],"-")</f>
        <v>279.95644999999996</v>
      </c>
      <c r="K118" s="1">
        <f>IFERROR(Pagos[[#This Row],[Ganancia unitaria]]-Pagos[[#This Row],[Ganancia unitaria (Vendedor)]],"-")</f>
        <v>456.77105</v>
      </c>
      <c r="L118" s="1">
        <f>IFERROR(Pagos[[#This Row],[Cantidad vendida]]*(Pagos[[#This Row],[Ganancia individual (Tienda)]]),"-")</f>
        <v>456.77105</v>
      </c>
      <c r="M118" s="1">
        <f>(VLOOKUP(Pagos[[#This Row],[Codigo del producto]],Stock[],13,FALSE))*Pagos[[#This Row],[Cantidad vendida]]</f>
        <v>1763.2725</v>
      </c>
      <c r="N118" s="1" t="s">
        <v>312</v>
      </c>
      <c r="O118" s="1"/>
    </row>
    <row r="119" spans="1:15" ht="17.25" x14ac:dyDescent="0.3">
      <c r="A119" s="10" t="s">
        <v>315</v>
      </c>
      <c r="B119" s="43">
        <v>46048</v>
      </c>
      <c r="C119" s="7" t="s">
        <v>43</v>
      </c>
      <c r="D119" s="20" t="str">
        <f>IFERROR(VLOOKUP(Pagos[[#This Row],[Codigo del producto]],Entradas[],3,FALSE),"No existe")</f>
        <v>Mouse R1 Blanco</v>
      </c>
      <c r="E119" s="7">
        <v>1</v>
      </c>
      <c r="F119" s="10">
        <v>1000</v>
      </c>
      <c r="G119" s="22">
        <f>IFERROR(Pagos[[#This Row],[Cantidad vendida]]*Pagos[[#This Row],[Precio de venta]],"-")</f>
        <v>1000</v>
      </c>
      <c r="H119" s="22">
        <f>IFERROR(Pagos[[#This Row],[Precio de venta]]-VLOOKUP(Pagos[[#This Row],[Codigo del producto]],Stock[],13,FALSE),"-")</f>
        <v>277.37149999999997</v>
      </c>
      <c r="I119" s="22">
        <f t="shared" si="1"/>
        <v>124.81717499999999</v>
      </c>
      <c r="J119" s="22">
        <f>IFERROR(Pagos[[#This Row],[Cantidad vendida]]*Pagos[[#This Row],[Ganancia unitaria (Vendedor)]],"-")</f>
        <v>124.81717499999999</v>
      </c>
      <c r="K119" s="1">
        <f>IFERROR(Pagos[[#This Row],[Ganancia unitaria]]-Pagos[[#This Row],[Ganancia unitaria (Vendedor)]],"-")</f>
        <v>152.55432499999998</v>
      </c>
      <c r="L119" s="1">
        <f>IFERROR(Pagos[[#This Row],[Cantidad vendida]]*(Pagos[[#This Row],[Ganancia individual (Tienda)]]),"-")</f>
        <v>152.55432499999998</v>
      </c>
      <c r="M119" s="1">
        <f>(VLOOKUP(Pagos[[#This Row],[Codigo del producto]],Stock[],13,FALSE))*Pagos[[#This Row],[Cantidad vendida]]</f>
        <v>722.62850000000003</v>
      </c>
      <c r="N119" s="1" t="s">
        <v>312</v>
      </c>
      <c r="O119" s="1"/>
    </row>
    <row r="120" spans="1:15" ht="17.25" x14ac:dyDescent="0.3">
      <c r="A120" s="7" t="s">
        <v>313</v>
      </c>
      <c r="B120" s="43">
        <v>46049</v>
      </c>
      <c r="C120" s="7" t="s">
        <v>48</v>
      </c>
      <c r="D120" s="20" t="str">
        <f>IFERROR(VLOOKUP(Pagos[[#This Row],[Codigo del producto]],Entradas[],3,FALSE),"No existe")</f>
        <v>Pantalla para moto 5 inch</v>
      </c>
      <c r="E120" s="7">
        <v>1</v>
      </c>
      <c r="F120" s="10">
        <v>2500</v>
      </c>
      <c r="G120" s="22">
        <f>IFERROR(Pagos[[#This Row],[Cantidad vendida]]*Pagos[[#This Row],[Precio de venta]],"-")</f>
        <v>2500</v>
      </c>
      <c r="H120" s="22">
        <f>IFERROR(Pagos[[#This Row],[Precio de venta]]-VLOOKUP(Pagos[[#This Row],[Codigo del producto]],Stock[],13,FALSE),"-")</f>
        <v>736.72749999999996</v>
      </c>
      <c r="I120" s="22">
        <f t="shared" si="1"/>
        <v>279.95644999999996</v>
      </c>
      <c r="J120" s="22">
        <f>IFERROR(Pagos[[#This Row],[Cantidad vendida]]*Pagos[[#This Row],[Ganancia unitaria (Vendedor)]],"-")</f>
        <v>279.95644999999996</v>
      </c>
      <c r="K120" s="1">
        <f>IFERROR(Pagos[[#This Row],[Ganancia unitaria]]-Pagos[[#This Row],[Ganancia unitaria (Vendedor)]],"-")</f>
        <v>456.77105</v>
      </c>
      <c r="L120" s="1">
        <f>IFERROR(Pagos[[#This Row],[Cantidad vendida]]*(Pagos[[#This Row],[Ganancia individual (Tienda)]]),"-")</f>
        <v>456.77105</v>
      </c>
      <c r="M120" s="1">
        <f>(VLOOKUP(Pagos[[#This Row],[Codigo del producto]],Stock[],13,FALSE))*Pagos[[#This Row],[Cantidad vendida]]</f>
        <v>1763.2725</v>
      </c>
      <c r="N120" s="1" t="s">
        <v>312</v>
      </c>
      <c r="O120" s="1"/>
    </row>
    <row r="121" spans="1:15" ht="17.25" x14ac:dyDescent="0.3">
      <c r="A121" s="7" t="s">
        <v>311</v>
      </c>
      <c r="B121" s="43">
        <v>46050</v>
      </c>
      <c r="C121" s="7" t="s">
        <v>38</v>
      </c>
      <c r="D121" s="20" t="str">
        <f>IFERROR(VLOOKUP(Pagos[[#This Row],[Codigo del producto]],Entradas[],3,FALSE),"No existe")</f>
        <v>Headset Bluetooth para moto</v>
      </c>
      <c r="E121" s="7">
        <v>1</v>
      </c>
      <c r="F121" s="10">
        <v>500</v>
      </c>
      <c r="G121" s="22">
        <f>IFERROR(Pagos[[#This Row],[Cantidad vendida]]*Pagos[[#This Row],[Precio de venta]],"-")</f>
        <v>500</v>
      </c>
      <c r="H121" s="22">
        <f>IFERROR(Pagos[[#This Row],[Precio de venta]]-VLOOKUP(Pagos[[#This Row],[Codigo del producto]],Stock[],13,FALSE),"-")</f>
        <v>226.94149999999996</v>
      </c>
      <c r="I121" s="22">
        <f t="shared" si="1"/>
        <v>102.12367499999999</v>
      </c>
      <c r="J121" s="22">
        <f>IFERROR(Pagos[[#This Row],[Cantidad vendida]]*Pagos[[#This Row],[Ganancia unitaria (Vendedor)]],"-")</f>
        <v>102.12367499999999</v>
      </c>
      <c r="K121" s="1">
        <f>IFERROR(Pagos[[#This Row],[Ganancia unitaria]]-Pagos[[#This Row],[Ganancia unitaria (Vendedor)]],"-")</f>
        <v>124.81782499999997</v>
      </c>
      <c r="L121" s="1">
        <f>IFERROR(Pagos[[#This Row],[Cantidad vendida]]*(Pagos[[#This Row],[Ganancia individual (Tienda)]]),"-")</f>
        <v>124.81782499999997</v>
      </c>
      <c r="M121" s="1">
        <f>(VLOOKUP(Pagos[[#This Row],[Codigo del producto]],Stock[],13,FALSE))*Pagos[[#This Row],[Cantidad vendida]]</f>
        <v>273.05850000000004</v>
      </c>
      <c r="N121" s="1" t="s">
        <v>334</v>
      </c>
      <c r="O121" s="1"/>
    </row>
    <row r="122" spans="1:15" ht="17.25" x14ac:dyDescent="0.3">
      <c r="A122" s="7" t="s">
        <v>313</v>
      </c>
      <c r="B122" s="43">
        <v>46052</v>
      </c>
      <c r="C122" s="7" t="s">
        <v>27</v>
      </c>
      <c r="D122" s="20" t="str">
        <f>IFERROR(VLOOKUP(Pagos[[#This Row],[Codigo del producto]],Entradas[],3,FALSE),"No existe")</f>
        <v>KZ Castor PRO Improved Bass</v>
      </c>
      <c r="E122" s="7">
        <v>1</v>
      </c>
      <c r="F122" s="10">
        <v>900</v>
      </c>
      <c r="G122" s="22">
        <f>IFERROR(Pagos[[#This Row],[Cantidad vendida]]*Pagos[[#This Row],[Precio de venta]],"-")</f>
        <v>900</v>
      </c>
      <c r="H122" s="22">
        <f>IFERROR(Pagos[[#This Row],[Precio de venta]]-VLOOKUP(Pagos[[#This Row],[Codigo del producto]],Stock[],13,FALSE),"-")</f>
        <v>542.92349999999999</v>
      </c>
      <c r="I122" s="22">
        <f t="shared" si="1"/>
        <v>217.1694</v>
      </c>
      <c r="J122" s="22">
        <f>IFERROR(Pagos[[#This Row],[Cantidad vendida]]*Pagos[[#This Row],[Ganancia unitaria (Vendedor)]],"-")</f>
        <v>217.1694</v>
      </c>
      <c r="K122" s="1">
        <f>IFERROR(Pagos[[#This Row],[Ganancia unitaria]]-Pagos[[#This Row],[Ganancia unitaria (Vendedor)]],"-")</f>
        <v>325.75409999999999</v>
      </c>
      <c r="L122" s="1">
        <f>IFERROR(Pagos[[#This Row],[Cantidad vendida]]*(Pagos[[#This Row],[Ganancia individual (Tienda)]]),"-")</f>
        <v>325.75409999999999</v>
      </c>
      <c r="M122" s="1">
        <f>(VLOOKUP(Pagos[[#This Row],[Codigo del producto]],Stock[],13,FALSE))*Pagos[[#This Row],[Cantidad vendida]]</f>
        <v>357.07650000000001</v>
      </c>
      <c r="N122" s="1" t="s">
        <v>312</v>
      </c>
      <c r="O122" s="1"/>
    </row>
    <row r="123" spans="1:15" ht="17.25" x14ac:dyDescent="0.3">
      <c r="A123" s="7" t="s">
        <v>313</v>
      </c>
      <c r="B123" s="43">
        <v>46052</v>
      </c>
      <c r="C123" s="7" t="s">
        <v>55</v>
      </c>
      <c r="D123" s="20" t="str">
        <f>IFERROR(VLOOKUP(Pagos[[#This Row],[Codigo del producto]],Entradas[],3,FALSE),"No existe")</f>
        <v>Cargadores USB para moto (Sin pantalla)</v>
      </c>
      <c r="E123" s="7">
        <v>1</v>
      </c>
      <c r="F123" s="10">
        <v>500</v>
      </c>
      <c r="G123" s="22">
        <f>IFERROR(Pagos[[#This Row],[Cantidad vendida]]*Pagos[[#This Row],[Precio de venta]],"-")</f>
        <v>500</v>
      </c>
      <c r="H123" s="22">
        <f>IFERROR(Pagos[[#This Row],[Precio de venta]]-VLOOKUP(Pagos[[#This Row],[Codigo del producto]],Stock[],13,FALSE),"-")</f>
        <v>259.738</v>
      </c>
      <c r="I123" s="22">
        <f t="shared" si="1"/>
        <v>116.88210000000001</v>
      </c>
      <c r="J123" s="22">
        <f>IFERROR(Pagos[[#This Row],[Cantidad vendida]]*Pagos[[#This Row],[Ganancia unitaria (Vendedor)]],"-")</f>
        <v>116.88210000000001</v>
      </c>
      <c r="K123" s="1">
        <f>IFERROR(Pagos[[#This Row],[Ganancia unitaria]]-Pagos[[#This Row],[Ganancia unitaria (Vendedor)]],"-")</f>
        <v>142.85589999999999</v>
      </c>
      <c r="L123" s="1">
        <f>IFERROR(Pagos[[#This Row],[Cantidad vendida]]*(Pagos[[#This Row],[Ganancia individual (Tienda)]]),"-")</f>
        <v>142.85589999999999</v>
      </c>
      <c r="M123" s="1">
        <f>(VLOOKUP(Pagos[[#This Row],[Codigo del producto]],Stock[],13,FALSE))*Pagos[[#This Row],[Cantidad vendida]]</f>
        <v>240.262</v>
      </c>
      <c r="N123" s="1" t="s">
        <v>312</v>
      </c>
      <c r="O123" s="1"/>
    </row>
    <row r="124" spans="1:15" ht="17.25" x14ac:dyDescent="0.3">
      <c r="A124" s="7" t="s">
        <v>311</v>
      </c>
      <c r="B124" s="43">
        <v>46052</v>
      </c>
      <c r="C124" s="7" t="s">
        <v>29</v>
      </c>
      <c r="D124" s="20" t="str">
        <f>IFERROR(VLOOKUP(Pagos[[#This Row],[Codigo del producto]],Entradas[],3,FALSE),"No existe")</f>
        <v>KZ EDX PRO X</v>
      </c>
      <c r="E124" s="7">
        <v>2</v>
      </c>
      <c r="F124" s="10">
        <v>400</v>
      </c>
      <c r="G124" s="22">
        <f>IFERROR(Pagos[[#This Row],[Cantidad vendida]]*Pagos[[#This Row],[Precio de venta]],"-")</f>
        <v>800</v>
      </c>
      <c r="H124" s="22">
        <f>IFERROR(Pagos[[#This Row],[Precio de venta]]-VLOOKUP(Pagos[[#This Row],[Codigo del producto]],Stock[],13,FALSE),"-")</f>
        <v>238.59700000000001</v>
      </c>
      <c r="I124" s="22">
        <f t="shared" si="1"/>
        <v>107.36865</v>
      </c>
      <c r="J124" s="22">
        <f>IFERROR(Pagos[[#This Row],[Cantidad vendida]]*Pagos[[#This Row],[Ganancia unitaria (Vendedor)]],"-")</f>
        <v>214.7373</v>
      </c>
      <c r="K124" s="1">
        <f>IFERROR(Pagos[[#This Row],[Ganancia unitaria]]-Pagos[[#This Row],[Ganancia unitaria (Vendedor)]],"-")</f>
        <v>131.22835000000001</v>
      </c>
      <c r="L124" s="1">
        <f>IFERROR(Pagos[[#This Row],[Cantidad vendida]]*(Pagos[[#This Row],[Ganancia individual (Tienda)]]),"-")</f>
        <v>262.45670000000001</v>
      </c>
      <c r="M124" s="1">
        <f>(VLOOKUP(Pagos[[#This Row],[Codigo del producto]],Stock[],13,FALSE))*Pagos[[#This Row],[Cantidad vendida]]</f>
        <v>322.80599999999998</v>
      </c>
      <c r="N124" s="1" t="s">
        <v>312</v>
      </c>
      <c r="O124" s="1"/>
    </row>
    <row r="125" spans="1:15" ht="17.25" x14ac:dyDescent="0.3">
      <c r="A125" s="7" t="s">
        <v>311</v>
      </c>
      <c r="B125" s="43">
        <v>46052</v>
      </c>
      <c r="C125" s="7" t="s">
        <v>40</v>
      </c>
      <c r="D125" s="20" t="str">
        <f>IFERROR(VLOOKUP(Pagos[[#This Row],[Codigo del producto]],Entradas[],3,FALSE),"No existe")</f>
        <v xml:space="preserve">Adaptador DAC </v>
      </c>
      <c r="E125" s="7">
        <v>2</v>
      </c>
      <c r="F125" s="10">
        <v>350</v>
      </c>
      <c r="G125" s="22">
        <f>IFERROR(Pagos[[#This Row],[Cantidad vendida]]*Pagos[[#This Row],[Precio de venta]],"-")</f>
        <v>700</v>
      </c>
      <c r="H125" s="22">
        <f>IFERROR(Pagos[[#This Row],[Precio de venta]]-VLOOKUP(Pagos[[#This Row],[Codigo del producto]],Stock[],13,FALSE),"-")</f>
        <v>166.48700000000002</v>
      </c>
      <c r="I125" s="22">
        <f t="shared" si="1"/>
        <v>74.919150000000016</v>
      </c>
      <c r="J125" s="22">
        <f>IFERROR(Pagos[[#This Row],[Cantidad vendida]]*Pagos[[#This Row],[Ganancia unitaria (Vendedor)]],"-")</f>
        <v>149.83830000000003</v>
      </c>
      <c r="K125" s="1">
        <f>IFERROR(Pagos[[#This Row],[Ganancia unitaria]]-Pagos[[#This Row],[Ganancia unitaria (Vendedor)]],"-")</f>
        <v>91.567850000000007</v>
      </c>
      <c r="L125" s="1">
        <f>IFERROR(Pagos[[#This Row],[Cantidad vendida]]*(Pagos[[#This Row],[Ganancia individual (Tienda)]]),"-")</f>
        <v>183.13570000000001</v>
      </c>
      <c r="M125" s="1">
        <f>(VLOOKUP(Pagos[[#This Row],[Codigo del producto]],Stock[],13,FALSE))*Pagos[[#This Row],[Cantidad vendida]]</f>
        <v>367.02599999999995</v>
      </c>
      <c r="N125" s="1" t="s">
        <v>312</v>
      </c>
      <c r="O125" s="1"/>
    </row>
    <row r="126" spans="1:15" ht="17.25" x14ac:dyDescent="0.3">
      <c r="A126" s="7" t="s">
        <v>311</v>
      </c>
      <c r="B126" s="43">
        <v>46053</v>
      </c>
      <c r="C126" s="7" t="s">
        <v>51</v>
      </c>
      <c r="D126" s="20" t="str">
        <f>IFERROR(VLOOKUP(Pagos[[#This Row],[Codigo del producto]],Entradas[],3,FALSE),"No existe")</f>
        <v>Pantalla para moto 5 inch</v>
      </c>
      <c r="E126" s="7">
        <v>1</v>
      </c>
      <c r="F126" s="10">
        <v>2500</v>
      </c>
      <c r="G126" s="22">
        <f>IFERROR(Pagos[[#This Row],[Cantidad vendida]]*Pagos[[#This Row],[Precio de venta]],"-")</f>
        <v>2500</v>
      </c>
      <c r="H126" s="22">
        <f>IFERROR(Pagos[[#This Row],[Precio de venta]]-VLOOKUP(Pagos[[#This Row],[Codigo del producto]],Stock[],13,FALSE),"-")</f>
        <v>762.52250000000004</v>
      </c>
      <c r="I126" s="22">
        <f t="shared" si="1"/>
        <v>289.75855000000001</v>
      </c>
      <c r="J126" s="22">
        <f>IFERROR(Pagos[[#This Row],[Cantidad vendida]]*Pagos[[#This Row],[Ganancia unitaria (Vendedor)]],"-")</f>
        <v>289.75855000000001</v>
      </c>
      <c r="K126" s="1">
        <f>IFERROR(Pagos[[#This Row],[Ganancia unitaria]]-Pagos[[#This Row],[Ganancia unitaria (Vendedor)]],"-")</f>
        <v>472.76395000000002</v>
      </c>
      <c r="L126" s="1">
        <f>IFERROR(Pagos[[#This Row],[Cantidad vendida]]*(Pagos[[#This Row],[Ganancia individual (Tienda)]]),"-")</f>
        <v>472.76395000000002</v>
      </c>
      <c r="M126" s="1">
        <f>(VLOOKUP(Pagos[[#This Row],[Codigo del producto]],Stock[],13,FALSE))*Pagos[[#This Row],[Cantidad vendida]]</f>
        <v>1737.4775</v>
      </c>
      <c r="N126" s="1" t="s">
        <v>334</v>
      </c>
      <c r="O126" s="1"/>
    </row>
    <row r="127" spans="1:15" ht="17.25" x14ac:dyDescent="0.3">
      <c r="A127" s="7" t="s">
        <v>311</v>
      </c>
      <c r="B127" s="43">
        <v>46053</v>
      </c>
      <c r="C127" s="7" t="s">
        <v>25</v>
      </c>
      <c r="D127" s="20" t="str">
        <f>IFERROR(VLOOKUP(Pagos[[#This Row],[Codigo del producto]],Entradas[],3,FALSE),"No existe")</f>
        <v>Sharck Attack R1 Negro</v>
      </c>
      <c r="E127" s="7">
        <v>1</v>
      </c>
      <c r="F127" s="10">
        <v>1000</v>
      </c>
      <c r="G127" s="22">
        <f>IFERROR(Pagos[[#This Row],[Cantidad vendida]]*Pagos[[#This Row],[Precio de venta]],"-")</f>
        <v>1000</v>
      </c>
      <c r="H127" s="22">
        <f>IFERROR(Pagos[[#This Row],[Precio de venta]]-VLOOKUP(Pagos[[#This Row],[Codigo del producto]],Stock[],13,FALSE),"-")</f>
        <v>310.16800000000001</v>
      </c>
      <c r="I127" s="22">
        <f t="shared" si="1"/>
        <v>124.06720000000001</v>
      </c>
      <c r="J127" s="22">
        <f>IFERROR(Pagos[[#This Row],[Cantidad vendida]]*Pagos[[#This Row],[Ganancia unitaria (Vendedor)]],"-")</f>
        <v>124.06720000000001</v>
      </c>
      <c r="K127" s="1">
        <f>IFERROR(Pagos[[#This Row],[Ganancia unitaria]]-Pagos[[#This Row],[Ganancia unitaria (Vendedor)]],"-")</f>
        <v>186.10079999999999</v>
      </c>
      <c r="L127" s="1">
        <f>IFERROR(Pagos[[#This Row],[Cantidad vendida]]*(Pagos[[#This Row],[Ganancia individual (Tienda)]]),"-")</f>
        <v>186.10079999999999</v>
      </c>
      <c r="M127" s="1">
        <f>(VLOOKUP(Pagos[[#This Row],[Codigo del producto]],Stock[],13,FALSE))*Pagos[[#This Row],[Cantidad vendida]]</f>
        <v>689.83199999999999</v>
      </c>
      <c r="N127" s="1" t="s">
        <v>334</v>
      </c>
      <c r="O127" s="1"/>
    </row>
    <row r="128" spans="1:15" ht="17.25" x14ac:dyDescent="0.3">
      <c r="A128" s="10" t="s">
        <v>315</v>
      </c>
      <c r="B128" s="43">
        <v>46054</v>
      </c>
      <c r="C128" s="7" t="s">
        <v>81</v>
      </c>
      <c r="D128" s="20" t="str">
        <f>IFERROR(VLOOKUP(Pagos[[#This Row],[Codigo del producto]],Entradas[],3,FALSE),"No existe")</f>
        <v xml:space="preserve">Perfume Issey Miyake </v>
      </c>
      <c r="E128" s="7">
        <v>1</v>
      </c>
      <c r="F128" s="10">
        <v>2200</v>
      </c>
      <c r="G128" s="22">
        <f>IFERROR(Pagos[[#This Row],[Cantidad vendida]]*Pagos[[#This Row],[Precio de venta]],"-")</f>
        <v>2200</v>
      </c>
      <c r="H128" s="22">
        <f>IFERROR(Pagos[[#This Row],[Precio de venta]]-VLOOKUP(Pagos[[#This Row],[Codigo del producto]],Stock[],13,FALSE),"-")</f>
        <v>608.07999999999993</v>
      </c>
      <c r="I128" s="22">
        <f t="shared" si="1"/>
        <v>231.07039999999998</v>
      </c>
      <c r="J128" s="22">
        <f>IFERROR(Pagos[[#This Row],[Cantidad vendida]]*Pagos[[#This Row],[Ganancia unitaria (Vendedor)]],"-")</f>
        <v>231.07039999999998</v>
      </c>
      <c r="K128" s="1">
        <f>IFERROR(Pagos[[#This Row],[Ganancia unitaria]]-Pagos[[#This Row],[Ganancia unitaria (Vendedor)]],"-")</f>
        <v>377.00959999999998</v>
      </c>
      <c r="L128" s="1">
        <f>IFERROR(Pagos[[#This Row],[Cantidad vendida]]*(Pagos[[#This Row],[Ganancia individual (Tienda)]]),"-")</f>
        <v>377.00959999999998</v>
      </c>
      <c r="M128" s="1">
        <f>(VLOOKUP(Pagos[[#This Row],[Codigo del producto]],Stock[],13,FALSE))*Pagos[[#This Row],[Cantidad vendida]]</f>
        <v>1591.92</v>
      </c>
      <c r="N128" s="1" t="s">
        <v>312</v>
      </c>
      <c r="O128" s="1"/>
    </row>
    <row r="129" spans="1:15" ht="17.25" x14ac:dyDescent="0.3">
      <c r="A129" s="10" t="s">
        <v>335</v>
      </c>
      <c r="B129" s="43">
        <v>46054</v>
      </c>
      <c r="C129" s="7" t="s">
        <v>25</v>
      </c>
      <c r="D129" s="20" t="str">
        <f>IFERROR(VLOOKUP(Pagos[[#This Row],[Codigo del producto]],Entradas[],3,FALSE),"No existe")</f>
        <v>Sharck Attack R1 Negro</v>
      </c>
      <c r="E129" s="7">
        <v>1</v>
      </c>
      <c r="F129" s="10">
        <v>1000</v>
      </c>
      <c r="G129" s="22">
        <f>IFERROR(Pagos[[#This Row],[Cantidad vendida]]*Pagos[[#This Row],[Precio de venta]],"-")</f>
        <v>1000</v>
      </c>
      <c r="H129" s="22">
        <f>IFERROR(Pagos[[#This Row],[Precio de venta]]-VLOOKUP(Pagos[[#This Row],[Codigo del producto]],Stock[],13,FALSE),"-")</f>
        <v>310.16800000000001</v>
      </c>
      <c r="I129" s="22">
        <f t="shared" si="1"/>
        <v>124.06720000000001</v>
      </c>
      <c r="J129" s="22">
        <f>IFERROR(Pagos[[#This Row],[Cantidad vendida]]*Pagos[[#This Row],[Ganancia unitaria (Vendedor)]],"-")</f>
        <v>124.06720000000001</v>
      </c>
      <c r="K129" s="1">
        <f>IFERROR(Pagos[[#This Row],[Ganancia unitaria]]-Pagos[[#This Row],[Ganancia unitaria (Vendedor)]],"-")</f>
        <v>186.10079999999999</v>
      </c>
      <c r="L129" s="1">
        <f>IFERROR(Pagos[[#This Row],[Cantidad vendida]]*(Pagos[[#This Row],[Ganancia individual (Tienda)]]),"-")</f>
        <v>186.10079999999999</v>
      </c>
      <c r="M129" s="1">
        <f>(VLOOKUP(Pagos[[#This Row],[Codigo del producto]],Stock[],13,FALSE))*Pagos[[#This Row],[Cantidad vendida]]</f>
        <v>689.83199999999999</v>
      </c>
      <c r="N129" s="1" t="s">
        <v>312</v>
      </c>
      <c r="O129" s="1"/>
    </row>
    <row r="130" spans="1:15" ht="17.25" x14ac:dyDescent="0.3">
      <c r="A130" s="7" t="s">
        <v>311</v>
      </c>
      <c r="B130" s="43">
        <v>46054</v>
      </c>
      <c r="C130" s="7" t="s">
        <v>78</v>
      </c>
      <c r="D130" s="20" t="str">
        <f>IFERROR(VLOOKUP(Pagos[[#This Row],[Codigo del producto]],Entradas[],3,FALSE),"No existe")</f>
        <v>Cargadores USB para moto (Sin pantalla)</v>
      </c>
      <c r="E130" s="7">
        <v>1</v>
      </c>
      <c r="F130" s="10">
        <v>500</v>
      </c>
      <c r="G130" s="22">
        <f>IFERROR(Pagos[[#This Row],[Cantidad vendida]]*Pagos[[#This Row],[Precio de venta]],"-")</f>
        <v>500</v>
      </c>
      <c r="H130" s="22">
        <f>IFERROR(Pagos[[#This Row],[Precio de venta]]-VLOOKUP(Pagos[[#This Row],[Codigo del producto]],Stock[],13,FALSE),"-")</f>
        <v>227.31</v>
      </c>
      <c r="I130" s="22">
        <f t="shared" si="1"/>
        <v>102.2895</v>
      </c>
      <c r="J130" s="22">
        <f>IFERROR(Pagos[[#This Row],[Cantidad vendida]]*Pagos[[#This Row],[Ganancia unitaria (Vendedor)]],"-")</f>
        <v>102.2895</v>
      </c>
      <c r="K130" s="1">
        <f>IFERROR(Pagos[[#This Row],[Ganancia unitaria]]-Pagos[[#This Row],[Ganancia unitaria (Vendedor)]],"-")</f>
        <v>125.0205</v>
      </c>
      <c r="L130" s="1">
        <f>IFERROR(Pagos[[#This Row],[Cantidad vendida]]*(Pagos[[#This Row],[Ganancia individual (Tienda)]]),"-")</f>
        <v>125.0205</v>
      </c>
      <c r="M130" s="1">
        <f>(VLOOKUP(Pagos[[#This Row],[Codigo del producto]],Stock[],13,FALSE))*Pagos[[#This Row],[Cantidad vendida]]</f>
        <v>272.69</v>
      </c>
      <c r="N130" s="1" t="s">
        <v>334</v>
      </c>
      <c r="O130" s="1"/>
    </row>
    <row r="131" spans="1:15" ht="17.25" x14ac:dyDescent="0.3">
      <c r="A131" s="10" t="s">
        <v>315</v>
      </c>
      <c r="B131" s="43">
        <v>46055</v>
      </c>
      <c r="C131" s="7" t="s">
        <v>88</v>
      </c>
      <c r="D131" s="20" t="str">
        <f>IFERROR(VLOOKUP(Pagos[[#This Row],[Codigo del producto]],Entradas[],3,FALSE),"No existe")</f>
        <v>Yara</v>
      </c>
      <c r="E131" s="7">
        <v>1</v>
      </c>
      <c r="F131" s="10">
        <v>720</v>
      </c>
      <c r="G131" s="22">
        <f>IFERROR(Pagos[[#This Row],[Cantidad vendida]]*Pagos[[#This Row],[Precio de venta]],"-")</f>
        <v>720</v>
      </c>
      <c r="H131" s="22">
        <f>IFERROR(Pagos[[#This Row],[Precio de venta]]-VLOOKUP(Pagos[[#This Row],[Codigo del producto]],Stock[],13,FALSE),"-")</f>
        <v>290.32899999999995</v>
      </c>
      <c r="I131" s="22">
        <f t="shared" si="1"/>
        <v>130.64804999999998</v>
      </c>
      <c r="J131" s="22">
        <f>IFERROR(Pagos[[#This Row],[Cantidad vendida]]*Pagos[[#This Row],[Ganancia unitaria (Vendedor)]],"-")</f>
        <v>130.64804999999998</v>
      </c>
      <c r="K131" s="1">
        <f>IFERROR(Pagos[[#This Row],[Ganancia unitaria]]-Pagos[[#This Row],[Ganancia unitaria (Vendedor)]],"-")</f>
        <v>159.68094999999997</v>
      </c>
      <c r="L131" s="1">
        <f>IFERROR(Pagos[[#This Row],[Cantidad vendida]]*(Pagos[[#This Row],[Ganancia individual (Tienda)]]),"-")</f>
        <v>159.68094999999997</v>
      </c>
      <c r="M131" s="1">
        <f>(VLOOKUP(Pagos[[#This Row],[Codigo del producto]],Stock[],13,FALSE))*Pagos[[#This Row],[Cantidad vendida]]</f>
        <v>429.67100000000005</v>
      </c>
      <c r="N131" s="1" t="s">
        <v>312</v>
      </c>
      <c r="O131" s="1"/>
    </row>
    <row r="132" spans="1:15" ht="17.25" x14ac:dyDescent="0.3">
      <c r="A132" s="7" t="s">
        <v>311</v>
      </c>
      <c r="B132" s="43">
        <v>46055</v>
      </c>
      <c r="C132" s="7" t="s">
        <v>40</v>
      </c>
      <c r="D132" s="20" t="str">
        <f>IFERROR(VLOOKUP(Pagos[[#This Row],[Codigo del producto]],Entradas[],3,FALSE),"No existe")</f>
        <v xml:space="preserve">Adaptador DAC </v>
      </c>
      <c r="E132" s="7">
        <v>1</v>
      </c>
      <c r="F132" s="10">
        <v>350</v>
      </c>
      <c r="G132" s="22">
        <f>IFERROR(Pagos[[#This Row],[Cantidad vendida]]*Pagos[[#This Row],[Precio de venta]],"-")</f>
        <v>350</v>
      </c>
      <c r="H132" s="22">
        <f>IFERROR(Pagos[[#This Row],[Precio de venta]]-VLOOKUP(Pagos[[#This Row],[Codigo del producto]],Stock[],13,FALSE),"-")</f>
        <v>166.48700000000002</v>
      </c>
      <c r="I132" s="22">
        <f t="shared" ref="I132:I195" si="2">IFERROR(
  IF(H132&lt;=0,"-",
    IF(H132&lt;=300, H132*0.45,
      IF(H132&lt;=600, H132*0.4,
        IF(H132&lt;=900, H132*0.38,
          IF(H132&lt;=1000, H132*0.35,
            IF(H132&lt;=1400, H132*0.32,
              IF(H132&lt;=1800, H132*0.3,
                IF(H132&gt;=2000, H132*0.28,
                  "-"
                )
              )
            )
          )
        )
      )
    )
  ),
  "-"
)</f>
        <v>74.919150000000016</v>
      </c>
      <c r="J132" s="22">
        <f>IFERROR(Pagos[[#This Row],[Cantidad vendida]]*Pagos[[#This Row],[Ganancia unitaria (Vendedor)]],"-")</f>
        <v>74.919150000000016</v>
      </c>
      <c r="K132" s="1">
        <f>IFERROR(Pagos[[#This Row],[Ganancia unitaria]]-Pagos[[#This Row],[Ganancia unitaria (Vendedor)]],"-")</f>
        <v>91.567850000000007</v>
      </c>
      <c r="L132" s="1">
        <f>IFERROR(Pagos[[#This Row],[Cantidad vendida]]*(Pagos[[#This Row],[Ganancia individual (Tienda)]]),"-")</f>
        <v>91.567850000000007</v>
      </c>
      <c r="M132" s="1">
        <f>(VLOOKUP(Pagos[[#This Row],[Codigo del producto]],Stock[],13,FALSE))*Pagos[[#This Row],[Cantidad vendida]]</f>
        <v>183.51299999999998</v>
      </c>
      <c r="N132" s="1" t="s">
        <v>334</v>
      </c>
      <c r="O132" s="1"/>
    </row>
    <row r="133" spans="1:15" ht="17.25" x14ac:dyDescent="0.3">
      <c r="A133" s="7" t="s">
        <v>311</v>
      </c>
      <c r="B133" s="43">
        <v>46056</v>
      </c>
      <c r="C133" s="7" t="s">
        <v>56</v>
      </c>
      <c r="D133" s="20" t="str">
        <f>IFERROR(VLOOKUP(Pagos[[#This Row],[Codigo del producto]],Entradas[],3,FALSE),"No existe")</f>
        <v>Teclado Mecanico K500 60%</v>
      </c>
      <c r="E133" s="7">
        <v>1</v>
      </c>
      <c r="F133" s="10">
        <v>2000</v>
      </c>
      <c r="G133" s="22">
        <f>IFERROR(Pagos[[#This Row],[Cantidad vendida]]*Pagos[[#This Row],[Precio de venta]],"-")</f>
        <v>2000</v>
      </c>
      <c r="H133" s="22">
        <f>IFERROR(Pagos[[#This Row],[Precio de venta]]-VLOOKUP(Pagos[[#This Row],[Codigo del producto]],Stock[],13,FALSE),"-")</f>
        <v>653.86950000000002</v>
      </c>
      <c r="I133" s="22">
        <f t="shared" si="2"/>
        <v>248.47041000000002</v>
      </c>
      <c r="J133" s="22">
        <f>IFERROR(Pagos[[#This Row],[Cantidad vendida]]*Pagos[[#This Row],[Ganancia unitaria (Vendedor)]],"-")</f>
        <v>248.47041000000002</v>
      </c>
      <c r="K133" s="1">
        <f>IFERROR(Pagos[[#This Row],[Ganancia unitaria]]-Pagos[[#This Row],[Ganancia unitaria (Vendedor)]],"-")</f>
        <v>405.39909</v>
      </c>
      <c r="L133" s="1">
        <f>IFERROR(Pagos[[#This Row],[Cantidad vendida]]*(Pagos[[#This Row],[Ganancia individual (Tienda)]]),"-")</f>
        <v>405.39909</v>
      </c>
      <c r="M133" s="1">
        <f>(VLOOKUP(Pagos[[#This Row],[Codigo del producto]],Stock[],13,FALSE))*Pagos[[#This Row],[Cantidad vendida]]</f>
        <v>1346.1305</v>
      </c>
      <c r="N133" s="1" t="s">
        <v>334</v>
      </c>
      <c r="O133" s="1"/>
    </row>
    <row r="134" spans="1:15" ht="17.25" x14ac:dyDescent="0.3">
      <c r="A134" s="7" t="s">
        <v>311</v>
      </c>
      <c r="B134" s="43">
        <v>46056</v>
      </c>
      <c r="C134" s="7" t="s">
        <v>27</v>
      </c>
      <c r="D134" s="20" t="str">
        <f>IFERROR(VLOOKUP(Pagos[[#This Row],[Codigo del producto]],Entradas[],3,FALSE),"No existe")</f>
        <v>KZ Castor PRO Improved Bass</v>
      </c>
      <c r="E134" s="7">
        <v>1</v>
      </c>
      <c r="F134" s="10">
        <v>900</v>
      </c>
      <c r="G134" s="22">
        <f>IFERROR(Pagos[[#This Row],[Cantidad vendida]]*Pagos[[#This Row],[Precio de venta]],"-")</f>
        <v>900</v>
      </c>
      <c r="H134" s="22">
        <f>IFERROR(Pagos[[#This Row],[Precio de venta]]-VLOOKUP(Pagos[[#This Row],[Codigo del producto]],Stock[],13,FALSE),"-")</f>
        <v>542.92349999999999</v>
      </c>
      <c r="I134" s="22">
        <f t="shared" si="2"/>
        <v>217.1694</v>
      </c>
      <c r="J134" s="22">
        <f>IFERROR(Pagos[[#This Row],[Cantidad vendida]]*Pagos[[#This Row],[Ganancia unitaria (Vendedor)]],"-")</f>
        <v>217.1694</v>
      </c>
      <c r="K134" s="1">
        <f>IFERROR(Pagos[[#This Row],[Ganancia unitaria]]-Pagos[[#This Row],[Ganancia unitaria (Vendedor)]],"-")</f>
        <v>325.75409999999999</v>
      </c>
      <c r="L134" s="1">
        <f>IFERROR(Pagos[[#This Row],[Cantidad vendida]]*(Pagos[[#This Row],[Ganancia individual (Tienda)]]),"-")</f>
        <v>325.75409999999999</v>
      </c>
      <c r="M134" s="1">
        <f>(VLOOKUP(Pagos[[#This Row],[Codigo del producto]],Stock[],13,FALSE))*Pagos[[#This Row],[Cantidad vendida]]</f>
        <v>357.07650000000001</v>
      </c>
      <c r="N134" s="1" t="s">
        <v>334</v>
      </c>
      <c r="O134" s="1"/>
    </row>
    <row r="135" spans="1:15" ht="17.25" x14ac:dyDescent="0.3">
      <c r="A135" s="7" t="s">
        <v>313</v>
      </c>
      <c r="B135" s="43">
        <v>46056</v>
      </c>
      <c r="C135" s="7" t="s">
        <v>72</v>
      </c>
      <c r="D135" s="20" t="str">
        <f>IFERROR(VLOOKUP(Pagos[[#This Row],[Codigo del producto]],Entradas[],3,FALSE),"No existe")</f>
        <v>KZ AZ09 Bluetooth Adapter</v>
      </c>
      <c r="E135" s="7">
        <v>1</v>
      </c>
      <c r="F135" s="10">
        <v>1000</v>
      </c>
      <c r="G135" s="22">
        <f>IFERROR(Pagos[[#This Row],[Cantidad vendida]]*Pagos[[#This Row],[Precio de venta]],"-")</f>
        <v>1000</v>
      </c>
      <c r="H135" s="22">
        <f>IFERROR(Pagos[[#This Row],[Precio de venta]]-VLOOKUP(Pagos[[#This Row],[Codigo del producto]],Stock[],13,FALSE),"-")</f>
        <v>388.28999999999996</v>
      </c>
      <c r="I135" s="22">
        <f t="shared" si="2"/>
        <v>155.316</v>
      </c>
      <c r="J135" s="22">
        <f>IFERROR(Pagos[[#This Row],[Cantidad vendida]]*Pagos[[#This Row],[Ganancia unitaria (Vendedor)]],"-")</f>
        <v>155.316</v>
      </c>
      <c r="K135" s="1">
        <f>IFERROR(Pagos[[#This Row],[Ganancia unitaria]]-Pagos[[#This Row],[Ganancia unitaria (Vendedor)]],"-")</f>
        <v>232.97399999999996</v>
      </c>
      <c r="L135" s="1">
        <f>IFERROR(Pagos[[#This Row],[Cantidad vendida]]*(Pagos[[#This Row],[Ganancia individual (Tienda)]]),"-")</f>
        <v>232.97399999999996</v>
      </c>
      <c r="M135" s="1">
        <f>(VLOOKUP(Pagos[[#This Row],[Codigo del producto]],Stock[],13,FALSE))*Pagos[[#This Row],[Cantidad vendida]]</f>
        <v>611.71</v>
      </c>
      <c r="N135" s="1" t="s">
        <v>312</v>
      </c>
      <c r="O135" s="1"/>
    </row>
    <row r="136" spans="1:15" ht="17.25" x14ac:dyDescent="0.3">
      <c r="A136" s="7" t="s">
        <v>311</v>
      </c>
      <c r="B136" s="43">
        <v>46056</v>
      </c>
      <c r="C136" s="7" t="s">
        <v>72</v>
      </c>
      <c r="D136" s="20" t="str">
        <f>IFERROR(VLOOKUP(Pagos[[#This Row],[Codigo del producto]],Entradas[],3,FALSE),"No existe")</f>
        <v>KZ AZ09 Bluetooth Adapter</v>
      </c>
      <c r="E136" s="7">
        <v>1</v>
      </c>
      <c r="F136" s="10">
        <v>1000</v>
      </c>
      <c r="G136" s="22">
        <f>IFERROR(Pagos[[#This Row],[Cantidad vendida]]*Pagos[[#This Row],[Precio de venta]],"-")</f>
        <v>1000</v>
      </c>
      <c r="H136" s="22">
        <f>IFERROR(Pagos[[#This Row],[Precio de venta]]-VLOOKUP(Pagos[[#This Row],[Codigo del producto]],Stock[],13,FALSE),"-")</f>
        <v>388.28999999999996</v>
      </c>
      <c r="I136" s="22">
        <f t="shared" si="2"/>
        <v>155.316</v>
      </c>
      <c r="J136" s="22">
        <f>IFERROR(Pagos[[#This Row],[Cantidad vendida]]*Pagos[[#This Row],[Ganancia unitaria (Vendedor)]],"-")</f>
        <v>155.316</v>
      </c>
      <c r="K136" s="1">
        <f>IFERROR(Pagos[[#This Row],[Ganancia unitaria]]-Pagos[[#This Row],[Ganancia unitaria (Vendedor)]],"-")</f>
        <v>232.97399999999996</v>
      </c>
      <c r="L136" s="1">
        <f>IFERROR(Pagos[[#This Row],[Cantidad vendida]]*(Pagos[[#This Row],[Ganancia individual (Tienda)]]),"-")</f>
        <v>232.97399999999996</v>
      </c>
      <c r="M136" s="1">
        <f>(VLOOKUP(Pagos[[#This Row],[Codigo del producto]],Stock[],13,FALSE))*Pagos[[#This Row],[Cantidad vendida]]</f>
        <v>611.71</v>
      </c>
      <c r="N136" s="1" t="s">
        <v>334</v>
      </c>
      <c r="O136" s="1"/>
    </row>
    <row r="137" spans="1:15" ht="17.25" x14ac:dyDescent="0.3">
      <c r="A137" s="7" t="s">
        <v>311</v>
      </c>
      <c r="B137" s="43">
        <v>46056</v>
      </c>
      <c r="C137" s="7" t="s">
        <v>25</v>
      </c>
      <c r="D137" s="20" t="str">
        <f>IFERROR(VLOOKUP(Pagos[[#This Row],[Codigo del producto]],Entradas[],3,FALSE),"No existe")</f>
        <v>Sharck Attack R1 Negro</v>
      </c>
      <c r="E137" s="7">
        <v>1</v>
      </c>
      <c r="F137" s="10">
        <v>1000</v>
      </c>
      <c r="G137" s="22">
        <f>IFERROR(Pagos[[#This Row],[Cantidad vendida]]*Pagos[[#This Row],[Precio de venta]],"-")</f>
        <v>1000</v>
      </c>
      <c r="H137" s="22">
        <f>IFERROR(Pagos[[#This Row],[Precio de venta]]-VLOOKUP(Pagos[[#This Row],[Codigo del producto]],Stock[],13,FALSE),"-")</f>
        <v>310.16800000000001</v>
      </c>
      <c r="I137" s="22">
        <f t="shared" si="2"/>
        <v>124.06720000000001</v>
      </c>
      <c r="J137" s="22">
        <f>IFERROR(Pagos[[#This Row],[Cantidad vendida]]*Pagos[[#This Row],[Ganancia unitaria (Vendedor)]],"-")</f>
        <v>124.06720000000001</v>
      </c>
      <c r="K137" s="1">
        <f>IFERROR(Pagos[[#This Row],[Ganancia unitaria]]-Pagos[[#This Row],[Ganancia unitaria (Vendedor)]],"-")</f>
        <v>186.10079999999999</v>
      </c>
      <c r="L137" s="1">
        <f>IFERROR(Pagos[[#This Row],[Cantidad vendida]]*(Pagos[[#This Row],[Ganancia individual (Tienda)]]),"-")</f>
        <v>186.10079999999999</v>
      </c>
      <c r="M137" s="1">
        <f>(VLOOKUP(Pagos[[#This Row],[Codigo del producto]],Stock[],13,FALSE))*Pagos[[#This Row],[Cantidad vendida]]</f>
        <v>689.83199999999999</v>
      </c>
      <c r="N137" s="1" t="s">
        <v>334</v>
      </c>
      <c r="O137" s="1"/>
    </row>
    <row r="138" spans="1:15" ht="17.25" x14ac:dyDescent="0.3">
      <c r="A138" s="10" t="s">
        <v>336</v>
      </c>
      <c r="B138" s="43">
        <v>46056</v>
      </c>
      <c r="C138" s="7" t="s">
        <v>25</v>
      </c>
      <c r="D138" s="20" t="str">
        <f>IFERROR(VLOOKUP(Pagos[[#This Row],[Codigo del producto]],Entradas[],3,FALSE),"No existe")</f>
        <v>Sharck Attack R1 Negro</v>
      </c>
      <c r="E138" s="7">
        <v>1</v>
      </c>
      <c r="F138" s="10">
        <v>1000</v>
      </c>
      <c r="G138" s="22">
        <f>IFERROR(Pagos[[#This Row],[Cantidad vendida]]*Pagos[[#This Row],[Precio de venta]],"-")</f>
        <v>1000</v>
      </c>
      <c r="H138" s="22">
        <f>IFERROR(Pagos[[#This Row],[Precio de venta]]-VLOOKUP(Pagos[[#This Row],[Codigo del producto]],Stock[],13,FALSE),"-")</f>
        <v>310.16800000000001</v>
      </c>
      <c r="I138" s="22">
        <f t="shared" si="2"/>
        <v>124.06720000000001</v>
      </c>
      <c r="J138" s="22">
        <f>IFERROR(Pagos[[#This Row],[Cantidad vendida]]*Pagos[[#This Row],[Ganancia unitaria (Vendedor)]],"-")</f>
        <v>124.06720000000001</v>
      </c>
      <c r="K138" s="1">
        <f>IFERROR(Pagos[[#This Row],[Ganancia unitaria]]-Pagos[[#This Row],[Ganancia unitaria (Vendedor)]],"-")</f>
        <v>186.10079999999999</v>
      </c>
      <c r="L138" s="1">
        <f>IFERROR(Pagos[[#This Row],[Cantidad vendida]]*(Pagos[[#This Row],[Ganancia individual (Tienda)]]),"-")</f>
        <v>186.10079999999999</v>
      </c>
      <c r="M138" s="1">
        <f>(VLOOKUP(Pagos[[#This Row],[Codigo del producto]],Stock[],13,FALSE))*Pagos[[#This Row],[Cantidad vendida]]</f>
        <v>689.83199999999999</v>
      </c>
      <c r="N138" s="1" t="s">
        <v>334</v>
      </c>
      <c r="O138" s="1"/>
    </row>
    <row r="139" spans="1:15" ht="17.25" x14ac:dyDescent="0.3">
      <c r="A139" s="10" t="s">
        <v>315</v>
      </c>
      <c r="B139" s="43">
        <v>46056</v>
      </c>
      <c r="C139" s="7" t="s">
        <v>64</v>
      </c>
      <c r="D139" s="20" t="str">
        <f>IFERROR(VLOOKUP(Pagos[[#This Row],[Codigo del producto]],Entradas[],3,FALSE),"No existe")</f>
        <v>Monter MQT39</v>
      </c>
      <c r="E139" s="7">
        <v>1</v>
      </c>
      <c r="F139" s="10">
        <v>700</v>
      </c>
      <c r="G139" s="22">
        <f>IFERROR(Pagos[[#This Row],[Cantidad vendida]]*Pagos[[#This Row],[Precio de venta]],"-")</f>
        <v>700</v>
      </c>
      <c r="H139" s="22">
        <f>IFERROR(Pagos[[#This Row],[Precio de venta]]-VLOOKUP(Pagos[[#This Row],[Codigo del producto]],Stock[],13,FALSE),"-")</f>
        <v>282.48949999999996</v>
      </c>
      <c r="I139" s="22">
        <f t="shared" si="2"/>
        <v>127.12027499999999</v>
      </c>
      <c r="J139" s="22">
        <f>IFERROR(Pagos[[#This Row],[Cantidad vendida]]*Pagos[[#This Row],[Ganancia unitaria (Vendedor)]],"-")</f>
        <v>127.12027499999999</v>
      </c>
      <c r="K139" s="1">
        <f>IFERROR(Pagos[[#This Row],[Ganancia unitaria]]-Pagos[[#This Row],[Ganancia unitaria (Vendedor)]],"-")</f>
        <v>155.36922499999997</v>
      </c>
      <c r="L139" s="1">
        <f>IFERROR(Pagos[[#This Row],[Cantidad vendida]]*(Pagos[[#This Row],[Ganancia individual (Tienda)]]),"-")</f>
        <v>155.36922499999997</v>
      </c>
      <c r="M139" s="1">
        <f>(VLOOKUP(Pagos[[#This Row],[Codigo del producto]],Stock[],13,FALSE))*Pagos[[#This Row],[Cantidad vendida]]</f>
        <v>417.51050000000004</v>
      </c>
      <c r="N139" s="1" t="s">
        <v>312</v>
      </c>
      <c r="O139" s="1" t="s">
        <v>337</v>
      </c>
    </row>
    <row r="140" spans="1:15" ht="17.25" x14ac:dyDescent="0.3">
      <c r="A140" s="7" t="s">
        <v>311</v>
      </c>
      <c r="B140" s="43">
        <v>46056</v>
      </c>
      <c r="C140" s="7" t="s">
        <v>40</v>
      </c>
      <c r="D140" s="20" t="str">
        <f>IFERROR(VLOOKUP(Pagos[[#This Row],[Codigo del producto]],Entradas[],3,FALSE),"No existe")</f>
        <v xml:space="preserve">Adaptador DAC </v>
      </c>
      <c r="E140" s="7">
        <v>1</v>
      </c>
      <c r="F140" s="10">
        <v>300</v>
      </c>
      <c r="G140" s="22">
        <f>IFERROR(Pagos[[#This Row],[Cantidad vendida]]*Pagos[[#This Row],[Precio de venta]],"-")</f>
        <v>300</v>
      </c>
      <c r="H140" s="22">
        <f>IFERROR(Pagos[[#This Row],[Precio de venta]]-VLOOKUP(Pagos[[#This Row],[Codigo del producto]],Stock[],13,FALSE),"-")</f>
        <v>116.48700000000002</v>
      </c>
      <c r="I140" s="22">
        <f t="shared" si="2"/>
        <v>52.419150000000009</v>
      </c>
      <c r="J140" s="22">
        <f>IFERROR(Pagos[[#This Row],[Cantidad vendida]]*Pagos[[#This Row],[Ganancia unitaria (Vendedor)]],"-")</f>
        <v>52.419150000000009</v>
      </c>
      <c r="K140" s="1">
        <f>IFERROR(Pagos[[#This Row],[Ganancia unitaria]]-Pagos[[#This Row],[Ganancia unitaria (Vendedor)]],"-")</f>
        <v>64.067850000000021</v>
      </c>
      <c r="L140" s="1">
        <f>IFERROR(Pagos[[#This Row],[Cantidad vendida]]*(Pagos[[#This Row],[Ganancia individual (Tienda)]]),"-")</f>
        <v>64.067850000000021</v>
      </c>
      <c r="M140" s="1">
        <f>(VLOOKUP(Pagos[[#This Row],[Codigo del producto]],Stock[],13,FALSE))*Pagos[[#This Row],[Cantidad vendida]]</f>
        <v>183.51299999999998</v>
      </c>
      <c r="N140" s="1" t="s">
        <v>334</v>
      </c>
      <c r="O140" s="1"/>
    </row>
    <row r="141" spans="1:15" ht="17.25" x14ac:dyDescent="0.3">
      <c r="A141" s="10" t="s">
        <v>335</v>
      </c>
      <c r="B141" s="43">
        <v>46057</v>
      </c>
      <c r="C141" s="7" t="s">
        <v>27</v>
      </c>
      <c r="D141" s="20" t="str">
        <f>IFERROR(VLOOKUP(Pagos[[#This Row],[Codigo del producto]],Entradas[],3,FALSE),"No existe")</f>
        <v>KZ Castor PRO Improved Bass</v>
      </c>
      <c r="E141" s="7">
        <v>1</v>
      </c>
      <c r="F141" s="10">
        <v>800</v>
      </c>
      <c r="G141" s="22">
        <f>IFERROR(Pagos[[#This Row],[Cantidad vendida]]*Pagos[[#This Row],[Precio de venta]],"-")</f>
        <v>800</v>
      </c>
      <c r="H141" s="22">
        <f>IFERROR(Pagos[[#This Row],[Precio de venta]]-VLOOKUP(Pagos[[#This Row],[Codigo del producto]],Stock[],13,FALSE),"-")</f>
        <v>442.92349999999999</v>
      </c>
      <c r="I141" s="22">
        <f t="shared" si="2"/>
        <v>177.1694</v>
      </c>
      <c r="J141" s="22">
        <f>IFERROR(Pagos[[#This Row],[Cantidad vendida]]*Pagos[[#This Row],[Ganancia unitaria (Vendedor)]],"-")</f>
        <v>177.1694</v>
      </c>
      <c r="K141" s="1">
        <f>IFERROR(Pagos[[#This Row],[Ganancia unitaria]]-Pagos[[#This Row],[Ganancia unitaria (Vendedor)]],"-")</f>
        <v>265.75409999999999</v>
      </c>
      <c r="L141" s="1">
        <f>IFERROR(Pagos[[#This Row],[Cantidad vendida]]*(Pagos[[#This Row],[Ganancia individual (Tienda)]]),"-")</f>
        <v>265.75409999999999</v>
      </c>
      <c r="M141" s="1">
        <f>(VLOOKUP(Pagos[[#This Row],[Codigo del producto]],Stock[],13,FALSE))*Pagos[[#This Row],[Cantidad vendida]]</f>
        <v>357.07650000000001</v>
      </c>
      <c r="N141" s="1" t="s">
        <v>334</v>
      </c>
      <c r="O141" s="1"/>
    </row>
    <row r="142" spans="1:15" ht="17.25" x14ac:dyDescent="0.3">
      <c r="A142" s="10" t="s">
        <v>335</v>
      </c>
      <c r="B142" s="43">
        <v>46057</v>
      </c>
      <c r="C142" s="7" t="s">
        <v>72</v>
      </c>
      <c r="D142" s="20" t="str">
        <f>IFERROR(VLOOKUP(Pagos[[#This Row],[Codigo del producto]],Entradas[],3,FALSE),"No existe")</f>
        <v>KZ AZ09 Bluetooth Adapter</v>
      </c>
      <c r="E142" s="7">
        <v>1</v>
      </c>
      <c r="F142" s="10">
        <v>900</v>
      </c>
      <c r="G142" s="22">
        <f>IFERROR(Pagos[[#This Row],[Cantidad vendida]]*Pagos[[#This Row],[Precio de venta]],"-")</f>
        <v>900</v>
      </c>
      <c r="H142" s="22">
        <f>IFERROR(Pagos[[#This Row],[Precio de venta]]-VLOOKUP(Pagos[[#This Row],[Codigo del producto]],Stock[],13,FALSE),"-")</f>
        <v>288.28999999999996</v>
      </c>
      <c r="I142" s="22">
        <f t="shared" si="2"/>
        <v>129.73049999999998</v>
      </c>
      <c r="J142" s="22">
        <f>IFERROR(Pagos[[#This Row],[Cantidad vendida]]*Pagos[[#This Row],[Ganancia unitaria (Vendedor)]],"-")</f>
        <v>129.73049999999998</v>
      </c>
      <c r="K142" s="1">
        <f>IFERROR(Pagos[[#This Row],[Ganancia unitaria]]-Pagos[[#This Row],[Ganancia unitaria (Vendedor)]],"-")</f>
        <v>158.55949999999999</v>
      </c>
      <c r="L142" s="1">
        <f>IFERROR(Pagos[[#This Row],[Cantidad vendida]]*(Pagos[[#This Row],[Ganancia individual (Tienda)]]),"-")</f>
        <v>158.55949999999999</v>
      </c>
      <c r="M142" s="1">
        <f>(VLOOKUP(Pagos[[#This Row],[Codigo del producto]],Stock[],13,FALSE))*Pagos[[#This Row],[Cantidad vendida]]</f>
        <v>611.71</v>
      </c>
      <c r="N142" s="1" t="s">
        <v>334</v>
      </c>
      <c r="O142" s="1"/>
    </row>
    <row r="143" spans="1:15" ht="17.25" x14ac:dyDescent="0.3">
      <c r="A143" s="7" t="s">
        <v>311</v>
      </c>
      <c r="B143" s="43">
        <v>46057</v>
      </c>
      <c r="C143" s="7" t="s">
        <v>67</v>
      </c>
      <c r="D143" s="20" t="str">
        <f>IFERROR(VLOOKUP(Pagos[[#This Row],[Codigo del producto]],Entradas[],3,FALSE),"No existe")</f>
        <v>Cable de Repuesto KZ Tipo C</v>
      </c>
      <c r="E143" s="7">
        <v>1</v>
      </c>
      <c r="F143" s="10">
        <v>400</v>
      </c>
      <c r="G143" s="22">
        <f>IFERROR(Pagos[[#This Row],[Cantidad vendida]]*Pagos[[#This Row],[Precio de venta]],"-")</f>
        <v>400</v>
      </c>
      <c r="H143" s="22">
        <f>IFERROR(Pagos[[#This Row],[Precio de venta]]-VLOOKUP(Pagos[[#This Row],[Codigo del producto]],Stock[],13,FALSE),"-")</f>
        <v>205.0635</v>
      </c>
      <c r="I143" s="22">
        <f t="shared" si="2"/>
        <v>92.278575000000004</v>
      </c>
      <c r="J143" s="22">
        <f>IFERROR(Pagos[[#This Row],[Cantidad vendida]]*Pagos[[#This Row],[Ganancia unitaria (Vendedor)]],"-")</f>
        <v>92.278575000000004</v>
      </c>
      <c r="K143" s="1">
        <f>IFERROR(Pagos[[#This Row],[Ganancia unitaria]]-Pagos[[#This Row],[Ganancia unitaria (Vendedor)]],"-")</f>
        <v>112.784925</v>
      </c>
      <c r="L143" s="1">
        <f>IFERROR(Pagos[[#This Row],[Cantidad vendida]]*(Pagos[[#This Row],[Ganancia individual (Tienda)]]),"-")</f>
        <v>112.784925</v>
      </c>
      <c r="M143" s="1">
        <f>(VLOOKUP(Pagos[[#This Row],[Codigo del producto]],Stock[],13,FALSE))*Pagos[[#This Row],[Cantidad vendida]]</f>
        <v>194.9365</v>
      </c>
      <c r="N143" s="1" t="s">
        <v>334</v>
      </c>
      <c r="O143" s="1"/>
    </row>
    <row r="144" spans="1:15" ht="17.25" x14ac:dyDescent="0.3">
      <c r="A144" s="10" t="s">
        <v>321</v>
      </c>
      <c r="B144" s="43">
        <v>46058</v>
      </c>
      <c r="C144" s="7" t="s">
        <v>72</v>
      </c>
      <c r="D144" s="20" t="str">
        <f>IFERROR(VLOOKUP(Pagos[[#This Row],[Codigo del producto]],Entradas[],3,FALSE),"No existe")</f>
        <v>KZ AZ09 Bluetooth Adapter</v>
      </c>
      <c r="E144" s="7">
        <v>1</v>
      </c>
      <c r="F144" s="10">
        <v>1000</v>
      </c>
      <c r="G144" s="22">
        <f>IFERROR(Pagos[[#This Row],[Cantidad vendida]]*Pagos[[#This Row],[Precio de venta]],"-")</f>
        <v>1000</v>
      </c>
      <c r="H144" s="22">
        <f>IFERROR(Pagos[[#This Row],[Precio de venta]]-VLOOKUP(Pagos[[#This Row],[Codigo del producto]],Stock[],13,FALSE),"-")</f>
        <v>388.28999999999996</v>
      </c>
      <c r="I144" s="22">
        <f t="shared" si="2"/>
        <v>155.316</v>
      </c>
      <c r="J144" s="22">
        <f>IFERROR(Pagos[[#This Row],[Cantidad vendida]]*Pagos[[#This Row],[Ganancia unitaria (Vendedor)]],"-")</f>
        <v>155.316</v>
      </c>
      <c r="K144" s="1">
        <f>IFERROR(Pagos[[#This Row],[Ganancia unitaria]]-Pagos[[#This Row],[Ganancia unitaria (Vendedor)]],"-")</f>
        <v>232.97399999999996</v>
      </c>
      <c r="L144" s="1">
        <f>IFERROR(Pagos[[#This Row],[Cantidad vendida]]*(Pagos[[#This Row],[Ganancia individual (Tienda)]]),"-")</f>
        <v>232.97399999999996</v>
      </c>
      <c r="M144" s="1">
        <f>(VLOOKUP(Pagos[[#This Row],[Codigo del producto]],Stock[],13,FALSE))*Pagos[[#This Row],[Cantidad vendida]]</f>
        <v>611.71</v>
      </c>
      <c r="N144" s="1" t="s">
        <v>312</v>
      </c>
      <c r="O144" s="1"/>
    </row>
    <row r="145" spans="1:15" ht="17.25" x14ac:dyDescent="0.3">
      <c r="A145" s="7" t="s">
        <v>313</v>
      </c>
      <c r="B145" s="43">
        <v>46058</v>
      </c>
      <c r="C145" s="7" t="s">
        <v>43</v>
      </c>
      <c r="D145" s="20" t="str">
        <f>IFERROR(VLOOKUP(Pagos[[#This Row],[Codigo del producto]],Entradas[],3,FALSE),"No existe")</f>
        <v>Mouse R1 Blanco</v>
      </c>
      <c r="E145" s="7">
        <v>1</v>
      </c>
      <c r="F145" s="10">
        <v>1000</v>
      </c>
      <c r="G145" s="22">
        <f>IFERROR(Pagos[[#This Row],[Cantidad vendida]]*Pagos[[#This Row],[Precio de venta]],"-")</f>
        <v>1000</v>
      </c>
      <c r="H145" s="22">
        <f>IFERROR(Pagos[[#This Row],[Precio de venta]]-VLOOKUP(Pagos[[#This Row],[Codigo del producto]],Stock[],13,FALSE),"-")</f>
        <v>277.37149999999997</v>
      </c>
      <c r="I145" s="22">
        <f t="shared" si="2"/>
        <v>124.81717499999999</v>
      </c>
      <c r="J145" s="22">
        <f>IFERROR(Pagos[[#This Row],[Cantidad vendida]]*Pagos[[#This Row],[Ganancia unitaria (Vendedor)]],"-")</f>
        <v>124.81717499999999</v>
      </c>
      <c r="K145" s="1">
        <f>IFERROR(Pagos[[#This Row],[Ganancia unitaria]]-Pagos[[#This Row],[Ganancia unitaria (Vendedor)]],"-")</f>
        <v>152.55432499999998</v>
      </c>
      <c r="L145" s="1">
        <f>IFERROR(Pagos[[#This Row],[Cantidad vendida]]*(Pagos[[#This Row],[Ganancia individual (Tienda)]]),"-")</f>
        <v>152.55432499999998</v>
      </c>
      <c r="M145" s="1">
        <f>(VLOOKUP(Pagos[[#This Row],[Codigo del producto]],Stock[],13,FALSE))*Pagos[[#This Row],[Cantidad vendida]]</f>
        <v>722.62850000000003</v>
      </c>
      <c r="N145" s="1" t="s">
        <v>312</v>
      </c>
      <c r="O145" s="1"/>
    </row>
    <row r="146" spans="1:15" ht="17.25" x14ac:dyDescent="0.3">
      <c r="A146" s="7" t="s">
        <v>311</v>
      </c>
      <c r="B146" s="43">
        <v>46060</v>
      </c>
      <c r="C146" s="7" t="s">
        <v>72</v>
      </c>
      <c r="D146" s="20" t="str">
        <f>IFERROR(VLOOKUP(Pagos[[#This Row],[Codigo del producto]],Entradas[],3,FALSE),"No existe")</f>
        <v>KZ AZ09 Bluetooth Adapter</v>
      </c>
      <c r="E146" s="7">
        <v>1</v>
      </c>
      <c r="F146" s="10">
        <v>1000</v>
      </c>
      <c r="G146" s="22">
        <f>IFERROR(Pagos[[#This Row],[Cantidad vendida]]*Pagos[[#This Row],[Precio de venta]],"-")</f>
        <v>1000</v>
      </c>
      <c r="H146" s="22">
        <f>IFERROR(Pagos[[#This Row],[Precio de venta]]-VLOOKUP(Pagos[[#This Row],[Codigo del producto]],Stock[],13,FALSE),"-")</f>
        <v>388.28999999999996</v>
      </c>
      <c r="I146" s="22">
        <f t="shared" si="2"/>
        <v>155.316</v>
      </c>
      <c r="J146" s="22">
        <f>IFERROR(Pagos[[#This Row],[Cantidad vendida]]*Pagos[[#This Row],[Ganancia unitaria (Vendedor)]],"-")</f>
        <v>155.316</v>
      </c>
      <c r="K146" s="1">
        <f>IFERROR(Pagos[[#This Row],[Ganancia unitaria]]-Pagos[[#This Row],[Ganancia unitaria (Vendedor)]],"-")</f>
        <v>232.97399999999996</v>
      </c>
      <c r="L146" s="1">
        <f>IFERROR(Pagos[[#This Row],[Cantidad vendida]]*(Pagos[[#This Row],[Ganancia individual (Tienda)]]),"-")</f>
        <v>232.97399999999996</v>
      </c>
      <c r="M146" s="1">
        <f>(VLOOKUP(Pagos[[#This Row],[Codigo del producto]],Stock[],13,FALSE))*Pagos[[#This Row],[Cantidad vendida]]</f>
        <v>611.71</v>
      </c>
      <c r="N146" s="1" t="s">
        <v>312</v>
      </c>
      <c r="O146" s="1"/>
    </row>
    <row r="147" spans="1:15" ht="17.25" x14ac:dyDescent="0.3">
      <c r="A147" s="1" t="s">
        <v>327</v>
      </c>
      <c r="B147" s="43">
        <v>46060</v>
      </c>
      <c r="C147" s="7" t="s">
        <v>71</v>
      </c>
      <c r="D147" s="20" t="str">
        <f>IFERROR(VLOOKUP(Pagos[[#This Row],[Codigo del producto]],Entradas[],3,FALSE),"No existe")</f>
        <v>KZ Castor Improved Bass</v>
      </c>
      <c r="E147" s="7">
        <v>1</v>
      </c>
      <c r="F147" s="10">
        <v>650</v>
      </c>
      <c r="G147" s="22">
        <f>IFERROR(Pagos[[#This Row],[Cantidad vendida]]*Pagos[[#This Row],[Precio de venta]],"-")</f>
        <v>650</v>
      </c>
      <c r="H147" s="22">
        <f>IFERROR(Pagos[[#This Row],[Precio de venta]]-VLOOKUP(Pagos[[#This Row],[Codigo del producto]],Stock[],13,FALSE),"-")</f>
        <v>277.815</v>
      </c>
      <c r="I147" s="22">
        <f t="shared" si="2"/>
        <v>125.01675</v>
      </c>
      <c r="J147" s="22">
        <f>IFERROR(Pagos[[#This Row],[Cantidad vendida]]*Pagos[[#This Row],[Ganancia unitaria (Vendedor)]],"-")</f>
        <v>125.01675</v>
      </c>
      <c r="K147" s="1">
        <f>IFERROR(Pagos[[#This Row],[Ganancia unitaria]]-Pagos[[#This Row],[Ganancia unitaria (Vendedor)]],"-")</f>
        <v>152.79825</v>
      </c>
      <c r="L147" s="1">
        <f>IFERROR(Pagos[[#This Row],[Cantidad vendida]]*(Pagos[[#This Row],[Ganancia individual (Tienda)]]),"-")</f>
        <v>152.79825</v>
      </c>
      <c r="M147" s="1">
        <f>(VLOOKUP(Pagos[[#This Row],[Codigo del producto]],Stock[],13,FALSE))*Pagos[[#This Row],[Cantidad vendida]]</f>
        <v>372.185</v>
      </c>
      <c r="N147" s="1" t="s">
        <v>334</v>
      </c>
      <c r="O147" s="1"/>
    </row>
    <row r="148" spans="1:15" ht="17.25" x14ac:dyDescent="0.3">
      <c r="A148" s="10" t="s">
        <v>335</v>
      </c>
      <c r="B148" s="43">
        <v>46060</v>
      </c>
      <c r="C148" s="7" t="s">
        <v>29</v>
      </c>
      <c r="D148" s="20" t="str">
        <f>IFERROR(VLOOKUP(Pagos[[#This Row],[Codigo del producto]],Entradas[],3,FALSE),"No existe")</f>
        <v>KZ EDX PRO X</v>
      </c>
      <c r="E148" s="7">
        <v>1</v>
      </c>
      <c r="F148" s="10">
        <v>400</v>
      </c>
      <c r="G148" s="22">
        <f>IFERROR(Pagos[[#This Row],[Cantidad vendida]]*Pagos[[#This Row],[Precio de venta]],"-")</f>
        <v>400</v>
      </c>
      <c r="H148" s="22">
        <f>IFERROR(Pagos[[#This Row],[Precio de venta]]-VLOOKUP(Pagos[[#This Row],[Codigo del producto]],Stock[],13,FALSE),"-")</f>
        <v>238.59700000000001</v>
      </c>
      <c r="I148" s="22">
        <f t="shared" si="2"/>
        <v>107.36865</v>
      </c>
      <c r="J148" s="22">
        <f>IFERROR(Pagos[[#This Row],[Cantidad vendida]]*Pagos[[#This Row],[Ganancia unitaria (Vendedor)]],"-")</f>
        <v>107.36865</v>
      </c>
      <c r="K148" s="1">
        <f>IFERROR(Pagos[[#This Row],[Ganancia unitaria]]-Pagos[[#This Row],[Ganancia unitaria (Vendedor)]],"-")</f>
        <v>131.22835000000001</v>
      </c>
      <c r="L148" s="1">
        <f>IFERROR(Pagos[[#This Row],[Cantidad vendida]]*(Pagos[[#This Row],[Ganancia individual (Tienda)]]),"-")</f>
        <v>131.22835000000001</v>
      </c>
      <c r="M148" s="1">
        <f>(VLOOKUP(Pagos[[#This Row],[Codigo del producto]],Stock[],13,FALSE))*Pagos[[#This Row],[Cantidad vendida]]</f>
        <v>161.40299999999999</v>
      </c>
      <c r="N148" s="1" t="s">
        <v>334</v>
      </c>
      <c r="O148" s="1"/>
    </row>
    <row r="149" spans="1:15" ht="17.25" x14ac:dyDescent="0.3">
      <c r="A149" s="7" t="s">
        <v>311</v>
      </c>
      <c r="B149" s="43">
        <v>46060</v>
      </c>
      <c r="C149" s="7" t="s">
        <v>29</v>
      </c>
      <c r="D149" s="20" t="str">
        <f>IFERROR(VLOOKUP(Pagos[[#This Row],[Codigo del producto]],Entradas[],3,FALSE),"No existe")</f>
        <v>KZ EDX PRO X</v>
      </c>
      <c r="E149" s="7">
        <v>1</v>
      </c>
      <c r="F149" s="10">
        <v>400</v>
      </c>
      <c r="G149" s="22">
        <f>IFERROR(Pagos[[#This Row],[Cantidad vendida]]*Pagos[[#This Row],[Precio de venta]],"-")</f>
        <v>400</v>
      </c>
      <c r="H149" s="22">
        <f>IFERROR(Pagos[[#This Row],[Precio de venta]]-VLOOKUP(Pagos[[#This Row],[Codigo del producto]],Stock[],13,FALSE),"-")</f>
        <v>238.59700000000001</v>
      </c>
      <c r="I149" s="22">
        <f t="shared" si="2"/>
        <v>107.36865</v>
      </c>
      <c r="J149" s="22">
        <f>IFERROR(Pagos[[#This Row],[Cantidad vendida]]*Pagos[[#This Row],[Ganancia unitaria (Vendedor)]],"-")</f>
        <v>107.36865</v>
      </c>
      <c r="K149" s="1">
        <f>IFERROR(Pagos[[#This Row],[Ganancia unitaria]]-Pagos[[#This Row],[Ganancia unitaria (Vendedor)]],"-")</f>
        <v>131.22835000000001</v>
      </c>
      <c r="L149" s="1">
        <f>IFERROR(Pagos[[#This Row],[Cantidad vendida]]*(Pagos[[#This Row],[Ganancia individual (Tienda)]]),"-")</f>
        <v>131.22835000000001</v>
      </c>
      <c r="M149" s="1">
        <f>(VLOOKUP(Pagos[[#This Row],[Codigo del producto]],Stock[],13,FALSE))*Pagos[[#This Row],[Cantidad vendida]]</f>
        <v>161.40299999999999</v>
      </c>
      <c r="N149" s="1" t="s">
        <v>334</v>
      </c>
      <c r="O149" s="1" t="s">
        <v>338</v>
      </c>
    </row>
    <row r="150" spans="1:15" ht="17.25" x14ac:dyDescent="0.3">
      <c r="A150" s="10" t="s">
        <v>335</v>
      </c>
      <c r="B150" s="43">
        <v>46060</v>
      </c>
      <c r="C150" s="7" t="s">
        <v>40</v>
      </c>
      <c r="D150" s="20" t="str">
        <f>IFERROR(VLOOKUP(Pagos[[#This Row],[Codigo del producto]],Entradas[],3,FALSE),"No existe")</f>
        <v xml:space="preserve">Adaptador DAC </v>
      </c>
      <c r="E150" s="7">
        <v>1</v>
      </c>
      <c r="F150" s="10">
        <v>300</v>
      </c>
      <c r="G150" s="22">
        <f>IFERROR(Pagos[[#This Row],[Cantidad vendida]]*Pagos[[#This Row],[Precio de venta]],"-")</f>
        <v>300</v>
      </c>
      <c r="H150" s="22">
        <f>IFERROR(Pagos[[#This Row],[Precio de venta]]-VLOOKUP(Pagos[[#This Row],[Codigo del producto]],Stock[],13,FALSE),"-")</f>
        <v>116.48700000000002</v>
      </c>
      <c r="I150" s="22">
        <f t="shared" si="2"/>
        <v>52.419150000000009</v>
      </c>
      <c r="J150" s="22">
        <f>IFERROR(Pagos[[#This Row],[Cantidad vendida]]*Pagos[[#This Row],[Ganancia unitaria (Vendedor)]],"-")</f>
        <v>52.419150000000009</v>
      </c>
      <c r="K150" s="1">
        <f>IFERROR(Pagos[[#This Row],[Ganancia unitaria]]-Pagos[[#This Row],[Ganancia unitaria (Vendedor)]],"-")</f>
        <v>64.067850000000021</v>
      </c>
      <c r="L150" s="1">
        <f>IFERROR(Pagos[[#This Row],[Cantidad vendida]]*(Pagos[[#This Row],[Ganancia individual (Tienda)]]),"-")</f>
        <v>64.067850000000021</v>
      </c>
      <c r="M150" s="1">
        <f>(VLOOKUP(Pagos[[#This Row],[Codigo del producto]],Stock[],13,FALSE))*Pagos[[#This Row],[Cantidad vendida]]</f>
        <v>183.51299999999998</v>
      </c>
      <c r="N150" s="1" t="s">
        <v>334</v>
      </c>
      <c r="O150" s="1"/>
    </row>
    <row r="151" spans="1:15" ht="17.25" x14ac:dyDescent="0.3">
      <c r="A151" s="10" t="s">
        <v>315</v>
      </c>
      <c r="B151" s="43">
        <v>46060</v>
      </c>
      <c r="C151" s="7" t="s">
        <v>40</v>
      </c>
      <c r="D151" s="20" t="str">
        <f>IFERROR(VLOOKUP(Pagos[[#This Row],[Codigo del producto]],Entradas[],3,FALSE),"No existe")</f>
        <v xml:space="preserve">Adaptador DAC </v>
      </c>
      <c r="E151" s="7">
        <v>1</v>
      </c>
      <c r="F151" s="10">
        <v>300</v>
      </c>
      <c r="G151" s="22">
        <f>IFERROR(Pagos[[#This Row],[Cantidad vendida]]*Pagos[[#This Row],[Precio de venta]],"-")</f>
        <v>300</v>
      </c>
      <c r="H151" s="22">
        <f>IFERROR(Pagos[[#This Row],[Precio de venta]]-VLOOKUP(Pagos[[#This Row],[Codigo del producto]],Stock[],13,FALSE),"-")</f>
        <v>116.48700000000002</v>
      </c>
      <c r="I151" s="22">
        <f t="shared" si="2"/>
        <v>52.419150000000009</v>
      </c>
      <c r="J151" s="22">
        <f>IFERROR(Pagos[[#This Row],[Cantidad vendida]]*Pagos[[#This Row],[Ganancia unitaria (Vendedor)]],"-")</f>
        <v>52.419150000000009</v>
      </c>
      <c r="K151" s="1">
        <f>IFERROR(Pagos[[#This Row],[Ganancia unitaria]]-Pagos[[#This Row],[Ganancia unitaria (Vendedor)]],"-")</f>
        <v>64.067850000000021</v>
      </c>
      <c r="L151" s="1">
        <f>IFERROR(Pagos[[#This Row],[Cantidad vendida]]*(Pagos[[#This Row],[Ganancia individual (Tienda)]]),"-")</f>
        <v>64.067850000000021</v>
      </c>
      <c r="M151" s="1">
        <f>(VLOOKUP(Pagos[[#This Row],[Codigo del producto]],Stock[],13,FALSE))*Pagos[[#This Row],[Cantidad vendida]]</f>
        <v>183.51299999999998</v>
      </c>
      <c r="N151" s="1" t="s">
        <v>312</v>
      </c>
      <c r="O151" s="1"/>
    </row>
    <row r="152" spans="1:15" ht="17.25" x14ac:dyDescent="0.3">
      <c r="A152" s="1" t="s">
        <v>327</v>
      </c>
      <c r="B152" s="43">
        <v>46060</v>
      </c>
      <c r="C152" s="7" t="s">
        <v>40</v>
      </c>
      <c r="D152" s="20" t="str">
        <f>IFERROR(VLOOKUP(Pagos[[#This Row],[Codigo del producto]],Entradas[],3,FALSE),"No existe")</f>
        <v xml:space="preserve">Adaptador DAC </v>
      </c>
      <c r="E152" s="7">
        <v>1</v>
      </c>
      <c r="F152" s="10">
        <v>300</v>
      </c>
      <c r="G152" s="22">
        <f>IFERROR(Pagos[[#This Row],[Cantidad vendida]]*Pagos[[#This Row],[Precio de venta]],"-")</f>
        <v>300</v>
      </c>
      <c r="H152" s="22">
        <f>IFERROR(Pagos[[#This Row],[Precio de venta]]-VLOOKUP(Pagos[[#This Row],[Codigo del producto]],Stock[],13,FALSE),"-")</f>
        <v>116.48700000000002</v>
      </c>
      <c r="I152" s="22">
        <f t="shared" si="2"/>
        <v>52.419150000000009</v>
      </c>
      <c r="J152" s="22">
        <f>IFERROR(Pagos[[#This Row],[Cantidad vendida]]*Pagos[[#This Row],[Ganancia unitaria (Vendedor)]],"-")</f>
        <v>52.419150000000009</v>
      </c>
      <c r="K152" s="1">
        <f>IFERROR(Pagos[[#This Row],[Ganancia unitaria]]-Pagos[[#This Row],[Ganancia unitaria (Vendedor)]],"-")</f>
        <v>64.067850000000021</v>
      </c>
      <c r="L152" s="1">
        <f>IFERROR(Pagos[[#This Row],[Cantidad vendida]]*(Pagos[[#This Row],[Ganancia individual (Tienda)]]),"-")</f>
        <v>64.067850000000021</v>
      </c>
      <c r="M152" s="1">
        <f>(VLOOKUP(Pagos[[#This Row],[Codigo del producto]],Stock[],13,FALSE))*Pagos[[#This Row],[Cantidad vendida]]</f>
        <v>183.51299999999998</v>
      </c>
      <c r="N152" s="1" t="s">
        <v>334</v>
      </c>
      <c r="O152" s="1"/>
    </row>
    <row r="153" spans="1:15" ht="17.25" x14ac:dyDescent="0.3">
      <c r="A153" s="10" t="s">
        <v>315</v>
      </c>
      <c r="B153" s="43">
        <v>46060</v>
      </c>
      <c r="C153" s="7" t="s">
        <v>26</v>
      </c>
      <c r="D153" s="20" t="str">
        <f>IFERROR(VLOOKUP(Pagos[[#This Row],[Codigo del producto]],Entradas[],3,FALSE),"No existe")</f>
        <v>KZ ZSN PRO X</v>
      </c>
      <c r="E153" s="7">
        <v>1</v>
      </c>
      <c r="F153" s="10">
        <v>600</v>
      </c>
      <c r="G153" s="22">
        <f>IFERROR(Pagos[[#This Row],[Cantidad vendida]]*Pagos[[#This Row],[Precio de venta]],"-")</f>
        <v>600</v>
      </c>
      <c r="H153" s="22">
        <f>IFERROR(Pagos[[#This Row],[Precio de venta]]-VLOOKUP(Pagos[[#This Row],[Codigo del producto]],Stock[],13,FALSE),"-")</f>
        <v>108.78949999999998</v>
      </c>
      <c r="I153" s="22">
        <f t="shared" si="2"/>
        <v>48.955274999999993</v>
      </c>
      <c r="J153" s="22">
        <f>IFERROR(Pagos[[#This Row],[Cantidad vendida]]*Pagos[[#This Row],[Ganancia unitaria (Vendedor)]],"-")</f>
        <v>48.955274999999993</v>
      </c>
      <c r="K153" s="1">
        <f>IFERROR(Pagos[[#This Row],[Ganancia unitaria]]-Pagos[[#This Row],[Ganancia unitaria (Vendedor)]],"-")</f>
        <v>59.834224999999982</v>
      </c>
      <c r="L153" s="1">
        <f>IFERROR(Pagos[[#This Row],[Cantidad vendida]]*(Pagos[[#This Row],[Ganancia individual (Tienda)]]),"-")</f>
        <v>59.834224999999982</v>
      </c>
      <c r="M153" s="1">
        <f>(VLOOKUP(Pagos[[#This Row],[Codigo del producto]],Stock[],13,FALSE))*Pagos[[#This Row],[Cantidad vendida]]</f>
        <v>491.21050000000002</v>
      </c>
      <c r="N153" s="1" t="s">
        <v>312</v>
      </c>
      <c r="O153" s="1"/>
    </row>
    <row r="154" spans="1:15" ht="17.25" x14ac:dyDescent="0.3">
      <c r="A154" s="7" t="s">
        <v>313</v>
      </c>
      <c r="B154" s="43">
        <v>46064</v>
      </c>
      <c r="C154" s="7" t="s">
        <v>92</v>
      </c>
      <c r="D154" s="20" t="str">
        <f>IFERROR(VLOOKUP(Pagos[[#This Row],[Codigo del producto]],Entradas[],3,FALSE),"No existe")</f>
        <v>NYXI Hyperion Pro controller</v>
      </c>
      <c r="E154" s="7">
        <v>1</v>
      </c>
      <c r="F154" s="10">
        <v>2200</v>
      </c>
      <c r="G154" s="22">
        <f>IFERROR(Pagos[[#This Row],[Cantidad vendida]]*Pagos[[#This Row],[Precio de venta]],"-")</f>
        <v>2200</v>
      </c>
      <c r="H154" s="22">
        <f>IFERROR(Pagos[[#This Row],[Precio de venta]]-VLOOKUP(Pagos[[#This Row],[Codigo del producto]],Stock[],13,FALSE),"-")</f>
        <v>836.55</v>
      </c>
      <c r="I154" s="22">
        <f t="shared" si="2"/>
        <v>317.88900000000001</v>
      </c>
      <c r="J154" s="22">
        <f>IFERROR(Pagos[[#This Row],[Cantidad vendida]]*Pagos[[#This Row],[Ganancia unitaria (Vendedor)]],"-")</f>
        <v>317.88900000000001</v>
      </c>
      <c r="K154" s="1">
        <f>IFERROR(Pagos[[#This Row],[Ganancia unitaria]]-Pagos[[#This Row],[Ganancia unitaria (Vendedor)]],"-")</f>
        <v>518.66099999999994</v>
      </c>
      <c r="L154" s="1">
        <f>IFERROR(Pagos[[#This Row],[Cantidad vendida]]*(Pagos[[#This Row],[Ganancia individual (Tienda)]]),"-")</f>
        <v>518.66099999999994</v>
      </c>
      <c r="M154" s="1">
        <f>(VLOOKUP(Pagos[[#This Row],[Codigo del producto]],Stock[],13,FALSE))*Pagos[[#This Row],[Cantidad vendida]]</f>
        <v>1363.45</v>
      </c>
      <c r="N154" s="1" t="s">
        <v>334</v>
      </c>
      <c r="O154" s="1"/>
    </row>
    <row r="155" spans="1:15" ht="17.25" x14ac:dyDescent="0.3">
      <c r="A155" s="10" t="s">
        <v>315</v>
      </c>
      <c r="B155" s="43">
        <v>46064</v>
      </c>
      <c r="C155" s="7" t="s">
        <v>65</v>
      </c>
      <c r="D155" s="20" t="str">
        <f>IFERROR(VLOOKUP(Pagos[[#This Row],[Codigo del producto]],Entradas[],3,FALSE),"No existe")</f>
        <v>FIFINE Headset PC</v>
      </c>
      <c r="E155" s="7">
        <v>1</v>
      </c>
      <c r="F155" s="10">
        <v>2200</v>
      </c>
      <c r="G155" s="22">
        <f>IFERROR(Pagos[[#This Row],[Cantidad vendida]]*Pagos[[#This Row],[Precio de venta]],"-")</f>
        <v>2200</v>
      </c>
      <c r="H155" s="22">
        <f>IFERROR(Pagos[[#This Row],[Precio de venta]]-VLOOKUP(Pagos[[#This Row],[Codigo del producto]],Stock[],13,FALSE),"-")</f>
        <v>820.70450000000005</v>
      </c>
      <c r="I155" s="22">
        <f t="shared" si="2"/>
        <v>311.86771000000005</v>
      </c>
      <c r="J155" s="22">
        <f>IFERROR(Pagos[[#This Row],[Cantidad vendida]]*Pagos[[#This Row],[Ganancia unitaria (Vendedor)]],"-")</f>
        <v>311.86771000000005</v>
      </c>
      <c r="K155" s="1">
        <f>IFERROR(Pagos[[#This Row],[Ganancia unitaria]]-Pagos[[#This Row],[Ganancia unitaria (Vendedor)]],"-")</f>
        <v>508.83679000000001</v>
      </c>
      <c r="L155" s="1">
        <f>IFERROR(Pagos[[#This Row],[Cantidad vendida]]*(Pagos[[#This Row],[Ganancia individual (Tienda)]]),"-")</f>
        <v>508.83679000000001</v>
      </c>
      <c r="M155" s="1">
        <f>(VLOOKUP(Pagos[[#This Row],[Codigo del producto]],Stock[],13,FALSE))*Pagos[[#This Row],[Cantidad vendida]]</f>
        <v>1379.2954999999999</v>
      </c>
      <c r="N155" s="1" t="s">
        <v>312</v>
      </c>
      <c r="O155" s="1" t="s">
        <v>339</v>
      </c>
    </row>
    <row r="156" spans="1:15" ht="17.25" x14ac:dyDescent="0.3">
      <c r="A156" s="10" t="s">
        <v>315</v>
      </c>
      <c r="B156" s="43">
        <v>46064</v>
      </c>
      <c r="C156" s="7" t="s">
        <v>80</v>
      </c>
      <c r="D156" s="20" t="str">
        <f>IFERROR(VLOOKUP(Pagos[[#This Row],[Codigo del producto]],Entradas[],3,FALSE),"No existe")</f>
        <v>RedDragon H510 Zeus</v>
      </c>
      <c r="E156" s="7">
        <v>1</v>
      </c>
      <c r="F156" s="10">
        <v>2200</v>
      </c>
      <c r="G156" s="22">
        <f>IFERROR(Pagos[[#This Row],[Cantidad vendida]]*Pagos[[#This Row],[Precio de venta]],"-")</f>
        <v>2200</v>
      </c>
      <c r="H156" s="22">
        <f>IFERROR(Pagos[[#This Row],[Precio de venta]]-VLOOKUP(Pagos[[#This Row],[Codigo del producto]],Stock[],13,FALSE),"-")</f>
        <v>600.71</v>
      </c>
      <c r="I156" s="22">
        <f t="shared" si="2"/>
        <v>228.2698</v>
      </c>
      <c r="J156" s="22">
        <f>IFERROR(Pagos[[#This Row],[Cantidad vendida]]*Pagos[[#This Row],[Ganancia unitaria (Vendedor)]],"-")</f>
        <v>228.2698</v>
      </c>
      <c r="K156" s="1">
        <f>IFERROR(Pagos[[#This Row],[Ganancia unitaria]]-Pagos[[#This Row],[Ganancia unitaria (Vendedor)]],"-")</f>
        <v>372.4402</v>
      </c>
      <c r="L156" s="1">
        <f>IFERROR(Pagos[[#This Row],[Cantidad vendida]]*(Pagos[[#This Row],[Ganancia individual (Tienda)]]),"-")</f>
        <v>372.4402</v>
      </c>
      <c r="M156" s="1">
        <f>(VLOOKUP(Pagos[[#This Row],[Codigo del producto]],Stock[],13,FALSE))*Pagos[[#This Row],[Cantidad vendida]]</f>
        <v>1599.29</v>
      </c>
      <c r="N156" s="1" t="s">
        <v>312</v>
      </c>
      <c r="O156" s="1" t="s">
        <v>340</v>
      </c>
    </row>
    <row r="157" spans="1:15" ht="17.25" x14ac:dyDescent="0.3">
      <c r="A157" s="10" t="s">
        <v>315</v>
      </c>
      <c r="B157" s="43">
        <v>46064</v>
      </c>
      <c r="C157" s="7" t="s">
        <v>95</v>
      </c>
      <c r="D157" s="20" t="str">
        <f>IFERROR(VLOOKUP(Pagos[[#This Row],[Codigo del producto]],Entradas[],3,FALSE),"No existe")</f>
        <v>Afan 9 PM Elixir</v>
      </c>
      <c r="E157" s="7">
        <v>1</v>
      </c>
      <c r="F157" s="10">
        <v>1200</v>
      </c>
      <c r="G157" s="22">
        <f>IFERROR(Pagos[[#This Row],[Cantidad vendida]]*Pagos[[#This Row],[Precio de venta]],"-")</f>
        <v>1200</v>
      </c>
      <c r="H157" s="22">
        <f>IFERROR(Pagos[[#This Row],[Precio de venta]]-VLOOKUP(Pagos[[#This Row],[Codigo del producto]],Stock[],13,FALSE),"-")</f>
        <v>558.81000000000006</v>
      </c>
      <c r="I157" s="22">
        <f t="shared" si="2"/>
        <v>223.52400000000003</v>
      </c>
      <c r="J157" s="22">
        <f>IFERROR(Pagos[[#This Row],[Cantidad vendida]]*Pagos[[#This Row],[Ganancia unitaria (Vendedor)]],"-")</f>
        <v>223.52400000000003</v>
      </c>
      <c r="K157" s="1">
        <f>IFERROR(Pagos[[#This Row],[Ganancia unitaria]]-Pagos[[#This Row],[Ganancia unitaria (Vendedor)]],"-")</f>
        <v>335.28600000000006</v>
      </c>
      <c r="L157" s="1">
        <f>IFERROR(Pagos[[#This Row],[Cantidad vendida]]*(Pagos[[#This Row],[Ganancia individual (Tienda)]]),"-")</f>
        <v>335.28600000000006</v>
      </c>
      <c r="M157" s="1">
        <f>(VLOOKUP(Pagos[[#This Row],[Codigo del producto]],Stock[],13,FALSE))*Pagos[[#This Row],[Cantidad vendida]]</f>
        <v>641.18999999999994</v>
      </c>
      <c r="N157" s="1" t="s">
        <v>312</v>
      </c>
      <c r="O157" s="1" t="s">
        <v>322</v>
      </c>
    </row>
    <row r="158" spans="1:15" ht="17.25" x14ac:dyDescent="0.3">
      <c r="A158" s="1" t="s">
        <v>327</v>
      </c>
      <c r="B158" s="43">
        <v>46064</v>
      </c>
      <c r="C158" s="7" t="s">
        <v>70</v>
      </c>
      <c r="D158" s="20" t="str">
        <f>IFERROR(VLOOKUP(Pagos[[#This Row],[Codigo del producto]],Entradas[],3,FALSE),"No existe")</f>
        <v>Kit con Estuche para Switch</v>
      </c>
      <c r="E158" s="7">
        <v>1</v>
      </c>
      <c r="F158" s="10">
        <v>700</v>
      </c>
      <c r="G158" s="22">
        <f>IFERROR(Pagos[[#This Row],[Cantidad vendida]]*Pagos[[#This Row],[Precio de venta]],"-")</f>
        <v>700</v>
      </c>
      <c r="H158" s="22">
        <f>IFERROR(Pagos[[#This Row],[Precio de venta]]-VLOOKUP(Pagos[[#This Row],[Codigo del producto]],Stock[],13,FALSE),"-")</f>
        <v>295.01849999999996</v>
      </c>
      <c r="I158" s="22">
        <f t="shared" si="2"/>
        <v>132.75832499999999</v>
      </c>
      <c r="J158" s="22">
        <f>IFERROR(Pagos[[#This Row],[Cantidad vendida]]*Pagos[[#This Row],[Ganancia unitaria (Vendedor)]],"-")</f>
        <v>132.75832499999999</v>
      </c>
      <c r="K158" s="1">
        <f>IFERROR(Pagos[[#This Row],[Ganancia unitaria]]-Pagos[[#This Row],[Ganancia unitaria (Vendedor)]],"-")</f>
        <v>162.26017499999998</v>
      </c>
      <c r="L158" s="1">
        <f>IFERROR(Pagos[[#This Row],[Cantidad vendida]]*(Pagos[[#This Row],[Ganancia individual (Tienda)]]),"-")</f>
        <v>162.26017499999998</v>
      </c>
      <c r="M158" s="1">
        <f>(VLOOKUP(Pagos[[#This Row],[Codigo del producto]],Stock[],13,FALSE))*Pagos[[#This Row],[Cantidad vendida]]</f>
        <v>404.98150000000004</v>
      </c>
      <c r="N158" s="1" t="s">
        <v>334</v>
      </c>
      <c r="O158" s="1"/>
    </row>
    <row r="159" spans="1:15" ht="17.25" x14ac:dyDescent="0.3">
      <c r="A159" s="7" t="s">
        <v>311</v>
      </c>
      <c r="B159" s="43">
        <v>46064</v>
      </c>
      <c r="C159" s="7" t="s">
        <v>29</v>
      </c>
      <c r="D159" s="20" t="str">
        <f>IFERROR(VLOOKUP(Pagos[[#This Row],[Codigo del producto]],Entradas[],3,FALSE),"No existe")</f>
        <v>KZ EDX PRO X</v>
      </c>
      <c r="E159" s="7">
        <v>1</v>
      </c>
      <c r="F159" s="10">
        <v>400</v>
      </c>
      <c r="G159" s="22">
        <f>IFERROR(Pagos[[#This Row],[Cantidad vendida]]*Pagos[[#This Row],[Precio de venta]],"-")</f>
        <v>400</v>
      </c>
      <c r="H159" s="22">
        <f>IFERROR(Pagos[[#This Row],[Precio de venta]]-VLOOKUP(Pagos[[#This Row],[Codigo del producto]],Stock[],13,FALSE),"-")</f>
        <v>238.59700000000001</v>
      </c>
      <c r="I159" s="22">
        <f t="shared" si="2"/>
        <v>107.36865</v>
      </c>
      <c r="J159" s="22">
        <f>IFERROR(Pagos[[#This Row],[Cantidad vendida]]*Pagos[[#This Row],[Ganancia unitaria (Vendedor)]],"-")</f>
        <v>107.36865</v>
      </c>
      <c r="K159" s="1">
        <f>IFERROR(Pagos[[#This Row],[Ganancia unitaria]]-Pagos[[#This Row],[Ganancia unitaria (Vendedor)]],"-")</f>
        <v>131.22835000000001</v>
      </c>
      <c r="L159" s="1">
        <f>IFERROR(Pagos[[#This Row],[Cantidad vendida]]*(Pagos[[#This Row],[Ganancia individual (Tienda)]]),"-")</f>
        <v>131.22835000000001</v>
      </c>
      <c r="M159" s="1">
        <f>(VLOOKUP(Pagos[[#This Row],[Codigo del producto]],Stock[],13,FALSE))*Pagos[[#This Row],[Cantidad vendida]]</f>
        <v>161.40299999999999</v>
      </c>
      <c r="N159" s="1" t="s">
        <v>312</v>
      </c>
      <c r="O159" s="1"/>
    </row>
    <row r="160" spans="1:15" ht="17.25" x14ac:dyDescent="0.3">
      <c r="A160" s="7" t="s">
        <v>313</v>
      </c>
      <c r="B160" s="43">
        <v>46064</v>
      </c>
      <c r="C160" s="7" t="s">
        <v>78</v>
      </c>
      <c r="D160" s="20" t="str">
        <f>IFERROR(VLOOKUP(Pagos[[#This Row],[Codigo del producto]],Entradas[],3,FALSE),"No existe")</f>
        <v>Cargadores USB para moto (Sin pantalla)</v>
      </c>
      <c r="E160" s="7">
        <v>1</v>
      </c>
      <c r="F160" s="10">
        <v>500</v>
      </c>
      <c r="G160" s="22">
        <f>IFERROR(Pagos[[#This Row],[Cantidad vendida]]*Pagos[[#This Row],[Precio de venta]],"-")</f>
        <v>500</v>
      </c>
      <c r="H160" s="22">
        <f>IFERROR(Pagos[[#This Row],[Precio de venta]]-VLOOKUP(Pagos[[#This Row],[Codigo del producto]],Stock[],13,FALSE),"-")</f>
        <v>227.31</v>
      </c>
      <c r="I160" s="22">
        <f t="shared" si="2"/>
        <v>102.2895</v>
      </c>
      <c r="J160" s="22">
        <f>IFERROR(Pagos[[#This Row],[Cantidad vendida]]*Pagos[[#This Row],[Ganancia unitaria (Vendedor)]],"-")</f>
        <v>102.2895</v>
      </c>
      <c r="K160" s="1">
        <f>IFERROR(Pagos[[#This Row],[Ganancia unitaria]]-Pagos[[#This Row],[Ganancia unitaria (Vendedor)]],"-")</f>
        <v>125.0205</v>
      </c>
      <c r="L160" s="1">
        <f>IFERROR(Pagos[[#This Row],[Cantidad vendida]]*(Pagos[[#This Row],[Ganancia individual (Tienda)]]),"-")</f>
        <v>125.0205</v>
      </c>
      <c r="M160" s="1">
        <f>(VLOOKUP(Pagos[[#This Row],[Codigo del producto]],Stock[],13,FALSE))*Pagos[[#This Row],[Cantidad vendida]]</f>
        <v>272.69</v>
      </c>
      <c r="N160" s="1" t="s">
        <v>334</v>
      </c>
      <c r="O160" s="1"/>
    </row>
    <row r="161" spans="1:15" ht="17.25" x14ac:dyDescent="0.3">
      <c r="A161" s="7" t="s">
        <v>311</v>
      </c>
      <c r="B161" s="43">
        <v>46064</v>
      </c>
      <c r="C161" s="7" t="s">
        <v>40</v>
      </c>
      <c r="D161" s="20" t="str">
        <f>IFERROR(VLOOKUP(Pagos[[#This Row],[Codigo del producto]],Entradas[],3,FALSE),"No existe")</f>
        <v xml:space="preserve">Adaptador DAC </v>
      </c>
      <c r="E161" s="7">
        <v>1</v>
      </c>
      <c r="F161" s="10">
        <v>300</v>
      </c>
      <c r="G161" s="22">
        <f>IFERROR(Pagos[[#This Row],[Cantidad vendida]]*Pagos[[#This Row],[Precio de venta]],"-")</f>
        <v>300</v>
      </c>
      <c r="H161" s="22">
        <f>IFERROR(Pagos[[#This Row],[Precio de venta]]-VLOOKUP(Pagos[[#This Row],[Codigo del producto]],Stock[],13,FALSE),"-")</f>
        <v>116.48700000000002</v>
      </c>
      <c r="I161" s="22">
        <f t="shared" si="2"/>
        <v>52.419150000000009</v>
      </c>
      <c r="J161" s="22">
        <f>IFERROR(Pagos[[#This Row],[Cantidad vendida]]*Pagos[[#This Row],[Ganancia unitaria (Vendedor)]],"-")</f>
        <v>52.419150000000009</v>
      </c>
      <c r="K161" s="1">
        <f>IFERROR(Pagos[[#This Row],[Ganancia unitaria]]-Pagos[[#This Row],[Ganancia unitaria (Vendedor)]],"-")</f>
        <v>64.067850000000021</v>
      </c>
      <c r="L161" s="1">
        <f>IFERROR(Pagos[[#This Row],[Cantidad vendida]]*(Pagos[[#This Row],[Ganancia individual (Tienda)]]),"-")</f>
        <v>64.067850000000021</v>
      </c>
      <c r="M161" s="1">
        <f>(VLOOKUP(Pagos[[#This Row],[Codigo del producto]],Stock[],13,FALSE))*Pagos[[#This Row],[Cantidad vendida]]</f>
        <v>183.51299999999998</v>
      </c>
      <c r="N161" s="1" t="s">
        <v>312</v>
      </c>
      <c r="O161" s="1"/>
    </row>
    <row r="162" spans="1:15" ht="17.25" x14ac:dyDescent="0.3">
      <c r="A162" s="10" t="s">
        <v>315</v>
      </c>
      <c r="B162" s="43">
        <v>46065</v>
      </c>
      <c r="C162" s="7" t="s">
        <v>94</v>
      </c>
      <c r="D162" s="20" t="str">
        <f>IFERROR(VLOOKUP(Pagos[[#This Row],[Codigo del producto]],Entradas[],3,FALSE),"No existe")</f>
        <v>Afan Supremacy</v>
      </c>
      <c r="E162" s="7">
        <v>1</v>
      </c>
      <c r="F162" s="10">
        <v>1200</v>
      </c>
      <c r="G162" s="22">
        <f>IFERROR(Pagos[[#This Row],[Cantidad vendida]]*Pagos[[#This Row],[Precio de venta]],"-")</f>
        <v>1200</v>
      </c>
      <c r="H162" s="22">
        <f>IFERROR(Pagos[[#This Row],[Precio de venta]]-VLOOKUP(Pagos[[#This Row],[Codigo del producto]],Stock[],13,FALSE),"-")</f>
        <v>558.81000000000006</v>
      </c>
      <c r="I162" s="22">
        <f t="shared" si="2"/>
        <v>223.52400000000003</v>
      </c>
      <c r="J162" s="22">
        <f>IFERROR(Pagos[[#This Row],[Cantidad vendida]]*Pagos[[#This Row],[Ganancia unitaria (Vendedor)]],"-")</f>
        <v>223.52400000000003</v>
      </c>
      <c r="K162" s="1">
        <f>IFERROR(Pagos[[#This Row],[Ganancia unitaria]]-Pagos[[#This Row],[Ganancia unitaria (Vendedor)]],"-")</f>
        <v>335.28600000000006</v>
      </c>
      <c r="L162" s="1">
        <f>IFERROR(Pagos[[#This Row],[Cantidad vendida]]*(Pagos[[#This Row],[Ganancia individual (Tienda)]]),"-")</f>
        <v>335.28600000000006</v>
      </c>
      <c r="M162" s="1">
        <f>(VLOOKUP(Pagos[[#This Row],[Codigo del producto]],Stock[],13,FALSE))*Pagos[[#This Row],[Cantidad vendida]]</f>
        <v>641.18999999999994</v>
      </c>
      <c r="N162" s="1" t="s">
        <v>312</v>
      </c>
      <c r="O162" s="1" t="s">
        <v>341</v>
      </c>
    </row>
    <row r="163" spans="1:15" ht="17.25" x14ac:dyDescent="0.3">
      <c r="A163" s="7" t="s">
        <v>313</v>
      </c>
      <c r="B163" s="43">
        <v>46065</v>
      </c>
      <c r="C163" s="7" t="s">
        <v>27</v>
      </c>
      <c r="D163" s="20" t="str">
        <f>IFERROR(VLOOKUP(Pagos[[#This Row],[Codigo del producto]],Entradas[],3,FALSE),"No existe")</f>
        <v>KZ Castor PRO Improved Bass</v>
      </c>
      <c r="E163" s="7">
        <v>1</v>
      </c>
      <c r="F163" s="10">
        <v>900</v>
      </c>
      <c r="G163" s="22">
        <f>IFERROR(Pagos[[#This Row],[Cantidad vendida]]*Pagos[[#This Row],[Precio de venta]],"-")</f>
        <v>900</v>
      </c>
      <c r="H163" s="22">
        <f>IFERROR(Pagos[[#This Row],[Precio de venta]]-VLOOKUP(Pagos[[#This Row],[Codigo del producto]],Stock[],13,FALSE),"-")</f>
        <v>542.92349999999999</v>
      </c>
      <c r="I163" s="22">
        <f t="shared" si="2"/>
        <v>217.1694</v>
      </c>
      <c r="J163" s="22">
        <f>IFERROR(Pagos[[#This Row],[Cantidad vendida]]*Pagos[[#This Row],[Ganancia unitaria (Vendedor)]],"-")</f>
        <v>217.1694</v>
      </c>
      <c r="K163" s="1">
        <f>IFERROR(Pagos[[#This Row],[Ganancia unitaria]]-Pagos[[#This Row],[Ganancia unitaria (Vendedor)]],"-")</f>
        <v>325.75409999999999</v>
      </c>
      <c r="L163" s="1">
        <f>IFERROR(Pagos[[#This Row],[Cantidad vendida]]*(Pagos[[#This Row],[Ganancia individual (Tienda)]]),"-")</f>
        <v>325.75409999999999</v>
      </c>
      <c r="M163" s="1">
        <f>(VLOOKUP(Pagos[[#This Row],[Codigo del producto]],Stock[],13,FALSE))*Pagos[[#This Row],[Cantidad vendida]]</f>
        <v>357.07650000000001</v>
      </c>
      <c r="N163" s="1" t="s">
        <v>334</v>
      </c>
      <c r="O163" s="1"/>
    </row>
    <row r="164" spans="1:15" ht="17.25" x14ac:dyDescent="0.3">
      <c r="A164" s="1" t="s">
        <v>327</v>
      </c>
      <c r="B164" s="43">
        <v>46065</v>
      </c>
      <c r="C164" s="7" t="s">
        <v>70</v>
      </c>
      <c r="D164" s="20" t="str">
        <f>IFERROR(VLOOKUP(Pagos[[#This Row],[Codigo del producto]],Entradas[],3,FALSE),"No existe")</f>
        <v>Kit con Estuche para Switch</v>
      </c>
      <c r="E164" s="7">
        <v>1</v>
      </c>
      <c r="F164" s="10">
        <v>700</v>
      </c>
      <c r="G164" s="22">
        <f>IFERROR(Pagos[[#This Row],[Cantidad vendida]]*Pagos[[#This Row],[Precio de venta]],"-")</f>
        <v>700</v>
      </c>
      <c r="H164" s="22">
        <f>IFERROR(Pagos[[#This Row],[Precio de venta]]-VLOOKUP(Pagos[[#This Row],[Codigo del producto]],Stock[],13,FALSE),"-")</f>
        <v>295.01849999999996</v>
      </c>
      <c r="I164" s="22">
        <f t="shared" si="2"/>
        <v>132.75832499999999</v>
      </c>
      <c r="J164" s="22">
        <f>IFERROR(Pagos[[#This Row],[Cantidad vendida]]*Pagos[[#This Row],[Ganancia unitaria (Vendedor)]],"-")</f>
        <v>132.75832499999999</v>
      </c>
      <c r="K164" s="1">
        <f>IFERROR(Pagos[[#This Row],[Ganancia unitaria]]-Pagos[[#This Row],[Ganancia unitaria (Vendedor)]],"-")</f>
        <v>162.26017499999998</v>
      </c>
      <c r="L164" s="1">
        <f>IFERROR(Pagos[[#This Row],[Cantidad vendida]]*(Pagos[[#This Row],[Ganancia individual (Tienda)]]),"-")</f>
        <v>162.26017499999998</v>
      </c>
      <c r="M164" s="1">
        <f>(VLOOKUP(Pagos[[#This Row],[Codigo del producto]],Stock[],13,FALSE))*Pagos[[#This Row],[Cantidad vendida]]</f>
        <v>404.98150000000004</v>
      </c>
      <c r="N164" s="1" t="s">
        <v>334</v>
      </c>
      <c r="O164" s="1"/>
    </row>
    <row r="165" spans="1:15" ht="17.25" x14ac:dyDescent="0.3">
      <c r="A165" s="10" t="s">
        <v>315</v>
      </c>
      <c r="B165" s="43">
        <v>46065</v>
      </c>
      <c r="C165" s="7" t="s">
        <v>82</v>
      </c>
      <c r="D165" s="20" t="str">
        <f>IFERROR(VLOOKUP(Pagos[[#This Row],[Codigo del producto]],Entradas[],3,FALSE),"No existe")</f>
        <v>Perfume Club de Nuite Urban Men</v>
      </c>
      <c r="E165" s="7">
        <v>1</v>
      </c>
      <c r="F165" s="10">
        <v>1600</v>
      </c>
      <c r="G165" s="22">
        <f>IFERROR(Pagos[[#This Row],[Cantidad vendida]]*Pagos[[#This Row],[Precio de venta]],"-")</f>
        <v>1600</v>
      </c>
      <c r="H165" s="22">
        <f>IFERROR(Pagos[[#This Row],[Precio de venta]]-VLOOKUP(Pagos[[#This Row],[Codigo del producto]],Stock[],13,FALSE),"-")</f>
        <v>232.12799999999993</v>
      </c>
      <c r="I165" s="22">
        <f t="shared" si="2"/>
        <v>104.45759999999997</v>
      </c>
      <c r="J165" s="22">
        <f>IFERROR(Pagos[[#This Row],[Cantidad vendida]]*Pagos[[#This Row],[Ganancia unitaria (Vendedor)]],"-")</f>
        <v>104.45759999999997</v>
      </c>
      <c r="K165" s="1">
        <f>IFERROR(Pagos[[#This Row],[Ganancia unitaria]]-Pagos[[#This Row],[Ganancia unitaria (Vendedor)]],"-")</f>
        <v>127.67039999999996</v>
      </c>
      <c r="L165" s="1">
        <f>IFERROR(Pagos[[#This Row],[Cantidad vendida]]*(Pagos[[#This Row],[Ganancia individual (Tienda)]]),"-")</f>
        <v>127.67039999999996</v>
      </c>
      <c r="M165" s="1">
        <f>(VLOOKUP(Pagos[[#This Row],[Codigo del producto]],Stock[],13,FALSE))*Pagos[[#This Row],[Cantidad vendida]]</f>
        <v>1367.8720000000001</v>
      </c>
      <c r="N165" s="1" t="s">
        <v>312</v>
      </c>
      <c r="O165" s="1" t="s">
        <v>342</v>
      </c>
    </row>
    <row r="166" spans="1:15" ht="17.25" x14ac:dyDescent="0.3">
      <c r="A166" s="1" t="s">
        <v>327</v>
      </c>
      <c r="B166" s="43">
        <v>46065</v>
      </c>
      <c r="C166" s="7" t="s">
        <v>78</v>
      </c>
      <c r="D166" s="20" t="str">
        <f>IFERROR(VLOOKUP(Pagos[[#This Row],[Codigo del producto]],Entradas[],3,FALSE),"No existe")</f>
        <v>Cargadores USB para moto (Sin pantalla)</v>
      </c>
      <c r="E166" s="7">
        <v>1</v>
      </c>
      <c r="F166" s="10">
        <v>500</v>
      </c>
      <c r="G166" s="22">
        <f>IFERROR(Pagos[[#This Row],[Cantidad vendida]]*Pagos[[#This Row],[Precio de venta]],"-")</f>
        <v>500</v>
      </c>
      <c r="H166" s="22">
        <f>IFERROR(Pagos[[#This Row],[Precio de venta]]-VLOOKUP(Pagos[[#This Row],[Codigo del producto]],Stock[],13,FALSE),"-")</f>
        <v>227.31</v>
      </c>
      <c r="I166" s="22">
        <f t="shared" si="2"/>
        <v>102.2895</v>
      </c>
      <c r="J166" s="22">
        <f>IFERROR(Pagos[[#This Row],[Cantidad vendida]]*Pagos[[#This Row],[Ganancia unitaria (Vendedor)]],"-")</f>
        <v>102.2895</v>
      </c>
      <c r="K166" s="1">
        <f>IFERROR(Pagos[[#This Row],[Ganancia unitaria]]-Pagos[[#This Row],[Ganancia unitaria (Vendedor)]],"-")</f>
        <v>125.0205</v>
      </c>
      <c r="L166" s="1">
        <f>IFERROR(Pagos[[#This Row],[Cantidad vendida]]*(Pagos[[#This Row],[Ganancia individual (Tienda)]]),"-")</f>
        <v>125.0205</v>
      </c>
      <c r="M166" s="1">
        <f>(VLOOKUP(Pagos[[#This Row],[Codigo del producto]],Stock[],13,FALSE))*Pagos[[#This Row],[Cantidad vendida]]</f>
        <v>272.69</v>
      </c>
      <c r="N166" s="1" t="s">
        <v>334</v>
      </c>
      <c r="O166" s="1"/>
    </row>
    <row r="167" spans="1:15" ht="17.25" x14ac:dyDescent="0.3">
      <c r="A167" s="7" t="s">
        <v>313</v>
      </c>
      <c r="B167" s="43">
        <v>46065</v>
      </c>
      <c r="C167" s="7" t="s">
        <v>40</v>
      </c>
      <c r="D167" s="20" t="str">
        <f>IFERROR(VLOOKUP(Pagos[[#This Row],[Codigo del producto]],Entradas[],3,FALSE),"No existe")</f>
        <v xml:space="preserve">Adaptador DAC </v>
      </c>
      <c r="E167" s="7">
        <v>1</v>
      </c>
      <c r="F167" s="10">
        <v>300</v>
      </c>
      <c r="G167" s="22">
        <f>IFERROR(Pagos[[#This Row],[Cantidad vendida]]*Pagos[[#This Row],[Precio de venta]],"-")</f>
        <v>300</v>
      </c>
      <c r="H167" s="22">
        <f>IFERROR(Pagos[[#This Row],[Precio de venta]]-VLOOKUP(Pagos[[#This Row],[Codigo del producto]],Stock[],13,FALSE),"-")</f>
        <v>116.48700000000002</v>
      </c>
      <c r="I167" s="22">
        <f t="shared" si="2"/>
        <v>52.419150000000009</v>
      </c>
      <c r="J167" s="22">
        <f>IFERROR(Pagos[[#This Row],[Cantidad vendida]]*Pagos[[#This Row],[Ganancia unitaria (Vendedor)]],"-")</f>
        <v>52.419150000000009</v>
      </c>
      <c r="K167" s="1">
        <f>IFERROR(Pagos[[#This Row],[Ganancia unitaria]]-Pagos[[#This Row],[Ganancia unitaria (Vendedor)]],"-")</f>
        <v>64.067850000000021</v>
      </c>
      <c r="L167" s="1">
        <f>IFERROR(Pagos[[#This Row],[Cantidad vendida]]*(Pagos[[#This Row],[Ganancia individual (Tienda)]]),"-")</f>
        <v>64.067850000000021</v>
      </c>
      <c r="M167" s="1">
        <f>(VLOOKUP(Pagos[[#This Row],[Codigo del producto]],Stock[],13,FALSE))*Pagos[[#This Row],[Cantidad vendida]]</f>
        <v>183.51299999999998</v>
      </c>
      <c r="N167" s="1" t="s">
        <v>334</v>
      </c>
      <c r="O167" s="1"/>
    </row>
    <row r="168" spans="1:15" ht="17.25" x14ac:dyDescent="0.3">
      <c r="A168" s="7" t="s">
        <v>313</v>
      </c>
      <c r="B168" s="43">
        <v>46067</v>
      </c>
      <c r="C168" s="7" t="s">
        <v>25</v>
      </c>
      <c r="D168" s="20" t="str">
        <f>IFERROR(VLOOKUP(Pagos[[#This Row],[Codigo del producto]],Entradas[],3,FALSE),"No existe")</f>
        <v>Sharck Attack R1 Negro</v>
      </c>
      <c r="E168" s="7">
        <v>1</v>
      </c>
      <c r="F168" s="10">
        <v>1000</v>
      </c>
      <c r="G168" s="22">
        <f>IFERROR(Pagos[[#This Row],[Cantidad vendida]]*Pagos[[#This Row],[Precio de venta]],"-")</f>
        <v>1000</v>
      </c>
      <c r="H168" s="22">
        <f>IFERROR(Pagos[[#This Row],[Precio de venta]]-VLOOKUP(Pagos[[#This Row],[Codigo del producto]],Stock[],13,FALSE),"-")</f>
        <v>310.16800000000001</v>
      </c>
      <c r="I168" s="22">
        <f t="shared" si="2"/>
        <v>124.06720000000001</v>
      </c>
      <c r="J168" s="22">
        <f>IFERROR(Pagos[[#This Row],[Cantidad vendida]]*Pagos[[#This Row],[Ganancia unitaria (Vendedor)]],"-")</f>
        <v>124.06720000000001</v>
      </c>
      <c r="K168" s="1">
        <f>IFERROR(Pagos[[#This Row],[Ganancia unitaria]]-Pagos[[#This Row],[Ganancia unitaria (Vendedor)]],"-")</f>
        <v>186.10079999999999</v>
      </c>
      <c r="L168" s="1">
        <f>IFERROR(Pagos[[#This Row],[Cantidad vendida]]*(Pagos[[#This Row],[Ganancia individual (Tienda)]]),"-")</f>
        <v>186.10079999999999</v>
      </c>
      <c r="M168" s="1">
        <f>(VLOOKUP(Pagos[[#This Row],[Codigo del producto]],Stock[],13,FALSE))*Pagos[[#This Row],[Cantidad vendida]]</f>
        <v>689.83199999999999</v>
      </c>
      <c r="N168" s="1" t="s">
        <v>312</v>
      </c>
      <c r="O168" s="1"/>
    </row>
    <row r="169" spans="1:15" ht="17.25" x14ac:dyDescent="0.3">
      <c r="A169" s="7" t="s">
        <v>311</v>
      </c>
      <c r="B169" s="43">
        <v>46067</v>
      </c>
      <c r="C169" s="7" t="s">
        <v>71</v>
      </c>
      <c r="D169" s="20" t="str">
        <f>IFERROR(VLOOKUP(Pagos[[#This Row],[Codigo del producto]],Entradas[],3,FALSE),"No existe")</f>
        <v>KZ Castor Improved Bass</v>
      </c>
      <c r="E169" s="7">
        <v>1</v>
      </c>
      <c r="F169" s="10">
        <v>650</v>
      </c>
      <c r="G169" s="22">
        <f>IFERROR(Pagos[[#This Row],[Cantidad vendida]]*Pagos[[#This Row],[Precio de venta]],"-")</f>
        <v>650</v>
      </c>
      <c r="H169" s="22">
        <f>IFERROR(Pagos[[#This Row],[Precio de venta]]-VLOOKUP(Pagos[[#This Row],[Codigo del producto]],Stock[],13,FALSE),"-")</f>
        <v>277.815</v>
      </c>
      <c r="I169" s="22">
        <f t="shared" si="2"/>
        <v>125.01675</v>
      </c>
      <c r="J169" s="22">
        <f>IFERROR(Pagos[[#This Row],[Cantidad vendida]]*Pagos[[#This Row],[Ganancia unitaria (Vendedor)]],"-")</f>
        <v>125.01675</v>
      </c>
      <c r="K169" s="1">
        <f>IFERROR(Pagos[[#This Row],[Ganancia unitaria]]-Pagos[[#This Row],[Ganancia unitaria (Vendedor)]],"-")</f>
        <v>152.79825</v>
      </c>
      <c r="L169" s="1">
        <f>IFERROR(Pagos[[#This Row],[Cantidad vendida]]*(Pagos[[#This Row],[Ganancia individual (Tienda)]]),"-")</f>
        <v>152.79825</v>
      </c>
      <c r="M169" s="1">
        <f>(VLOOKUP(Pagos[[#This Row],[Codigo del producto]],Stock[],13,FALSE))*Pagos[[#This Row],[Cantidad vendida]]</f>
        <v>372.185</v>
      </c>
      <c r="N169" s="1" t="s">
        <v>312</v>
      </c>
      <c r="O169" s="1" t="s">
        <v>343</v>
      </c>
    </row>
    <row r="170" spans="1:15" ht="17.25" x14ac:dyDescent="0.3">
      <c r="A170" s="7" t="s">
        <v>311</v>
      </c>
      <c r="B170" s="43">
        <v>46067</v>
      </c>
      <c r="C170" s="7" t="s">
        <v>71</v>
      </c>
      <c r="D170" s="20" t="str">
        <f>IFERROR(VLOOKUP(Pagos[[#This Row],[Codigo del producto]],Entradas[],3,FALSE),"No existe")</f>
        <v>KZ Castor Improved Bass</v>
      </c>
      <c r="E170" s="7">
        <v>1</v>
      </c>
      <c r="F170" s="10">
        <v>650</v>
      </c>
      <c r="G170" s="22">
        <f>IFERROR(Pagos[[#This Row],[Cantidad vendida]]*Pagos[[#This Row],[Precio de venta]],"-")</f>
        <v>650</v>
      </c>
      <c r="H170" s="22">
        <f>IFERROR(Pagos[[#This Row],[Precio de venta]]-VLOOKUP(Pagos[[#This Row],[Codigo del producto]],Stock[],13,FALSE),"-")</f>
        <v>277.815</v>
      </c>
      <c r="I170" s="22">
        <f t="shared" si="2"/>
        <v>125.01675</v>
      </c>
      <c r="J170" s="22">
        <f>IFERROR(Pagos[[#This Row],[Cantidad vendida]]*Pagos[[#This Row],[Ganancia unitaria (Vendedor)]],"-")</f>
        <v>125.01675</v>
      </c>
      <c r="K170" s="1">
        <f>IFERROR(Pagos[[#This Row],[Ganancia unitaria]]-Pagos[[#This Row],[Ganancia unitaria (Vendedor)]],"-")</f>
        <v>152.79825</v>
      </c>
      <c r="L170" s="1">
        <f>IFERROR(Pagos[[#This Row],[Cantidad vendida]]*(Pagos[[#This Row],[Ganancia individual (Tienda)]]),"-")</f>
        <v>152.79825</v>
      </c>
      <c r="M170" s="1">
        <f>(VLOOKUP(Pagos[[#This Row],[Codigo del producto]],Stock[],13,FALSE))*Pagos[[#This Row],[Cantidad vendida]]</f>
        <v>372.185</v>
      </c>
      <c r="N170" s="1" t="s">
        <v>312</v>
      </c>
      <c r="O170" s="1"/>
    </row>
    <row r="171" spans="1:15" ht="17.25" x14ac:dyDescent="0.3">
      <c r="A171" s="7" t="s">
        <v>313</v>
      </c>
      <c r="B171" s="43">
        <v>46067</v>
      </c>
      <c r="C171" s="7" t="s">
        <v>43</v>
      </c>
      <c r="D171" s="20" t="str">
        <f>IFERROR(VLOOKUP(Pagos[[#This Row],[Codigo del producto]],Entradas[],3,FALSE),"No existe")</f>
        <v>Mouse R1 Blanco</v>
      </c>
      <c r="E171" s="7">
        <v>1</v>
      </c>
      <c r="F171" s="10">
        <v>1000</v>
      </c>
      <c r="G171" s="22">
        <f>IFERROR(Pagos[[#This Row],[Cantidad vendida]]*Pagos[[#This Row],[Precio de venta]],"-")</f>
        <v>1000</v>
      </c>
      <c r="H171" s="22">
        <f>IFERROR(Pagos[[#This Row],[Precio de venta]]-VLOOKUP(Pagos[[#This Row],[Codigo del producto]],Stock[],13,FALSE),"-")</f>
        <v>277.37149999999997</v>
      </c>
      <c r="I171" s="22">
        <f t="shared" si="2"/>
        <v>124.81717499999999</v>
      </c>
      <c r="J171" s="22">
        <f>IFERROR(Pagos[[#This Row],[Cantidad vendida]]*Pagos[[#This Row],[Ganancia unitaria (Vendedor)]],"-")</f>
        <v>124.81717499999999</v>
      </c>
      <c r="K171" s="1">
        <f>IFERROR(Pagos[[#This Row],[Ganancia unitaria]]-Pagos[[#This Row],[Ganancia unitaria (Vendedor)]],"-")</f>
        <v>152.55432499999998</v>
      </c>
      <c r="L171" s="1">
        <f>IFERROR(Pagos[[#This Row],[Cantidad vendida]]*(Pagos[[#This Row],[Ganancia individual (Tienda)]]),"-")</f>
        <v>152.55432499999998</v>
      </c>
      <c r="M171" s="1">
        <f>(VLOOKUP(Pagos[[#This Row],[Codigo del producto]],Stock[],13,FALSE))*Pagos[[#This Row],[Cantidad vendida]]</f>
        <v>722.62850000000003</v>
      </c>
      <c r="N171" s="1" t="s">
        <v>312</v>
      </c>
      <c r="O171" s="1"/>
    </row>
    <row r="172" spans="1:15" ht="17.25" x14ac:dyDescent="0.3">
      <c r="A172" s="7" t="s">
        <v>311</v>
      </c>
      <c r="B172" s="43">
        <v>46067</v>
      </c>
      <c r="C172" s="7" t="s">
        <v>29</v>
      </c>
      <c r="D172" s="20" t="str">
        <f>IFERROR(VLOOKUP(Pagos[[#This Row],[Codigo del producto]],Entradas[],3,FALSE),"No existe")</f>
        <v>KZ EDX PRO X</v>
      </c>
      <c r="E172" s="7">
        <v>1</v>
      </c>
      <c r="F172" s="10">
        <v>420</v>
      </c>
      <c r="G172" s="22">
        <f>IFERROR(Pagos[[#This Row],[Cantidad vendida]]*Pagos[[#This Row],[Precio de venta]],"-")</f>
        <v>420</v>
      </c>
      <c r="H172" s="22">
        <f>IFERROR(Pagos[[#This Row],[Precio de venta]]-VLOOKUP(Pagos[[#This Row],[Codigo del producto]],Stock[],13,FALSE),"-")</f>
        <v>258.59699999999998</v>
      </c>
      <c r="I172" s="22">
        <f t="shared" si="2"/>
        <v>116.36864999999999</v>
      </c>
      <c r="J172" s="22">
        <f>IFERROR(Pagos[[#This Row],[Cantidad vendida]]*Pagos[[#This Row],[Ganancia unitaria (Vendedor)]],"-")</f>
        <v>116.36864999999999</v>
      </c>
      <c r="K172" s="1">
        <f>IFERROR(Pagos[[#This Row],[Ganancia unitaria]]-Pagos[[#This Row],[Ganancia unitaria (Vendedor)]],"-")</f>
        <v>142.22834999999998</v>
      </c>
      <c r="L172" s="1">
        <f>IFERROR(Pagos[[#This Row],[Cantidad vendida]]*(Pagos[[#This Row],[Ganancia individual (Tienda)]]),"-")</f>
        <v>142.22834999999998</v>
      </c>
      <c r="M172" s="1">
        <f>(VLOOKUP(Pagos[[#This Row],[Codigo del producto]],Stock[],13,FALSE))*Pagos[[#This Row],[Cantidad vendida]]</f>
        <v>161.40299999999999</v>
      </c>
      <c r="N172" s="1" t="s">
        <v>312</v>
      </c>
      <c r="O172" s="1"/>
    </row>
    <row r="173" spans="1:15" ht="17.25" x14ac:dyDescent="0.3">
      <c r="A173" s="7" t="s">
        <v>313</v>
      </c>
      <c r="B173" s="43">
        <v>46067</v>
      </c>
      <c r="C173" s="7" t="s">
        <v>69</v>
      </c>
      <c r="D173" s="20" t="str">
        <f>IFERROR(VLOOKUP(Pagos[[#This Row],[Codigo del producto]],Entradas[],3,FALSE),"No existe")</f>
        <v>Estuche para Switch</v>
      </c>
      <c r="E173" s="7">
        <v>1</v>
      </c>
      <c r="F173" s="10">
        <v>500</v>
      </c>
      <c r="G173" s="22">
        <f>IFERROR(Pagos[[#This Row],[Cantidad vendida]]*Pagos[[#This Row],[Precio de venta]],"-")</f>
        <v>500</v>
      </c>
      <c r="H173" s="22">
        <f>IFERROR(Pagos[[#This Row],[Precio de venta]]-VLOOKUP(Pagos[[#This Row],[Codigo del producto]],Stock[],13,FALSE),"-")</f>
        <v>238.73349999999994</v>
      </c>
      <c r="I173" s="22">
        <f t="shared" si="2"/>
        <v>107.43007499999997</v>
      </c>
      <c r="J173" s="22">
        <f>IFERROR(Pagos[[#This Row],[Cantidad vendida]]*Pagos[[#This Row],[Ganancia unitaria (Vendedor)]],"-")</f>
        <v>107.43007499999997</v>
      </c>
      <c r="K173" s="1">
        <f>IFERROR(Pagos[[#This Row],[Ganancia unitaria]]-Pagos[[#This Row],[Ganancia unitaria (Vendedor)]],"-")</f>
        <v>131.30342499999995</v>
      </c>
      <c r="L173" s="1">
        <f>IFERROR(Pagos[[#This Row],[Cantidad vendida]]*(Pagos[[#This Row],[Ganancia individual (Tienda)]]),"-")</f>
        <v>131.30342499999995</v>
      </c>
      <c r="M173" s="1">
        <f>(VLOOKUP(Pagos[[#This Row],[Codigo del producto]],Stock[],13,FALSE))*Pagos[[#This Row],[Cantidad vendida]]</f>
        <v>261.26650000000006</v>
      </c>
      <c r="N173" s="1" t="s">
        <v>312</v>
      </c>
      <c r="O173" s="1"/>
    </row>
    <row r="174" spans="1:15" ht="17.25" x14ac:dyDescent="0.3">
      <c r="A174" s="7" t="s">
        <v>313</v>
      </c>
      <c r="B174" s="43">
        <v>46067</v>
      </c>
      <c r="C174" s="7" t="s">
        <v>78</v>
      </c>
      <c r="D174" s="20" t="str">
        <f>IFERROR(VLOOKUP(Pagos[[#This Row],[Codigo del producto]],Entradas[],3,FALSE),"No existe")</f>
        <v>Cargadores USB para moto (Sin pantalla)</v>
      </c>
      <c r="E174" s="7">
        <v>1</v>
      </c>
      <c r="F174" s="10">
        <v>500</v>
      </c>
      <c r="G174" s="22">
        <f>IFERROR(Pagos[[#This Row],[Cantidad vendida]]*Pagos[[#This Row],[Precio de venta]],"-")</f>
        <v>500</v>
      </c>
      <c r="H174" s="22">
        <f>IFERROR(Pagos[[#This Row],[Precio de venta]]-VLOOKUP(Pagos[[#This Row],[Codigo del producto]],Stock[],13,FALSE),"-")</f>
        <v>227.31</v>
      </c>
      <c r="I174" s="22">
        <f t="shared" si="2"/>
        <v>102.2895</v>
      </c>
      <c r="J174" s="22">
        <f>IFERROR(Pagos[[#This Row],[Cantidad vendida]]*Pagos[[#This Row],[Ganancia unitaria (Vendedor)]],"-")</f>
        <v>102.2895</v>
      </c>
      <c r="K174" s="1">
        <f>IFERROR(Pagos[[#This Row],[Ganancia unitaria]]-Pagos[[#This Row],[Ganancia unitaria (Vendedor)]],"-")</f>
        <v>125.0205</v>
      </c>
      <c r="L174" s="1">
        <f>IFERROR(Pagos[[#This Row],[Cantidad vendida]]*(Pagos[[#This Row],[Ganancia individual (Tienda)]]),"-")</f>
        <v>125.0205</v>
      </c>
      <c r="M174" s="1">
        <f>(VLOOKUP(Pagos[[#This Row],[Codigo del producto]],Stock[],13,FALSE))*Pagos[[#This Row],[Cantidad vendida]]</f>
        <v>272.69</v>
      </c>
      <c r="N174" s="1" t="s">
        <v>334</v>
      </c>
      <c r="O174" s="1"/>
    </row>
    <row r="175" spans="1:15" ht="17.25" x14ac:dyDescent="0.3">
      <c r="A175" s="7" t="s">
        <v>311</v>
      </c>
      <c r="B175" s="43">
        <v>46067</v>
      </c>
      <c r="C175" s="7" t="s">
        <v>78</v>
      </c>
      <c r="D175" s="20" t="str">
        <f>IFERROR(VLOOKUP(Pagos[[#This Row],[Codigo del producto]],Entradas[],3,FALSE),"No existe")</f>
        <v>Cargadores USB para moto (Sin pantalla)</v>
      </c>
      <c r="E175" s="7">
        <v>1</v>
      </c>
      <c r="F175" s="10">
        <v>500</v>
      </c>
      <c r="G175" s="22">
        <f>IFERROR(Pagos[[#This Row],[Cantidad vendida]]*Pagos[[#This Row],[Precio de venta]],"-")</f>
        <v>500</v>
      </c>
      <c r="H175" s="22">
        <f>IFERROR(Pagos[[#This Row],[Precio de venta]]-VLOOKUP(Pagos[[#This Row],[Codigo del producto]],Stock[],13,FALSE),"-")</f>
        <v>227.31</v>
      </c>
      <c r="I175" s="22">
        <f t="shared" si="2"/>
        <v>102.2895</v>
      </c>
      <c r="J175" s="22">
        <f>IFERROR(Pagos[[#This Row],[Cantidad vendida]]*Pagos[[#This Row],[Ganancia unitaria (Vendedor)]],"-")</f>
        <v>102.2895</v>
      </c>
      <c r="K175" s="1">
        <f>IFERROR(Pagos[[#This Row],[Ganancia unitaria]]-Pagos[[#This Row],[Ganancia unitaria (Vendedor)]],"-")</f>
        <v>125.0205</v>
      </c>
      <c r="L175" s="1">
        <f>IFERROR(Pagos[[#This Row],[Cantidad vendida]]*(Pagos[[#This Row],[Ganancia individual (Tienda)]]),"-")</f>
        <v>125.0205</v>
      </c>
      <c r="M175" s="1">
        <f>(VLOOKUP(Pagos[[#This Row],[Codigo del producto]],Stock[],13,FALSE))*Pagos[[#This Row],[Cantidad vendida]]</f>
        <v>272.69</v>
      </c>
      <c r="N175" s="1" t="s">
        <v>312</v>
      </c>
      <c r="O175" s="1"/>
    </row>
    <row r="176" spans="1:15" ht="17.25" x14ac:dyDescent="0.3">
      <c r="A176" s="7" t="s">
        <v>313</v>
      </c>
      <c r="B176" s="43">
        <v>46067</v>
      </c>
      <c r="C176" s="7" t="s">
        <v>76</v>
      </c>
      <c r="D176" s="20" t="str">
        <f>IFERROR(VLOOKUP(Pagos[[#This Row],[Codigo del producto]],Entradas[],3,FALSE),"No existe")</f>
        <v>Estuche para Switch</v>
      </c>
      <c r="E176" s="7">
        <v>1</v>
      </c>
      <c r="F176" s="10">
        <v>500</v>
      </c>
      <c r="G176" s="22">
        <f>IFERROR(Pagos[[#This Row],[Cantidad vendida]]*Pagos[[#This Row],[Precio de venta]],"-")</f>
        <v>500</v>
      </c>
      <c r="H176" s="22">
        <f>IFERROR(Pagos[[#This Row],[Precio de venta]]-VLOOKUP(Pagos[[#This Row],[Codigo del producto]],Stock[],13,FALSE),"-")</f>
        <v>223.625</v>
      </c>
      <c r="I176" s="22">
        <f t="shared" si="2"/>
        <v>100.63125000000001</v>
      </c>
      <c r="J176" s="22">
        <f>IFERROR(Pagos[[#This Row],[Cantidad vendida]]*Pagos[[#This Row],[Ganancia unitaria (Vendedor)]],"-")</f>
        <v>100.63125000000001</v>
      </c>
      <c r="K176" s="1">
        <f>IFERROR(Pagos[[#This Row],[Ganancia unitaria]]-Pagos[[#This Row],[Ganancia unitaria (Vendedor)]],"-")</f>
        <v>122.99374999999999</v>
      </c>
      <c r="L176" s="1">
        <f>IFERROR(Pagos[[#This Row],[Cantidad vendida]]*(Pagos[[#This Row],[Ganancia individual (Tienda)]]),"-")</f>
        <v>122.99374999999999</v>
      </c>
      <c r="M176" s="1">
        <f>(VLOOKUP(Pagos[[#This Row],[Codigo del producto]],Stock[],13,FALSE))*Pagos[[#This Row],[Cantidad vendida]]</f>
        <v>276.375</v>
      </c>
      <c r="N176" s="1" t="s">
        <v>334</v>
      </c>
      <c r="O176" s="1"/>
    </row>
    <row r="177" spans="1:15" ht="17.25" x14ac:dyDescent="0.3">
      <c r="A177" s="10" t="s">
        <v>315</v>
      </c>
      <c r="B177" s="43">
        <v>46067</v>
      </c>
      <c r="C177" s="7" t="s">
        <v>67</v>
      </c>
      <c r="D177" s="20" t="str">
        <f>IFERROR(VLOOKUP(Pagos[[#This Row],[Codigo del producto]],Entradas[],3,FALSE),"No existe")</f>
        <v>Cable de Repuesto KZ Tipo C</v>
      </c>
      <c r="E177" s="7">
        <v>1</v>
      </c>
      <c r="F177" s="10">
        <v>400</v>
      </c>
      <c r="G177" s="22">
        <f>IFERROR(Pagos[[#This Row],[Cantidad vendida]]*Pagos[[#This Row],[Precio de venta]],"-")</f>
        <v>400</v>
      </c>
      <c r="H177" s="22">
        <f>IFERROR(Pagos[[#This Row],[Precio de venta]]-VLOOKUP(Pagos[[#This Row],[Codigo del producto]],Stock[],13,FALSE),"-")</f>
        <v>205.0635</v>
      </c>
      <c r="I177" s="22">
        <f t="shared" si="2"/>
        <v>92.278575000000004</v>
      </c>
      <c r="J177" s="22">
        <f>IFERROR(Pagos[[#This Row],[Cantidad vendida]]*Pagos[[#This Row],[Ganancia unitaria (Vendedor)]],"-")</f>
        <v>92.278575000000004</v>
      </c>
      <c r="K177" s="1">
        <f>IFERROR(Pagos[[#This Row],[Ganancia unitaria]]-Pagos[[#This Row],[Ganancia unitaria (Vendedor)]],"-")</f>
        <v>112.784925</v>
      </c>
      <c r="L177" s="1">
        <f>IFERROR(Pagos[[#This Row],[Cantidad vendida]]*(Pagos[[#This Row],[Ganancia individual (Tienda)]]),"-")</f>
        <v>112.784925</v>
      </c>
      <c r="M177" s="1">
        <f>(VLOOKUP(Pagos[[#This Row],[Codigo del producto]],Stock[],13,FALSE))*Pagos[[#This Row],[Cantidad vendida]]</f>
        <v>194.9365</v>
      </c>
      <c r="N177" s="1" t="s">
        <v>312</v>
      </c>
      <c r="O177" s="1"/>
    </row>
    <row r="178" spans="1:15" ht="17.25" x14ac:dyDescent="0.3">
      <c r="A178" s="7" t="s">
        <v>313</v>
      </c>
      <c r="B178" s="43">
        <v>46067</v>
      </c>
      <c r="C178" s="7" t="s">
        <v>20</v>
      </c>
      <c r="D178" s="20" t="str">
        <f>IFERROR(VLOOKUP(Pagos[[#This Row],[Codigo del producto]],Entradas[],3,FALSE),"No existe")</f>
        <v>Holder/cargador para moto</v>
      </c>
      <c r="E178" s="7">
        <v>1</v>
      </c>
      <c r="F178" s="10">
        <v>600</v>
      </c>
      <c r="G178" s="22">
        <f>IFERROR(Pagos[[#This Row],[Cantidad vendida]]*Pagos[[#This Row],[Precio de venta]],"-")</f>
        <v>600</v>
      </c>
      <c r="H178" s="22">
        <f>IFERROR(Pagos[[#This Row],[Precio de venta]]-VLOOKUP(Pagos[[#This Row],[Codigo del producto]],Stock[],13,FALSE),"-")</f>
        <v>153.00949999999995</v>
      </c>
      <c r="I178" s="22">
        <f t="shared" si="2"/>
        <v>68.854274999999973</v>
      </c>
      <c r="J178" s="22">
        <f>IFERROR(Pagos[[#This Row],[Cantidad vendida]]*Pagos[[#This Row],[Ganancia unitaria (Vendedor)]],"-")</f>
        <v>68.854274999999973</v>
      </c>
      <c r="K178" s="1">
        <f>IFERROR(Pagos[[#This Row],[Ganancia unitaria]]-Pagos[[#This Row],[Ganancia unitaria (Vendedor)]],"-")</f>
        <v>84.155224999999973</v>
      </c>
      <c r="L178" s="1">
        <f>IFERROR(Pagos[[#This Row],[Cantidad vendida]]*(Pagos[[#This Row],[Ganancia individual (Tienda)]]),"-")</f>
        <v>84.155224999999973</v>
      </c>
      <c r="M178" s="1">
        <f>(VLOOKUP(Pagos[[#This Row],[Codigo del producto]],Stock[],13,FALSE))*Pagos[[#This Row],[Cantidad vendida]]</f>
        <v>446.99050000000005</v>
      </c>
      <c r="N178" s="1" t="s">
        <v>334</v>
      </c>
      <c r="O178" s="1"/>
    </row>
    <row r="179" spans="1:15" ht="17.25" x14ac:dyDescent="0.3">
      <c r="A179" s="7" t="s">
        <v>311</v>
      </c>
      <c r="B179" s="43">
        <v>46067</v>
      </c>
      <c r="C179" s="7" t="s">
        <v>40</v>
      </c>
      <c r="D179" s="20" t="str">
        <f>IFERROR(VLOOKUP(Pagos[[#This Row],[Codigo del producto]],Entradas[],3,FALSE),"No existe")</f>
        <v xml:space="preserve">Adaptador DAC </v>
      </c>
      <c r="E179" s="7">
        <v>2</v>
      </c>
      <c r="F179" s="10">
        <v>300</v>
      </c>
      <c r="G179" s="22">
        <f>IFERROR(Pagos[[#This Row],[Cantidad vendida]]*Pagos[[#This Row],[Precio de venta]],"-")</f>
        <v>600</v>
      </c>
      <c r="H179" s="22">
        <f>IFERROR(Pagos[[#This Row],[Precio de venta]]-VLOOKUP(Pagos[[#This Row],[Codigo del producto]],Stock[],13,FALSE),"-")</f>
        <v>116.48700000000002</v>
      </c>
      <c r="I179" s="22">
        <f t="shared" si="2"/>
        <v>52.419150000000009</v>
      </c>
      <c r="J179" s="22">
        <f>IFERROR(Pagos[[#This Row],[Cantidad vendida]]*Pagos[[#This Row],[Ganancia unitaria (Vendedor)]],"-")</f>
        <v>104.83830000000002</v>
      </c>
      <c r="K179" s="1">
        <f>IFERROR(Pagos[[#This Row],[Ganancia unitaria]]-Pagos[[#This Row],[Ganancia unitaria (Vendedor)]],"-")</f>
        <v>64.067850000000021</v>
      </c>
      <c r="L179" s="1">
        <f>IFERROR(Pagos[[#This Row],[Cantidad vendida]]*(Pagos[[#This Row],[Ganancia individual (Tienda)]]),"-")</f>
        <v>128.13570000000004</v>
      </c>
      <c r="M179" s="1">
        <f>(VLOOKUP(Pagos[[#This Row],[Codigo del producto]],Stock[],13,FALSE))*Pagos[[#This Row],[Cantidad vendida]]</f>
        <v>367.02599999999995</v>
      </c>
      <c r="N179" s="1" t="s">
        <v>312</v>
      </c>
      <c r="O179" s="1"/>
    </row>
    <row r="180" spans="1:15" ht="17.25" x14ac:dyDescent="0.3">
      <c r="A180" s="10" t="s">
        <v>315</v>
      </c>
      <c r="B180" s="43">
        <v>46067</v>
      </c>
      <c r="C180" s="7" t="s">
        <v>83</v>
      </c>
      <c r="D180" s="20" t="str">
        <f>IFERROR(VLOOKUP(Pagos[[#This Row],[Codigo del producto]],Entradas[],3,FALSE),"No existe")</f>
        <v>Perfume Khamrah</v>
      </c>
      <c r="E180" s="7">
        <v>1</v>
      </c>
      <c r="F180" s="10">
        <v>750</v>
      </c>
      <c r="G180" s="22">
        <f>IFERROR(Pagos[[#This Row],[Cantidad vendida]]*Pagos[[#This Row],[Precio de venta]],"-")</f>
        <v>750</v>
      </c>
      <c r="H180" s="22">
        <f>IFERROR(Pagos[[#This Row],[Precio de venta]]-VLOOKUP(Pagos[[#This Row],[Codigo del producto]],Stock[],13,FALSE),"-")</f>
        <v>11.89449999999988</v>
      </c>
      <c r="I180" s="22">
        <f t="shared" si="2"/>
        <v>5.3525249999999458</v>
      </c>
      <c r="J180" s="22">
        <f>IFERROR(Pagos[[#This Row],[Cantidad vendida]]*Pagos[[#This Row],[Ganancia unitaria (Vendedor)]],"-")</f>
        <v>5.3525249999999458</v>
      </c>
      <c r="K180" s="1">
        <f>IFERROR(Pagos[[#This Row],[Ganancia unitaria]]-Pagos[[#This Row],[Ganancia unitaria (Vendedor)]],"-")</f>
        <v>6.5419749999999341</v>
      </c>
      <c r="L180" s="1">
        <f>IFERROR(Pagos[[#This Row],[Cantidad vendida]]*(Pagos[[#This Row],[Ganancia individual (Tienda)]]),"-")</f>
        <v>6.5419749999999341</v>
      </c>
      <c r="M180" s="1">
        <f>(VLOOKUP(Pagos[[#This Row],[Codigo del producto]],Stock[],13,FALSE))*Pagos[[#This Row],[Cantidad vendida]]</f>
        <v>738.10550000000012</v>
      </c>
      <c r="N180" s="1" t="s">
        <v>312</v>
      </c>
      <c r="O180" s="1"/>
    </row>
    <row r="181" spans="1:15" ht="17.25" x14ac:dyDescent="0.3">
      <c r="A181" s="10" t="s">
        <v>315</v>
      </c>
      <c r="B181" s="43">
        <v>46068</v>
      </c>
      <c r="C181" s="7" t="s">
        <v>25</v>
      </c>
      <c r="D181" s="20" t="str">
        <f>IFERROR(VLOOKUP(Pagos[[#This Row],[Codigo del producto]],Entradas[],3,FALSE),"No existe")</f>
        <v>Sharck Attack R1 Negro</v>
      </c>
      <c r="E181" s="7">
        <v>1</v>
      </c>
      <c r="F181" s="10">
        <v>1000</v>
      </c>
      <c r="G181" s="22">
        <f>IFERROR(Pagos[[#This Row],[Cantidad vendida]]*Pagos[[#This Row],[Precio de venta]],"-")</f>
        <v>1000</v>
      </c>
      <c r="H181" s="22">
        <f>IFERROR(Pagos[[#This Row],[Precio de venta]]-VLOOKUP(Pagos[[#This Row],[Codigo del producto]],Stock[],13,FALSE),"-")</f>
        <v>310.16800000000001</v>
      </c>
      <c r="I181" s="22">
        <f t="shared" si="2"/>
        <v>124.06720000000001</v>
      </c>
      <c r="J181" s="22">
        <f>IFERROR(Pagos[[#This Row],[Cantidad vendida]]*Pagos[[#This Row],[Ganancia unitaria (Vendedor)]],"-")</f>
        <v>124.06720000000001</v>
      </c>
      <c r="K181" s="1">
        <f>IFERROR(Pagos[[#This Row],[Ganancia unitaria]]-Pagos[[#This Row],[Ganancia unitaria (Vendedor)]],"-")</f>
        <v>186.10079999999999</v>
      </c>
      <c r="L181" s="1">
        <f>IFERROR(Pagos[[#This Row],[Cantidad vendida]]*(Pagos[[#This Row],[Ganancia individual (Tienda)]]),"-")</f>
        <v>186.10079999999999</v>
      </c>
      <c r="M181" s="1">
        <f>(VLOOKUP(Pagos[[#This Row],[Codigo del producto]],Stock[],13,FALSE))*Pagos[[#This Row],[Cantidad vendida]]</f>
        <v>689.83199999999999</v>
      </c>
      <c r="N181" s="1" t="s">
        <v>312</v>
      </c>
      <c r="O181" s="1"/>
    </row>
    <row r="182" spans="1:15" ht="17.25" x14ac:dyDescent="0.3">
      <c r="A182" s="10" t="s">
        <v>315</v>
      </c>
      <c r="B182" s="43">
        <v>46068</v>
      </c>
      <c r="C182" s="7" t="s">
        <v>29</v>
      </c>
      <c r="D182" s="20" t="str">
        <f>IFERROR(VLOOKUP(Pagos[[#This Row],[Codigo del producto]],Entradas[],3,FALSE),"No existe")</f>
        <v>KZ EDX PRO X</v>
      </c>
      <c r="E182" s="7">
        <v>1</v>
      </c>
      <c r="F182" s="10">
        <v>400</v>
      </c>
      <c r="G182" s="22">
        <f>IFERROR(Pagos[[#This Row],[Cantidad vendida]]*Pagos[[#This Row],[Precio de venta]],"-")</f>
        <v>400</v>
      </c>
      <c r="H182" s="22">
        <f>IFERROR(Pagos[[#This Row],[Precio de venta]]-VLOOKUP(Pagos[[#This Row],[Codigo del producto]],Stock[],13,FALSE),"-")</f>
        <v>238.59700000000001</v>
      </c>
      <c r="I182" s="22">
        <f t="shared" si="2"/>
        <v>107.36865</v>
      </c>
      <c r="J182" s="22">
        <f>IFERROR(Pagos[[#This Row],[Cantidad vendida]]*Pagos[[#This Row],[Ganancia unitaria (Vendedor)]],"-")</f>
        <v>107.36865</v>
      </c>
      <c r="K182" s="1">
        <f>IFERROR(Pagos[[#This Row],[Ganancia unitaria]]-Pagos[[#This Row],[Ganancia unitaria (Vendedor)]],"-")</f>
        <v>131.22835000000001</v>
      </c>
      <c r="L182" s="1">
        <f>IFERROR(Pagos[[#This Row],[Cantidad vendida]]*(Pagos[[#This Row],[Ganancia individual (Tienda)]]),"-")</f>
        <v>131.22835000000001</v>
      </c>
      <c r="M182" s="1">
        <f>(VLOOKUP(Pagos[[#This Row],[Codigo del producto]],Stock[],13,FALSE))*Pagos[[#This Row],[Cantidad vendida]]</f>
        <v>161.40299999999999</v>
      </c>
      <c r="N182" s="1" t="s">
        <v>312</v>
      </c>
      <c r="O182" s="1"/>
    </row>
    <row r="183" spans="1:15" ht="17.25" x14ac:dyDescent="0.3">
      <c r="A183" s="7" t="s">
        <v>313</v>
      </c>
      <c r="B183" s="43">
        <v>46069</v>
      </c>
      <c r="C183" s="7" t="s">
        <v>51</v>
      </c>
      <c r="D183" s="20" t="str">
        <f>IFERROR(VLOOKUP(Pagos[[#This Row],[Codigo del producto]],Entradas[],3,FALSE),"No existe")</f>
        <v>Pantalla para moto 5 inch</v>
      </c>
      <c r="E183" s="7">
        <v>2</v>
      </c>
      <c r="F183" s="10">
        <v>2400</v>
      </c>
      <c r="G183" s="22">
        <f>IFERROR(Pagos[[#This Row],[Cantidad vendida]]*Pagos[[#This Row],[Precio de venta]],"-")</f>
        <v>4800</v>
      </c>
      <c r="H183" s="22">
        <f>IFERROR(Pagos[[#This Row],[Precio de venta]]-VLOOKUP(Pagos[[#This Row],[Codigo del producto]],Stock[],13,FALSE),"-")</f>
        <v>662.52250000000004</v>
      </c>
      <c r="I183" s="22">
        <f t="shared" si="2"/>
        <v>251.75855000000001</v>
      </c>
      <c r="J183" s="22">
        <f>IFERROR(Pagos[[#This Row],[Cantidad vendida]]*Pagos[[#This Row],[Ganancia unitaria (Vendedor)]],"-")</f>
        <v>503.51710000000003</v>
      </c>
      <c r="K183" s="1">
        <f>IFERROR(Pagos[[#This Row],[Ganancia unitaria]]-Pagos[[#This Row],[Ganancia unitaria (Vendedor)]],"-")</f>
        <v>410.76395000000002</v>
      </c>
      <c r="L183" s="1">
        <f>IFERROR(Pagos[[#This Row],[Cantidad vendida]]*(Pagos[[#This Row],[Ganancia individual (Tienda)]]),"-")</f>
        <v>821.52790000000005</v>
      </c>
      <c r="M183" s="1">
        <f>(VLOOKUP(Pagos[[#This Row],[Codigo del producto]],Stock[],13,FALSE))*Pagos[[#This Row],[Cantidad vendida]]</f>
        <v>3474.9549999999999</v>
      </c>
      <c r="N183" s="1" t="s">
        <v>334</v>
      </c>
      <c r="O183" s="1"/>
    </row>
    <row r="184" spans="1:15" ht="17.25" x14ac:dyDescent="0.3">
      <c r="A184" s="7" t="s">
        <v>313</v>
      </c>
      <c r="B184" s="48">
        <v>46069</v>
      </c>
      <c r="C184" s="45" t="s">
        <v>51</v>
      </c>
      <c r="D184" s="59" t="str">
        <f>IFERROR(VLOOKUP(Pagos[[#This Row],[Codigo del producto]],Entradas[],3,FALSE),"No existe")</f>
        <v>Pantalla para moto 5 inch</v>
      </c>
      <c r="E184" s="45">
        <v>1</v>
      </c>
      <c r="F184" s="46">
        <v>2300</v>
      </c>
      <c r="G184" s="60">
        <f>IFERROR(Pagos[[#This Row],[Cantidad vendida]]*Pagos[[#This Row],[Precio de venta]],"-")</f>
        <v>2300</v>
      </c>
      <c r="H184" s="60">
        <f>IFERROR(Pagos[[#This Row],[Precio de venta]]-VLOOKUP(Pagos[[#This Row],[Codigo del producto]],Stock[],13,FALSE),"-")</f>
        <v>562.52250000000004</v>
      </c>
      <c r="I184" s="60">
        <f t="shared" si="2"/>
        <v>225.00900000000001</v>
      </c>
      <c r="J184" s="60">
        <f>IFERROR(Pagos[[#This Row],[Cantidad vendida]]*Pagos[[#This Row],[Ganancia unitaria (Vendedor)]],"-")</f>
        <v>225.00900000000001</v>
      </c>
      <c r="K184" s="47">
        <f>IFERROR(Pagos[[#This Row],[Ganancia unitaria]]-Pagos[[#This Row],[Ganancia unitaria (Vendedor)]],"-")</f>
        <v>337.51350000000002</v>
      </c>
      <c r="L184" s="47">
        <f>IFERROR(Pagos[[#This Row],[Cantidad vendida]]*(Pagos[[#This Row],[Ganancia individual (Tienda)]]),"-")</f>
        <v>337.51350000000002</v>
      </c>
      <c r="M184" s="47">
        <f>(VLOOKUP(Pagos[[#This Row],[Codigo del producto]],Stock[],13,FALSE))*Pagos[[#This Row],[Cantidad vendida]]</f>
        <v>1737.4775</v>
      </c>
      <c r="N184" s="47" t="s">
        <v>312</v>
      </c>
      <c r="O184" s="47" t="s">
        <v>344</v>
      </c>
    </row>
    <row r="185" spans="1:15" ht="17.25" x14ac:dyDescent="0.3">
      <c r="A185" s="7" t="s">
        <v>311</v>
      </c>
      <c r="B185" s="43">
        <v>46069</v>
      </c>
      <c r="C185" s="7" t="s">
        <v>74</v>
      </c>
      <c r="D185" s="20" t="str">
        <f>IFERROR(VLOOKUP(Pagos[[#This Row],[Codigo del producto]],Entradas[],3,FALSE),"No existe")</f>
        <v>Pro Controller Switch</v>
      </c>
      <c r="E185" s="7">
        <v>1</v>
      </c>
      <c r="F185" s="10">
        <v>1100</v>
      </c>
      <c r="G185" s="22">
        <f>IFERROR(Pagos[[#This Row],[Cantidad vendida]]*Pagos[[#This Row],[Precio de venta]],"-")</f>
        <v>1100</v>
      </c>
      <c r="H185" s="22">
        <f>IFERROR(Pagos[[#This Row],[Precio de venta]]-VLOOKUP(Pagos[[#This Row],[Codigo del producto]],Stock[],13,FALSE),"-")</f>
        <v>455.125</v>
      </c>
      <c r="I185" s="22">
        <f t="shared" si="2"/>
        <v>182.05</v>
      </c>
      <c r="J185" s="22">
        <f>IFERROR(Pagos[[#This Row],[Cantidad vendida]]*Pagos[[#This Row],[Ganancia unitaria (Vendedor)]],"-")</f>
        <v>182.05</v>
      </c>
      <c r="K185" s="1">
        <f>IFERROR(Pagos[[#This Row],[Ganancia unitaria]]-Pagos[[#This Row],[Ganancia unitaria (Vendedor)]],"-")</f>
        <v>273.07499999999999</v>
      </c>
      <c r="L185" s="1">
        <f>IFERROR(Pagos[[#This Row],[Cantidad vendida]]*(Pagos[[#This Row],[Ganancia individual (Tienda)]]),"-")</f>
        <v>273.07499999999999</v>
      </c>
      <c r="M185" s="1">
        <f>(VLOOKUP(Pagos[[#This Row],[Codigo del producto]],Stock[],13,FALSE))*Pagos[[#This Row],[Cantidad vendida]]</f>
        <v>644.875</v>
      </c>
      <c r="N185" s="1" t="s">
        <v>312</v>
      </c>
      <c r="O185" s="1"/>
    </row>
    <row r="186" spans="1:15" ht="17.25" x14ac:dyDescent="0.3">
      <c r="A186" s="1" t="s">
        <v>327</v>
      </c>
      <c r="B186" s="43">
        <v>46069</v>
      </c>
      <c r="C186" s="7" t="s">
        <v>78</v>
      </c>
      <c r="D186" s="20" t="str">
        <f>IFERROR(VLOOKUP(Pagos[[#This Row],[Codigo del producto]],Entradas[],3,FALSE),"No existe")</f>
        <v>Cargadores USB para moto (Sin pantalla)</v>
      </c>
      <c r="E186" s="7">
        <v>1</v>
      </c>
      <c r="F186" s="10">
        <v>500</v>
      </c>
      <c r="G186" s="22">
        <f>IFERROR(Pagos[[#This Row],[Cantidad vendida]]*Pagos[[#This Row],[Precio de venta]],"-")</f>
        <v>500</v>
      </c>
      <c r="H186" s="22">
        <f>IFERROR(Pagos[[#This Row],[Precio de venta]]-VLOOKUP(Pagos[[#This Row],[Codigo del producto]],Stock[],13,FALSE),"-")</f>
        <v>227.31</v>
      </c>
      <c r="I186" s="22">
        <f t="shared" si="2"/>
        <v>102.2895</v>
      </c>
      <c r="J186" s="22">
        <f>IFERROR(Pagos[[#This Row],[Cantidad vendida]]*Pagos[[#This Row],[Ganancia unitaria (Vendedor)]],"-")</f>
        <v>102.2895</v>
      </c>
      <c r="K186" s="1">
        <f>IFERROR(Pagos[[#This Row],[Ganancia unitaria]]-Pagos[[#This Row],[Ganancia unitaria (Vendedor)]],"-")</f>
        <v>125.0205</v>
      </c>
      <c r="L186" s="1">
        <f>IFERROR(Pagos[[#This Row],[Cantidad vendida]]*(Pagos[[#This Row],[Ganancia individual (Tienda)]]),"-")</f>
        <v>125.0205</v>
      </c>
      <c r="M186" s="1">
        <f>(VLOOKUP(Pagos[[#This Row],[Codigo del producto]],Stock[],13,FALSE))*Pagos[[#This Row],[Cantidad vendida]]</f>
        <v>272.69</v>
      </c>
      <c r="N186" s="1" t="s">
        <v>334</v>
      </c>
      <c r="O186" s="1"/>
    </row>
    <row r="187" spans="1:15" ht="17.25" x14ac:dyDescent="0.3">
      <c r="A187" s="7" t="s">
        <v>311</v>
      </c>
      <c r="B187" s="43">
        <v>46069</v>
      </c>
      <c r="C187" s="7" t="s">
        <v>46</v>
      </c>
      <c r="D187" s="20" t="str">
        <f>IFERROR(VLOOKUP(Pagos[[#This Row],[Codigo del producto]],Entradas[],3,FALSE),"No existe")</f>
        <v>Headset Bluetooth para moto</v>
      </c>
      <c r="E187" s="7">
        <v>1</v>
      </c>
      <c r="F187" s="10">
        <v>500</v>
      </c>
      <c r="G187" s="22">
        <f>IFERROR(Pagos[[#This Row],[Cantidad vendida]]*Pagos[[#This Row],[Precio de venta]],"-")</f>
        <v>500</v>
      </c>
      <c r="H187" s="22">
        <f>IFERROR(Pagos[[#This Row],[Precio de venta]]-VLOOKUP(Pagos[[#This Row],[Codigo del producto]],Stock[],13,FALSE),"-")</f>
        <v>222.51949999999999</v>
      </c>
      <c r="I187" s="22">
        <f t="shared" si="2"/>
        <v>100.133775</v>
      </c>
      <c r="J187" s="22">
        <f>IFERROR(Pagos[[#This Row],[Cantidad vendida]]*Pagos[[#This Row],[Ganancia unitaria (Vendedor)]],"-")</f>
        <v>100.133775</v>
      </c>
      <c r="K187" s="1">
        <f>IFERROR(Pagos[[#This Row],[Ganancia unitaria]]-Pagos[[#This Row],[Ganancia unitaria (Vendedor)]],"-")</f>
        <v>122.38572499999999</v>
      </c>
      <c r="L187" s="1">
        <f>IFERROR(Pagos[[#This Row],[Cantidad vendida]]*(Pagos[[#This Row],[Ganancia individual (Tienda)]]),"-")</f>
        <v>122.38572499999999</v>
      </c>
      <c r="M187" s="1">
        <f>(VLOOKUP(Pagos[[#This Row],[Codigo del producto]],Stock[],13,FALSE))*Pagos[[#This Row],[Cantidad vendida]]</f>
        <v>277.48050000000001</v>
      </c>
      <c r="N187" s="1" t="s">
        <v>312</v>
      </c>
      <c r="O187" s="1"/>
    </row>
    <row r="188" spans="1:15" ht="17.25" x14ac:dyDescent="0.3">
      <c r="A188" s="7" t="s">
        <v>313</v>
      </c>
      <c r="B188" s="43">
        <v>46070</v>
      </c>
      <c r="C188" s="7" t="s">
        <v>27</v>
      </c>
      <c r="D188" s="20" t="str">
        <f>IFERROR(VLOOKUP(Pagos[[#This Row],[Codigo del producto]],Entradas[],3,FALSE),"No existe")</f>
        <v>KZ Castor PRO Improved Bass</v>
      </c>
      <c r="E188" s="7">
        <v>1</v>
      </c>
      <c r="F188" s="10">
        <v>900</v>
      </c>
      <c r="G188" s="22">
        <f>IFERROR(Pagos[[#This Row],[Cantidad vendida]]*Pagos[[#This Row],[Precio de venta]],"-")</f>
        <v>900</v>
      </c>
      <c r="H188" s="22">
        <f>IFERROR(Pagos[[#This Row],[Precio de venta]]-VLOOKUP(Pagos[[#This Row],[Codigo del producto]],Stock[],13,FALSE),"-")</f>
        <v>542.92349999999999</v>
      </c>
      <c r="I188" s="22">
        <f t="shared" si="2"/>
        <v>217.1694</v>
      </c>
      <c r="J188" s="22">
        <f>IFERROR(Pagos[[#This Row],[Cantidad vendida]]*Pagos[[#This Row],[Ganancia unitaria (Vendedor)]],"-")</f>
        <v>217.1694</v>
      </c>
      <c r="K188" s="1">
        <f>IFERROR(Pagos[[#This Row],[Ganancia unitaria]]-Pagos[[#This Row],[Ganancia unitaria (Vendedor)]],"-")</f>
        <v>325.75409999999999</v>
      </c>
      <c r="L188" s="1">
        <f>IFERROR(Pagos[[#This Row],[Cantidad vendida]]*(Pagos[[#This Row],[Ganancia individual (Tienda)]]),"-")</f>
        <v>325.75409999999999</v>
      </c>
      <c r="M188" s="1">
        <f>(VLOOKUP(Pagos[[#This Row],[Codigo del producto]],Stock[],13,FALSE))*Pagos[[#This Row],[Cantidad vendida]]</f>
        <v>357.07650000000001</v>
      </c>
      <c r="N188" s="1" t="s">
        <v>334</v>
      </c>
      <c r="O188" s="1"/>
    </row>
    <row r="189" spans="1:15" ht="17.25" x14ac:dyDescent="0.3">
      <c r="A189" s="7" t="s">
        <v>311</v>
      </c>
      <c r="B189" s="43">
        <v>46070</v>
      </c>
      <c r="C189" s="7" t="s">
        <v>44</v>
      </c>
      <c r="D189" s="20" t="str">
        <f>IFERROR(VLOOKUP(Pagos[[#This Row],[Codigo del producto]],Entradas[],3,FALSE),"No existe")</f>
        <v>KZ Castor PRO Improved Bass</v>
      </c>
      <c r="E189" s="7">
        <v>1</v>
      </c>
      <c r="F189" s="10">
        <v>900</v>
      </c>
      <c r="G189" s="22">
        <f>IFERROR(Pagos[[#This Row],[Cantidad vendida]]*Pagos[[#This Row],[Precio de venta]],"-")</f>
        <v>900</v>
      </c>
      <c r="H189" s="22">
        <f>IFERROR(Pagos[[#This Row],[Precio de venta]]-VLOOKUP(Pagos[[#This Row],[Codigo del producto]],Stock[],13,FALSE),"-")</f>
        <v>430.53099999999995</v>
      </c>
      <c r="I189" s="22">
        <f t="shared" si="2"/>
        <v>172.2124</v>
      </c>
      <c r="J189" s="22">
        <f>IFERROR(Pagos[[#This Row],[Cantidad vendida]]*Pagos[[#This Row],[Ganancia unitaria (Vendedor)]],"-")</f>
        <v>172.2124</v>
      </c>
      <c r="K189" s="1">
        <f>IFERROR(Pagos[[#This Row],[Ganancia unitaria]]-Pagos[[#This Row],[Ganancia unitaria (Vendedor)]],"-")</f>
        <v>258.31859999999995</v>
      </c>
      <c r="L189" s="1">
        <f>IFERROR(Pagos[[#This Row],[Cantidad vendida]]*(Pagos[[#This Row],[Ganancia individual (Tienda)]]),"-")</f>
        <v>258.31859999999995</v>
      </c>
      <c r="M189" s="1">
        <f>(VLOOKUP(Pagos[[#This Row],[Codigo del producto]],Stock[],13,FALSE))*Pagos[[#This Row],[Cantidad vendida]]</f>
        <v>469.46900000000005</v>
      </c>
      <c r="N189" s="1" t="s">
        <v>312</v>
      </c>
      <c r="O189" s="1"/>
    </row>
    <row r="190" spans="1:15" ht="17.25" x14ac:dyDescent="0.3">
      <c r="A190" s="7" t="s">
        <v>313</v>
      </c>
      <c r="B190" s="43">
        <v>46070</v>
      </c>
      <c r="C190" s="7" t="s">
        <v>72</v>
      </c>
      <c r="D190" s="20" t="str">
        <f>IFERROR(VLOOKUP(Pagos[[#This Row],[Codigo del producto]],Entradas[],3,FALSE),"No existe")</f>
        <v>KZ AZ09 Bluetooth Adapter</v>
      </c>
      <c r="E190" s="7">
        <v>1</v>
      </c>
      <c r="F190" s="10">
        <v>900</v>
      </c>
      <c r="G190" s="22">
        <f>IFERROR(Pagos[[#This Row],[Cantidad vendida]]*Pagos[[#This Row],[Precio de venta]],"-")</f>
        <v>900</v>
      </c>
      <c r="H190" s="22">
        <f>IFERROR(Pagos[[#This Row],[Precio de venta]]-VLOOKUP(Pagos[[#This Row],[Codigo del producto]],Stock[],13,FALSE),"-")</f>
        <v>288.28999999999996</v>
      </c>
      <c r="I190" s="22">
        <f t="shared" si="2"/>
        <v>129.73049999999998</v>
      </c>
      <c r="J190" s="22">
        <f>IFERROR(Pagos[[#This Row],[Cantidad vendida]]*Pagos[[#This Row],[Ganancia unitaria (Vendedor)]],"-")</f>
        <v>129.73049999999998</v>
      </c>
      <c r="K190" s="1">
        <f>IFERROR(Pagos[[#This Row],[Ganancia unitaria]]-Pagos[[#This Row],[Ganancia unitaria (Vendedor)]],"-")</f>
        <v>158.55949999999999</v>
      </c>
      <c r="L190" s="1">
        <f>IFERROR(Pagos[[#This Row],[Cantidad vendida]]*(Pagos[[#This Row],[Ganancia individual (Tienda)]]),"-")</f>
        <v>158.55949999999999</v>
      </c>
      <c r="M190" s="1">
        <f>(VLOOKUP(Pagos[[#This Row],[Codigo del producto]],Stock[],13,FALSE))*Pagos[[#This Row],[Cantidad vendida]]</f>
        <v>611.71</v>
      </c>
      <c r="N190" s="1" t="s">
        <v>334</v>
      </c>
      <c r="O190" s="1"/>
    </row>
    <row r="191" spans="1:15" ht="17.25" x14ac:dyDescent="0.3">
      <c r="A191" s="7" t="s">
        <v>311</v>
      </c>
      <c r="B191" s="43">
        <v>46070</v>
      </c>
      <c r="C191" s="7" t="s">
        <v>29</v>
      </c>
      <c r="D191" s="20" t="str">
        <f>IFERROR(VLOOKUP(Pagos[[#This Row],[Codigo del producto]],Entradas[],3,FALSE),"No existe")</f>
        <v>KZ EDX PRO X</v>
      </c>
      <c r="E191" s="7">
        <v>1</v>
      </c>
      <c r="F191" s="10">
        <v>420</v>
      </c>
      <c r="G191" s="22">
        <f>IFERROR(Pagos[[#This Row],[Cantidad vendida]]*Pagos[[#This Row],[Precio de venta]],"-")</f>
        <v>420</v>
      </c>
      <c r="H191" s="22">
        <f>IFERROR(Pagos[[#This Row],[Precio de venta]]-VLOOKUP(Pagos[[#This Row],[Codigo del producto]],Stock[],13,FALSE),"-")</f>
        <v>258.59699999999998</v>
      </c>
      <c r="I191" s="22">
        <f t="shared" si="2"/>
        <v>116.36864999999999</v>
      </c>
      <c r="J191" s="22">
        <f>IFERROR(Pagos[[#This Row],[Cantidad vendida]]*Pagos[[#This Row],[Ganancia unitaria (Vendedor)]],"-")</f>
        <v>116.36864999999999</v>
      </c>
      <c r="K191" s="1">
        <f>IFERROR(Pagos[[#This Row],[Ganancia unitaria]]-Pagos[[#This Row],[Ganancia unitaria (Vendedor)]],"-")</f>
        <v>142.22834999999998</v>
      </c>
      <c r="L191" s="1">
        <f>IFERROR(Pagos[[#This Row],[Cantidad vendida]]*(Pagos[[#This Row],[Ganancia individual (Tienda)]]),"-")</f>
        <v>142.22834999999998</v>
      </c>
      <c r="M191" s="1">
        <f>(VLOOKUP(Pagos[[#This Row],[Codigo del producto]],Stock[],13,FALSE))*Pagos[[#This Row],[Cantidad vendida]]</f>
        <v>161.40299999999999</v>
      </c>
      <c r="N191" s="1" t="s">
        <v>312</v>
      </c>
      <c r="O191" s="1"/>
    </row>
    <row r="192" spans="1:15" ht="17.25" x14ac:dyDescent="0.3">
      <c r="A192" s="10" t="s">
        <v>315</v>
      </c>
      <c r="B192" s="43">
        <v>46072</v>
      </c>
      <c r="C192" s="7" t="s">
        <v>44</v>
      </c>
      <c r="D192" s="20" t="str">
        <f>IFERROR(VLOOKUP(Pagos[[#This Row],[Codigo del producto]],Entradas[],3,FALSE),"No existe")</f>
        <v>KZ Castor PRO Improved Bass</v>
      </c>
      <c r="E192" s="7">
        <v>1</v>
      </c>
      <c r="F192" s="10">
        <v>900</v>
      </c>
      <c r="G192" s="22">
        <f>IFERROR(Pagos[[#This Row],[Cantidad vendida]]*Pagos[[#This Row],[Precio de venta]],"-")</f>
        <v>900</v>
      </c>
      <c r="H192" s="22">
        <f>IFERROR(Pagos[[#This Row],[Precio de venta]]-VLOOKUP(Pagos[[#This Row],[Codigo del producto]],Stock[],13,FALSE),"-")</f>
        <v>430.53099999999995</v>
      </c>
      <c r="I192" s="22">
        <f t="shared" si="2"/>
        <v>172.2124</v>
      </c>
      <c r="J192" s="22">
        <f>IFERROR(Pagos[[#This Row],[Cantidad vendida]]*Pagos[[#This Row],[Ganancia unitaria (Vendedor)]],"-")</f>
        <v>172.2124</v>
      </c>
      <c r="K192" s="1">
        <f>IFERROR(Pagos[[#This Row],[Ganancia unitaria]]-Pagos[[#This Row],[Ganancia unitaria (Vendedor)]],"-")</f>
        <v>258.31859999999995</v>
      </c>
      <c r="L192" s="1">
        <f>IFERROR(Pagos[[#This Row],[Cantidad vendida]]*(Pagos[[#This Row],[Ganancia individual (Tienda)]]),"-")</f>
        <v>258.31859999999995</v>
      </c>
      <c r="M192" s="1">
        <f>(VLOOKUP(Pagos[[#This Row],[Codigo del producto]],Stock[],13,FALSE))*Pagos[[#This Row],[Cantidad vendida]]</f>
        <v>469.46900000000005</v>
      </c>
      <c r="N192" s="1" t="s">
        <v>312</v>
      </c>
      <c r="O192" s="1"/>
    </row>
    <row r="193" spans="1:15" ht="17.25" x14ac:dyDescent="0.3">
      <c r="A193" s="7" t="s">
        <v>313</v>
      </c>
      <c r="B193" s="43">
        <v>46072</v>
      </c>
      <c r="C193" s="7" t="s">
        <v>72</v>
      </c>
      <c r="D193" s="20" t="str">
        <f>IFERROR(VLOOKUP(Pagos[[#This Row],[Codigo del producto]],Entradas[],3,FALSE),"No existe")</f>
        <v>KZ AZ09 Bluetooth Adapter</v>
      </c>
      <c r="E193" s="7">
        <v>1</v>
      </c>
      <c r="F193" s="10">
        <v>1000</v>
      </c>
      <c r="G193" s="22">
        <f>IFERROR(Pagos[[#This Row],[Cantidad vendida]]*Pagos[[#This Row],[Precio de venta]],"-")</f>
        <v>1000</v>
      </c>
      <c r="H193" s="22">
        <f>IFERROR(Pagos[[#This Row],[Precio de venta]]-VLOOKUP(Pagos[[#This Row],[Codigo del producto]],Stock[],13,FALSE),"-")</f>
        <v>388.28999999999996</v>
      </c>
      <c r="I193" s="22">
        <f t="shared" si="2"/>
        <v>155.316</v>
      </c>
      <c r="J193" s="22">
        <f>IFERROR(Pagos[[#This Row],[Cantidad vendida]]*Pagos[[#This Row],[Ganancia unitaria (Vendedor)]],"-")</f>
        <v>155.316</v>
      </c>
      <c r="K193" s="1">
        <f>IFERROR(Pagos[[#This Row],[Ganancia unitaria]]-Pagos[[#This Row],[Ganancia unitaria (Vendedor)]],"-")</f>
        <v>232.97399999999996</v>
      </c>
      <c r="L193" s="1">
        <f>IFERROR(Pagos[[#This Row],[Cantidad vendida]]*(Pagos[[#This Row],[Ganancia individual (Tienda)]]),"-")</f>
        <v>232.97399999999996</v>
      </c>
      <c r="M193" s="1">
        <f>(VLOOKUP(Pagos[[#This Row],[Codigo del producto]],Stock[],13,FALSE))*Pagos[[#This Row],[Cantidad vendida]]</f>
        <v>611.71</v>
      </c>
      <c r="N193" s="1" t="s">
        <v>334</v>
      </c>
      <c r="O193" s="1"/>
    </row>
    <row r="194" spans="1:15" ht="17.25" x14ac:dyDescent="0.3">
      <c r="A194" s="10" t="s">
        <v>315</v>
      </c>
      <c r="B194" s="43">
        <v>46072</v>
      </c>
      <c r="C194" s="7" t="s">
        <v>40</v>
      </c>
      <c r="D194" s="20" t="str">
        <f>IFERROR(VLOOKUP(Pagos[[#This Row],[Codigo del producto]],Entradas[],3,FALSE),"No existe")</f>
        <v xml:space="preserve">Adaptador DAC </v>
      </c>
      <c r="E194" s="7">
        <v>1</v>
      </c>
      <c r="F194" s="10">
        <v>300</v>
      </c>
      <c r="G194" s="22">
        <f>IFERROR(Pagos[[#This Row],[Cantidad vendida]]*Pagos[[#This Row],[Precio de venta]],"-")</f>
        <v>300</v>
      </c>
      <c r="H194" s="22">
        <f>IFERROR(Pagos[[#This Row],[Precio de venta]]-VLOOKUP(Pagos[[#This Row],[Codigo del producto]],Stock[],13,FALSE),"-")</f>
        <v>116.48700000000002</v>
      </c>
      <c r="I194" s="22">
        <f t="shared" si="2"/>
        <v>52.419150000000009</v>
      </c>
      <c r="J194" s="22">
        <f>IFERROR(Pagos[[#This Row],[Cantidad vendida]]*Pagos[[#This Row],[Ganancia unitaria (Vendedor)]],"-")</f>
        <v>52.419150000000009</v>
      </c>
      <c r="K194" s="1">
        <f>IFERROR(Pagos[[#This Row],[Ganancia unitaria]]-Pagos[[#This Row],[Ganancia unitaria (Vendedor)]],"-")</f>
        <v>64.067850000000021</v>
      </c>
      <c r="L194" s="1">
        <f>IFERROR(Pagos[[#This Row],[Cantidad vendida]]*(Pagos[[#This Row],[Ganancia individual (Tienda)]]),"-")</f>
        <v>64.067850000000021</v>
      </c>
      <c r="M194" s="1">
        <f>(VLOOKUP(Pagos[[#This Row],[Codigo del producto]],Stock[],13,FALSE))*Pagos[[#This Row],[Cantidad vendida]]</f>
        <v>183.51299999999998</v>
      </c>
      <c r="N194" s="1" t="s">
        <v>312</v>
      </c>
      <c r="O194" s="1"/>
    </row>
    <row r="195" spans="1:15" ht="17.25" x14ac:dyDescent="0.3">
      <c r="A195" s="7" t="s">
        <v>311</v>
      </c>
      <c r="B195" s="43">
        <v>46073</v>
      </c>
      <c r="C195" s="7" t="s">
        <v>74</v>
      </c>
      <c r="D195" s="20" t="str">
        <f>IFERROR(VLOOKUP(Pagos[[#This Row],[Codigo del producto]],Entradas[],3,FALSE),"No existe")</f>
        <v>Pro Controller Switch</v>
      </c>
      <c r="E195" s="7">
        <v>1</v>
      </c>
      <c r="F195" s="10">
        <v>1100</v>
      </c>
      <c r="G195" s="22">
        <f>IFERROR(Pagos[[#This Row],[Cantidad vendida]]*Pagos[[#This Row],[Precio de venta]],"-")</f>
        <v>1100</v>
      </c>
      <c r="H195" s="22">
        <f>IFERROR(Pagos[[#This Row],[Precio de venta]]-VLOOKUP(Pagos[[#This Row],[Codigo del producto]],Stock[],13,FALSE),"-")</f>
        <v>455.125</v>
      </c>
      <c r="I195" s="22">
        <f t="shared" si="2"/>
        <v>182.05</v>
      </c>
      <c r="J195" s="22">
        <f>IFERROR(Pagos[[#This Row],[Cantidad vendida]]*Pagos[[#This Row],[Ganancia unitaria (Vendedor)]],"-")</f>
        <v>182.05</v>
      </c>
      <c r="K195" s="1">
        <f>IFERROR(Pagos[[#This Row],[Ganancia unitaria]]-Pagos[[#This Row],[Ganancia unitaria (Vendedor)]],"-")</f>
        <v>273.07499999999999</v>
      </c>
      <c r="L195" s="1">
        <f>IFERROR(Pagos[[#This Row],[Cantidad vendida]]*(Pagos[[#This Row],[Ganancia individual (Tienda)]]),"-")</f>
        <v>273.07499999999999</v>
      </c>
      <c r="M195" s="1">
        <f>(VLOOKUP(Pagos[[#This Row],[Codigo del producto]],Stock[],13,FALSE))*Pagos[[#This Row],[Cantidad vendida]]</f>
        <v>644.875</v>
      </c>
      <c r="N195" s="1" t="s">
        <v>312</v>
      </c>
      <c r="O195" s="1" t="s">
        <v>345</v>
      </c>
    </row>
    <row r="196" spans="1:15" ht="17.25" x14ac:dyDescent="0.3">
      <c r="A196" s="1" t="s">
        <v>327</v>
      </c>
      <c r="B196" s="43">
        <v>46073</v>
      </c>
      <c r="C196" s="7" t="s">
        <v>78</v>
      </c>
      <c r="D196" s="20" t="str">
        <f>IFERROR(VLOOKUP(Pagos[[#This Row],[Codigo del producto]],Entradas[],3,FALSE),"No existe")</f>
        <v>Cargadores USB para moto (Sin pantalla)</v>
      </c>
      <c r="E196" s="7">
        <v>1</v>
      </c>
      <c r="F196" s="10">
        <v>500</v>
      </c>
      <c r="G196" s="22">
        <f>IFERROR(Pagos[[#This Row],[Cantidad vendida]]*Pagos[[#This Row],[Precio de venta]],"-")</f>
        <v>500</v>
      </c>
      <c r="H196" s="22">
        <f>IFERROR(Pagos[[#This Row],[Precio de venta]]-VLOOKUP(Pagos[[#This Row],[Codigo del producto]],Stock[],13,FALSE),"-")</f>
        <v>227.31</v>
      </c>
      <c r="I196" s="22">
        <f t="shared" ref="I196:I259" si="3">IFERROR(
  IF(H196&lt;=0,"-",
    IF(H196&lt;=300, H196*0.45,
      IF(H196&lt;=600, H196*0.4,
        IF(H196&lt;=900, H196*0.38,
          IF(H196&lt;=1000, H196*0.35,
            IF(H196&lt;=1400, H196*0.32,
              IF(H196&lt;=1800, H196*0.3,
                IF(H196&gt;=2000, H196*0.28,
                  "-"
                )
              )
            )
          )
        )
      )
    )
  ),
  "-"
)</f>
        <v>102.2895</v>
      </c>
      <c r="J196" s="22">
        <f>IFERROR(Pagos[[#This Row],[Cantidad vendida]]*Pagos[[#This Row],[Ganancia unitaria (Vendedor)]],"-")</f>
        <v>102.2895</v>
      </c>
      <c r="K196" s="1">
        <f>IFERROR(Pagos[[#This Row],[Ganancia unitaria]]-Pagos[[#This Row],[Ganancia unitaria (Vendedor)]],"-")</f>
        <v>125.0205</v>
      </c>
      <c r="L196" s="1">
        <f>IFERROR(Pagos[[#This Row],[Cantidad vendida]]*(Pagos[[#This Row],[Ganancia individual (Tienda)]]),"-")</f>
        <v>125.0205</v>
      </c>
      <c r="M196" s="1">
        <f>(VLOOKUP(Pagos[[#This Row],[Codigo del producto]],Stock[],13,FALSE))*Pagos[[#This Row],[Cantidad vendida]]</f>
        <v>272.69</v>
      </c>
      <c r="N196" s="1" t="s">
        <v>334</v>
      </c>
      <c r="O196" s="1"/>
    </row>
    <row r="197" spans="1:15" ht="17.25" x14ac:dyDescent="0.3">
      <c r="A197" s="1" t="s">
        <v>327</v>
      </c>
      <c r="B197" s="43">
        <v>46074</v>
      </c>
      <c r="C197" s="7" t="s">
        <v>72</v>
      </c>
      <c r="D197" s="20" t="str">
        <f>IFERROR(VLOOKUP(Pagos[[#This Row],[Codigo del producto]],Entradas[],3,FALSE),"No existe")</f>
        <v>KZ AZ09 Bluetooth Adapter</v>
      </c>
      <c r="E197" s="7">
        <v>1</v>
      </c>
      <c r="F197" s="10">
        <v>1000</v>
      </c>
      <c r="G197" s="22">
        <f>IFERROR(Pagos[[#This Row],[Cantidad vendida]]*Pagos[[#This Row],[Precio de venta]],"-")</f>
        <v>1000</v>
      </c>
      <c r="H197" s="22">
        <f>IFERROR(Pagos[[#This Row],[Precio de venta]]-VLOOKUP(Pagos[[#This Row],[Codigo del producto]],Stock[],13,FALSE),"-")</f>
        <v>388.28999999999996</v>
      </c>
      <c r="I197" s="22">
        <f t="shared" si="3"/>
        <v>155.316</v>
      </c>
      <c r="J197" s="22">
        <f>IFERROR(Pagos[[#This Row],[Cantidad vendida]]*Pagos[[#This Row],[Ganancia unitaria (Vendedor)]],"-")</f>
        <v>155.316</v>
      </c>
      <c r="K197" s="1">
        <f>IFERROR(Pagos[[#This Row],[Ganancia unitaria]]-Pagos[[#This Row],[Ganancia unitaria (Vendedor)]],"-")</f>
        <v>232.97399999999996</v>
      </c>
      <c r="L197" s="1">
        <f>IFERROR(Pagos[[#This Row],[Cantidad vendida]]*(Pagos[[#This Row],[Ganancia individual (Tienda)]]),"-")</f>
        <v>232.97399999999996</v>
      </c>
      <c r="M197" s="1">
        <f>(VLOOKUP(Pagos[[#This Row],[Codigo del producto]],Stock[],13,FALSE))*Pagos[[#This Row],[Cantidad vendida]]</f>
        <v>611.71</v>
      </c>
      <c r="N197" s="1" t="s">
        <v>334</v>
      </c>
      <c r="O197" s="1"/>
    </row>
    <row r="198" spans="1:15" ht="17.25" x14ac:dyDescent="0.3">
      <c r="A198" s="1" t="s">
        <v>327</v>
      </c>
      <c r="B198" s="43">
        <v>46074</v>
      </c>
      <c r="C198" s="7" t="s">
        <v>29</v>
      </c>
      <c r="D198" s="20" t="str">
        <f>IFERROR(VLOOKUP(Pagos[[#This Row],[Codigo del producto]],Entradas[],3,FALSE),"No existe")</f>
        <v>KZ EDX PRO X</v>
      </c>
      <c r="E198" s="7">
        <v>1</v>
      </c>
      <c r="F198" s="10">
        <v>400</v>
      </c>
      <c r="G198" s="22">
        <f>IFERROR(Pagos[[#This Row],[Cantidad vendida]]*Pagos[[#This Row],[Precio de venta]],"-")</f>
        <v>400</v>
      </c>
      <c r="H198" s="22">
        <f>IFERROR(Pagos[[#This Row],[Precio de venta]]-VLOOKUP(Pagos[[#This Row],[Codigo del producto]],Stock[],13,FALSE),"-")</f>
        <v>238.59700000000001</v>
      </c>
      <c r="I198" s="22">
        <f t="shared" si="3"/>
        <v>107.36865</v>
      </c>
      <c r="J198" s="22">
        <f>IFERROR(Pagos[[#This Row],[Cantidad vendida]]*Pagos[[#This Row],[Ganancia unitaria (Vendedor)]],"-")</f>
        <v>107.36865</v>
      </c>
      <c r="K198" s="1">
        <f>IFERROR(Pagos[[#This Row],[Ganancia unitaria]]-Pagos[[#This Row],[Ganancia unitaria (Vendedor)]],"-")</f>
        <v>131.22835000000001</v>
      </c>
      <c r="L198" s="1">
        <f>IFERROR(Pagos[[#This Row],[Cantidad vendida]]*(Pagos[[#This Row],[Ganancia individual (Tienda)]]),"-")</f>
        <v>131.22835000000001</v>
      </c>
      <c r="M198" s="1">
        <f>(VLOOKUP(Pagos[[#This Row],[Codigo del producto]],Stock[],13,FALSE))*Pagos[[#This Row],[Cantidad vendida]]</f>
        <v>161.40299999999999</v>
      </c>
      <c r="N198" s="1" t="s">
        <v>334</v>
      </c>
      <c r="O198" s="1"/>
    </row>
    <row r="199" spans="1:15" ht="17.25" x14ac:dyDescent="0.3">
      <c r="A199" s="7" t="s">
        <v>313</v>
      </c>
      <c r="B199" s="43">
        <v>46074</v>
      </c>
      <c r="C199" s="7" t="s">
        <v>78</v>
      </c>
      <c r="D199" s="20" t="str">
        <f>IFERROR(VLOOKUP(Pagos[[#This Row],[Codigo del producto]],Entradas[],3,FALSE),"No existe")</f>
        <v>Cargadores USB para moto (Sin pantalla)</v>
      </c>
      <c r="E199" s="7">
        <v>1</v>
      </c>
      <c r="F199" s="10">
        <v>500</v>
      </c>
      <c r="G199" s="22">
        <f>IFERROR(Pagos[[#This Row],[Cantidad vendida]]*Pagos[[#This Row],[Precio de venta]],"-")</f>
        <v>500</v>
      </c>
      <c r="H199" s="22">
        <f>IFERROR(Pagos[[#This Row],[Precio de venta]]-VLOOKUP(Pagos[[#This Row],[Codigo del producto]],Stock[],13,FALSE),"-")</f>
        <v>227.31</v>
      </c>
      <c r="I199" s="22">
        <f t="shared" si="3"/>
        <v>102.2895</v>
      </c>
      <c r="J199" s="22">
        <f>IFERROR(Pagos[[#This Row],[Cantidad vendida]]*Pagos[[#This Row],[Ganancia unitaria (Vendedor)]],"-")</f>
        <v>102.2895</v>
      </c>
      <c r="K199" s="1">
        <f>IFERROR(Pagos[[#This Row],[Ganancia unitaria]]-Pagos[[#This Row],[Ganancia unitaria (Vendedor)]],"-")</f>
        <v>125.0205</v>
      </c>
      <c r="L199" s="1">
        <f>IFERROR(Pagos[[#This Row],[Cantidad vendida]]*(Pagos[[#This Row],[Ganancia individual (Tienda)]]),"-")</f>
        <v>125.0205</v>
      </c>
      <c r="M199" s="1">
        <f>(VLOOKUP(Pagos[[#This Row],[Codigo del producto]],Stock[],13,FALSE))*Pagos[[#This Row],[Cantidad vendida]]</f>
        <v>272.69</v>
      </c>
      <c r="N199" s="1" t="s">
        <v>334</v>
      </c>
      <c r="O199" s="1"/>
    </row>
    <row r="200" spans="1:15" ht="17.25" x14ac:dyDescent="0.3">
      <c r="A200" s="1" t="s">
        <v>327</v>
      </c>
      <c r="B200" s="43">
        <v>46074</v>
      </c>
      <c r="C200" s="7" t="s">
        <v>35</v>
      </c>
      <c r="D200" s="20" t="str">
        <f>IFERROR(VLOOKUP(Pagos[[#This Row],[Codigo del producto]],Entradas[],3,FALSE),"No existe")</f>
        <v>Headset Bluetooth para moto</v>
      </c>
      <c r="E200" s="7">
        <v>1</v>
      </c>
      <c r="F200" s="10">
        <v>500</v>
      </c>
      <c r="G200" s="22">
        <f>IFERROR(Pagos[[#This Row],[Cantidad vendida]]*Pagos[[#This Row],[Precio de venta]],"-")</f>
        <v>500</v>
      </c>
      <c r="H200" s="22">
        <f>IFERROR(Pagos[[#This Row],[Precio de venta]]-VLOOKUP(Pagos[[#This Row],[Codigo del producto]],Stock[],13,FALSE),"-")</f>
        <v>227.31</v>
      </c>
      <c r="I200" s="22">
        <f t="shared" si="3"/>
        <v>102.2895</v>
      </c>
      <c r="J200" s="22">
        <f>IFERROR(Pagos[[#This Row],[Cantidad vendida]]*Pagos[[#This Row],[Ganancia unitaria (Vendedor)]],"-")</f>
        <v>102.2895</v>
      </c>
      <c r="K200" s="1">
        <f>IFERROR(Pagos[[#This Row],[Ganancia unitaria]]-Pagos[[#This Row],[Ganancia unitaria (Vendedor)]],"-")</f>
        <v>125.0205</v>
      </c>
      <c r="L200" s="1">
        <f>IFERROR(Pagos[[#This Row],[Cantidad vendida]]*(Pagos[[#This Row],[Ganancia individual (Tienda)]]),"-")</f>
        <v>125.0205</v>
      </c>
      <c r="M200" s="1">
        <f>(VLOOKUP(Pagos[[#This Row],[Codigo del producto]],Stock[],13,FALSE))*Pagos[[#This Row],[Cantidad vendida]]</f>
        <v>272.69</v>
      </c>
      <c r="N200" s="1" t="s">
        <v>334</v>
      </c>
      <c r="O200" s="1"/>
    </row>
    <row r="201" spans="1:15" ht="17.25" x14ac:dyDescent="0.3">
      <c r="A201" s="10" t="s">
        <v>315</v>
      </c>
      <c r="B201" s="43">
        <v>46075</v>
      </c>
      <c r="C201" s="7" t="s">
        <v>65</v>
      </c>
      <c r="D201" s="20" t="str">
        <f>IFERROR(VLOOKUP(Pagos[[#This Row],[Codigo del producto]],Entradas[],3,FALSE),"No existe")</f>
        <v>FIFINE Headset PC</v>
      </c>
      <c r="E201" s="7">
        <v>1</v>
      </c>
      <c r="F201" s="10">
        <v>2200</v>
      </c>
      <c r="G201" s="22">
        <f>IFERROR(Pagos[[#This Row],[Cantidad vendida]]*Pagos[[#This Row],[Precio de venta]],"-")</f>
        <v>2200</v>
      </c>
      <c r="H201" s="22">
        <f>IFERROR(Pagos[[#This Row],[Precio de venta]]-VLOOKUP(Pagos[[#This Row],[Codigo del producto]],Stock[],13,FALSE),"-")</f>
        <v>820.70450000000005</v>
      </c>
      <c r="I201" s="22">
        <f t="shared" si="3"/>
        <v>311.86771000000005</v>
      </c>
      <c r="J201" s="22">
        <f>IFERROR(Pagos[[#This Row],[Cantidad vendida]]*Pagos[[#This Row],[Ganancia unitaria (Vendedor)]],"-")</f>
        <v>311.86771000000005</v>
      </c>
      <c r="K201" s="1">
        <f>IFERROR(Pagos[[#This Row],[Ganancia unitaria]]-Pagos[[#This Row],[Ganancia unitaria (Vendedor)]],"-")</f>
        <v>508.83679000000001</v>
      </c>
      <c r="L201" s="1">
        <f>IFERROR(Pagos[[#This Row],[Cantidad vendida]]*(Pagos[[#This Row],[Ganancia individual (Tienda)]]),"-")</f>
        <v>508.83679000000001</v>
      </c>
      <c r="M201" s="1">
        <f>(VLOOKUP(Pagos[[#This Row],[Codigo del producto]],Stock[],13,FALSE))*Pagos[[#This Row],[Cantidad vendida]]</f>
        <v>1379.2954999999999</v>
      </c>
      <c r="N201" s="1" t="s">
        <v>312</v>
      </c>
      <c r="O201" s="1" t="s">
        <v>346</v>
      </c>
    </row>
    <row r="202" spans="1:15" ht="17.25" x14ac:dyDescent="0.3">
      <c r="A202" s="10" t="s">
        <v>315</v>
      </c>
      <c r="B202" s="43">
        <v>46075</v>
      </c>
      <c r="C202" s="7" t="s">
        <v>80</v>
      </c>
      <c r="D202" s="20" t="str">
        <f>IFERROR(VLOOKUP(Pagos[[#This Row],[Codigo del producto]],Entradas[],3,FALSE),"No existe")</f>
        <v>RedDragon H510 Zeus</v>
      </c>
      <c r="E202" s="7">
        <v>1</v>
      </c>
      <c r="F202" s="10">
        <v>2200</v>
      </c>
      <c r="G202" s="22">
        <f>IFERROR(Pagos[[#This Row],[Cantidad vendida]]*Pagos[[#This Row],[Precio de venta]],"-")</f>
        <v>2200</v>
      </c>
      <c r="H202" s="22">
        <f>IFERROR(Pagos[[#This Row],[Precio de venta]]-VLOOKUP(Pagos[[#This Row],[Codigo del producto]],Stock[],13,FALSE),"-")</f>
        <v>600.71</v>
      </c>
      <c r="I202" s="22">
        <f t="shared" si="3"/>
        <v>228.2698</v>
      </c>
      <c r="J202" s="22">
        <f>IFERROR(Pagos[[#This Row],[Cantidad vendida]]*Pagos[[#This Row],[Ganancia unitaria (Vendedor)]],"-")</f>
        <v>228.2698</v>
      </c>
      <c r="K202" s="1">
        <f>IFERROR(Pagos[[#This Row],[Ganancia unitaria]]-Pagos[[#This Row],[Ganancia unitaria (Vendedor)]],"-")</f>
        <v>372.4402</v>
      </c>
      <c r="L202" s="1">
        <f>IFERROR(Pagos[[#This Row],[Cantidad vendida]]*(Pagos[[#This Row],[Ganancia individual (Tienda)]]),"-")</f>
        <v>372.4402</v>
      </c>
      <c r="M202" s="1">
        <f>(VLOOKUP(Pagos[[#This Row],[Codigo del producto]],Stock[],13,FALSE))*Pagos[[#This Row],[Cantidad vendida]]</f>
        <v>1599.29</v>
      </c>
      <c r="N202" s="1" t="s">
        <v>312</v>
      </c>
      <c r="O202" s="1" t="s">
        <v>346</v>
      </c>
    </row>
    <row r="203" spans="1:15" ht="17.25" x14ac:dyDescent="0.3">
      <c r="A203" s="7" t="s">
        <v>313</v>
      </c>
      <c r="B203" s="43">
        <v>46075</v>
      </c>
      <c r="C203" s="7" t="s">
        <v>71</v>
      </c>
      <c r="D203" s="20" t="str">
        <f>IFERROR(VLOOKUP(Pagos[[#This Row],[Codigo del producto]],Entradas[],3,FALSE),"No existe")</f>
        <v>KZ Castor Improved Bass</v>
      </c>
      <c r="E203" s="7">
        <v>2</v>
      </c>
      <c r="F203" s="10">
        <v>650</v>
      </c>
      <c r="G203" s="22">
        <f>IFERROR(Pagos[[#This Row],[Cantidad vendida]]*Pagos[[#This Row],[Precio de venta]],"-")</f>
        <v>1300</v>
      </c>
      <c r="H203" s="22">
        <f>IFERROR(Pagos[[#This Row],[Precio de venta]]-VLOOKUP(Pagos[[#This Row],[Codigo del producto]],Stock[],13,FALSE),"-")</f>
        <v>277.815</v>
      </c>
      <c r="I203" s="22">
        <f t="shared" si="3"/>
        <v>125.01675</v>
      </c>
      <c r="J203" s="22">
        <f>IFERROR(Pagos[[#This Row],[Cantidad vendida]]*Pagos[[#This Row],[Ganancia unitaria (Vendedor)]],"-")</f>
        <v>250.0335</v>
      </c>
      <c r="K203" s="1">
        <f>IFERROR(Pagos[[#This Row],[Ganancia unitaria]]-Pagos[[#This Row],[Ganancia unitaria (Vendedor)]],"-")</f>
        <v>152.79825</v>
      </c>
      <c r="L203" s="1">
        <f>IFERROR(Pagos[[#This Row],[Cantidad vendida]]*(Pagos[[#This Row],[Ganancia individual (Tienda)]]),"-")</f>
        <v>305.59649999999999</v>
      </c>
      <c r="M203" s="1">
        <f>(VLOOKUP(Pagos[[#This Row],[Codigo del producto]],Stock[],13,FALSE))*Pagos[[#This Row],[Cantidad vendida]]</f>
        <v>744.37</v>
      </c>
      <c r="N203" s="1" t="s">
        <v>334</v>
      </c>
      <c r="O203" s="1"/>
    </row>
    <row r="204" spans="1:15" ht="17.25" x14ac:dyDescent="0.3">
      <c r="A204" s="10" t="s">
        <v>321</v>
      </c>
      <c r="B204" s="43">
        <v>46075</v>
      </c>
      <c r="C204" s="7" t="s">
        <v>29</v>
      </c>
      <c r="D204" s="20" t="str">
        <f>IFERROR(VLOOKUP(Pagos[[#This Row],[Codigo del producto]],Entradas[],3,FALSE),"No existe")</f>
        <v>KZ EDX PRO X</v>
      </c>
      <c r="E204" s="7">
        <v>1</v>
      </c>
      <c r="F204" s="10">
        <v>400</v>
      </c>
      <c r="G204" s="22">
        <f>IFERROR(Pagos[[#This Row],[Cantidad vendida]]*Pagos[[#This Row],[Precio de venta]],"-")</f>
        <v>400</v>
      </c>
      <c r="H204" s="22">
        <f>IFERROR(Pagos[[#This Row],[Precio de venta]]-VLOOKUP(Pagos[[#This Row],[Codigo del producto]],Stock[],13,FALSE),"-")</f>
        <v>238.59700000000001</v>
      </c>
      <c r="I204" s="22">
        <f t="shared" si="3"/>
        <v>107.36865</v>
      </c>
      <c r="J204" s="22">
        <f>IFERROR(Pagos[[#This Row],[Cantidad vendida]]*Pagos[[#This Row],[Ganancia unitaria (Vendedor)]],"-")</f>
        <v>107.36865</v>
      </c>
      <c r="K204" s="1">
        <f>IFERROR(Pagos[[#This Row],[Ganancia unitaria]]-Pagos[[#This Row],[Ganancia unitaria (Vendedor)]],"-")</f>
        <v>131.22835000000001</v>
      </c>
      <c r="L204" s="1">
        <f>IFERROR(Pagos[[#This Row],[Cantidad vendida]]*(Pagos[[#This Row],[Ganancia individual (Tienda)]]),"-")</f>
        <v>131.22835000000001</v>
      </c>
      <c r="M204" s="1">
        <f>(VLOOKUP(Pagos[[#This Row],[Codigo del producto]],Stock[],13,FALSE))*Pagos[[#This Row],[Cantidad vendida]]</f>
        <v>161.40299999999999</v>
      </c>
      <c r="N204" s="1" t="s">
        <v>334</v>
      </c>
      <c r="O204" s="1"/>
    </row>
    <row r="205" spans="1:15" ht="17.25" x14ac:dyDescent="0.3">
      <c r="A205" s="7" t="s">
        <v>313</v>
      </c>
      <c r="B205" s="43">
        <v>46075</v>
      </c>
      <c r="C205" s="7" t="s">
        <v>78</v>
      </c>
      <c r="D205" s="20" t="str">
        <f>IFERROR(VLOOKUP(Pagos[[#This Row],[Codigo del producto]],Entradas[],3,FALSE),"No existe")</f>
        <v>Cargadores USB para moto (Sin pantalla)</v>
      </c>
      <c r="E205" s="7">
        <v>1</v>
      </c>
      <c r="F205" s="10">
        <v>500</v>
      </c>
      <c r="G205" s="22">
        <f>IFERROR(Pagos[[#This Row],[Cantidad vendida]]*Pagos[[#This Row],[Precio de venta]],"-")</f>
        <v>500</v>
      </c>
      <c r="H205" s="22">
        <f>IFERROR(Pagos[[#This Row],[Precio de venta]]-VLOOKUP(Pagos[[#This Row],[Codigo del producto]],Stock[],13,FALSE),"-")</f>
        <v>227.31</v>
      </c>
      <c r="I205" s="60">
        <f t="shared" si="3"/>
        <v>102.2895</v>
      </c>
      <c r="J205" s="60">
        <f>IFERROR(Pagos[[#This Row],[Cantidad vendida]]*Pagos[[#This Row],[Ganancia unitaria (Vendedor)]],"-")</f>
        <v>102.2895</v>
      </c>
      <c r="K205" s="1">
        <f>IFERROR(Pagos[[#This Row],[Ganancia unitaria]]-Pagos[[#This Row],[Ganancia unitaria (Vendedor)]],"-")</f>
        <v>125.0205</v>
      </c>
      <c r="L205" s="1">
        <f>IFERROR(Pagos[[#This Row],[Cantidad vendida]]*(Pagos[[#This Row],[Ganancia individual (Tienda)]]),"-")</f>
        <v>125.0205</v>
      </c>
      <c r="M205" s="1">
        <f>(VLOOKUP(Pagos[[#This Row],[Codigo del producto]],Stock[],13,FALSE))*Pagos[[#This Row],[Cantidad vendida]]</f>
        <v>272.69</v>
      </c>
      <c r="N205" s="1" t="s">
        <v>334</v>
      </c>
      <c r="O205" s="1"/>
    </row>
    <row r="206" spans="1:15" ht="17.25" x14ac:dyDescent="0.3">
      <c r="A206" s="7" t="s">
        <v>313</v>
      </c>
      <c r="B206" s="43">
        <v>46075</v>
      </c>
      <c r="C206" s="7" t="s">
        <v>61</v>
      </c>
      <c r="D206" s="20" t="str">
        <f>IFERROR(VLOOKUP(Pagos[[#This Row],[Codigo del producto]],Entradas[],3,FALSE),"No existe")</f>
        <v xml:space="preserve">Adaptador DAC </v>
      </c>
      <c r="E206" s="7">
        <v>1</v>
      </c>
      <c r="F206" s="10">
        <v>300</v>
      </c>
      <c r="G206" s="22">
        <f>IFERROR(Pagos[[#This Row],[Cantidad vendida]]*Pagos[[#This Row],[Precio de venta]],"-")</f>
        <v>300</v>
      </c>
      <c r="H206" s="22">
        <f>IFERROR(Pagos[[#This Row],[Precio de venta]]-VLOOKUP(Pagos[[#This Row],[Codigo del producto]],Stock[],13,FALSE),"-")</f>
        <v>164.392</v>
      </c>
      <c r="I206" s="22">
        <f t="shared" si="3"/>
        <v>73.976399999999998</v>
      </c>
      <c r="J206" s="22">
        <f>IFERROR(Pagos[[#This Row],[Cantidad vendida]]*Pagos[[#This Row],[Ganancia unitaria (Vendedor)]],"-")</f>
        <v>73.976399999999998</v>
      </c>
      <c r="K206" s="1">
        <f>IFERROR(Pagos[[#This Row],[Ganancia unitaria]]-Pagos[[#This Row],[Ganancia unitaria (Vendedor)]],"-")</f>
        <v>90.415599999999998</v>
      </c>
      <c r="L206" s="1">
        <f>IFERROR(Pagos[[#This Row],[Cantidad vendida]]*(Pagos[[#This Row],[Ganancia individual (Tienda)]]),"-")</f>
        <v>90.415599999999998</v>
      </c>
      <c r="M206" s="1">
        <f>(VLOOKUP(Pagos[[#This Row],[Codigo del producto]],Stock[],13,FALSE))*Pagos[[#This Row],[Cantidad vendida]]</f>
        <v>135.608</v>
      </c>
      <c r="N206" s="1" t="s">
        <v>334</v>
      </c>
      <c r="O206" s="1"/>
    </row>
    <row r="207" spans="1:15" ht="17.25" x14ac:dyDescent="0.3">
      <c r="A207" s="7" t="s">
        <v>313</v>
      </c>
      <c r="B207" s="43">
        <v>46076</v>
      </c>
      <c r="C207" s="7" t="s">
        <v>44</v>
      </c>
      <c r="D207" s="20" t="str">
        <f>IFERROR(VLOOKUP(Pagos[[#This Row],[Codigo del producto]],Entradas[],3,FALSE),"No existe")</f>
        <v>KZ Castor PRO Improved Bass</v>
      </c>
      <c r="E207" s="7">
        <v>1</v>
      </c>
      <c r="F207" s="10">
        <v>900</v>
      </c>
      <c r="G207" s="22">
        <f>IFERROR(Pagos[[#This Row],[Cantidad vendida]]*Pagos[[#This Row],[Precio de venta]],"-")</f>
        <v>900</v>
      </c>
      <c r="H207" s="22">
        <f>IFERROR(Pagos[[#This Row],[Precio de venta]]-VLOOKUP(Pagos[[#This Row],[Codigo del producto]],Stock[],13,FALSE),"-")</f>
        <v>430.53099999999995</v>
      </c>
      <c r="I207" s="60">
        <f t="shared" si="3"/>
        <v>172.2124</v>
      </c>
      <c r="J207" s="60">
        <f>IFERROR(Pagos[[#This Row],[Cantidad vendida]]*Pagos[[#This Row],[Ganancia unitaria (Vendedor)]],"-")</f>
        <v>172.2124</v>
      </c>
      <c r="K207" s="1">
        <f>IFERROR(Pagos[[#This Row],[Ganancia unitaria]]-Pagos[[#This Row],[Ganancia unitaria (Vendedor)]],"-")</f>
        <v>258.31859999999995</v>
      </c>
      <c r="L207" s="1">
        <f>IFERROR(Pagos[[#This Row],[Cantidad vendida]]*(Pagos[[#This Row],[Ganancia individual (Tienda)]]),"-")</f>
        <v>258.31859999999995</v>
      </c>
      <c r="M207" s="1">
        <f>(VLOOKUP(Pagos[[#This Row],[Codigo del producto]],Stock[],13,FALSE))*Pagos[[#This Row],[Cantidad vendida]]</f>
        <v>469.46900000000005</v>
      </c>
      <c r="N207" s="1" t="s">
        <v>334</v>
      </c>
      <c r="O207" s="1"/>
    </row>
    <row r="208" spans="1:15" ht="17.25" x14ac:dyDescent="0.3">
      <c r="A208" s="7" t="s">
        <v>313</v>
      </c>
      <c r="B208" s="43">
        <v>46076</v>
      </c>
      <c r="C208" s="7" t="s">
        <v>72</v>
      </c>
      <c r="D208" s="20" t="str">
        <f>IFERROR(VLOOKUP(Pagos[[#This Row],[Codigo del producto]],Entradas[],3,FALSE),"No existe")</f>
        <v>KZ AZ09 Bluetooth Adapter</v>
      </c>
      <c r="E208" s="7">
        <v>1</v>
      </c>
      <c r="F208" s="10">
        <v>900</v>
      </c>
      <c r="G208" s="22">
        <f>IFERROR(Pagos[[#This Row],[Cantidad vendida]]*Pagos[[#This Row],[Precio de venta]],"-")</f>
        <v>900</v>
      </c>
      <c r="H208" s="22">
        <f>IFERROR(Pagos[[#This Row],[Precio de venta]]-VLOOKUP(Pagos[[#This Row],[Codigo del producto]],Stock[],13,FALSE),"-")</f>
        <v>288.28999999999996</v>
      </c>
      <c r="I208" s="60">
        <f t="shared" si="3"/>
        <v>129.73049999999998</v>
      </c>
      <c r="J208" s="60">
        <f>IFERROR(Pagos[[#This Row],[Cantidad vendida]]*Pagos[[#This Row],[Ganancia unitaria (Vendedor)]],"-")</f>
        <v>129.73049999999998</v>
      </c>
      <c r="K208" s="1">
        <f>IFERROR(Pagos[[#This Row],[Ganancia unitaria]]-Pagos[[#This Row],[Ganancia unitaria (Vendedor)]],"-")</f>
        <v>158.55949999999999</v>
      </c>
      <c r="L208" s="1">
        <f>IFERROR(Pagos[[#This Row],[Cantidad vendida]]*(Pagos[[#This Row],[Ganancia individual (Tienda)]]),"-")</f>
        <v>158.55949999999999</v>
      </c>
      <c r="M208" s="1">
        <f>(VLOOKUP(Pagos[[#This Row],[Codigo del producto]],Stock[],13,FALSE))*Pagos[[#This Row],[Cantidad vendida]]</f>
        <v>611.71</v>
      </c>
      <c r="N208" s="1" t="s">
        <v>334</v>
      </c>
      <c r="O208" s="1"/>
    </row>
    <row r="209" spans="1:15" ht="17.25" x14ac:dyDescent="0.3">
      <c r="A209" s="1" t="s">
        <v>327</v>
      </c>
      <c r="B209" s="43">
        <v>46078</v>
      </c>
      <c r="C209" s="7" t="s">
        <v>79</v>
      </c>
      <c r="D209" s="20" t="str">
        <f>IFERROR(VLOOKUP(Pagos[[#This Row],[Codigo del producto]],Entradas[],3,FALSE),"No existe")</f>
        <v xml:space="preserve">RedDragon K631 </v>
      </c>
      <c r="E209" s="7">
        <v>1</v>
      </c>
      <c r="F209" s="10">
        <v>2000</v>
      </c>
      <c r="G209" s="22">
        <f>IFERROR(Pagos[[#This Row],[Cantidad vendida]]*Pagos[[#This Row],[Precio de venta]],"-")</f>
        <v>2000</v>
      </c>
      <c r="H209" s="22">
        <f>IFERROR(Pagos[[#This Row],[Precio de venta]]-VLOOKUP(Pagos[[#This Row],[Codigo del producto]],Stock[],13,FALSE),"-")</f>
        <v>664.1875</v>
      </c>
      <c r="I209" s="60">
        <f t="shared" si="3"/>
        <v>252.39125000000001</v>
      </c>
      <c r="J209" s="60">
        <f>IFERROR(Pagos[[#This Row],[Cantidad vendida]]*Pagos[[#This Row],[Ganancia unitaria (Vendedor)]],"-")</f>
        <v>252.39125000000001</v>
      </c>
      <c r="K209" s="1">
        <f>IFERROR(Pagos[[#This Row],[Ganancia unitaria]]-Pagos[[#This Row],[Ganancia unitaria (Vendedor)]],"-")</f>
        <v>411.79624999999999</v>
      </c>
      <c r="L209" s="1">
        <f>IFERROR(Pagos[[#This Row],[Cantidad vendida]]*(Pagos[[#This Row],[Ganancia individual (Tienda)]]),"-")</f>
        <v>411.79624999999999</v>
      </c>
      <c r="M209" s="1">
        <f>(VLOOKUP(Pagos[[#This Row],[Codigo del producto]],Stock[],13,FALSE))*Pagos[[#This Row],[Cantidad vendida]]</f>
        <v>1335.8125</v>
      </c>
      <c r="N209" s="1" t="s">
        <v>334</v>
      </c>
      <c r="O209" s="1"/>
    </row>
    <row r="210" spans="1:15" ht="17.25" x14ac:dyDescent="0.3">
      <c r="A210" s="7" t="s">
        <v>313</v>
      </c>
      <c r="B210" s="43">
        <v>46078</v>
      </c>
      <c r="C210" s="7" t="s">
        <v>44</v>
      </c>
      <c r="D210" s="20" t="str">
        <f>IFERROR(VLOOKUP(Pagos[[#This Row],[Codigo del producto]],Entradas[],3,FALSE),"No existe")</f>
        <v>KZ Castor PRO Improved Bass</v>
      </c>
      <c r="E210" s="7">
        <v>1</v>
      </c>
      <c r="F210" s="10">
        <v>900</v>
      </c>
      <c r="G210" s="22">
        <f>IFERROR(Pagos[[#This Row],[Cantidad vendida]]*Pagos[[#This Row],[Precio de venta]],"-")</f>
        <v>900</v>
      </c>
      <c r="H210" s="22">
        <f>IFERROR(Pagos[[#This Row],[Precio de venta]]-VLOOKUP(Pagos[[#This Row],[Codigo del producto]],Stock[],13,FALSE),"-")</f>
        <v>430.53099999999995</v>
      </c>
      <c r="I210" s="60">
        <f t="shared" si="3"/>
        <v>172.2124</v>
      </c>
      <c r="J210" s="60">
        <f>IFERROR(Pagos[[#This Row],[Cantidad vendida]]*Pagos[[#This Row],[Ganancia unitaria (Vendedor)]],"-")</f>
        <v>172.2124</v>
      </c>
      <c r="K210" s="1">
        <f>IFERROR(Pagos[[#This Row],[Ganancia unitaria]]-Pagos[[#This Row],[Ganancia unitaria (Vendedor)]],"-")</f>
        <v>258.31859999999995</v>
      </c>
      <c r="L210" s="1">
        <f>IFERROR(Pagos[[#This Row],[Cantidad vendida]]*(Pagos[[#This Row],[Ganancia individual (Tienda)]]),"-")</f>
        <v>258.31859999999995</v>
      </c>
      <c r="M210" s="1">
        <f>(VLOOKUP(Pagos[[#This Row],[Codigo del producto]],Stock[],13,FALSE))*Pagos[[#This Row],[Cantidad vendida]]</f>
        <v>469.46900000000005</v>
      </c>
      <c r="N210" s="1" t="s">
        <v>334</v>
      </c>
      <c r="O210" s="1"/>
    </row>
    <row r="211" spans="1:15" ht="17.25" x14ac:dyDescent="0.3">
      <c r="A211" s="1" t="s">
        <v>327</v>
      </c>
      <c r="B211" s="43">
        <v>46078</v>
      </c>
      <c r="C211" s="7" t="s">
        <v>72</v>
      </c>
      <c r="D211" s="20" t="str">
        <f>IFERROR(VLOOKUP(Pagos[[#This Row],[Codigo del producto]],Entradas[],3,FALSE),"No existe")</f>
        <v>KZ AZ09 Bluetooth Adapter</v>
      </c>
      <c r="E211" s="7">
        <v>1</v>
      </c>
      <c r="F211" s="10">
        <v>950</v>
      </c>
      <c r="G211" s="22">
        <f>IFERROR(Pagos[[#This Row],[Cantidad vendida]]*Pagos[[#This Row],[Precio de venta]],"-")</f>
        <v>950</v>
      </c>
      <c r="H211" s="22">
        <f>IFERROR(Pagos[[#This Row],[Precio de venta]]-VLOOKUP(Pagos[[#This Row],[Codigo del producto]],Stock[],13,FALSE),"-")</f>
        <v>338.28999999999996</v>
      </c>
      <c r="I211" s="60">
        <f t="shared" si="3"/>
        <v>135.316</v>
      </c>
      <c r="J211" s="60">
        <f>IFERROR(Pagos[[#This Row],[Cantidad vendida]]*Pagos[[#This Row],[Ganancia unitaria (Vendedor)]],"-")</f>
        <v>135.316</v>
      </c>
      <c r="K211" s="1">
        <f>IFERROR(Pagos[[#This Row],[Ganancia unitaria]]-Pagos[[#This Row],[Ganancia unitaria (Vendedor)]],"-")</f>
        <v>202.97399999999996</v>
      </c>
      <c r="L211" s="1">
        <f>IFERROR(Pagos[[#This Row],[Cantidad vendida]]*(Pagos[[#This Row],[Ganancia individual (Tienda)]]),"-")</f>
        <v>202.97399999999996</v>
      </c>
      <c r="M211" s="1">
        <f>(VLOOKUP(Pagos[[#This Row],[Codigo del producto]],Stock[],13,FALSE))*Pagos[[#This Row],[Cantidad vendida]]</f>
        <v>611.71</v>
      </c>
      <c r="N211" s="1" t="s">
        <v>334</v>
      </c>
      <c r="O211" s="1"/>
    </row>
    <row r="212" spans="1:15" ht="17.25" x14ac:dyDescent="0.3">
      <c r="A212" s="54" t="s">
        <v>315</v>
      </c>
      <c r="B212" s="55">
        <v>46078</v>
      </c>
      <c r="C212" s="56" t="s">
        <v>97</v>
      </c>
      <c r="D212" s="20" t="str">
        <f>IFERROR(VLOOKUP(Pagos[[#This Row],[Codigo del producto]],Entradas[],3,FALSE),"No existe")</f>
        <v>Yara Candy Pink</v>
      </c>
      <c r="E212" s="56">
        <v>1</v>
      </c>
      <c r="F212" s="54">
        <v>900</v>
      </c>
      <c r="G212" s="22">
        <f>IFERROR(Pagos[[#This Row],[Cantidad vendida]]*Pagos[[#This Row],[Precio de venta]],"-")</f>
        <v>900</v>
      </c>
      <c r="H212" s="22">
        <f>IFERROR(Pagos[[#This Row],[Precio de venta]]-VLOOKUP(Pagos[[#This Row],[Codigo del producto]],Stock[],13,FALSE),"-")</f>
        <v>288.28999999999996</v>
      </c>
      <c r="I212" s="22">
        <f t="shared" si="3"/>
        <v>129.73049999999998</v>
      </c>
      <c r="J212" s="22">
        <f>IFERROR(Pagos[[#This Row],[Cantidad vendida]]*Pagos[[#This Row],[Ganancia unitaria (Vendedor)]],"-")</f>
        <v>129.73049999999998</v>
      </c>
      <c r="K212" s="1">
        <f>IFERROR(Pagos[[#This Row],[Ganancia unitaria]]-Pagos[[#This Row],[Ganancia unitaria (Vendedor)]],"-")</f>
        <v>158.55949999999999</v>
      </c>
      <c r="L212" s="1">
        <f>IFERROR(Pagos[[#This Row],[Cantidad vendida]]*(Pagos[[#This Row],[Ganancia individual (Tienda)]]),"-")</f>
        <v>158.55949999999999</v>
      </c>
      <c r="M212" s="1">
        <f>(VLOOKUP(Pagos[[#This Row],[Codigo del producto]],Stock[],13,FALSE))*Pagos[[#This Row],[Cantidad vendida]]</f>
        <v>611.71</v>
      </c>
      <c r="N212" s="1" t="s">
        <v>312</v>
      </c>
      <c r="O212" s="1" t="s">
        <v>347</v>
      </c>
    </row>
    <row r="213" spans="1:15" ht="17.25" x14ac:dyDescent="0.3">
      <c r="A213" s="10" t="s">
        <v>315</v>
      </c>
      <c r="B213" s="43">
        <v>46078</v>
      </c>
      <c r="C213" s="7" t="s">
        <v>35</v>
      </c>
      <c r="D213" s="20" t="str">
        <f>IFERROR(VLOOKUP(Pagos[[#This Row],[Codigo del producto]],Entradas[],3,FALSE),"No existe")</f>
        <v>Headset Bluetooth para moto</v>
      </c>
      <c r="E213" s="7">
        <v>1</v>
      </c>
      <c r="F213" s="10">
        <v>500</v>
      </c>
      <c r="G213" s="22">
        <f>IFERROR(Pagos[[#This Row],[Cantidad vendida]]*Pagos[[#This Row],[Precio de venta]],"-")</f>
        <v>500</v>
      </c>
      <c r="H213" s="22">
        <f>IFERROR(Pagos[[#This Row],[Precio de venta]]-VLOOKUP(Pagos[[#This Row],[Codigo del producto]],Stock[],13,FALSE),"-")</f>
        <v>227.31</v>
      </c>
      <c r="I213" s="22">
        <f t="shared" si="3"/>
        <v>102.2895</v>
      </c>
      <c r="J213" s="22">
        <f>IFERROR(Pagos[[#This Row],[Cantidad vendida]]*Pagos[[#This Row],[Ganancia unitaria (Vendedor)]],"-")</f>
        <v>102.2895</v>
      </c>
      <c r="K213" s="1">
        <f>IFERROR(Pagos[[#This Row],[Ganancia unitaria]]-Pagos[[#This Row],[Ganancia unitaria (Vendedor)]],"-")</f>
        <v>125.0205</v>
      </c>
      <c r="L213" s="1">
        <f>IFERROR(Pagos[[#This Row],[Cantidad vendida]]*(Pagos[[#This Row],[Ganancia individual (Tienda)]]),"-")</f>
        <v>125.0205</v>
      </c>
      <c r="M213" s="1">
        <f>(VLOOKUP(Pagos[[#This Row],[Codigo del producto]],Stock[],13,FALSE))*Pagos[[#This Row],[Cantidad vendida]]</f>
        <v>272.69</v>
      </c>
      <c r="N213" s="1" t="s">
        <v>312</v>
      </c>
      <c r="O213" s="1"/>
    </row>
    <row r="214" spans="1:15" ht="17.25" x14ac:dyDescent="0.3">
      <c r="A214" s="1" t="s">
        <v>327</v>
      </c>
      <c r="B214" s="43">
        <v>46079</v>
      </c>
      <c r="C214" s="7" t="s">
        <v>100</v>
      </c>
      <c r="D214" s="20" t="str">
        <f>IFERROR(VLOOKUP(Pagos[[#This Row],[Codigo del producto]],Entradas[],3,FALSE),"No existe")</f>
        <v>NYXI Pro controller (Orange)</v>
      </c>
      <c r="E214" s="7">
        <v>1</v>
      </c>
      <c r="F214" s="10">
        <v>2200</v>
      </c>
      <c r="G214" s="22">
        <f>IFERROR(Pagos[[#This Row],[Cantidad vendida]]*Pagos[[#This Row],[Precio de venta]],"-")</f>
        <v>2200</v>
      </c>
      <c r="H214" s="22">
        <f>IFERROR(Pagos[[#This Row],[Precio de venta]]-VLOOKUP(Pagos[[#This Row],[Codigo del producto]],Stock[],13,FALSE),"-")</f>
        <v>603.6579999999999</v>
      </c>
      <c r="I214" s="22">
        <f t="shared" si="3"/>
        <v>229.39003999999997</v>
      </c>
      <c r="J214" s="22">
        <f>IFERROR(Pagos[[#This Row],[Cantidad vendida]]*Pagos[[#This Row],[Ganancia unitaria (Vendedor)]],"-")</f>
        <v>229.39003999999997</v>
      </c>
      <c r="K214" s="1">
        <f>IFERROR(Pagos[[#This Row],[Ganancia unitaria]]-Pagos[[#This Row],[Ganancia unitaria (Vendedor)]],"-")</f>
        <v>374.2679599999999</v>
      </c>
      <c r="L214" s="1">
        <f>IFERROR(Pagos[[#This Row],[Cantidad vendida]]*(Pagos[[#This Row],[Ganancia individual (Tienda)]]),"-")</f>
        <v>374.2679599999999</v>
      </c>
      <c r="M214" s="1">
        <f>(VLOOKUP(Pagos[[#This Row],[Codigo del producto]],Stock[],13,FALSE))*Pagos[[#This Row],[Cantidad vendida]]</f>
        <v>1596.3420000000001</v>
      </c>
      <c r="N214" s="1" t="s">
        <v>334</v>
      </c>
      <c r="O214" s="1"/>
    </row>
    <row r="215" spans="1:15" ht="17.25" x14ac:dyDescent="0.3">
      <c r="A215" s="10" t="s">
        <v>321</v>
      </c>
      <c r="B215" s="43">
        <v>46079</v>
      </c>
      <c r="C215" s="7" t="s">
        <v>29</v>
      </c>
      <c r="D215" s="20" t="str">
        <f>IFERROR(VLOOKUP(Pagos[[#This Row],[Codigo del producto]],Entradas[],3,FALSE),"No existe")</f>
        <v>KZ EDX PRO X</v>
      </c>
      <c r="E215" s="7">
        <v>1</v>
      </c>
      <c r="F215" s="10">
        <v>420</v>
      </c>
      <c r="G215" s="22">
        <f>IFERROR(Pagos[[#This Row],[Cantidad vendida]]*Pagos[[#This Row],[Precio de venta]],"-")</f>
        <v>420</v>
      </c>
      <c r="H215" s="22">
        <f>IFERROR(Pagos[[#This Row],[Precio de venta]]-VLOOKUP(Pagos[[#This Row],[Codigo del producto]],Stock[],13,FALSE),"-")</f>
        <v>258.59699999999998</v>
      </c>
      <c r="I215" s="22">
        <f t="shared" si="3"/>
        <v>116.36864999999999</v>
      </c>
      <c r="J215" s="22">
        <f>IFERROR(Pagos[[#This Row],[Cantidad vendida]]*Pagos[[#This Row],[Ganancia unitaria (Vendedor)]],"-")</f>
        <v>116.36864999999999</v>
      </c>
      <c r="K215" s="1">
        <f>IFERROR(Pagos[[#This Row],[Ganancia unitaria]]-Pagos[[#This Row],[Ganancia unitaria (Vendedor)]],"-")</f>
        <v>142.22834999999998</v>
      </c>
      <c r="L215" s="1">
        <f>IFERROR(Pagos[[#This Row],[Cantidad vendida]]*(Pagos[[#This Row],[Ganancia individual (Tienda)]]),"-")</f>
        <v>142.22834999999998</v>
      </c>
      <c r="M215" s="1">
        <f>(VLOOKUP(Pagos[[#This Row],[Codigo del producto]],Stock[],13,FALSE))*Pagos[[#This Row],[Cantidad vendida]]</f>
        <v>161.40299999999999</v>
      </c>
      <c r="N215" s="1" t="s">
        <v>334</v>
      </c>
      <c r="O215" s="1"/>
    </row>
    <row r="216" spans="1:15" ht="17.25" x14ac:dyDescent="0.3">
      <c r="A216" s="7" t="s">
        <v>313</v>
      </c>
      <c r="B216" s="43">
        <v>46080</v>
      </c>
      <c r="C216" s="7" t="s">
        <v>108</v>
      </c>
      <c r="D216" s="20" t="str">
        <f>IFERROR(VLOOKUP(Pagos[[#This Row],[Codigo del producto]],Entradas[],3,FALSE),"No existe")</f>
        <v>Shark Attack Mouse X11 white</v>
      </c>
      <c r="E216" s="7">
        <v>1</v>
      </c>
      <c r="F216" s="10">
        <v>1200</v>
      </c>
      <c r="G216" s="22">
        <f>IFERROR(Pagos[[#This Row],[Cantidad vendida]]*Pagos[[#This Row],[Precio de venta]],"-")</f>
        <v>1200</v>
      </c>
      <c r="H216" s="22">
        <f>IFERROR(Pagos[[#This Row],[Precio de venta]]-VLOOKUP(Pagos[[#This Row],[Codigo del producto]],Stock[],13,FALSE),"-")</f>
        <v>283.90899999999999</v>
      </c>
      <c r="I216" s="22">
        <f t="shared" si="3"/>
        <v>127.75905</v>
      </c>
      <c r="J216" s="22">
        <f>IFERROR(Pagos[[#This Row],[Cantidad vendida]]*Pagos[[#This Row],[Ganancia unitaria (Vendedor)]],"-")</f>
        <v>127.75905</v>
      </c>
      <c r="K216" s="1">
        <f>IFERROR(Pagos[[#This Row],[Ganancia unitaria]]-Pagos[[#This Row],[Ganancia unitaria (Vendedor)]],"-")</f>
        <v>156.14994999999999</v>
      </c>
      <c r="L216" s="1">
        <f>IFERROR(Pagos[[#This Row],[Cantidad vendida]]*(Pagos[[#This Row],[Ganancia individual (Tienda)]]),"-")</f>
        <v>156.14994999999999</v>
      </c>
      <c r="M216" s="1">
        <f>(VLOOKUP(Pagos[[#This Row],[Codigo del producto]],Stock[],13,FALSE))*Pagos[[#This Row],[Cantidad vendida]]</f>
        <v>916.09100000000001</v>
      </c>
      <c r="N216" s="1" t="s">
        <v>334</v>
      </c>
      <c r="O216" s="1"/>
    </row>
    <row r="217" spans="1:15" ht="17.25" x14ac:dyDescent="0.3">
      <c r="A217" s="10" t="s">
        <v>321</v>
      </c>
      <c r="B217" s="43">
        <v>46080</v>
      </c>
      <c r="C217" s="7" t="s">
        <v>29</v>
      </c>
      <c r="D217" s="20" t="str">
        <f>IFERROR(VLOOKUP(Pagos[[#This Row],[Codigo del producto]],Entradas[],3,FALSE),"No existe")</f>
        <v>KZ EDX PRO X</v>
      </c>
      <c r="E217" s="7">
        <v>1</v>
      </c>
      <c r="F217" s="10">
        <v>400</v>
      </c>
      <c r="G217" s="22">
        <f>IFERROR(Pagos[[#This Row],[Cantidad vendida]]*Pagos[[#This Row],[Precio de venta]],"-")</f>
        <v>400</v>
      </c>
      <c r="H217" s="22">
        <f>IFERROR(Pagos[[#This Row],[Precio de venta]]-VLOOKUP(Pagos[[#This Row],[Codigo del producto]],Stock[],13,FALSE),"-")</f>
        <v>238.59700000000001</v>
      </c>
      <c r="I217" s="22">
        <f t="shared" si="3"/>
        <v>107.36865</v>
      </c>
      <c r="J217" s="22">
        <f>IFERROR(Pagos[[#This Row],[Cantidad vendida]]*Pagos[[#This Row],[Ganancia unitaria (Vendedor)]],"-")</f>
        <v>107.36865</v>
      </c>
      <c r="K217" s="1">
        <f>IFERROR(Pagos[[#This Row],[Ganancia unitaria]]-Pagos[[#This Row],[Ganancia unitaria (Vendedor)]],"-")</f>
        <v>131.22835000000001</v>
      </c>
      <c r="L217" s="1">
        <f>IFERROR(Pagos[[#This Row],[Cantidad vendida]]*(Pagos[[#This Row],[Ganancia individual (Tienda)]]),"-")</f>
        <v>131.22835000000001</v>
      </c>
      <c r="M217" s="1">
        <f>(VLOOKUP(Pagos[[#This Row],[Codigo del producto]],Stock[],13,FALSE))*Pagos[[#This Row],[Cantidad vendida]]</f>
        <v>161.40299999999999</v>
      </c>
      <c r="N217" s="1" t="s">
        <v>334</v>
      </c>
      <c r="O217" s="1"/>
    </row>
    <row r="218" spans="1:15" ht="17.25" x14ac:dyDescent="0.3">
      <c r="A218" s="7" t="s">
        <v>313</v>
      </c>
      <c r="B218" s="43">
        <v>46080</v>
      </c>
      <c r="C218" s="7" t="s">
        <v>29</v>
      </c>
      <c r="D218" s="20" t="str">
        <f>IFERROR(VLOOKUP(Pagos[[#This Row],[Codigo del producto]],Entradas[],3,FALSE),"No existe")</f>
        <v>KZ EDX PRO X</v>
      </c>
      <c r="E218" s="7">
        <v>1</v>
      </c>
      <c r="F218" s="10">
        <v>400</v>
      </c>
      <c r="G218" s="22">
        <f>IFERROR(Pagos[[#This Row],[Cantidad vendida]]*Pagos[[#This Row],[Precio de venta]],"-")</f>
        <v>400</v>
      </c>
      <c r="H218" s="22">
        <f>IFERROR(Pagos[[#This Row],[Precio de venta]]-VLOOKUP(Pagos[[#This Row],[Codigo del producto]],Stock[],13,FALSE),"-")</f>
        <v>238.59700000000001</v>
      </c>
      <c r="I218" s="22">
        <f t="shared" si="3"/>
        <v>107.36865</v>
      </c>
      <c r="J218" s="22">
        <f>IFERROR(Pagos[[#This Row],[Cantidad vendida]]*Pagos[[#This Row],[Ganancia unitaria (Vendedor)]],"-")</f>
        <v>107.36865</v>
      </c>
      <c r="K218" s="1">
        <f>IFERROR(Pagos[[#This Row],[Ganancia unitaria]]-Pagos[[#This Row],[Ganancia unitaria (Vendedor)]],"-")</f>
        <v>131.22835000000001</v>
      </c>
      <c r="L218" s="1">
        <f>IFERROR(Pagos[[#This Row],[Cantidad vendida]]*(Pagos[[#This Row],[Ganancia individual (Tienda)]]),"-")</f>
        <v>131.22835000000001</v>
      </c>
      <c r="M218" s="1">
        <f>(VLOOKUP(Pagos[[#This Row],[Codigo del producto]],Stock[],13,FALSE))*Pagos[[#This Row],[Cantidad vendida]]</f>
        <v>161.40299999999999</v>
      </c>
      <c r="N218" s="1" t="s">
        <v>334</v>
      </c>
      <c r="O218" s="1"/>
    </row>
    <row r="219" spans="1:15" ht="17.25" x14ac:dyDescent="0.3">
      <c r="A219" s="10" t="s">
        <v>336</v>
      </c>
      <c r="B219" s="43">
        <v>46080</v>
      </c>
      <c r="C219" s="7" t="s">
        <v>67</v>
      </c>
      <c r="D219" s="20" t="str">
        <f>IFERROR(VLOOKUP(Pagos[[#This Row],[Codigo del producto]],Entradas[],3,FALSE),"No existe")</f>
        <v>Cable de Repuesto KZ Tipo C</v>
      </c>
      <c r="E219" s="7">
        <v>1</v>
      </c>
      <c r="F219" s="10">
        <v>350</v>
      </c>
      <c r="G219" s="22">
        <f>IFERROR(Pagos[[#This Row],[Cantidad vendida]]*Pagos[[#This Row],[Precio de venta]],"-")</f>
        <v>350</v>
      </c>
      <c r="H219" s="22">
        <f>IFERROR(Pagos[[#This Row],[Precio de venta]]-VLOOKUP(Pagos[[#This Row],[Codigo del producto]],Stock[],13,FALSE),"-")</f>
        <v>155.0635</v>
      </c>
      <c r="I219" s="22">
        <f t="shared" si="3"/>
        <v>69.778575000000004</v>
      </c>
      <c r="J219" s="22">
        <f>IFERROR(Pagos[[#This Row],[Cantidad vendida]]*Pagos[[#This Row],[Ganancia unitaria (Vendedor)]],"-")</f>
        <v>69.778575000000004</v>
      </c>
      <c r="K219" s="1">
        <f>IFERROR(Pagos[[#This Row],[Ganancia unitaria]]-Pagos[[#This Row],[Ganancia unitaria (Vendedor)]],"-")</f>
        <v>85.284925000000001</v>
      </c>
      <c r="L219" s="1">
        <f>IFERROR(Pagos[[#This Row],[Cantidad vendida]]*(Pagos[[#This Row],[Ganancia individual (Tienda)]]),"-")</f>
        <v>85.284925000000001</v>
      </c>
      <c r="M219" s="1">
        <f>(VLOOKUP(Pagos[[#This Row],[Codigo del producto]],Stock[],13,FALSE))*Pagos[[#This Row],[Cantidad vendida]]</f>
        <v>194.9365</v>
      </c>
      <c r="N219" s="1" t="s">
        <v>334</v>
      </c>
      <c r="O219" s="1"/>
    </row>
    <row r="220" spans="1:15" ht="17.25" x14ac:dyDescent="0.3">
      <c r="A220" s="7" t="s">
        <v>313</v>
      </c>
      <c r="B220" s="43">
        <v>46080</v>
      </c>
      <c r="C220" s="7" t="s">
        <v>67</v>
      </c>
      <c r="D220" s="20" t="str">
        <f>IFERROR(VLOOKUP(Pagos[[#This Row],[Codigo del producto]],Entradas[],3,FALSE),"No existe")</f>
        <v>Cable de Repuesto KZ Tipo C</v>
      </c>
      <c r="E220" s="7">
        <v>1</v>
      </c>
      <c r="F220" s="10">
        <v>350</v>
      </c>
      <c r="G220" s="22">
        <f>IFERROR(Pagos[[#This Row],[Cantidad vendida]]*Pagos[[#This Row],[Precio de venta]],"-")</f>
        <v>350</v>
      </c>
      <c r="H220" s="22">
        <f>IFERROR(Pagos[[#This Row],[Precio de venta]]-VLOOKUP(Pagos[[#This Row],[Codigo del producto]],Stock[],13,FALSE),"-")</f>
        <v>155.0635</v>
      </c>
      <c r="I220" s="22">
        <f t="shared" si="3"/>
        <v>69.778575000000004</v>
      </c>
      <c r="J220" s="22">
        <f>IFERROR(Pagos[[#This Row],[Cantidad vendida]]*Pagos[[#This Row],[Ganancia unitaria (Vendedor)]],"-")</f>
        <v>69.778575000000004</v>
      </c>
      <c r="K220" s="1">
        <f>IFERROR(Pagos[[#This Row],[Ganancia unitaria]]-Pagos[[#This Row],[Ganancia unitaria (Vendedor)]],"-")</f>
        <v>85.284925000000001</v>
      </c>
      <c r="L220" s="1">
        <f>IFERROR(Pagos[[#This Row],[Cantidad vendida]]*(Pagos[[#This Row],[Ganancia individual (Tienda)]]),"-")</f>
        <v>85.284925000000001</v>
      </c>
      <c r="M220" s="1">
        <f>(VLOOKUP(Pagos[[#This Row],[Codigo del producto]],Stock[],13,FALSE))*Pagos[[#This Row],[Cantidad vendida]]</f>
        <v>194.9365</v>
      </c>
      <c r="N220" s="1" t="s">
        <v>334</v>
      </c>
      <c r="O220" s="1"/>
    </row>
    <row r="221" spans="1:15" ht="17.25" x14ac:dyDescent="0.3">
      <c r="A221" s="7" t="s">
        <v>313</v>
      </c>
      <c r="B221" s="43">
        <v>46081</v>
      </c>
      <c r="C221" s="7" t="s">
        <v>44</v>
      </c>
      <c r="D221" s="20" t="str">
        <f>IFERROR(VLOOKUP(Pagos[[#This Row],[Codigo del producto]],Entradas[],3,FALSE),"No existe")</f>
        <v>KZ Castor PRO Improved Bass</v>
      </c>
      <c r="E221" s="7">
        <v>1</v>
      </c>
      <c r="F221" s="10">
        <v>900</v>
      </c>
      <c r="G221" s="22">
        <f>IFERROR(Pagos[[#This Row],[Cantidad vendida]]*Pagos[[#This Row],[Precio de venta]],"-")</f>
        <v>900</v>
      </c>
      <c r="H221" s="22">
        <f>IFERROR(Pagos[[#This Row],[Precio de venta]]-VLOOKUP(Pagos[[#This Row],[Codigo del producto]],Stock[],13,FALSE),"-")</f>
        <v>430.53099999999995</v>
      </c>
      <c r="I221" s="22">
        <f t="shared" si="3"/>
        <v>172.2124</v>
      </c>
      <c r="J221" s="22">
        <f>IFERROR(Pagos[[#This Row],[Cantidad vendida]]*Pagos[[#This Row],[Ganancia unitaria (Vendedor)]],"-")</f>
        <v>172.2124</v>
      </c>
      <c r="K221" s="1">
        <f>IFERROR(Pagos[[#This Row],[Ganancia unitaria]]-Pagos[[#This Row],[Ganancia unitaria (Vendedor)]],"-")</f>
        <v>258.31859999999995</v>
      </c>
      <c r="L221" s="1">
        <f>IFERROR(Pagos[[#This Row],[Cantidad vendida]]*(Pagos[[#This Row],[Ganancia individual (Tienda)]]),"-")</f>
        <v>258.31859999999995</v>
      </c>
      <c r="M221" s="1">
        <f>(VLOOKUP(Pagos[[#This Row],[Codigo del producto]],Stock[],13,FALSE))*Pagos[[#This Row],[Cantidad vendida]]</f>
        <v>469.46900000000005</v>
      </c>
      <c r="N221" s="1" t="s">
        <v>334</v>
      </c>
      <c r="O221" s="1"/>
    </row>
    <row r="222" spans="1:15" ht="17.25" x14ac:dyDescent="0.3">
      <c r="A222" s="10" t="s">
        <v>315</v>
      </c>
      <c r="B222" s="43">
        <v>46081</v>
      </c>
      <c r="C222" s="7" t="s">
        <v>85</v>
      </c>
      <c r="D222" s="20" t="str">
        <f>IFERROR(VLOOKUP(Pagos[[#This Row],[Codigo del producto]],Entradas[],3,FALSE),"No existe")</f>
        <v>Cargadores USB para moto</v>
      </c>
      <c r="E222" s="7">
        <v>1</v>
      </c>
      <c r="F222" s="10">
        <v>600</v>
      </c>
      <c r="G222" s="22">
        <f>IFERROR(Pagos[[#This Row],[Cantidad vendida]]*Pagos[[#This Row],[Precio de venta]],"-")</f>
        <v>600</v>
      </c>
      <c r="H222" s="22">
        <f>IFERROR(Pagos[[#This Row],[Precio de venta]]-VLOOKUP(Pagos[[#This Row],[Codigo del producto]],Stock[],13,FALSE),"-")</f>
        <v>297.83000000000004</v>
      </c>
      <c r="I222" s="22">
        <f t="shared" si="3"/>
        <v>134.02350000000001</v>
      </c>
      <c r="J222" s="22">
        <f>IFERROR(Pagos[[#This Row],[Cantidad vendida]]*Pagos[[#This Row],[Ganancia unitaria (Vendedor)]],"-")</f>
        <v>134.02350000000001</v>
      </c>
      <c r="K222" s="1">
        <f>IFERROR(Pagos[[#This Row],[Ganancia unitaria]]-Pagos[[#This Row],[Ganancia unitaria (Vendedor)]],"-")</f>
        <v>163.80650000000003</v>
      </c>
      <c r="L222" s="1">
        <f>IFERROR(Pagos[[#This Row],[Cantidad vendida]]*(Pagos[[#This Row],[Ganancia individual (Tienda)]]),"-")</f>
        <v>163.80650000000003</v>
      </c>
      <c r="M222" s="1">
        <f>(VLOOKUP(Pagos[[#This Row],[Codigo del producto]],Stock[],13,FALSE))*Pagos[[#This Row],[Cantidad vendida]]</f>
        <v>302.16999999999996</v>
      </c>
      <c r="N222" s="1" t="s">
        <v>312</v>
      </c>
      <c r="O222" s="1"/>
    </row>
    <row r="223" spans="1:15" ht="17.25" x14ac:dyDescent="0.3">
      <c r="A223" s="7" t="s">
        <v>311</v>
      </c>
      <c r="B223" s="43">
        <v>46081</v>
      </c>
      <c r="C223" s="7" t="s">
        <v>109</v>
      </c>
      <c r="D223" s="20" t="str">
        <f>IFERROR(VLOOKUP(Pagos[[#This Row],[Codigo del producto]],Entradas[],3,FALSE),"No existe")</f>
        <v>Shark Attack Mouse X11 Black</v>
      </c>
      <c r="E223" s="7">
        <v>1</v>
      </c>
      <c r="F223" s="10">
        <v>1200</v>
      </c>
      <c r="G223" s="22">
        <f>IFERROR(Pagos[[#This Row],[Cantidad vendida]]*Pagos[[#This Row],[Precio de venta]],"-")</f>
        <v>1200</v>
      </c>
      <c r="H223" s="22">
        <f>IFERROR(Pagos[[#This Row],[Precio de venta]]-VLOOKUP(Pagos[[#This Row],[Codigo del producto]],Stock[],13,FALSE),"-")</f>
        <v>283.90899999999999</v>
      </c>
      <c r="I223" s="22">
        <f t="shared" si="3"/>
        <v>127.75905</v>
      </c>
      <c r="J223" s="22">
        <f>IFERROR(Pagos[[#This Row],[Cantidad vendida]]*Pagos[[#This Row],[Ganancia unitaria (Vendedor)]],"-")</f>
        <v>127.75905</v>
      </c>
      <c r="K223" s="1">
        <f>IFERROR(Pagos[[#This Row],[Ganancia unitaria]]-Pagos[[#This Row],[Ganancia unitaria (Vendedor)]],"-")</f>
        <v>156.14994999999999</v>
      </c>
      <c r="L223" s="1">
        <f>IFERROR(Pagos[[#This Row],[Cantidad vendida]]*(Pagos[[#This Row],[Ganancia individual (Tienda)]]),"-")</f>
        <v>156.14994999999999</v>
      </c>
      <c r="M223" s="1">
        <f>(VLOOKUP(Pagos[[#This Row],[Codigo del producto]],Stock[],13,FALSE))*Pagos[[#This Row],[Cantidad vendida]]</f>
        <v>916.09100000000001</v>
      </c>
      <c r="N223" s="1" t="s">
        <v>334</v>
      </c>
      <c r="O223" s="1"/>
    </row>
    <row r="224" spans="1:15" ht="17.25" x14ac:dyDescent="0.3">
      <c r="A224" s="1" t="s">
        <v>327</v>
      </c>
      <c r="B224" s="43">
        <v>46081</v>
      </c>
      <c r="C224" s="7" t="s">
        <v>78</v>
      </c>
      <c r="D224" s="20" t="str">
        <f>IFERROR(VLOOKUP(Pagos[[#This Row],[Codigo del producto]],Entradas[],3,FALSE),"No existe")</f>
        <v>Cargadores USB para moto (Sin pantalla)</v>
      </c>
      <c r="E224" s="7">
        <v>1</v>
      </c>
      <c r="F224" s="10">
        <v>500</v>
      </c>
      <c r="G224" s="22">
        <f>IFERROR(Pagos[[#This Row],[Cantidad vendida]]*Pagos[[#This Row],[Precio de venta]],"-")</f>
        <v>500</v>
      </c>
      <c r="H224" s="22">
        <f>IFERROR(Pagos[[#This Row],[Precio de venta]]-VLOOKUP(Pagos[[#This Row],[Codigo del producto]],Stock[],13,FALSE),"-")</f>
        <v>227.31</v>
      </c>
      <c r="I224" s="22">
        <f t="shared" si="3"/>
        <v>102.2895</v>
      </c>
      <c r="J224" s="22">
        <f>IFERROR(Pagos[[#This Row],[Cantidad vendida]]*Pagos[[#This Row],[Ganancia unitaria (Vendedor)]],"-")</f>
        <v>102.2895</v>
      </c>
      <c r="K224" s="1">
        <f>IFERROR(Pagos[[#This Row],[Ganancia unitaria]]-Pagos[[#This Row],[Ganancia unitaria (Vendedor)]],"-")</f>
        <v>125.0205</v>
      </c>
      <c r="L224" s="1">
        <f>IFERROR(Pagos[[#This Row],[Cantidad vendida]]*(Pagos[[#This Row],[Ganancia individual (Tienda)]]),"-")</f>
        <v>125.0205</v>
      </c>
      <c r="M224" s="1">
        <f>(VLOOKUP(Pagos[[#This Row],[Codigo del producto]],Stock[],13,FALSE))*Pagos[[#This Row],[Cantidad vendida]]</f>
        <v>272.69</v>
      </c>
      <c r="N224" s="1" t="s">
        <v>334</v>
      </c>
      <c r="O224" s="1"/>
    </row>
    <row r="225" spans="1:15" ht="17.25" x14ac:dyDescent="0.3">
      <c r="A225" s="46" t="s">
        <v>315</v>
      </c>
      <c r="B225" s="48">
        <v>46081</v>
      </c>
      <c r="C225" s="45" t="s">
        <v>62</v>
      </c>
      <c r="D225" s="59" t="str">
        <f>IFERROR(VLOOKUP(Pagos[[#This Row],[Codigo del producto]],Entradas[],3,FALSE),"No existe")</f>
        <v>Monitor 1080 27 pulgadas</v>
      </c>
      <c r="E225" s="45">
        <v>1</v>
      </c>
      <c r="F225" s="46">
        <v>3650</v>
      </c>
      <c r="G225" s="60">
        <f>IFERROR(Pagos[[#This Row],[Cantidad vendida]]*Pagos[[#This Row],[Precio de venta]],"-")</f>
        <v>3650</v>
      </c>
      <c r="H225" s="60">
        <f>IFERROR(Pagos[[#This Row],[Precio de venta]]-VLOOKUP(Pagos[[#This Row],[Codigo del producto]],Stock[],13,FALSE),"-")</f>
        <v>222.94999999999982</v>
      </c>
      <c r="I225" s="60">
        <f t="shared" si="3"/>
        <v>100.32749999999992</v>
      </c>
      <c r="J225" s="60">
        <f>IFERROR(Pagos[[#This Row],[Cantidad vendida]]*Pagos[[#This Row],[Ganancia unitaria (Vendedor)]],"-")</f>
        <v>100.32749999999992</v>
      </c>
      <c r="K225" s="47">
        <f>IFERROR(Pagos[[#This Row],[Ganancia unitaria]]-Pagos[[#This Row],[Ganancia unitaria (Vendedor)]],"-")</f>
        <v>122.6224999999999</v>
      </c>
      <c r="L225" s="47">
        <f>IFERROR(Pagos[[#This Row],[Cantidad vendida]]*(Pagos[[#This Row],[Ganancia individual (Tienda)]]),"-")</f>
        <v>122.6224999999999</v>
      </c>
      <c r="M225" s="47">
        <f>(VLOOKUP(Pagos[[#This Row],[Codigo del producto]],Stock[],13,FALSE))*Pagos[[#This Row],[Cantidad vendida]]</f>
        <v>3427.05</v>
      </c>
      <c r="N225" s="47" t="s">
        <v>312</v>
      </c>
      <c r="O225" s="47" t="s">
        <v>348</v>
      </c>
    </row>
    <row r="226" spans="1:15" ht="17.25" x14ac:dyDescent="0.3">
      <c r="A226" s="10" t="s">
        <v>315</v>
      </c>
      <c r="B226" s="43">
        <v>46081</v>
      </c>
      <c r="C226" s="7" t="s">
        <v>110</v>
      </c>
      <c r="D226" s="20" t="str">
        <f>IFERROR(VLOOKUP(Pagos[[#This Row],[Codigo del producto]],Entradas[],3,FALSE),"No existe")</f>
        <v>Watch case</v>
      </c>
      <c r="E226" s="7">
        <v>1</v>
      </c>
      <c r="F226" s="10">
        <v>400</v>
      </c>
      <c r="G226" s="22">
        <f>IFERROR(Pagos[[#This Row],[Cantidad vendida]]*Pagos[[#This Row],[Precio de venta]],"-")</f>
        <v>400</v>
      </c>
      <c r="H226" s="22">
        <f>IFERROR(Pagos[[#This Row],[Precio de venta]]-VLOOKUP(Pagos[[#This Row],[Codigo del producto]],Stock[],13,FALSE),"-")</f>
        <v>90.828499999999963</v>
      </c>
      <c r="I226" s="22">
        <f t="shared" si="3"/>
        <v>40.872824999999985</v>
      </c>
      <c r="J226" s="22">
        <f>IFERROR(Pagos[[#This Row],[Cantidad vendida]]*Pagos[[#This Row],[Ganancia unitaria (Vendedor)]],"-")</f>
        <v>40.872824999999985</v>
      </c>
      <c r="K226" s="1">
        <f>IFERROR(Pagos[[#This Row],[Ganancia unitaria]]-Pagos[[#This Row],[Ganancia unitaria (Vendedor)]],"-")</f>
        <v>49.955674999999978</v>
      </c>
      <c r="L226" s="1">
        <f>IFERROR(Pagos[[#This Row],[Cantidad vendida]]*(Pagos[[#This Row],[Ganancia individual (Tienda)]]),"-")</f>
        <v>49.955674999999978</v>
      </c>
      <c r="M226" s="1">
        <f>(VLOOKUP(Pagos[[#This Row],[Codigo del producto]],Stock[],13,FALSE))*Pagos[[#This Row],[Cantidad vendida]]</f>
        <v>309.17150000000004</v>
      </c>
      <c r="N226" s="1" t="s">
        <v>312</v>
      </c>
      <c r="O226" s="1" t="s">
        <v>349</v>
      </c>
    </row>
    <row r="227" spans="1:15" ht="17.25" x14ac:dyDescent="0.3">
      <c r="A227" s="10" t="s">
        <v>315</v>
      </c>
      <c r="B227" s="43">
        <v>46082</v>
      </c>
      <c r="C227" s="7" t="s">
        <v>44</v>
      </c>
      <c r="D227" s="20" t="str">
        <f>IFERROR(VLOOKUP(Pagos[[#This Row],[Codigo del producto]],Entradas[],3,FALSE),"No existe")</f>
        <v>KZ Castor PRO Improved Bass</v>
      </c>
      <c r="E227" s="7">
        <v>1</v>
      </c>
      <c r="F227" s="10">
        <v>850</v>
      </c>
      <c r="G227" s="22">
        <f>IFERROR(Pagos[[#This Row],[Cantidad vendida]]*Pagos[[#This Row],[Precio de venta]],"-")</f>
        <v>850</v>
      </c>
      <c r="H227" s="22">
        <f>IFERROR(Pagos[[#This Row],[Precio de venta]]-VLOOKUP(Pagos[[#This Row],[Codigo del producto]],Stock[],13,FALSE),"-")</f>
        <v>380.53099999999995</v>
      </c>
      <c r="I227" s="22">
        <f t="shared" si="3"/>
        <v>152.21239999999997</v>
      </c>
      <c r="J227" s="22">
        <f>IFERROR(Pagos[[#This Row],[Cantidad vendida]]*Pagos[[#This Row],[Ganancia unitaria (Vendedor)]],"-")</f>
        <v>152.21239999999997</v>
      </c>
      <c r="K227" s="1">
        <f>IFERROR(Pagos[[#This Row],[Ganancia unitaria]]-Pagos[[#This Row],[Ganancia unitaria (Vendedor)]],"-")</f>
        <v>228.31859999999998</v>
      </c>
      <c r="L227" s="1">
        <f>IFERROR(Pagos[[#This Row],[Cantidad vendida]]*(Pagos[[#This Row],[Ganancia individual (Tienda)]]),"-")</f>
        <v>228.31859999999998</v>
      </c>
      <c r="M227" s="1">
        <f>(VLOOKUP(Pagos[[#This Row],[Codigo del producto]],Stock[],13,FALSE))*Pagos[[#This Row],[Cantidad vendida]]</f>
        <v>469.46900000000005</v>
      </c>
      <c r="N227" s="1" t="s">
        <v>312</v>
      </c>
      <c r="O227" s="1"/>
    </row>
    <row r="228" spans="1:15" ht="17.25" x14ac:dyDescent="0.3">
      <c r="A228" s="1" t="s">
        <v>327</v>
      </c>
      <c r="B228" s="43">
        <v>46082</v>
      </c>
      <c r="C228" s="7" t="s">
        <v>106</v>
      </c>
      <c r="D228" s="20" t="str">
        <f>IFERROR(VLOOKUP(Pagos[[#This Row],[Codigo del producto]],Entradas[],3,FALSE),"No existe")</f>
        <v>Shark Attack Mouse X11 white</v>
      </c>
      <c r="E228" s="7">
        <v>1</v>
      </c>
      <c r="F228" s="10">
        <v>1200</v>
      </c>
      <c r="G228" s="22">
        <f>IFERROR(Pagos[[#This Row],[Cantidad vendida]]*Pagos[[#This Row],[Precio de venta]],"-")</f>
        <v>1200</v>
      </c>
      <c r="H228" s="22">
        <f>IFERROR(Pagos[[#This Row],[Precio de venta]]-VLOOKUP(Pagos[[#This Row],[Codigo del producto]],Stock[],13,FALSE),"-")</f>
        <v>377.50799999999992</v>
      </c>
      <c r="I228" s="22">
        <f t="shared" si="3"/>
        <v>151.00319999999996</v>
      </c>
      <c r="J228" s="22">
        <f>IFERROR(Pagos[[#This Row],[Cantidad vendida]]*Pagos[[#This Row],[Ganancia unitaria (Vendedor)]],"-")</f>
        <v>151.00319999999996</v>
      </c>
      <c r="K228" s="1">
        <f>IFERROR(Pagos[[#This Row],[Ganancia unitaria]]-Pagos[[#This Row],[Ganancia unitaria (Vendedor)]],"-")</f>
        <v>226.50479999999996</v>
      </c>
      <c r="L228" s="1">
        <f>IFERROR(Pagos[[#This Row],[Cantidad vendida]]*(Pagos[[#This Row],[Ganancia individual (Tienda)]]),"-")</f>
        <v>226.50479999999996</v>
      </c>
      <c r="M228" s="1">
        <f>(VLOOKUP(Pagos[[#This Row],[Codigo del producto]],Stock[],13,FALSE))*Pagos[[#This Row],[Cantidad vendida]]</f>
        <v>822.49200000000008</v>
      </c>
      <c r="N228" s="1" t="s">
        <v>312</v>
      </c>
      <c r="O228" s="1"/>
    </row>
    <row r="229" spans="1:15" ht="17.25" x14ac:dyDescent="0.3">
      <c r="A229" s="10" t="s">
        <v>315</v>
      </c>
      <c r="B229" s="43">
        <v>46082</v>
      </c>
      <c r="C229" s="7" t="s">
        <v>72</v>
      </c>
      <c r="D229" s="20" t="str">
        <f>IFERROR(VLOOKUP(Pagos[[#This Row],[Codigo del producto]],Entradas[],3,FALSE),"No existe")</f>
        <v>KZ AZ09 Bluetooth Adapter</v>
      </c>
      <c r="E229" s="7">
        <v>1</v>
      </c>
      <c r="F229" s="10">
        <v>850</v>
      </c>
      <c r="G229" s="22">
        <f>IFERROR(Pagos[[#This Row],[Cantidad vendida]]*Pagos[[#This Row],[Precio de venta]],"-")</f>
        <v>850</v>
      </c>
      <c r="H229" s="22">
        <f>IFERROR(Pagos[[#This Row],[Precio de venta]]-VLOOKUP(Pagos[[#This Row],[Codigo del producto]],Stock[],13,FALSE),"-")</f>
        <v>238.28999999999996</v>
      </c>
      <c r="I229" s="22">
        <f t="shared" si="3"/>
        <v>107.23049999999999</v>
      </c>
      <c r="J229" s="22">
        <f>IFERROR(Pagos[[#This Row],[Cantidad vendida]]*Pagos[[#This Row],[Ganancia unitaria (Vendedor)]],"-")</f>
        <v>107.23049999999999</v>
      </c>
      <c r="K229" s="1">
        <f>IFERROR(Pagos[[#This Row],[Ganancia unitaria]]-Pagos[[#This Row],[Ganancia unitaria (Vendedor)]],"-")</f>
        <v>131.05949999999996</v>
      </c>
      <c r="L229" s="1">
        <f>IFERROR(Pagos[[#This Row],[Cantidad vendida]]*(Pagos[[#This Row],[Ganancia individual (Tienda)]]),"-")</f>
        <v>131.05949999999996</v>
      </c>
      <c r="M229" s="1">
        <f>(VLOOKUP(Pagos[[#This Row],[Codigo del producto]],Stock[],13,FALSE))*Pagos[[#This Row],[Cantidad vendida]]</f>
        <v>611.71</v>
      </c>
      <c r="N229" s="1" t="s">
        <v>312</v>
      </c>
      <c r="O229" s="1"/>
    </row>
    <row r="230" spans="1:15" ht="17.25" x14ac:dyDescent="0.3">
      <c r="A230" s="7" t="s">
        <v>311</v>
      </c>
      <c r="B230" s="43">
        <v>46082</v>
      </c>
      <c r="C230" s="7" t="s">
        <v>102</v>
      </c>
      <c r="D230" s="20" t="str">
        <f>IFERROR(VLOOKUP(Pagos[[#This Row],[Codigo del producto]],Entradas[],3,FALSE),"No existe")</f>
        <v>Cargadores USB para moto</v>
      </c>
      <c r="E230" s="7">
        <v>1</v>
      </c>
      <c r="F230" s="10">
        <v>600</v>
      </c>
      <c r="G230" s="22">
        <f>IFERROR(Pagos[[#This Row],[Cantidad vendida]]*Pagos[[#This Row],[Precio de venta]],"-")</f>
        <v>600</v>
      </c>
      <c r="H230" s="22">
        <f>IFERROR(Pagos[[#This Row],[Precio de venta]]-VLOOKUP(Pagos[[#This Row],[Codigo del producto]],Stock[],13,FALSE),"-")</f>
        <v>235.18499999999995</v>
      </c>
      <c r="I230" s="22">
        <f t="shared" si="3"/>
        <v>105.83324999999998</v>
      </c>
      <c r="J230" s="22">
        <f>IFERROR(Pagos[[#This Row],[Cantidad vendida]]*Pagos[[#This Row],[Ganancia unitaria (Vendedor)]],"-")</f>
        <v>105.83324999999998</v>
      </c>
      <c r="K230" s="1">
        <f>IFERROR(Pagos[[#This Row],[Ganancia unitaria]]-Pagos[[#This Row],[Ganancia unitaria (Vendedor)]],"-")</f>
        <v>129.35174999999998</v>
      </c>
      <c r="L230" s="1">
        <f>IFERROR(Pagos[[#This Row],[Cantidad vendida]]*(Pagos[[#This Row],[Ganancia individual (Tienda)]]),"-")</f>
        <v>129.35174999999998</v>
      </c>
      <c r="M230" s="1">
        <f>(VLOOKUP(Pagos[[#This Row],[Codigo del producto]],Stock[],13,FALSE))*Pagos[[#This Row],[Cantidad vendida]]</f>
        <v>364.81500000000005</v>
      </c>
      <c r="N230" s="1" t="s">
        <v>334</v>
      </c>
      <c r="O230" s="1"/>
    </row>
    <row r="231" spans="1:15" ht="17.25" x14ac:dyDescent="0.3">
      <c r="A231" s="1" t="s">
        <v>327</v>
      </c>
      <c r="B231" s="43">
        <v>46082</v>
      </c>
      <c r="C231" s="7" t="s">
        <v>41</v>
      </c>
      <c r="D231" s="20" t="str">
        <f>IFERROR(VLOOKUP(Pagos[[#This Row],[Codigo del producto]],Entradas[],3,FALSE),"No existe")</f>
        <v>Halogenos para moto</v>
      </c>
      <c r="E231" s="7">
        <v>1</v>
      </c>
      <c r="F231" s="10">
        <v>350</v>
      </c>
      <c r="G231" s="22">
        <f>IFERROR(Pagos[[#This Row],[Cantidad vendida]]*Pagos[[#This Row],[Precio de venta]],"-")</f>
        <v>350</v>
      </c>
      <c r="H231" s="22">
        <f>IFERROR(Pagos[[#This Row],[Precio de venta]]-VLOOKUP(Pagos[[#This Row],[Codigo del producto]],Stock[],13,FALSE),"-")</f>
        <v>203.33699999999999</v>
      </c>
      <c r="I231" s="22">
        <f t="shared" si="3"/>
        <v>91.501649999999998</v>
      </c>
      <c r="J231" s="22">
        <f>IFERROR(Pagos[[#This Row],[Cantidad vendida]]*Pagos[[#This Row],[Ganancia unitaria (Vendedor)]],"-")</f>
        <v>91.501649999999998</v>
      </c>
      <c r="K231" s="1">
        <f>IFERROR(Pagos[[#This Row],[Ganancia unitaria]]-Pagos[[#This Row],[Ganancia unitaria (Vendedor)]],"-")</f>
        <v>111.83534999999999</v>
      </c>
      <c r="L231" s="1">
        <f>IFERROR(Pagos[[#This Row],[Cantidad vendida]]*(Pagos[[#This Row],[Ganancia individual (Tienda)]]),"-")</f>
        <v>111.83534999999999</v>
      </c>
      <c r="M231" s="1">
        <f>(VLOOKUP(Pagos[[#This Row],[Codigo del producto]],Stock[],13,FALSE))*Pagos[[#This Row],[Cantidad vendida]]</f>
        <v>146.66300000000001</v>
      </c>
      <c r="N231" s="1" t="s">
        <v>334</v>
      </c>
      <c r="O231" s="1"/>
    </row>
    <row r="232" spans="1:15" ht="17.25" x14ac:dyDescent="0.3">
      <c r="A232" s="7" t="s">
        <v>311</v>
      </c>
      <c r="B232" s="43">
        <v>46083</v>
      </c>
      <c r="C232" s="7" t="s">
        <v>44</v>
      </c>
      <c r="D232" s="20" t="str">
        <f>IFERROR(VLOOKUP(Pagos[[#This Row],[Codigo del producto]],Entradas[],3,FALSE),"No existe")</f>
        <v>KZ Castor PRO Improved Bass</v>
      </c>
      <c r="E232" s="7">
        <v>1</v>
      </c>
      <c r="F232" s="10">
        <v>850</v>
      </c>
      <c r="G232" s="22">
        <f>IFERROR(Pagos[[#This Row],[Cantidad vendida]]*Pagos[[#This Row],[Precio de venta]],"-")</f>
        <v>850</v>
      </c>
      <c r="H232" s="22">
        <f>IFERROR(Pagos[[#This Row],[Precio de venta]]-VLOOKUP(Pagos[[#This Row],[Codigo del producto]],Stock[],13,FALSE),"-")</f>
        <v>380.53099999999995</v>
      </c>
      <c r="I232" s="22">
        <f t="shared" si="3"/>
        <v>152.21239999999997</v>
      </c>
      <c r="J232" s="22">
        <f>IFERROR(Pagos[[#This Row],[Cantidad vendida]]*Pagos[[#This Row],[Ganancia unitaria (Vendedor)]],"-")</f>
        <v>152.21239999999997</v>
      </c>
      <c r="K232" s="1">
        <f>IFERROR(Pagos[[#This Row],[Ganancia unitaria]]-Pagos[[#This Row],[Ganancia unitaria (Vendedor)]],"-")</f>
        <v>228.31859999999998</v>
      </c>
      <c r="L232" s="1">
        <f>IFERROR(Pagos[[#This Row],[Cantidad vendida]]*(Pagos[[#This Row],[Ganancia individual (Tienda)]]),"-")</f>
        <v>228.31859999999998</v>
      </c>
      <c r="M232" s="1">
        <f>(VLOOKUP(Pagos[[#This Row],[Codigo del producto]],Stock[],13,FALSE))*Pagos[[#This Row],[Cantidad vendida]]</f>
        <v>469.46900000000005</v>
      </c>
      <c r="N232" s="1" t="s">
        <v>334</v>
      </c>
      <c r="O232" s="1"/>
    </row>
    <row r="233" spans="1:15" ht="17.25" x14ac:dyDescent="0.3">
      <c r="A233" s="50" t="s">
        <v>315</v>
      </c>
      <c r="B233" s="51">
        <v>46083</v>
      </c>
      <c r="C233" s="52" t="s">
        <v>101</v>
      </c>
      <c r="D233" s="59" t="str">
        <f>IFERROR(VLOOKUP(Pagos[[#This Row],[Codigo del producto]],Entradas[],3,FALSE),"No existe")</f>
        <v xml:space="preserve">Shark Attack Mouse X11 Black </v>
      </c>
      <c r="E233" s="52">
        <v>1</v>
      </c>
      <c r="F233" s="50">
        <v>1200</v>
      </c>
      <c r="G233" s="60">
        <f>IFERROR(Pagos[[#This Row],[Cantidad vendida]]*Pagos[[#This Row],[Precio de venta]],"-")</f>
        <v>1200</v>
      </c>
      <c r="H233" s="60">
        <f>IFERROR(Pagos[[#This Row],[Precio de venta]]-VLOOKUP(Pagos[[#This Row],[Codigo del producto]],Stock[],13,FALSE),"-")</f>
        <v>377.50799999999992</v>
      </c>
      <c r="I233" s="60">
        <f t="shared" si="3"/>
        <v>151.00319999999996</v>
      </c>
      <c r="J233" s="60">
        <f>IFERROR(Pagos[[#This Row],[Cantidad vendida]]*Pagos[[#This Row],[Ganancia unitaria (Vendedor)]],"-")</f>
        <v>151.00319999999996</v>
      </c>
      <c r="K233" s="47">
        <f>IFERROR(Pagos[[#This Row],[Ganancia unitaria]]-Pagos[[#This Row],[Ganancia unitaria (Vendedor)]],"-")</f>
        <v>226.50479999999996</v>
      </c>
      <c r="L233" s="47">
        <f>IFERROR(Pagos[[#This Row],[Cantidad vendida]]*(Pagos[[#This Row],[Ganancia individual (Tienda)]]),"-")</f>
        <v>226.50479999999996</v>
      </c>
      <c r="M233" s="47">
        <f>(VLOOKUP(Pagos[[#This Row],[Codigo del producto]],Stock[],13,FALSE))*Pagos[[#This Row],[Cantidad vendida]]</f>
        <v>822.49200000000008</v>
      </c>
      <c r="N233" s="47" t="s">
        <v>312</v>
      </c>
      <c r="O233" s="47" t="s">
        <v>350</v>
      </c>
    </row>
    <row r="234" spans="1:15" ht="17.25" x14ac:dyDescent="0.3">
      <c r="A234" s="7" t="s">
        <v>311</v>
      </c>
      <c r="B234" s="43">
        <v>46083</v>
      </c>
      <c r="C234" s="7" t="s">
        <v>87</v>
      </c>
      <c r="D234" s="20" t="str">
        <f>IFERROR(VLOOKUP(Pagos[[#This Row],[Codigo del producto]],Entradas[],3,FALSE),"No existe")</f>
        <v>Shark Attack L80</v>
      </c>
      <c r="E234" s="7">
        <v>1</v>
      </c>
      <c r="F234" s="10">
        <v>1200</v>
      </c>
      <c r="G234" s="22">
        <f>IFERROR(Pagos[[#This Row],[Cantidad vendida]]*Pagos[[#This Row],[Precio de venta]],"-")</f>
        <v>1200</v>
      </c>
      <c r="H234" s="22">
        <f>IFERROR(Pagos[[#This Row],[Precio de venta]]-VLOOKUP(Pagos[[#This Row],[Codigo del producto]],Stock[],13,FALSE),"-")</f>
        <v>278.75</v>
      </c>
      <c r="I234" s="22">
        <f t="shared" si="3"/>
        <v>125.4375</v>
      </c>
      <c r="J234" s="22">
        <f>IFERROR(Pagos[[#This Row],[Cantidad vendida]]*Pagos[[#This Row],[Ganancia unitaria (Vendedor)]],"-")</f>
        <v>125.4375</v>
      </c>
      <c r="K234" s="1">
        <f>IFERROR(Pagos[[#This Row],[Ganancia unitaria]]-Pagos[[#This Row],[Ganancia unitaria (Vendedor)]],"-")</f>
        <v>153.3125</v>
      </c>
      <c r="L234" s="1">
        <f>IFERROR(Pagos[[#This Row],[Cantidad vendida]]*(Pagos[[#This Row],[Ganancia individual (Tienda)]]),"-")</f>
        <v>153.3125</v>
      </c>
      <c r="M234" s="1">
        <f>(VLOOKUP(Pagos[[#This Row],[Codigo del producto]],Stock[],13,FALSE))*Pagos[[#This Row],[Cantidad vendida]]</f>
        <v>921.25</v>
      </c>
      <c r="N234" s="1" t="s">
        <v>334</v>
      </c>
      <c r="O234" s="1"/>
    </row>
    <row r="235" spans="1:15" ht="17.25" x14ac:dyDescent="0.3">
      <c r="A235" s="7" t="s">
        <v>311</v>
      </c>
      <c r="B235" s="43">
        <v>46083</v>
      </c>
      <c r="C235" s="7" t="s">
        <v>71</v>
      </c>
      <c r="D235" s="20" t="str">
        <f>IFERROR(VLOOKUP(Pagos[[#This Row],[Codigo del producto]],Entradas[],3,FALSE),"No existe")</f>
        <v>KZ Castor Improved Bass</v>
      </c>
      <c r="E235" s="7">
        <v>1</v>
      </c>
      <c r="F235" s="10">
        <v>650</v>
      </c>
      <c r="G235" s="22">
        <f>IFERROR(Pagos[[#This Row],[Cantidad vendida]]*Pagos[[#This Row],[Precio de venta]],"-")</f>
        <v>650</v>
      </c>
      <c r="H235" s="22">
        <f>IFERROR(Pagos[[#This Row],[Precio de venta]]-VLOOKUP(Pagos[[#This Row],[Codigo del producto]],Stock[],13,FALSE),"-")</f>
        <v>277.815</v>
      </c>
      <c r="I235" s="22">
        <f t="shared" si="3"/>
        <v>125.01675</v>
      </c>
      <c r="J235" s="22">
        <f>IFERROR(Pagos[[#This Row],[Cantidad vendida]]*Pagos[[#This Row],[Ganancia unitaria (Vendedor)]],"-")</f>
        <v>125.01675</v>
      </c>
      <c r="K235" s="1">
        <f>IFERROR(Pagos[[#This Row],[Ganancia unitaria]]-Pagos[[#This Row],[Ganancia unitaria (Vendedor)]],"-")</f>
        <v>152.79825</v>
      </c>
      <c r="L235" s="1">
        <f>IFERROR(Pagos[[#This Row],[Cantidad vendida]]*(Pagos[[#This Row],[Ganancia individual (Tienda)]]),"-")</f>
        <v>152.79825</v>
      </c>
      <c r="M235" s="1">
        <f>(VLOOKUP(Pagos[[#This Row],[Codigo del producto]],Stock[],13,FALSE))*Pagos[[#This Row],[Cantidad vendida]]</f>
        <v>372.185</v>
      </c>
      <c r="N235" s="1" t="s">
        <v>334</v>
      </c>
      <c r="O235" s="1"/>
    </row>
    <row r="236" spans="1:15" ht="17.25" x14ac:dyDescent="0.3">
      <c r="A236" s="7" t="s">
        <v>311</v>
      </c>
      <c r="B236" s="43">
        <v>46083</v>
      </c>
      <c r="C236" s="7" t="s">
        <v>72</v>
      </c>
      <c r="D236" s="20" t="str">
        <f>IFERROR(VLOOKUP(Pagos[[#This Row],[Codigo del producto]],Entradas[],3,FALSE),"No existe")</f>
        <v>KZ AZ09 Bluetooth Adapter</v>
      </c>
      <c r="E236" s="7">
        <v>1</v>
      </c>
      <c r="F236" s="10">
        <v>850</v>
      </c>
      <c r="G236" s="22">
        <f>IFERROR(Pagos[[#This Row],[Cantidad vendida]]*Pagos[[#This Row],[Precio de venta]],"-")</f>
        <v>850</v>
      </c>
      <c r="H236" s="22">
        <f>IFERROR(Pagos[[#This Row],[Precio de venta]]-VLOOKUP(Pagos[[#This Row],[Codigo del producto]],Stock[],13,FALSE),"-")</f>
        <v>238.28999999999996</v>
      </c>
      <c r="I236" s="22">
        <f t="shared" si="3"/>
        <v>107.23049999999999</v>
      </c>
      <c r="J236" s="22">
        <f>IFERROR(Pagos[[#This Row],[Cantidad vendida]]*Pagos[[#This Row],[Ganancia unitaria (Vendedor)]],"-")</f>
        <v>107.23049999999999</v>
      </c>
      <c r="K236" s="1">
        <f>IFERROR(Pagos[[#This Row],[Ganancia unitaria]]-Pagos[[#This Row],[Ganancia unitaria (Vendedor)]],"-")</f>
        <v>131.05949999999996</v>
      </c>
      <c r="L236" s="1">
        <f>IFERROR(Pagos[[#This Row],[Cantidad vendida]]*(Pagos[[#This Row],[Ganancia individual (Tienda)]]),"-")</f>
        <v>131.05949999999996</v>
      </c>
      <c r="M236" s="1">
        <f>(VLOOKUP(Pagos[[#This Row],[Codigo del producto]],Stock[],13,FALSE))*Pagos[[#This Row],[Cantidad vendida]]</f>
        <v>611.71</v>
      </c>
      <c r="N236" s="1" t="s">
        <v>334</v>
      </c>
      <c r="O236" s="1"/>
    </row>
    <row r="237" spans="1:15" ht="17.25" x14ac:dyDescent="0.3">
      <c r="A237" s="7" t="s">
        <v>313</v>
      </c>
      <c r="B237" s="43">
        <v>46084</v>
      </c>
      <c r="C237" s="7" t="s">
        <v>101</v>
      </c>
      <c r="D237" s="20" t="str">
        <f>IFERROR(VLOOKUP(Pagos[[#This Row],[Codigo del producto]],Entradas[],3,FALSE),"No existe")</f>
        <v xml:space="preserve">Shark Attack Mouse X11 Black </v>
      </c>
      <c r="E237" s="7">
        <v>1</v>
      </c>
      <c r="F237" s="10">
        <v>1200</v>
      </c>
      <c r="G237" s="22">
        <f>IFERROR(Pagos[[#This Row],[Cantidad vendida]]*Pagos[[#This Row],[Precio de venta]],"-")</f>
        <v>1200</v>
      </c>
      <c r="H237" s="22">
        <f>IFERROR(Pagos[[#This Row],[Precio de venta]]-VLOOKUP(Pagos[[#This Row],[Codigo del producto]],Stock[],13,FALSE),"-")</f>
        <v>377.50799999999992</v>
      </c>
      <c r="I237" s="22">
        <f t="shared" si="3"/>
        <v>151.00319999999996</v>
      </c>
      <c r="J237" s="22">
        <f>IFERROR(Pagos[[#This Row],[Cantidad vendida]]*Pagos[[#This Row],[Ganancia unitaria (Vendedor)]],"-")</f>
        <v>151.00319999999996</v>
      </c>
      <c r="K237" s="1">
        <f>IFERROR(Pagos[[#This Row],[Ganancia unitaria]]-Pagos[[#This Row],[Ganancia unitaria (Vendedor)]],"-")</f>
        <v>226.50479999999996</v>
      </c>
      <c r="L237" s="1">
        <f>IFERROR(Pagos[[#This Row],[Cantidad vendida]]*(Pagos[[#This Row],[Ganancia individual (Tienda)]]),"-")</f>
        <v>226.50479999999996</v>
      </c>
      <c r="M237" s="1">
        <f>(VLOOKUP(Pagos[[#This Row],[Codigo del producto]],Stock[],13,FALSE))*Pagos[[#This Row],[Cantidad vendida]]</f>
        <v>822.49200000000008</v>
      </c>
      <c r="N237" s="1" t="s">
        <v>334</v>
      </c>
      <c r="O237" s="1"/>
    </row>
    <row r="238" spans="1:15" ht="17.25" x14ac:dyDescent="0.3">
      <c r="A238" s="1" t="s">
        <v>327</v>
      </c>
      <c r="B238" s="43">
        <v>46084</v>
      </c>
      <c r="C238" s="7" t="s">
        <v>106</v>
      </c>
      <c r="D238" s="20" t="str">
        <f>IFERROR(VLOOKUP(Pagos[[#This Row],[Codigo del producto]],Entradas[],3,FALSE),"No existe")</f>
        <v>Shark Attack Mouse X11 white</v>
      </c>
      <c r="E238" s="7">
        <v>1</v>
      </c>
      <c r="F238" s="10">
        <v>1200</v>
      </c>
      <c r="G238" s="22">
        <f>IFERROR(Pagos[[#This Row],[Cantidad vendida]]*Pagos[[#This Row],[Precio de venta]],"-")</f>
        <v>1200</v>
      </c>
      <c r="H238" s="22">
        <f>IFERROR(Pagos[[#This Row],[Precio de venta]]-VLOOKUP(Pagos[[#This Row],[Codigo del producto]],Stock[],13,FALSE),"-")</f>
        <v>377.50799999999992</v>
      </c>
      <c r="I238" s="22">
        <f t="shared" si="3"/>
        <v>151.00319999999996</v>
      </c>
      <c r="J238" s="22">
        <f>IFERROR(Pagos[[#This Row],[Cantidad vendida]]*Pagos[[#This Row],[Ganancia unitaria (Vendedor)]],"-")</f>
        <v>151.00319999999996</v>
      </c>
      <c r="K238" s="1">
        <f>IFERROR(Pagos[[#This Row],[Ganancia unitaria]]-Pagos[[#This Row],[Ganancia unitaria (Vendedor)]],"-")</f>
        <v>226.50479999999996</v>
      </c>
      <c r="L238" s="1">
        <f>IFERROR(Pagos[[#This Row],[Cantidad vendida]]*(Pagos[[#This Row],[Ganancia individual (Tienda)]]),"-")</f>
        <v>226.50479999999996</v>
      </c>
      <c r="M238" s="1">
        <f>(VLOOKUP(Pagos[[#This Row],[Codigo del producto]],Stock[],13,FALSE))*Pagos[[#This Row],[Cantidad vendida]]</f>
        <v>822.49200000000008</v>
      </c>
      <c r="N238" s="1" t="s">
        <v>334</v>
      </c>
      <c r="O238" s="1"/>
    </row>
    <row r="239" spans="1:15" ht="17.25" x14ac:dyDescent="0.3">
      <c r="A239" s="7" t="s">
        <v>311</v>
      </c>
      <c r="B239" s="43">
        <v>46084</v>
      </c>
      <c r="C239" s="7" t="s">
        <v>101</v>
      </c>
      <c r="D239" s="20" t="str">
        <f>IFERROR(VLOOKUP(Pagos[[#This Row],[Codigo del producto]],Entradas[],3,FALSE),"No existe")</f>
        <v xml:space="preserve">Shark Attack Mouse X11 Black </v>
      </c>
      <c r="E239" s="7">
        <v>1</v>
      </c>
      <c r="F239" s="10">
        <v>1200</v>
      </c>
      <c r="G239" s="22">
        <f>IFERROR(Pagos[[#This Row],[Cantidad vendida]]*Pagos[[#This Row],[Precio de venta]],"-")</f>
        <v>1200</v>
      </c>
      <c r="H239" s="22">
        <f>IFERROR(Pagos[[#This Row],[Precio de venta]]-VLOOKUP(Pagos[[#This Row],[Codigo del producto]],Stock[],13,FALSE),"-")</f>
        <v>377.50799999999992</v>
      </c>
      <c r="I239" s="22">
        <f t="shared" si="3"/>
        <v>151.00319999999996</v>
      </c>
      <c r="J239" s="22">
        <f>IFERROR(Pagos[[#This Row],[Cantidad vendida]]*Pagos[[#This Row],[Ganancia unitaria (Vendedor)]],"-")</f>
        <v>151.00319999999996</v>
      </c>
      <c r="K239" s="1">
        <f>IFERROR(Pagos[[#This Row],[Ganancia unitaria]]-Pagos[[#This Row],[Ganancia unitaria (Vendedor)]],"-")</f>
        <v>226.50479999999996</v>
      </c>
      <c r="L239" s="1">
        <f>IFERROR(Pagos[[#This Row],[Cantidad vendida]]*(Pagos[[#This Row],[Ganancia individual (Tienda)]]),"-")</f>
        <v>226.50479999999996</v>
      </c>
      <c r="M239" s="1">
        <f>(VLOOKUP(Pagos[[#This Row],[Codigo del producto]],Stock[],13,FALSE))*Pagos[[#This Row],[Cantidad vendida]]</f>
        <v>822.49200000000008</v>
      </c>
      <c r="N239" s="1" t="s">
        <v>334</v>
      </c>
      <c r="O239" s="1"/>
    </row>
    <row r="240" spans="1:15" ht="17.25" x14ac:dyDescent="0.3">
      <c r="A240" s="1" t="s">
        <v>327</v>
      </c>
      <c r="B240" s="43">
        <v>46084</v>
      </c>
      <c r="C240" s="7" t="s">
        <v>72</v>
      </c>
      <c r="D240" s="20" t="str">
        <f>IFERROR(VLOOKUP(Pagos[[#This Row],[Codigo del producto]],Entradas[],3,FALSE),"No existe")</f>
        <v>KZ AZ09 Bluetooth Adapter</v>
      </c>
      <c r="E240" s="7">
        <v>2</v>
      </c>
      <c r="F240" s="10">
        <v>900</v>
      </c>
      <c r="G240" s="22">
        <f>IFERROR(Pagos[[#This Row],[Cantidad vendida]]*Pagos[[#This Row],[Precio de venta]],"-")</f>
        <v>1800</v>
      </c>
      <c r="H240" s="22">
        <f>IFERROR(Pagos[[#This Row],[Precio de venta]]-VLOOKUP(Pagos[[#This Row],[Codigo del producto]],Stock[],13,FALSE),"-")</f>
        <v>288.28999999999996</v>
      </c>
      <c r="I240" s="22">
        <f t="shared" si="3"/>
        <v>129.73049999999998</v>
      </c>
      <c r="J240" s="22">
        <f>IFERROR(Pagos[[#This Row],[Cantidad vendida]]*Pagos[[#This Row],[Ganancia unitaria (Vendedor)]],"-")</f>
        <v>259.46099999999996</v>
      </c>
      <c r="K240" s="1">
        <f>IFERROR(Pagos[[#This Row],[Ganancia unitaria]]-Pagos[[#This Row],[Ganancia unitaria (Vendedor)]],"-")</f>
        <v>158.55949999999999</v>
      </c>
      <c r="L240" s="1">
        <f>IFERROR(Pagos[[#This Row],[Cantidad vendida]]*(Pagos[[#This Row],[Ganancia individual (Tienda)]]),"-")</f>
        <v>317.11899999999997</v>
      </c>
      <c r="M240" s="1">
        <f>(VLOOKUP(Pagos[[#This Row],[Codigo del producto]],Stock[],13,FALSE))*Pagos[[#This Row],[Cantidad vendida]]</f>
        <v>1223.42</v>
      </c>
      <c r="N240" s="1" t="s">
        <v>334</v>
      </c>
      <c r="O240" s="1"/>
    </row>
    <row r="241" spans="1:15" ht="17.25" x14ac:dyDescent="0.3">
      <c r="A241" s="1" t="s">
        <v>327</v>
      </c>
      <c r="B241" s="43">
        <v>46084</v>
      </c>
      <c r="C241" s="7" t="s">
        <v>87</v>
      </c>
      <c r="D241" s="20" t="str">
        <f>IFERROR(VLOOKUP(Pagos[[#This Row],[Codigo del producto]],Entradas[],3,FALSE),"No existe")</f>
        <v>Shark Attack L80</v>
      </c>
      <c r="E241" s="7">
        <v>1</v>
      </c>
      <c r="F241" s="10">
        <v>1200</v>
      </c>
      <c r="G241" s="22">
        <f>IFERROR(Pagos[[#This Row],[Cantidad vendida]]*Pagos[[#This Row],[Precio de venta]],"-")</f>
        <v>1200</v>
      </c>
      <c r="H241" s="22">
        <f>IFERROR(Pagos[[#This Row],[Precio de venta]]-VLOOKUP(Pagos[[#This Row],[Codigo del producto]],Stock[],13,FALSE),"-")</f>
        <v>278.75</v>
      </c>
      <c r="I241" s="22">
        <f t="shared" si="3"/>
        <v>125.4375</v>
      </c>
      <c r="J241" s="22">
        <f>IFERROR(Pagos[[#This Row],[Cantidad vendida]]*Pagos[[#This Row],[Ganancia unitaria (Vendedor)]],"-")</f>
        <v>125.4375</v>
      </c>
      <c r="K241" s="1">
        <f>IFERROR(Pagos[[#This Row],[Ganancia unitaria]]-Pagos[[#This Row],[Ganancia unitaria (Vendedor)]],"-")</f>
        <v>153.3125</v>
      </c>
      <c r="L241" s="1">
        <f>IFERROR(Pagos[[#This Row],[Cantidad vendida]]*(Pagos[[#This Row],[Ganancia individual (Tienda)]]),"-")</f>
        <v>153.3125</v>
      </c>
      <c r="M241" s="1">
        <f>(VLOOKUP(Pagos[[#This Row],[Codigo del producto]],Stock[],13,FALSE))*Pagos[[#This Row],[Cantidad vendida]]</f>
        <v>921.25</v>
      </c>
      <c r="N241" s="1" t="s">
        <v>334</v>
      </c>
      <c r="O241" s="1"/>
    </row>
    <row r="242" spans="1:15" ht="17.25" x14ac:dyDescent="0.3">
      <c r="A242" s="1" t="s">
        <v>327</v>
      </c>
      <c r="B242" s="43">
        <v>46084</v>
      </c>
      <c r="C242" s="7" t="s">
        <v>29</v>
      </c>
      <c r="D242" s="20" t="str">
        <f>IFERROR(VLOOKUP(Pagos[[#This Row],[Codigo del producto]],Entradas[],3,FALSE),"No existe")</f>
        <v>KZ EDX PRO X</v>
      </c>
      <c r="E242" s="7">
        <v>2</v>
      </c>
      <c r="F242" s="10">
        <v>400</v>
      </c>
      <c r="G242" s="22">
        <f>IFERROR(Pagos[[#This Row],[Cantidad vendida]]*Pagos[[#This Row],[Precio de venta]],"-")</f>
        <v>800</v>
      </c>
      <c r="H242" s="22">
        <f>IFERROR(Pagos[[#This Row],[Precio de venta]]-VLOOKUP(Pagos[[#This Row],[Codigo del producto]],Stock[],13,FALSE),"-")</f>
        <v>238.59700000000001</v>
      </c>
      <c r="I242" s="22">
        <f t="shared" si="3"/>
        <v>107.36865</v>
      </c>
      <c r="J242" s="22">
        <f>IFERROR(Pagos[[#This Row],[Cantidad vendida]]*Pagos[[#This Row],[Ganancia unitaria (Vendedor)]],"-")</f>
        <v>214.7373</v>
      </c>
      <c r="K242" s="1">
        <f>IFERROR(Pagos[[#This Row],[Ganancia unitaria]]-Pagos[[#This Row],[Ganancia unitaria (Vendedor)]],"-")</f>
        <v>131.22835000000001</v>
      </c>
      <c r="L242" s="1">
        <f>IFERROR(Pagos[[#This Row],[Cantidad vendida]]*(Pagos[[#This Row],[Ganancia individual (Tienda)]]),"-")</f>
        <v>262.45670000000001</v>
      </c>
      <c r="M242" s="1">
        <f>(VLOOKUP(Pagos[[#This Row],[Codigo del producto]],Stock[],13,FALSE))*Pagos[[#This Row],[Cantidad vendida]]</f>
        <v>322.80599999999998</v>
      </c>
      <c r="N242" s="1" t="s">
        <v>334</v>
      </c>
      <c r="O242" s="1"/>
    </row>
    <row r="243" spans="1:15" ht="17.25" x14ac:dyDescent="0.3">
      <c r="A243" s="7" t="s">
        <v>313</v>
      </c>
      <c r="B243" s="43">
        <v>46084</v>
      </c>
      <c r="C243" s="7" t="s">
        <v>35</v>
      </c>
      <c r="D243" s="20" t="str">
        <f>IFERROR(VLOOKUP(Pagos[[#This Row],[Codigo del producto]],Entradas[],3,FALSE),"No existe")</f>
        <v>Headset Bluetooth para moto</v>
      </c>
      <c r="E243" s="7">
        <v>1</v>
      </c>
      <c r="F243" s="10">
        <v>500</v>
      </c>
      <c r="G243" s="22">
        <f>IFERROR(Pagos[[#This Row],[Cantidad vendida]]*Pagos[[#This Row],[Precio de venta]],"-")</f>
        <v>500</v>
      </c>
      <c r="H243" s="22">
        <f>IFERROR(Pagos[[#This Row],[Precio de venta]]-VLOOKUP(Pagos[[#This Row],[Codigo del producto]],Stock[],13,FALSE),"-")</f>
        <v>227.31</v>
      </c>
      <c r="I243" s="22">
        <f t="shared" si="3"/>
        <v>102.2895</v>
      </c>
      <c r="J243" s="22">
        <f>IFERROR(Pagos[[#This Row],[Cantidad vendida]]*Pagos[[#This Row],[Ganancia unitaria (Vendedor)]],"-")</f>
        <v>102.2895</v>
      </c>
      <c r="K243" s="1">
        <f>IFERROR(Pagos[[#This Row],[Ganancia unitaria]]-Pagos[[#This Row],[Ganancia unitaria (Vendedor)]],"-")</f>
        <v>125.0205</v>
      </c>
      <c r="L243" s="1">
        <f>IFERROR(Pagos[[#This Row],[Cantidad vendida]]*(Pagos[[#This Row],[Ganancia individual (Tienda)]]),"-")</f>
        <v>125.0205</v>
      </c>
      <c r="M243" s="1">
        <f>(VLOOKUP(Pagos[[#This Row],[Codigo del producto]],Stock[],13,FALSE))*Pagos[[#This Row],[Cantidad vendida]]</f>
        <v>272.69</v>
      </c>
      <c r="N243" s="1" t="s">
        <v>334</v>
      </c>
      <c r="O243" s="1"/>
    </row>
    <row r="244" spans="1:15" ht="17.25" x14ac:dyDescent="0.3">
      <c r="A244" s="1" t="s">
        <v>327</v>
      </c>
      <c r="B244" s="43">
        <v>46084</v>
      </c>
      <c r="C244" s="7" t="s">
        <v>76</v>
      </c>
      <c r="D244" s="20" t="str">
        <f>IFERROR(VLOOKUP(Pagos[[#This Row],[Codigo del producto]],Entradas[],3,FALSE),"No existe")</f>
        <v>Estuche para Switch</v>
      </c>
      <c r="E244" s="7">
        <v>1</v>
      </c>
      <c r="F244" s="10">
        <v>500</v>
      </c>
      <c r="G244" s="22">
        <f>IFERROR(Pagos[[#This Row],[Cantidad vendida]]*Pagos[[#This Row],[Precio de venta]],"-")</f>
        <v>500</v>
      </c>
      <c r="H244" s="22">
        <f>IFERROR(Pagos[[#This Row],[Precio de venta]]-VLOOKUP(Pagos[[#This Row],[Codigo del producto]],Stock[],13,FALSE),"-")</f>
        <v>223.625</v>
      </c>
      <c r="I244" s="22">
        <f t="shared" si="3"/>
        <v>100.63125000000001</v>
      </c>
      <c r="J244" s="22">
        <f>IFERROR(Pagos[[#This Row],[Cantidad vendida]]*Pagos[[#This Row],[Ganancia unitaria (Vendedor)]],"-")</f>
        <v>100.63125000000001</v>
      </c>
      <c r="K244" s="1">
        <f>IFERROR(Pagos[[#This Row],[Ganancia unitaria]]-Pagos[[#This Row],[Ganancia unitaria (Vendedor)]],"-")</f>
        <v>122.99374999999999</v>
      </c>
      <c r="L244" s="1">
        <f>IFERROR(Pagos[[#This Row],[Cantidad vendida]]*(Pagos[[#This Row],[Ganancia individual (Tienda)]]),"-")</f>
        <v>122.99374999999999</v>
      </c>
      <c r="M244" s="1">
        <f>(VLOOKUP(Pagos[[#This Row],[Codigo del producto]],Stock[],13,FALSE))*Pagos[[#This Row],[Cantidad vendida]]</f>
        <v>276.375</v>
      </c>
      <c r="N244" s="1" t="s">
        <v>334</v>
      </c>
      <c r="O244" s="1"/>
    </row>
    <row r="245" spans="1:15" ht="17.25" x14ac:dyDescent="0.3">
      <c r="A245" s="7" t="s">
        <v>313</v>
      </c>
      <c r="B245" s="43">
        <v>46085</v>
      </c>
      <c r="C245" s="7" t="s">
        <v>44</v>
      </c>
      <c r="D245" s="20" t="str">
        <f>IFERROR(VLOOKUP(Pagos[[#This Row],[Codigo del producto]],Entradas[],3,FALSE),"No existe")</f>
        <v>KZ Castor PRO Improved Bass</v>
      </c>
      <c r="E245" s="7">
        <v>1</v>
      </c>
      <c r="F245" s="10">
        <v>850</v>
      </c>
      <c r="G245" s="22">
        <f>IFERROR(Pagos[[#This Row],[Cantidad vendida]]*Pagos[[#This Row],[Precio de venta]],"-")</f>
        <v>850</v>
      </c>
      <c r="H245" s="22">
        <f>IFERROR(Pagos[[#This Row],[Precio de venta]]-VLOOKUP(Pagos[[#This Row],[Codigo del producto]],Stock[],13,FALSE),"-")</f>
        <v>380.53099999999995</v>
      </c>
      <c r="I245" s="22">
        <f t="shared" si="3"/>
        <v>152.21239999999997</v>
      </c>
      <c r="J245" s="22">
        <f>IFERROR(Pagos[[#This Row],[Cantidad vendida]]*Pagos[[#This Row],[Ganancia unitaria (Vendedor)]],"-")</f>
        <v>152.21239999999997</v>
      </c>
      <c r="K245" s="1">
        <f>IFERROR(Pagos[[#This Row],[Ganancia unitaria]]-Pagos[[#This Row],[Ganancia unitaria (Vendedor)]],"-")</f>
        <v>228.31859999999998</v>
      </c>
      <c r="L245" s="1">
        <f>IFERROR(Pagos[[#This Row],[Cantidad vendida]]*(Pagos[[#This Row],[Ganancia individual (Tienda)]]),"-")</f>
        <v>228.31859999999998</v>
      </c>
      <c r="M245" s="1">
        <f>(VLOOKUP(Pagos[[#This Row],[Codigo del producto]],Stock[],13,FALSE))*Pagos[[#This Row],[Cantidad vendida]]</f>
        <v>469.46900000000005</v>
      </c>
      <c r="N245" s="1" t="s">
        <v>312</v>
      </c>
      <c r="O245" s="1"/>
    </row>
    <row r="246" spans="1:15" ht="17.25" x14ac:dyDescent="0.3">
      <c r="A246" s="7" t="s">
        <v>313</v>
      </c>
      <c r="B246" s="43">
        <v>46085</v>
      </c>
      <c r="C246" s="7" t="s">
        <v>106</v>
      </c>
      <c r="D246" s="20" t="str">
        <f>IFERROR(VLOOKUP(Pagos[[#This Row],[Codigo del producto]],Entradas[],3,FALSE),"No existe")</f>
        <v>Shark Attack Mouse X11 white</v>
      </c>
      <c r="E246" s="7">
        <v>1</v>
      </c>
      <c r="F246" s="10">
        <v>1200</v>
      </c>
      <c r="G246" s="22">
        <f>IFERROR(Pagos[[#This Row],[Cantidad vendida]]*Pagos[[#This Row],[Precio de venta]],"-")</f>
        <v>1200</v>
      </c>
      <c r="H246" s="22">
        <f>IFERROR(Pagos[[#This Row],[Precio de venta]]-VLOOKUP(Pagos[[#This Row],[Codigo del producto]],Stock[],13,FALSE),"-")</f>
        <v>377.50799999999992</v>
      </c>
      <c r="I246" s="22">
        <f t="shared" si="3"/>
        <v>151.00319999999996</v>
      </c>
      <c r="J246" s="22">
        <f>IFERROR(Pagos[[#This Row],[Cantidad vendida]]*Pagos[[#This Row],[Ganancia unitaria (Vendedor)]],"-")</f>
        <v>151.00319999999996</v>
      </c>
      <c r="K246" s="1">
        <f>IFERROR(Pagos[[#This Row],[Ganancia unitaria]]-Pagos[[#This Row],[Ganancia unitaria (Vendedor)]],"-")</f>
        <v>226.50479999999996</v>
      </c>
      <c r="L246" s="1">
        <f>IFERROR(Pagos[[#This Row],[Cantidad vendida]]*(Pagos[[#This Row],[Ganancia individual (Tienda)]]),"-")</f>
        <v>226.50479999999996</v>
      </c>
      <c r="M246" s="1">
        <f>(VLOOKUP(Pagos[[#This Row],[Codigo del producto]],Stock[],13,FALSE))*Pagos[[#This Row],[Cantidad vendida]]</f>
        <v>822.49200000000008</v>
      </c>
      <c r="N246" s="1" t="s">
        <v>312</v>
      </c>
      <c r="O246" s="1"/>
    </row>
    <row r="247" spans="1:15" ht="17.25" x14ac:dyDescent="0.3">
      <c r="A247" s="1" t="s">
        <v>327</v>
      </c>
      <c r="B247" s="43">
        <v>46085</v>
      </c>
      <c r="C247" s="7" t="s">
        <v>105</v>
      </c>
      <c r="D247" s="20" t="str">
        <f>IFERROR(VLOOKUP(Pagos[[#This Row],[Codigo del producto]],Entradas[],3,FALSE),"No existe")</f>
        <v>Cargadores USB para moto</v>
      </c>
      <c r="E247" s="7">
        <v>2</v>
      </c>
      <c r="F247" s="10">
        <v>600</v>
      </c>
      <c r="G247" s="22">
        <f>IFERROR(Pagos[[#This Row],[Cantidad vendida]]*Pagos[[#This Row],[Precio de venta]],"-")</f>
        <v>1200</v>
      </c>
      <c r="H247" s="22">
        <f>IFERROR(Pagos[[#This Row],[Precio de venta]]-VLOOKUP(Pagos[[#This Row],[Codigo del producto]],Stock[],13,FALSE),"-")</f>
        <v>341.68149999999997</v>
      </c>
      <c r="I247" s="22">
        <f t="shared" si="3"/>
        <v>136.67259999999999</v>
      </c>
      <c r="J247" s="22">
        <f>IFERROR(Pagos[[#This Row],[Cantidad vendida]]*Pagos[[#This Row],[Ganancia unitaria (Vendedor)]],"-")</f>
        <v>273.34519999999998</v>
      </c>
      <c r="K247" s="1">
        <f>IFERROR(Pagos[[#This Row],[Ganancia unitaria]]-Pagos[[#This Row],[Ganancia unitaria (Vendedor)]],"-")</f>
        <v>205.00889999999998</v>
      </c>
      <c r="L247" s="1">
        <f>IFERROR(Pagos[[#This Row],[Cantidad vendida]]*(Pagos[[#This Row],[Ganancia individual (Tienda)]]),"-")</f>
        <v>410.01779999999997</v>
      </c>
      <c r="M247" s="1">
        <f>(VLOOKUP(Pagos[[#This Row],[Codigo del producto]],Stock[],13,FALSE))*Pagos[[#This Row],[Cantidad vendida]]</f>
        <v>516.63700000000006</v>
      </c>
      <c r="N247" s="1" t="s">
        <v>312</v>
      </c>
      <c r="O247" s="1"/>
    </row>
    <row r="248" spans="1:15" ht="17.25" x14ac:dyDescent="0.3">
      <c r="A248" s="1" t="s">
        <v>327</v>
      </c>
      <c r="B248" s="43">
        <v>46085</v>
      </c>
      <c r="C248" s="7" t="s">
        <v>42</v>
      </c>
      <c r="D248" s="20" t="str">
        <f>IFERROR(VLOOKUP(Pagos[[#This Row],[Codigo del producto]],Entradas[],3,FALSE),"No existe")</f>
        <v>Halogenos Grandes</v>
      </c>
      <c r="E248" s="7">
        <v>1</v>
      </c>
      <c r="F248" s="10">
        <v>450</v>
      </c>
      <c r="G248" s="22">
        <f>IFERROR(Pagos[[#This Row],[Cantidad vendida]]*Pagos[[#This Row],[Precio de venta]],"-")</f>
        <v>450</v>
      </c>
      <c r="H248" s="22">
        <f>IFERROR(Pagos[[#This Row],[Precio de venta]]-VLOOKUP(Pagos[[#This Row],[Codigo del producto]],Stock[],13,FALSE),"-")</f>
        <v>276.06799999999998</v>
      </c>
      <c r="I248" s="22">
        <f t="shared" si="3"/>
        <v>124.2306</v>
      </c>
      <c r="J248" s="22">
        <f>IFERROR(Pagos[[#This Row],[Cantidad vendida]]*Pagos[[#This Row],[Ganancia unitaria (Vendedor)]],"-")</f>
        <v>124.2306</v>
      </c>
      <c r="K248" s="1">
        <f>IFERROR(Pagos[[#This Row],[Ganancia unitaria]]-Pagos[[#This Row],[Ganancia unitaria (Vendedor)]],"-")</f>
        <v>151.8374</v>
      </c>
      <c r="L248" s="1">
        <f>IFERROR(Pagos[[#This Row],[Cantidad vendida]]*(Pagos[[#This Row],[Ganancia individual (Tienda)]]),"-")</f>
        <v>151.8374</v>
      </c>
      <c r="M248" s="1">
        <f>(VLOOKUP(Pagos[[#This Row],[Codigo del producto]],Stock[],13,FALSE))*Pagos[[#This Row],[Cantidad vendida]]</f>
        <v>173.93199999999999</v>
      </c>
      <c r="N248" s="1" t="s">
        <v>312</v>
      </c>
      <c r="O248" s="1"/>
    </row>
    <row r="249" spans="1:15" ht="17.25" x14ac:dyDescent="0.3">
      <c r="A249" s="7" t="s">
        <v>313</v>
      </c>
      <c r="B249" s="43">
        <v>46085</v>
      </c>
      <c r="C249" s="7" t="s">
        <v>36</v>
      </c>
      <c r="D249" s="20" t="str">
        <f>IFERROR(VLOOKUP(Pagos[[#This Row],[Codigo del producto]],Entradas[],3,FALSE),"No existe")</f>
        <v>KZ EDX PRO X</v>
      </c>
      <c r="E249" s="7">
        <v>6</v>
      </c>
      <c r="F249" s="10">
        <v>360</v>
      </c>
      <c r="G249" s="22">
        <f>IFERROR(Pagos[[#This Row],[Cantidad vendida]]*Pagos[[#This Row],[Precio de venta]],"-")</f>
        <v>2160</v>
      </c>
      <c r="H249" s="22">
        <f>IFERROR(Pagos[[#This Row],[Precio de venta]]-VLOOKUP(Pagos[[#This Row],[Codigo del producto]],Stock[],13,FALSE),"-")</f>
        <v>196.75450000000001</v>
      </c>
      <c r="I249" s="22">
        <f t="shared" si="3"/>
        <v>88.539525000000012</v>
      </c>
      <c r="J249" s="22">
        <f>IFERROR(Pagos[[#This Row],[Cantidad vendida]]*Pagos[[#This Row],[Ganancia unitaria (Vendedor)]],"-")</f>
        <v>531.23715000000004</v>
      </c>
      <c r="K249" s="1">
        <f>IFERROR(Pagos[[#This Row],[Ganancia unitaria]]-Pagos[[#This Row],[Ganancia unitaria (Vendedor)]],"-")</f>
        <v>108.214975</v>
      </c>
      <c r="L249" s="1">
        <f>IFERROR(Pagos[[#This Row],[Cantidad vendida]]*(Pagos[[#This Row],[Ganancia individual (Tienda)]]),"-")</f>
        <v>649.28985</v>
      </c>
      <c r="M249" s="1">
        <f>(VLOOKUP(Pagos[[#This Row],[Codigo del producto]],Stock[],13,FALSE))*Pagos[[#This Row],[Cantidad vendida]]</f>
        <v>979.47299999999996</v>
      </c>
      <c r="N249" s="1" t="s">
        <v>312</v>
      </c>
      <c r="O249" s="1"/>
    </row>
    <row r="250" spans="1:15" ht="17.25" x14ac:dyDescent="0.3">
      <c r="A250" s="1" t="s">
        <v>327</v>
      </c>
      <c r="B250" s="43">
        <v>46086</v>
      </c>
      <c r="C250" s="7" t="s">
        <v>101</v>
      </c>
      <c r="D250" s="20" t="str">
        <f>IFERROR(VLOOKUP(Pagos[[#This Row],[Codigo del producto]],Entradas[],3,FALSE),"No existe")</f>
        <v xml:space="preserve">Shark Attack Mouse X11 Black </v>
      </c>
      <c r="E250" s="7">
        <v>1</v>
      </c>
      <c r="F250" s="10">
        <v>1200</v>
      </c>
      <c r="G250" s="22">
        <f>IFERROR(Pagos[[#This Row],[Cantidad vendida]]*Pagos[[#This Row],[Precio de venta]],"-")</f>
        <v>1200</v>
      </c>
      <c r="H250" s="22">
        <f>IFERROR(Pagos[[#This Row],[Precio de venta]]-VLOOKUP(Pagos[[#This Row],[Codigo del producto]],Stock[],13,FALSE),"-")</f>
        <v>377.50799999999992</v>
      </c>
      <c r="I250" s="22">
        <f t="shared" si="3"/>
        <v>151.00319999999996</v>
      </c>
      <c r="J250" s="22">
        <f>IFERROR(Pagos[[#This Row],[Cantidad vendida]]*Pagos[[#This Row],[Ganancia unitaria (Vendedor)]],"-")</f>
        <v>151.00319999999996</v>
      </c>
      <c r="K250" s="1">
        <f>IFERROR(Pagos[[#This Row],[Ganancia unitaria]]-Pagos[[#This Row],[Ganancia unitaria (Vendedor)]],"-")</f>
        <v>226.50479999999996</v>
      </c>
      <c r="L250" s="1">
        <f>IFERROR(Pagos[[#This Row],[Cantidad vendida]]*(Pagos[[#This Row],[Ganancia individual (Tienda)]]),"-")</f>
        <v>226.50479999999996</v>
      </c>
      <c r="M250" s="1">
        <f>(VLOOKUP(Pagos[[#This Row],[Codigo del producto]],Stock[],13,FALSE))*Pagos[[#This Row],[Cantidad vendida]]</f>
        <v>822.49200000000008</v>
      </c>
      <c r="N250" s="1" t="s">
        <v>312</v>
      </c>
      <c r="O250" s="1"/>
    </row>
    <row r="251" spans="1:15" ht="17.25" x14ac:dyDescent="0.3">
      <c r="A251" s="7" t="s">
        <v>313</v>
      </c>
      <c r="B251" s="43">
        <v>46086</v>
      </c>
      <c r="C251" s="7" t="s">
        <v>71</v>
      </c>
      <c r="D251" s="20" t="str">
        <f>IFERROR(VLOOKUP(Pagos[[#This Row],[Codigo del producto]],Entradas[],3,FALSE),"No existe")</f>
        <v>KZ Castor Improved Bass</v>
      </c>
      <c r="E251" s="7">
        <v>1</v>
      </c>
      <c r="F251" s="10">
        <v>650</v>
      </c>
      <c r="G251" s="22">
        <f>IFERROR(Pagos[[#This Row],[Cantidad vendida]]*Pagos[[#This Row],[Precio de venta]],"-")</f>
        <v>650</v>
      </c>
      <c r="H251" s="22">
        <f>IFERROR(Pagos[[#This Row],[Precio de venta]]-VLOOKUP(Pagos[[#This Row],[Codigo del producto]],Stock[],13,FALSE),"-")</f>
        <v>277.815</v>
      </c>
      <c r="I251" s="22">
        <f t="shared" si="3"/>
        <v>125.01675</v>
      </c>
      <c r="J251" s="22">
        <f>IFERROR(Pagos[[#This Row],[Cantidad vendida]]*Pagos[[#This Row],[Ganancia unitaria (Vendedor)]],"-")</f>
        <v>125.01675</v>
      </c>
      <c r="K251" s="1">
        <f>IFERROR(Pagos[[#This Row],[Ganancia unitaria]]-Pagos[[#This Row],[Ganancia unitaria (Vendedor)]],"-")</f>
        <v>152.79825</v>
      </c>
      <c r="L251" s="1">
        <f>IFERROR(Pagos[[#This Row],[Cantidad vendida]]*(Pagos[[#This Row],[Ganancia individual (Tienda)]]),"-")</f>
        <v>152.79825</v>
      </c>
      <c r="M251" s="1">
        <f>(VLOOKUP(Pagos[[#This Row],[Codigo del producto]],Stock[],13,FALSE))*Pagos[[#This Row],[Cantidad vendida]]</f>
        <v>372.185</v>
      </c>
      <c r="N251" s="1" t="s">
        <v>312</v>
      </c>
      <c r="O251" s="1"/>
    </row>
    <row r="252" spans="1:15" ht="17.25" x14ac:dyDescent="0.3">
      <c r="A252" s="7" t="s">
        <v>313</v>
      </c>
      <c r="B252" s="43">
        <v>46086</v>
      </c>
      <c r="C252" s="7" t="s">
        <v>61</v>
      </c>
      <c r="D252" s="20" t="str">
        <f>IFERROR(VLOOKUP(Pagos[[#This Row],[Codigo del producto]],Entradas[],3,FALSE),"No existe")</f>
        <v xml:space="preserve">Adaptador DAC </v>
      </c>
      <c r="E252" s="7">
        <v>1</v>
      </c>
      <c r="F252" s="10">
        <v>300</v>
      </c>
      <c r="G252" s="22">
        <f>IFERROR(Pagos[[#This Row],[Cantidad vendida]]*Pagos[[#This Row],[Precio de venta]],"-")</f>
        <v>300</v>
      </c>
      <c r="H252" s="22">
        <f>IFERROR(Pagos[[#This Row],[Precio de venta]]-VLOOKUP(Pagos[[#This Row],[Codigo del producto]],Stock[],13,FALSE),"-")</f>
        <v>164.392</v>
      </c>
      <c r="I252" s="22">
        <f t="shared" si="3"/>
        <v>73.976399999999998</v>
      </c>
      <c r="J252" s="22">
        <f>IFERROR(Pagos[[#This Row],[Cantidad vendida]]*Pagos[[#This Row],[Ganancia unitaria (Vendedor)]],"-")</f>
        <v>73.976399999999998</v>
      </c>
      <c r="K252" s="1">
        <f>IFERROR(Pagos[[#This Row],[Ganancia unitaria]]-Pagos[[#This Row],[Ganancia unitaria (Vendedor)]],"-")</f>
        <v>90.415599999999998</v>
      </c>
      <c r="L252" s="1">
        <f>IFERROR(Pagos[[#This Row],[Cantidad vendida]]*(Pagos[[#This Row],[Ganancia individual (Tienda)]]),"-")</f>
        <v>90.415599999999998</v>
      </c>
      <c r="M252" s="1">
        <f>(VLOOKUP(Pagos[[#This Row],[Codigo del producto]],Stock[],13,FALSE))*Pagos[[#This Row],[Cantidad vendida]]</f>
        <v>135.608</v>
      </c>
      <c r="N252" s="1" t="s">
        <v>312</v>
      </c>
      <c r="O252" s="1"/>
    </row>
    <row r="253" spans="1:15" ht="17.25" x14ac:dyDescent="0.3">
      <c r="A253" s="10" t="s">
        <v>315</v>
      </c>
      <c r="B253" s="43">
        <v>46087</v>
      </c>
      <c r="C253" s="7" t="s">
        <v>62</v>
      </c>
      <c r="D253" s="20" t="str">
        <f>IFERROR(VLOOKUP(Pagos[[#This Row],[Codigo del producto]],Entradas[],3,FALSE),"No existe")</f>
        <v>Monitor 1080 27 pulgadas</v>
      </c>
      <c r="E253" s="7">
        <v>1</v>
      </c>
      <c r="F253" s="10">
        <v>4390</v>
      </c>
      <c r="G253" s="22">
        <f>IFERROR(Pagos[[#This Row],[Cantidad vendida]]*Pagos[[#This Row],[Precio de venta]],"-")</f>
        <v>4390</v>
      </c>
      <c r="H253" s="22">
        <f>IFERROR(Pagos[[#This Row],[Precio de venta]]-VLOOKUP(Pagos[[#This Row],[Codigo del producto]],Stock[],13,FALSE),"-")</f>
        <v>962.94999999999982</v>
      </c>
      <c r="I253" s="22">
        <f t="shared" si="3"/>
        <v>337.03249999999991</v>
      </c>
      <c r="J253" s="22">
        <f>IFERROR(Pagos[[#This Row],[Cantidad vendida]]*Pagos[[#This Row],[Ganancia unitaria (Vendedor)]],"-")</f>
        <v>337.03249999999991</v>
      </c>
      <c r="K253" s="1">
        <f>IFERROR(Pagos[[#This Row],[Ganancia unitaria]]-Pagos[[#This Row],[Ganancia unitaria (Vendedor)]],"-")</f>
        <v>625.9174999999999</v>
      </c>
      <c r="L253" s="1">
        <f>IFERROR(Pagos[[#This Row],[Cantidad vendida]]*(Pagos[[#This Row],[Ganancia individual (Tienda)]]),"-")</f>
        <v>625.9174999999999</v>
      </c>
      <c r="M253" s="1">
        <f>(VLOOKUP(Pagos[[#This Row],[Codigo del producto]],Stock[],13,FALSE))*Pagos[[#This Row],[Cantidad vendida]]</f>
        <v>3427.05</v>
      </c>
      <c r="N253" s="1" t="s">
        <v>312</v>
      </c>
      <c r="O253" s="1" t="s">
        <v>351</v>
      </c>
    </row>
    <row r="254" spans="1:15" ht="17.25" x14ac:dyDescent="0.3">
      <c r="A254" s="7" t="s">
        <v>311</v>
      </c>
      <c r="B254" s="43">
        <v>46087</v>
      </c>
      <c r="C254" s="7" t="s">
        <v>51</v>
      </c>
      <c r="D254" s="20" t="str">
        <f>IFERROR(VLOOKUP(Pagos[[#This Row],[Codigo del producto]],Entradas[],3,FALSE),"No existe")</f>
        <v>Pantalla para moto 5 inch</v>
      </c>
      <c r="E254" s="7">
        <v>1</v>
      </c>
      <c r="F254" s="10">
        <v>2400</v>
      </c>
      <c r="G254" s="22">
        <f>IFERROR(Pagos[[#This Row],[Cantidad vendida]]*Pagos[[#This Row],[Precio de venta]],"-")</f>
        <v>2400</v>
      </c>
      <c r="H254" s="22">
        <f>IFERROR(Pagos[[#This Row],[Precio de venta]]-VLOOKUP(Pagos[[#This Row],[Codigo del producto]],Stock[],13,FALSE),"-")</f>
        <v>662.52250000000004</v>
      </c>
      <c r="I254" s="22">
        <f t="shared" si="3"/>
        <v>251.75855000000001</v>
      </c>
      <c r="J254" s="22">
        <f>IFERROR(Pagos[[#This Row],[Cantidad vendida]]*Pagos[[#This Row],[Ganancia unitaria (Vendedor)]],"-")</f>
        <v>251.75855000000001</v>
      </c>
      <c r="K254" s="1">
        <f>IFERROR(Pagos[[#This Row],[Ganancia unitaria]]-Pagos[[#This Row],[Ganancia unitaria (Vendedor)]],"-")</f>
        <v>410.76395000000002</v>
      </c>
      <c r="L254" s="1">
        <f>IFERROR(Pagos[[#This Row],[Cantidad vendida]]*(Pagos[[#This Row],[Ganancia individual (Tienda)]]),"-")</f>
        <v>410.76395000000002</v>
      </c>
      <c r="M254" s="1">
        <f>(VLOOKUP(Pagos[[#This Row],[Codigo del producto]],Stock[],13,FALSE))*Pagos[[#This Row],[Cantidad vendida]]</f>
        <v>1737.4775</v>
      </c>
      <c r="N254" s="1" t="s">
        <v>334</v>
      </c>
      <c r="O254" s="1"/>
    </row>
    <row r="255" spans="1:15" ht="17.25" x14ac:dyDescent="0.3">
      <c r="A255" s="10" t="s">
        <v>321</v>
      </c>
      <c r="B255" s="43">
        <v>46087</v>
      </c>
      <c r="C255" s="7" t="s">
        <v>44</v>
      </c>
      <c r="D255" s="20" t="str">
        <f>IFERROR(VLOOKUP(Pagos[[#This Row],[Codigo del producto]],Entradas[],3,FALSE),"No existe")</f>
        <v>KZ Castor PRO Improved Bass</v>
      </c>
      <c r="E255" s="7">
        <v>1</v>
      </c>
      <c r="F255" s="10">
        <v>900</v>
      </c>
      <c r="G255" s="22">
        <f>IFERROR(Pagos[[#This Row],[Cantidad vendida]]*Pagos[[#This Row],[Precio de venta]],"-")</f>
        <v>900</v>
      </c>
      <c r="H255" s="22">
        <f>IFERROR(Pagos[[#This Row],[Precio de venta]]-VLOOKUP(Pagos[[#This Row],[Codigo del producto]],Stock[],13,FALSE),"-")</f>
        <v>430.53099999999995</v>
      </c>
      <c r="I255" s="22">
        <f t="shared" si="3"/>
        <v>172.2124</v>
      </c>
      <c r="J255" s="22">
        <f>IFERROR(Pagos[[#This Row],[Cantidad vendida]]*Pagos[[#This Row],[Ganancia unitaria (Vendedor)]],"-")</f>
        <v>172.2124</v>
      </c>
      <c r="K255" s="1">
        <f>IFERROR(Pagos[[#This Row],[Ganancia unitaria]]-Pagos[[#This Row],[Ganancia unitaria (Vendedor)]],"-")</f>
        <v>258.31859999999995</v>
      </c>
      <c r="L255" s="1">
        <f>IFERROR(Pagos[[#This Row],[Cantidad vendida]]*(Pagos[[#This Row],[Ganancia individual (Tienda)]]),"-")</f>
        <v>258.31859999999995</v>
      </c>
      <c r="M255" s="1">
        <f>(VLOOKUP(Pagos[[#This Row],[Codigo del producto]],Stock[],13,FALSE))*Pagos[[#This Row],[Cantidad vendida]]</f>
        <v>469.46900000000005</v>
      </c>
      <c r="N255" s="1" t="s">
        <v>312</v>
      </c>
      <c r="O255" s="1"/>
    </row>
    <row r="256" spans="1:15" ht="17.25" x14ac:dyDescent="0.3">
      <c r="A256" s="1" t="s">
        <v>327</v>
      </c>
      <c r="B256" s="43">
        <v>46087</v>
      </c>
      <c r="C256" s="7" t="s">
        <v>72</v>
      </c>
      <c r="D256" s="20" t="str">
        <f>IFERROR(VLOOKUP(Pagos[[#This Row],[Codigo del producto]],Entradas[],3,FALSE),"No existe")</f>
        <v>KZ AZ09 Bluetooth Adapter</v>
      </c>
      <c r="E256" s="7">
        <v>1</v>
      </c>
      <c r="F256" s="10">
        <v>1000</v>
      </c>
      <c r="G256" s="22">
        <f>IFERROR(Pagos[[#This Row],[Cantidad vendida]]*Pagos[[#This Row],[Precio de venta]],"-")</f>
        <v>1000</v>
      </c>
      <c r="H256" s="22">
        <f>IFERROR(Pagos[[#This Row],[Precio de venta]]-VLOOKUP(Pagos[[#This Row],[Codigo del producto]],Stock[],13,FALSE),"-")</f>
        <v>388.28999999999996</v>
      </c>
      <c r="I256" s="22">
        <f t="shared" si="3"/>
        <v>155.316</v>
      </c>
      <c r="J256" s="22">
        <f>IFERROR(Pagos[[#This Row],[Cantidad vendida]]*Pagos[[#This Row],[Ganancia unitaria (Vendedor)]],"-")</f>
        <v>155.316</v>
      </c>
      <c r="K256" s="1">
        <f>IFERROR(Pagos[[#This Row],[Ganancia unitaria]]-Pagos[[#This Row],[Ganancia unitaria (Vendedor)]],"-")</f>
        <v>232.97399999999996</v>
      </c>
      <c r="L256" s="1">
        <f>IFERROR(Pagos[[#This Row],[Cantidad vendida]]*(Pagos[[#This Row],[Ganancia individual (Tienda)]]),"-")</f>
        <v>232.97399999999996</v>
      </c>
      <c r="M256" s="1">
        <f>(VLOOKUP(Pagos[[#This Row],[Codigo del producto]],Stock[],13,FALSE))*Pagos[[#This Row],[Cantidad vendida]]</f>
        <v>611.71</v>
      </c>
      <c r="N256" s="1" t="s">
        <v>334</v>
      </c>
      <c r="O256" s="1"/>
    </row>
    <row r="257" spans="1:15" ht="17.25" x14ac:dyDescent="0.3">
      <c r="A257" s="1" t="s">
        <v>327</v>
      </c>
      <c r="B257" s="43">
        <v>46087</v>
      </c>
      <c r="C257" s="7" t="s">
        <v>101</v>
      </c>
      <c r="D257" s="20" t="str">
        <f>IFERROR(VLOOKUP(Pagos[[#This Row],[Codigo del producto]],Entradas[],3,FALSE),"No existe")</f>
        <v xml:space="preserve">Shark Attack Mouse X11 Black </v>
      </c>
      <c r="E257" s="7">
        <v>2</v>
      </c>
      <c r="F257" s="10">
        <v>1200</v>
      </c>
      <c r="G257" s="22">
        <f>IFERROR(Pagos[[#This Row],[Cantidad vendida]]*Pagos[[#This Row],[Precio de venta]],"-")</f>
        <v>2400</v>
      </c>
      <c r="H257" s="22">
        <f>IFERROR(Pagos[[#This Row],[Precio de venta]]-VLOOKUP(Pagos[[#This Row],[Codigo del producto]],Stock[],13,FALSE),"-")</f>
        <v>377.50799999999992</v>
      </c>
      <c r="I257" s="22">
        <f t="shared" si="3"/>
        <v>151.00319999999996</v>
      </c>
      <c r="J257" s="22">
        <f>IFERROR(Pagos[[#This Row],[Cantidad vendida]]*Pagos[[#This Row],[Ganancia unitaria (Vendedor)]],"-")</f>
        <v>302.00639999999993</v>
      </c>
      <c r="K257" s="1">
        <f>IFERROR(Pagos[[#This Row],[Ganancia unitaria]]-Pagos[[#This Row],[Ganancia unitaria (Vendedor)]],"-")</f>
        <v>226.50479999999996</v>
      </c>
      <c r="L257" s="1">
        <f>IFERROR(Pagos[[#This Row],[Cantidad vendida]]*(Pagos[[#This Row],[Ganancia individual (Tienda)]]),"-")</f>
        <v>453.00959999999992</v>
      </c>
      <c r="M257" s="1">
        <f>(VLOOKUP(Pagos[[#This Row],[Codigo del producto]],Stock[],13,FALSE))*Pagos[[#This Row],[Cantidad vendida]]</f>
        <v>1644.9840000000002</v>
      </c>
      <c r="N257" s="1" t="s">
        <v>334</v>
      </c>
      <c r="O257" s="1"/>
    </row>
    <row r="258" spans="1:15" ht="17.25" x14ac:dyDescent="0.3">
      <c r="A258" s="7" t="s">
        <v>313</v>
      </c>
      <c r="B258" s="43">
        <v>46087</v>
      </c>
      <c r="C258" s="7" t="s">
        <v>106</v>
      </c>
      <c r="D258" s="20" t="str">
        <f>IFERROR(VLOOKUP(Pagos[[#This Row],[Codigo del producto]],Entradas[],3,FALSE),"No existe")</f>
        <v>Shark Attack Mouse X11 white</v>
      </c>
      <c r="E258" s="7">
        <v>1</v>
      </c>
      <c r="F258" s="10">
        <v>1200</v>
      </c>
      <c r="G258" s="22">
        <f>IFERROR(Pagos[[#This Row],[Cantidad vendida]]*Pagos[[#This Row],[Precio de venta]],"-")</f>
        <v>1200</v>
      </c>
      <c r="H258" s="22">
        <f>IFERROR(Pagos[[#This Row],[Precio de venta]]-VLOOKUP(Pagos[[#This Row],[Codigo del producto]],Stock[],13,FALSE),"-")</f>
        <v>377.50799999999992</v>
      </c>
      <c r="I258" s="22">
        <f t="shared" si="3"/>
        <v>151.00319999999996</v>
      </c>
      <c r="J258" s="22">
        <f>IFERROR(Pagos[[#This Row],[Cantidad vendida]]*Pagos[[#This Row],[Ganancia unitaria (Vendedor)]],"-")</f>
        <v>151.00319999999996</v>
      </c>
      <c r="K258" s="1">
        <f>IFERROR(Pagos[[#This Row],[Ganancia unitaria]]-Pagos[[#This Row],[Ganancia unitaria (Vendedor)]],"-")</f>
        <v>226.50479999999996</v>
      </c>
      <c r="L258" s="1">
        <f>IFERROR(Pagos[[#This Row],[Cantidad vendida]]*(Pagos[[#This Row],[Ganancia individual (Tienda)]]),"-")</f>
        <v>226.50479999999996</v>
      </c>
      <c r="M258" s="1">
        <f>(VLOOKUP(Pagos[[#This Row],[Codigo del producto]],Stock[],13,FALSE))*Pagos[[#This Row],[Cantidad vendida]]</f>
        <v>822.49200000000008</v>
      </c>
      <c r="N258" s="1" t="s">
        <v>334</v>
      </c>
      <c r="O258" s="1"/>
    </row>
    <row r="259" spans="1:15" ht="17.25" x14ac:dyDescent="0.3">
      <c r="A259" s="7" t="s">
        <v>313</v>
      </c>
      <c r="B259" s="43">
        <v>46087</v>
      </c>
      <c r="C259" s="7" t="s">
        <v>71</v>
      </c>
      <c r="D259" s="20" t="str">
        <f>IFERROR(VLOOKUP(Pagos[[#This Row],[Codigo del producto]],Entradas[],3,FALSE),"No existe")</f>
        <v>KZ Castor Improved Bass</v>
      </c>
      <c r="E259" s="7">
        <v>1</v>
      </c>
      <c r="F259" s="10">
        <v>650</v>
      </c>
      <c r="G259" s="22">
        <f>IFERROR(Pagos[[#This Row],[Cantidad vendida]]*Pagos[[#This Row],[Precio de venta]],"-")</f>
        <v>650</v>
      </c>
      <c r="H259" s="22">
        <f>IFERROR(Pagos[[#This Row],[Precio de venta]]-VLOOKUP(Pagos[[#This Row],[Codigo del producto]],Stock[],13,FALSE),"-")</f>
        <v>277.815</v>
      </c>
      <c r="I259" s="22">
        <f t="shared" si="3"/>
        <v>125.01675</v>
      </c>
      <c r="J259" s="22">
        <f>IFERROR(Pagos[[#This Row],[Cantidad vendida]]*Pagos[[#This Row],[Ganancia unitaria (Vendedor)]],"-")</f>
        <v>125.01675</v>
      </c>
      <c r="K259" s="1">
        <f>IFERROR(Pagos[[#This Row],[Ganancia unitaria]]-Pagos[[#This Row],[Ganancia unitaria (Vendedor)]],"-")</f>
        <v>152.79825</v>
      </c>
      <c r="L259" s="1">
        <f>IFERROR(Pagos[[#This Row],[Cantidad vendida]]*(Pagos[[#This Row],[Ganancia individual (Tienda)]]),"-")</f>
        <v>152.79825</v>
      </c>
      <c r="M259" s="1">
        <f>(VLOOKUP(Pagos[[#This Row],[Codigo del producto]],Stock[],13,FALSE))*Pagos[[#This Row],[Cantidad vendida]]</f>
        <v>372.185</v>
      </c>
      <c r="N259" s="1" t="s">
        <v>334</v>
      </c>
      <c r="O259" s="1"/>
    </row>
    <row r="260" spans="1:15" ht="17.25" x14ac:dyDescent="0.3">
      <c r="A260" s="1" t="s">
        <v>327</v>
      </c>
      <c r="B260" s="43">
        <v>46087</v>
      </c>
      <c r="C260" s="7" t="s">
        <v>29</v>
      </c>
      <c r="D260" s="20" t="str">
        <f>IFERROR(VLOOKUP(Pagos[[#This Row],[Codigo del producto]],Entradas[],3,FALSE),"No existe")</f>
        <v>KZ EDX PRO X</v>
      </c>
      <c r="E260" s="7">
        <v>1</v>
      </c>
      <c r="F260" s="10">
        <v>400</v>
      </c>
      <c r="G260" s="22">
        <f>IFERROR(Pagos[[#This Row],[Cantidad vendida]]*Pagos[[#This Row],[Precio de venta]],"-")</f>
        <v>400</v>
      </c>
      <c r="H260" s="22">
        <f>IFERROR(Pagos[[#This Row],[Precio de venta]]-VLOOKUP(Pagos[[#This Row],[Codigo del producto]],Stock[],13,FALSE),"-")</f>
        <v>238.59700000000001</v>
      </c>
      <c r="I260" s="22">
        <f t="shared" ref="I260:I323" si="4">IFERROR(
  IF(H260&lt;=0,"-",
    IF(H260&lt;=300, H260*0.45,
      IF(H260&lt;=600, H260*0.4,
        IF(H260&lt;=900, H260*0.38,
          IF(H260&lt;=1000, H260*0.35,
            IF(H260&lt;=1400, H260*0.32,
              IF(H260&lt;=1800, H260*0.3,
                IF(H260&gt;=2000, H260*0.28,
                  "-"
                )
              )
            )
          )
        )
      )
    )
  ),
  "-"
)</f>
        <v>107.36865</v>
      </c>
      <c r="J260" s="22">
        <f>IFERROR(Pagos[[#This Row],[Cantidad vendida]]*Pagos[[#This Row],[Ganancia unitaria (Vendedor)]],"-")</f>
        <v>107.36865</v>
      </c>
      <c r="K260" s="1">
        <f>IFERROR(Pagos[[#This Row],[Ganancia unitaria]]-Pagos[[#This Row],[Ganancia unitaria (Vendedor)]],"-")</f>
        <v>131.22835000000001</v>
      </c>
      <c r="L260" s="1">
        <f>IFERROR(Pagos[[#This Row],[Cantidad vendida]]*(Pagos[[#This Row],[Ganancia individual (Tienda)]]),"-")</f>
        <v>131.22835000000001</v>
      </c>
      <c r="M260" s="1">
        <f>(VLOOKUP(Pagos[[#This Row],[Codigo del producto]],Stock[],13,FALSE))*Pagos[[#This Row],[Cantidad vendida]]</f>
        <v>161.40299999999999</v>
      </c>
      <c r="N260" s="1" t="s">
        <v>334</v>
      </c>
      <c r="O260" s="1"/>
    </row>
    <row r="261" spans="1:15" ht="17.25" x14ac:dyDescent="0.3">
      <c r="A261" s="1" t="s">
        <v>327</v>
      </c>
      <c r="B261" s="43">
        <v>46087</v>
      </c>
      <c r="C261" s="7" t="s">
        <v>38</v>
      </c>
      <c r="D261" s="20" t="str">
        <f>IFERROR(VLOOKUP(Pagos[[#This Row],[Codigo del producto]],Entradas[],3,FALSE),"No existe")</f>
        <v>Headset Bluetooth para moto</v>
      </c>
      <c r="E261" s="7">
        <v>1</v>
      </c>
      <c r="F261" s="10">
        <v>500</v>
      </c>
      <c r="G261" s="22">
        <f>IFERROR(Pagos[[#This Row],[Cantidad vendida]]*Pagos[[#This Row],[Precio de venta]],"-")</f>
        <v>500</v>
      </c>
      <c r="H261" s="22">
        <f>IFERROR(Pagos[[#This Row],[Precio de venta]]-VLOOKUP(Pagos[[#This Row],[Codigo del producto]],Stock[],13,FALSE),"-")</f>
        <v>226.94149999999996</v>
      </c>
      <c r="I261" s="22">
        <f t="shared" si="4"/>
        <v>102.12367499999999</v>
      </c>
      <c r="J261" s="22">
        <f>IFERROR(Pagos[[#This Row],[Cantidad vendida]]*Pagos[[#This Row],[Ganancia unitaria (Vendedor)]],"-")</f>
        <v>102.12367499999999</v>
      </c>
      <c r="K261" s="1">
        <f>IFERROR(Pagos[[#This Row],[Ganancia unitaria]]-Pagos[[#This Row],[Ganancia unitaria (Vendedor)]],"-")</f>
        <v>124.81782499999997</v>
      </c>
      <c r="L261" s="1">
        <f>IFERROR(Pagos[[#This Row],[Cantidad vendida]]*(Pagos[[#This Row],[Ganancia individual (Tienda)]]),"-")</f>
        <v>124.81782499999997</v>
      </c>
      <c r="M261" s="1">
        <f>(VLOOKUP(Pagos[[#This Row],[Codigo del producto]],Stock[],13,FALSE))*Pagos[[#This Row],[Cantidad vendida]]</f>
        <v>273.05850000000004</v>
      </c>
      <c r="N261" s="1" t="s">
        <v>334</v>
      </c>
      <c r="O261" s="1"/>
    </row>
    <row r="262" spans="1:15" ht="17.25" x14ac:dyDescent="0.3">
      <c r="A262" s="10" t="s">
        <v>336</v>
      </c>
      <c r="B262" s="43">
        <v>46087</v>
      </c>
      <c r="C262" s="7" t="s">
        <v>67</v>
      </c>
      <c r="D262" s="20" t="str">
        <f>IFERROR(VLOOKUP(Pagos[[#This Row],[Codigo del producto]],Entradas[],3,FALSE),"No existe")</f>
        <v>Cable de Repuesto KZ Tipo C</v>
      </c>
      <c r="E262" s="7">
        <v>1</v>
      </c>
      <c r="F262" s="10">
        <v>400</v>
      </c>
      <c r="G262" s="22">
        <f>IFERROR(Pagos[[#This Row],[Cantidad vendida]]*Pagos[[#This Row],[Precio de venta]],"-")</f>
        <v>400</v>
      </c>
      <c r="H262" s="22">
        <f>IFERROR(Pagos[[#This Row],[Precio de venta]]-VLOOKUP(Pagos[[#This Row],[Codigo del producto]],Stock[],13,FALSE),"-")</f>
        <v>205.0635</v>
      </c>
      <c r="I262" s="22">
        <f t="shared" si="4"/>
        <v>92.278575000000004</v>
      </c>
      <c r="J262" s="22">
        <f>IFERROR(Pagos[[#This Row],[Cantidad vendida]]*Pagos[[#This Row],[Ganancia unitaria (Vendedor)]],"-")</f>
        <v>92.278575000000004</v>
      </c>
      <c r="K262" s="1">
        <f>IFERROR(Pagos[[#This Row],[Ganancia unitaria]]-Pagos[[#This Row],[Ganancia unitaria (Vendedor)]],"-")</f>
        <v>112.784925</v>
      </c>
      <c r="L262" s="1">
        <f>IFERROR(Pagos[[#This Row],[Cantidad vendida]]*(Pagos[[#This Row],[Ganancia individual (Tienda)]]),"-")</f>
        <v>112.784925</v>
      </c>
      <c r="M262" s="1">
        <f>(VLOOKUP(Pagos[[#This Row],[Codigo del producto]],Stock[],13,FALSE))*Pagos[[#This Row],[Cantidad vendida]]</f>
        <v>194.9365</v>
      </c>
      <c r="N262" s="1" t="s">
        <v>312</v>
      </c>
      <c r="O262" s="1"/>
    </row>
    <row r="263" spans="1:15" s="53" customFormat="1" ht="17.25" x14ac:dyDescent="0.3">
      <c r="A263" s="7" t="s">
        <v>313</v>
      </c>
      <c r="B263" s="43">
        <v>46087</v>
      </c>
      <c r="C263" s="7" t="s">
        <v>67</v>
      </c>
      <c r="D263" s="20" t="str">
        <f>IFERROR(VLOOKUP(Pagos[[#This Row],[Codigo del producto]],Entradas[],3,FALSE),"No existe")</f>
        <v>Cable de Repuesto KZ Tipo C</v>
      </c>
      <c r="E263" s="7">
        <v>1</v>
      </c>
      <c r="F263" s="10">
        <v>400</v>
      </c>
      <c r="G263" s="22">
        <f>IFERROR(Pagos[[#This Row],[Cantidad vendida]]*Pagos[[#This Row],[Precio de venta]],"-")</f>
        <v>400</v>
      </c>
      <c r="H263" s="22">
        <f>IFERROR(Pagos[[#This Row],[Precio de venta]]-VLOOKUP(Pagos[[#This Row],[Codigo del producto]],Stock[],13,FALSE),"-")</f>
        <v>205.0635</v>
      </c>
      <c r="I263" s="22">
        <f t="shared" si="4"/>
        <v>92.278575000000004</v>
      </c>
      <c r="J263" s="22">
        <f>IFERROR(Pagos[[#This Row],[Cantidad vendida]]*Pagos[[#This Row],[Ganancia unitaria (Vendedor)]],"-")</f>
        <v>92.278575000000004</v>
      </c>
      <c r="K263" s="1">
        <f>IFERROR(Pagos[[#This Row],[Ganancia unitaria]]-Pagos[[#This Row],[Ganancia unitaria (Vendedor)]],"-")</f>
        <v>112.784925</v>
      </c>
      <c r="L263" s="1">
        <f>IFERROR(Pagos[[#This Row],[Cantidad vendida]]*(Pagos[[#This Row],[Ganancia individual (Tienda)]]),"-")</f>
        <v>112.784925</v>
      </c>
      <c r="M263" s="1">
        <f>(VLOOKUP(Pagos[[#This Row],[Codigo del producto]],Stock[],13,FALSE))*Pagos[[#This Row],[Cantidad vendida]]</f>
        <v>194.9365</v>
      </c>
      <c r="N263" s="1" t="s">
        <v>334</v>
      </c>
      <c r="O263" s="1"/>
    </row>
    <row r="264" spans="1:15" ht="17.25" x14ac:dyDescent="0.3">
      <c r="A264" s="1" t="s">
        <v>327</v>
      </c>
      <c r="B264" s="43">
        <v>46088</v>
      </c>
      <c r="C264" s="7" t="s">
        <v>71</v>
      </c>
      <c r="D264" s="20" t="str">
        <f>IFERROR(VLOOKUP(Pagos[[#This Row],[Codigo del producto]],Entradas[],3,FALSE),"No existe")</f>
        <v>KZ Castor Improved Bass</v>
      </c>
      <c r="E264" s="7">
        <v>1</v>
      </c>
      <c r="F264" s="10">
        <v>650</v>
      </c>
      <c r="G264" s="22">
        <f>IFERROR(Pagos[[#This Row],[Cantidad vendida]]*Pagos[[#This Row],[Precio de venta]],"-")</f>
        <v>650</v>
      </c>
      <c r="H264" s="22">
        <f>IFERROR(Pagos[[#This Row],[Precio de venta]]-VLOOKUP(Pagos[[#This Row],[Codigo del producto]],Stock[],13,FALSE),"-")</f>
        <v>277.815</v>
      </c>
      <c r="I264" s="22">
        <f t="shared" si="4"/>
        <v>125.01675</v>
      </c>
      <c r="J264" s="22">
        <f>IFERROR(Pagos[[#This Row],[Cantidad vendida]]*Pagos[[#This Row],[Ganancia unitaria (Vendedor)]],"-")</f>
        <v>125.01675</v>
      </c>
      <c r="K264" s="1">
        <f>IFERROR(Pagos[[#This Row],[Ganancia unitaria]]-Pagos[[#This Row],[Ganancia unitaria (Vendedor)]],"-")</f>
        <v>152.79825</v>
      </c>
      <c r="L264" s="1">
        <f>IFERROR(Pagos[[#This Row],[Cantidad vendida]]*(Pagos[[#This Row],[Ganancia individual (Tienda)]]),"-")</f>
        <v>152.79825</v>
      </c>
      <c r="M264" s="1">
        <f>(VLOOKUP(Pagos[[#This Row],[Codigo del producto]],Stock[],13,FALSE))*Pagos[[#This Row],[Cantidad vendida]]</f>
        <v>372.185</v>
      </c>
      <c r="N264" s="1" t="s">
        <v>334</v>
      </c>
      <c r="O264" s="1"/>
    </row>
    <row r="265" spans="1:15" ht="17.25" x14ac:dyDescent="0.3">
      <c r="A265" s="10" t="s">
        <v>315</v>
      </c>
      <c r="B265" s="43">
        <v>46088</v>
      </c>
      <c r="C265" s="7" t="s">
        <v>38</v>
      </c>
      <c r="D265" s="20" t="str">
        <f>IFERROR(VLOOKUP(Pagos[[#This Row],[Codigo del producto]],Entradas[],3,FALSE),"No existe")</f>
        <v>Headset Bluetooth para moto</v>
      </c>
      <c r="E265" s="7">
        <v>1</v>
      </c>
      <c r="F265" s="10">
        <v>500</v>
      </c>
      <c r="G265" s="22">
        <f>IFERROR(Pagos[[#This Row],[Cantidad vendida]]*Pagos[[#This Row],[Precio de venta]],"-")</f>
        <v>500</v>
      </c>
      <c r="H265" s="22">
        <f>IFERROR(Pagos[[#This Row],[Precio de venta]]-VLOOKUP(Pagos[[#This Row],[Codigo del producto]],Stock[],13,FALSE),"-")</f>
        <v>226.94149999999996</v>
      </c>
      <c r="I265" s="22">
        <f t="shared" si="4"/>
        <v>102.12367499999999</v>
      </c>
      <c r="J265" s="22">
        <f>IFERROR(Pagos[[#This Row],[Cantidad vendida]]*Pagos[[#This Row],[Ganancia unitaria (Vendedor)]],"-")</f>
        <v>102.12367499999999</v>
      </c>
      <c r="K265" s="1">
        <f>IFERROR(Pagos[[#This Row],[Ganancia unitaria]]-Pagos[[#This Row],[Ganancia unitaria (Vendedor)]],"-")</f>
        <v>124.81782499999997</v>
      </c>
      <c r="L265" s="1">
        <f>IFERROR(Pagos[[#This Row],[Cantidad vendida]]*(Pagos[[#This Row],[Ganancia individual (Tienda)]]),"-")</f>
        <v>124.81782499999997</v>
      </c>
      <c r="M265" s="1">
        <f>(VLOOKUP(Pagos[[#This Row],[Codigo del producto]],Stock[],13,FALSE))*Pagos[[#This Row],[Cantidad vendida]]</f>
        <v>273.05850000000004</v>
      </c>
      <c r="N265" s="1" t="s">
        <v>312</v>
      </c>
      <c r="O265" s="1"/>
    </row>
    <row r="266" spans="1:15" ht="17.25" x14ac:dyDescent="0.3">
      <c r="A266" s="1" t="s">
        <v>327</v>
      </c>
      <c r="B266" s="43">
        <v>46088</v>
      </c>
      <c r="C266" s="7" t="s">
        <v>38</v>
      </c>
      <c r="D266" s="20" t="str">
        <f>IFERROR(VLOOKUP(Pagos[[#This Row],[Codigo del producto]],Entradas[],3,FALSE),"No existe")</f>
        <v>Headset Bluetooth para moto</v>
      </c>
      <c r="E266" s="7">
        <v>1</v>
      </c>
      <c r="F266" s="10">
        <v>500</v>
      </c>
      <c r="G266" s="22">
        <f>IFERROR(Pagos[[#This Row],[Cantidad vendida]]*Pagos[[#This Row],[Precio de venta]],"-")</f>
        <v>500</v>
      </c>
      <c r="H266" s="22">
        <f>IFERROR(Pagos[[#This Row],[Precio de venta]]-VLOOKUP(Pagos[[#This Row],[Codigo del producto]],Stock[],13,FALSE),"-")</f>
        <v>226.94149999999996</v>
      </c>
      <c r="I266" s="22">
        <f t="shared" si="4"/>
        <v>102.12367499999999</v>
      </c>
      <c r="J266" s="22">
        <f>IFERROR(Pagos[[#This Row],[Cantidad vendida]]*Pagos[[#This Row],[Ganancia unitaria (Vendedor)]],"-")</f>
        <v>102.12367499999999</v>
      </c>
      <c r="K266" s="1">
        <f>IFERROR(Pagos[[#This Row],[Ganancia unitaria]]-Pagos[[#This Row],[Ganancia unitaria (Vendedor)]],"-")</f>
        <v>124.81782499999997</v>
      </c>
      <c r="L266" s="1">
        <f>IFERROR(Pagos[[#This Row],[Cantidad vendida]]*(Pagos[[#This Row],[Ganancia individual (Tienda)]]),"-")</f>
        <v>124.81782499999997</v>
      </c>
      <c r="M266" s="1">
        <f>(VLOOKUP(Pagos[[#This Row],[Codigo del producto]],Stock[],13,FALSE))*Pagos[[#This Row],[Cantidad vendida]]</f>
        <v>273.05850000000004</v>
      </c>
      <c r="N266" s="1" t="s">
        <v>334</v>
      </c>
      <c r="O266" s="1"/>
    </row>
    <row r="267" spans="1:15" ht="17.25" x14ac:dyDescent="0.3">
      <c r="A267" s="10" t="s">
        <v>352</v>
      </c>
      <c r="B267" s="43">
        <v>46089</v>
      </c>
      <c r="C267" s="7" t="s">
        <v>44</v>
      </c>
      <c r="D267" s="20" t="str">
        <f>IFERROR(VLOOKUP(Pagos[[#This Row],[Codigo del producto]],Entradas[],3,FALSE),"No existe")</f>
        <v>KZ Castor PRO Improved Bass</v>
      </c>
      <c r="E267" s="7">
        <v>1</v>
      </c>
      <c r="F267" s="10">
        <v>850</v>
      </c>
      <c r="G267" s="22">
        <f>IFERROR(Pagos[[#This Row],[Cantidad vendida]]*Pagos[[#This Row],[Precio de venta]],"-")</f>
        <v>850</v>
      </c>
      <c r="H267" s="22">
        <f>IFERROR(Pagos[[#This Row],[Precio de venta]]-VLOOKUP(Pagos[[#This Row],[Codigo del producto]],Stock[],13,FALSE),"-")</f>
        <v>380.53099999999995</v>
      </c>
      <c r="I267" s="22">
        <f t="shared" si="4"/>
        <v>152.21239999999997</v>
      </c>
      <c r="J267" s="22">
        <f>IFERROR(Pagos[[#This Row],[Cantidad vendida]]*Pagos[[#This Row],[Ganancia unitaria (Vendedor)]],"-")</f>
        <v>152.21239999999997</v>
      </c>
      <c r="K267" s="1">
        <f>IFERROR(Pagos[[#This Row],[Ganancia unitaria]]-Pagos[[#This Row],[Ganancia unitaria (Vendedor)]],"-")</f>
        <v>228.31859999999998</v>
      </c>
      <c r="L267" s="1">
        <f>IFERROR(Pagos[[#This Row],[Cantidad vendida]]*(Pagos[[#This Row],[Ganancia individual (Tienda)]]),"-")</f>
        <v>228.31859999999998</v>
      </c>
      <c r="M267" s="1">
        <f>(VLOOKUP(Pagos[[#This Row],[Codigo del producto]],Stock[],13,FALSE))*Pagos[[#This Row],[Cantidad vendida]]</f>
        <v>469.46900000000005</v>
      </c>
      <c r="N267" s="1" t="s">
        <v>312</v>
      </c>
      <c r="O267" s="1"/>
    </row>
    <row r="268" spans="1:15" ht="17.25" x14ac:dyDescent="0.3">
      <c r="A268" s="10" t="s">
        <v>352</v>
      </c>
      <c r="B268" s="43">
        <v>46089</v>
      </c>
      <c r="C268" s="7" t="s">
        <v>106</v>
      </c>
      <c r="D268" s="20" t="str">
        <f>IFERROR(VLOOKUP(Pagos[[#This Row],[Codigo del producto]],Entradas[],3,FALSE),"No existe")</f>
        <v>Shark Attack Mouse X11 white</v>
      </c>
      <c r="E268" s="7">
        <v>1</v>
      </c>
      <c r="F268" s="10">
        <v>1200</v>
      </c>
      <c r="G268" s="22">
        <f>IFERROR(Pagos[[#This Row],[Cantidad vendida]]*Pagos[[#This Row],[Precio de venta]],"-")</f>
        <v>1200</v>
      </c>
      <c r="H268" s="22">
        <f>IFERROR(Pagos[[#This Row],[Precio de venta]]-VLOOKUP(Pagos[[#This Row],[Codigo del producto]],Stock[],13,FALSE),"-")</f>
        <v>377.50799999999992</v>
      </c>
      <c r="I268" s="22">
        <f t="shared" si="4"/>
        <v>151.00319999999996</v>
      </c>
      <c r="J268" s="22">
        <f>IFERROR(Pagos[[#This Row],[Cantidad vendida]]*Pagos[[#This Row],[Ganancia unitaria (Vendedor)]],"-")</f>
        <v>151.00319999999996</v>
      </c>
      <c r="K268" s="1">
        <f>IFERROR(Pagos[[#This Row],[Ganancia unitaria]]-Pagos[[#This Row],[Ganancia unitaria (Vendedor)]],"-")</f>
        <v>226.50479999999996</v>
      </c>
      <c r="L268" s="1">
        <f>IFERROR(Pagos[[#This Row],[Cantidad vendida]]*(Pagos[[#This Row],[Ganancia individual (Tienda)]]),"-")</f>
        <v>226.50479999999996</v>
      </c>
      <c r="M268" s="1">
        <f>(VLOOKUP(Pagos[[#This Row],[Codigo del producto]],Stock[],13,FALSE))*Pagos[[#This Row],[Cantidad vendida]]</f>
        <v>822.49200000000008</v>
      </c>
      <c r="N268" s="1" t="s">
        <v>312</v>
      </c>
      <c r="O268" s="1"/>
    </row>
    <row r="269" spans="1:15" ht="17.25" x14ac:dyDescent="0.3">
      <c r="A269" s="7" t="s">
        <v>313</v>
      </c>
      <c r="B269" s="43">
        <v>46089</v>
      </c>
      <c r="C269" s="7" t="s">
        <v>85</v>
      </c>
      <c r="D269" s="20" t="str">
        <f>IFERROR(VLOOKUP(Pagos[[#This Row],[Codigo del producto]],Entradas[],3,FALSE),"No existe")</f>
        <v>Cargadores USB para moto</v>
      </c>
      <c r="E269" s="7">
        <v>1</v>
      </c>
      <c r="F269" s="10">
        <v>600</v>
      </c>
      <c r="G269" s="22">
        <f>IFERROR(Pagos[[#This Row],[Cantidad vendida]]*Pagos[[#This Row],[Precio de venta]],"-")</f>
        <v>600</v>
      </c>
      <c r="H269" s="22">
        <f>IFERROR(Pagos[[#This Row],[Precio de venta]]-VLOOKUP(Pagos[[#This Row],[Codigo del producto]],Stock[],13,FALSE),"-")</f>
        <v>297.83000000000004</v>
      </c>
      <c r="I269" s="22">
        <f t="shared" si="4"/>
        <v>134.02350000000001</v>
      </c>
      <c r="J269" s="22">
        <f>IFERROR(Pagos[[#This Row],[Cantidad vendida]]*Pagos[[#This Row],[Ganancia unitaria (Vendedor)]],"-")</f>
        <v>134.02350000000001</v>
      </c>
      <c r="K269" s="1">
        <f>IFERROR(Pagos[[#This Row],[Ganancia unitaria]]-Pagos[[#This Row],[Ganancia unitaria (Vendedor)]],"-")</f>
        <v>163.80650000000003</v>
      </c>
      <c r="L269" s="1">
        <f>IFERROR(Pagos[[#This Row],[Cantidad vendida]]*(Pagos[[#This Row],[Ganancia individual (Tienda)]]),"-")</f>
        <v>163.80650000000003</v>
      </c>
      <c r="M269" s="1">
        <f>(VLOOKUP(Pagos[[#This Row],[Codigo del producto]],Stock[],13,FALSE))*Pagos[[#This Row],[Cantidad vendida]]</f>
        <v>302.16999999999996</v>
      </c>
      <c r="N269" s="1" t="s">
        <v>334</v>
      </c>
      <c r="O269" s="1"/>
    </row>
    <row r="270" spans="1:15" ht="17.25" x14ac:dyDescent="0.3">
      <c r="A270" s="1" t="s">
        <v>327</v>
      </c>
      <c r="B270" s="43">
        <v>46089</v>
      </c>
      <c r="C270" s="7" t="s">
        <v>76</v>
      </c>
      <c r="D270" s="20" t="str">
        <f>IFERROR(VLOOKUP(Pagos[[#This Row],[Codigo del producto]],Entradas[],3,FALSE),"No existe")</f>
        <v>Estuche para Switch</v>
      </c>
      <c r="E270" s="7">
        <v>1</v>
      </c>
      <c r="F270" s="10">
        <v>500</v>
      </c>
      <c r="G270" s="22">
        <f>IFERROR(Pagos[[#This Row],[Cantidad vendida]]*Pagos[[#This Row],[Precio de venta]],"-")</f>
        <v>500</v>
      </c>
      <c r="H270" s="22">
        <f>IFERROR(Pagos[[#This Row],[Precio de venta]]-VLOOKUP(Pagos[[#This Row],[Codigo del producto]],Stock[],13,FALSE),"-")</f>
        <v>223.625</v>
      </c>
      <c r="I270" s="22">
        <f t="shared" si="4"/>
        <v>100.63125000000001</v>
      </c>
      <c r="J270" s="22">
        <f>IFERROR(Pagos[[#This Row],[Cantidad vendida]]*Pagos[[#This Row],[Ganancia unitaria (Vendedor)]],"-")</f>
        <v>100.63125000000001</v>
      </c>
      <c r="K270" s="1">
        <f>IFERROR(Pagos[[#This Row],[Ganancia unitaria]]-Pagos[[#This Row],[Ganancia unitaria (Vendedor)]],"-")</f>
        <v>122.99374999999999</v>
      </c>
      <c r="L270" s="1">
        <f>IFERROR(Pagos[[#This Row],[Cantidad vendida]]*(Pagos[[#This Row],[Ganancia individual (Tienda)]]),"-")</f>
        <v>122.99374999999999</v>
      </c>
      <c r="M270" s="1">
        <f>(VLOOKUP(Pagos[[#This Row],[Codigo del producto]],Stock[],13,FALSE))*Pagos[[#This Row],[Cantidad vendida]]</f>
        <v>276.375</v>
      </c>
      <c r="N270" s="1" t="s">
        <v>334</v>
      </c>
      <c r="O270" s="1"/>
    </row>
    <row r="271" spans="1:15" ht="17.25" x14ac:dyDescent="0.3">
      <c r="A271" s="10" t="s">
        <v>315</v>
      </c>
      <c r="B271" s="43">
        <v>46089</v>
      </c>
      <c r="C271" s="7" t="s">
        <v>61</v>
      </c>
      <c r="D271" s="20" t="str">
        <f>IFERROR(VLOOKUP(Pagos[[#This Row],[Codigo del producto]],Entradas[],3,FALSE),"No existe")</f>
        <v xml:space="preserve">Adaptador DAC </v>
      </c>
      <c r="E271" s="7">
        <v>1</v>
      </c>
      <c r="F271" s="10">
        <v>350</v>
      </c>
      <c r="G271" s="22">
        <f>IFERROR(Pagos[[#This Row],[Cantidad vendida]]*Pagos[[#This Row],[Precio de venta]],"-")</f>
        <v>350</v>
      </c>
      <c r="H271" s="22">
        <f>IFERROR(Pagos[[#This Row],[Precio de venta]]-VLOOKUP(Pagos[[#This Row],[Codigo del producto]],Stock[],13,FALSE),"-")</f>
        <v>214.392</v>
      </c>
      <c r="I271" s="22">
        <f t="shared" si="4"/>
        <v>96.476399999999998</v>
      </c>
      <c r="J271" s="22">
        <f>IFERROR(Pagos[[#This Row],[Cantidad vendida]]*Pagos[[#This Row],[Ganancia unitaria (Vendedor)]],"-")</f>
        <v>96.476399999999998</v>
      </c>
      <c r="K271" s="1">
        <f>IFERROR(Pagos[[#This Row],[Ganancia unitaria]]-Pagos[[#This Row],[Ganancia unitaria (Vendedor)]],"-")</f>
        <v>117.9156</v>
      </c>
      <c r="L271" s="1">
        <f>IFERROR(Pagos[[#This Row],[Cantidad vendida]]*(Pagos[[#This Row],[Ganancia individual (Tienda)]]),"-")</f>
        <v>117.9156</v>
      </c>
      <c r="M271" s="1">
        <f>(VLOOKUP(Pagos[[#This Row],[Codigo del producto]],Stock[],13,FALSE))*Pagos[[#This Row],[Cantidad vendida]]</f>
        <v>135.608</v>
      </c>
      <c r="N271" s="1" t="s">
        <v>312</v>
      </c>
      <c r="O271" s="1"/>
    </row>
    <row r="272" spans="1:15" ht="17.25" x14ac:dyDescent="0.3">
      <c r="A272" s="10" t="s">
        <v>352</v>
      </c>
      <c r="B272" s="43">
        <v>46089</v>
      </c>
      <c r="C272" s="7" t="s">
        <v>67</v>
      </c>
      <c r="D272" s="20" t="str">
        <f>IFERROR(VLOOKUP(Pagos[[#This Row],[Codigo del producto]],Entradas[],3,FALSE),"No existe")</f>
        <v>Cable de Repuesto KZ Tipo C</v>
      </c>
      <c r="E272" s="7">
        <v>1</v>
      </c>
      <c r="F272" s="10">
        <v>350</v>
      </c>
      <c r="G272" s="22">
        <f>IFERROR(Pagos[[#This Row],[Cantidad vendida]]*Pagos[[#This Row],[Precio de venta]],"-")</f>
        <v>350</v>
      </c>
      <c r="H272" s="22">
        <f>IFERROR(Pagos[[#This Row],[Precio de venta]]-VLOOKUP(Pagos[[#This Row],[Codigo del producto]],Stock[],13,FALSE),"-")</f>
        <v>155.0635</v>
      </c>
      <c r="I272" s="22">
        <f t="shared" si="4"/>
        <v>69.778575000000004</v>
      </c>
      <c r="J272" s="22">
        <f>IFERROR(Pagos[[#This Row],[Cantidad vendida]]*Pagos[[#This Row],[Ganancia unitaria (Vendedor)]],"-")</f>
        <v>69.778575000000004</v>
      </c>
      <c r="K272" s="1">
        <f>IFERROR(Pagos[[#This Row],[Ganancia unitaria]]-Pagos[[#This Row],[Ganancia unitaria (Vendedor)]],"-")</f>
        <v>85.284925000000001</v>
      </c>
      <c r="L272" s="1">
        <f>IFERROR(Pagos[[#This Row],[Cantidad vendida]]*(Pagos[[#This Row],[Ganancia individual (Tienda)]]),"-")</f>
        <v>85.284925000000001</v>
      </c>
      <c r="M272" s="1">
        <f>(VLOOKUP(Pagos[[#This Row],[Codigo del producto]],Stock[],13,FALSE))*Pagos[[#This Row],[Cantidad vendida]]</f>
        <v>194.9365</v>
      </c>
      <c r="N272" s="1" t="s">
        <v>312</v>
      </c>
      <c r="O272" s="1"/>
    </row>
    <row r="273" spans="1:15" ht="17.25" x14ac:dyDescent="0.3">
      <c r="A273" s="10" t="s">
        <v>353</v>
      </c>
      <c r="B273" s="43">
        <v>46090</v>
      </c>
      <c r="C273" s="7" t="s">
        <v>90</v>
      </c>
      <c r="D273" s="20" t="str">
        <f>IFERROR(VLOOKUP(Pagos[[#This Row],[Codigo del producto]],Entradas[],3,FALSE),"No existe")</f>
        <v>NYXI Pro controller (Black)</v>
      </c>
      <c r="E273" s="7">
        <v>1</v>
      </c>
      <c r="F273" s="10">
        <v>2200</v>
      </c>
      <c r="G273" s="22">
        <f>IFERROR(Pagos[[#This Row],[Cantidad vendida]]*Pagos[[#This Row],[Precio de venta]],"-")</f>
        <v>2200</v>
      </c>
      <c r="H273" s="22">
        <f>IFERROR(Pagos[[#This Row],[Precio de venta]]-VLOOKUP(Pagos[[#This Row],[Codigo del producto]],Stock[],13,FALSE),"-")</f>
        <v>836.55</v>
      </c>
      <c r="I273" s="22">
        <f t="shared" si="4"/>
        <v>317.88900000000001</v>
      </c>
      <c r="J273" s="22">
        <f>IFERROR(Pagos[[#This Row],[Cantidad vendida]]*Pagos[[#This Row],[Ganancia unitaria (Vendedor)]],"-")</f>
        <v>317.88900000000001</v>
      </c>
      <c r="K273" s="1">
        <f>IFERROR(Pagos[[#This Row],[Ganancia unitaria]]-Pagos[[#This Row],[Ganancia unitaria (Vendedor)]],"-")</f>
        <v>518.66099999999994</v>
      </c>
      <c r="L273" s="1">
        <f>IFERROR(Pagos[[#This Row],[Cantidad vendida]]*(Pagos[[#This Row],[Ganancia individual (Tienda)]]),"-")</f>
        <v>518.66099999999994</v>
      </c>
      <c r="M273" s="1">
        <f>(VLOOKUP(Pagos[[#This Row],[Codigo del producto]],Stock[],13,FALSE))*Pagos[[#This Row],[Cantidad vendida]]</f>
        <v>1363.45</v>
      </c>
      <c r="N273" s="1" t="s">
        <v>334</v>
      </c>
      <c r="O273" s="1"/>
    </row>
    <row r="274" spans="1:15" ht="17.25" x14ac:dyDescent="0.3">
      <c r="A274" s="10" t="s">
        <v>335</v>
      </c>
      <c r="B274" s="43">
        <v>46090</v>
      </c>
      <c r="C274" s="7" t="s">
        <v>101</v>
      </c>
      <c r="D274" s="20" t="str">
        <f>IFERROR(VLOOKUP(Pagos[[#This Row],[Codigo del producto]],Entradas[],3,FALSE),"No existe")</f>
        <v xml:space="preserve">Shark Attack Mouse X11 Black </v>
      </c>
      <c r="E274" s="7">
        <v>1</v>
      </c>
      <c r="F274" s="10">
        <v>1200</v>
      </c>
      <c r="G274" s="22">
        <f>IFERROR(Pagos[[#This Row],[Cantidad vendida]]*Pagos[[#This Row],[Precio de venta]],"-")</f>
        <v>1200</v>
      </c>
      <c r="H274" s="22">
        <f>IFERROR(Pagos[[#This Row],[Precio de venta]]-VLOOKUP(Pagos[[#This Row],[Codigo del producto]],Stock[],13,FALSE),"-")</f>
        <v>377.50799999999992</v>
      </c>
      <c r="I274" s="22">
        <f t="shared" si="4"/>
        <v>151.00319999999996</v>
      </c>
      <c r="J274" s="22">
        <f>IFERROR(Pagos[[#This Row],[Cantidad vendida]]*Pagos[[#This Row],[Ganancia unitaria (Vendedor)]],"-")</f>
        <v>151.00319999999996</v>
      </c>
      <c r="K274" s="1">
        <f>IFERROR(Pagos[[#This Row],[Ganancia unitaria]]-Pagos[[#This Row],[Ganancia unitaria (Vendedor)]],"-")</f>
        <v>226.50479999999996</v>
      </c>
      <c r="L274" s="1">
        <f>IFERROR(Pagos[[#This Row],[Cantidad vendida]]*(Pagos[[#This Row],[Ganancia individual (Tienda)]]),"-")</f>
        <v>226.50479999999996</v>
      </c>
      <c r="M274" s="1">
        <f>(VLOOKUP(Pagos[[#This Row],[Codigo del producto]],Stock[],13,FALSE))*Pagos[[#This Row],[Cantidad vendida]]</f>
        <v>822.49200000000008</v>
      </c>
      <c r="N274" s="1" t="s">
        <v>334</v>
      </c>
      <c r="O274" s="1"/>
    </row>
    <row r="275" spans="1:15" ht="17.25" x14ac:dyDescent="0.3">
      <c r="A275" s="7" t="s">
        <v>313</v>
      </c>
      <c r="B275" s="43">
        <v>46090</v>
      </c>
      <c r="C275" s="7" t="s">
        <v>106</v>
      </c>
      <c r="D275" s="20" t="str">
        <f>IFERROR(VLOOKUP(Pagos[[#This Row],[Codigo del producto]],Entradas[],3,FALSE),"No existe")</f>
        <v>Shark Attack Mouse X11 white</v>
      </c>
      <c r="E275" s="7">
        <v>1</v>
      </c>
      <c r="F275" s="10">
        <v>1200</v>
      </c>
      <c r="G275" s="22">
        <f>IFERROR(Pagos[[#This Row],[Cantidad vendida]]*Pagos[[#This Row],[Precio de venta]],"-")</f>
        <v>1200</v>
      </c>
      <c r="H275" s="22">
        <f>IFERROR(Pagos[[#This Row],[Precio de venta]]-VLOOKUP(Pagos[[#This Row],[Codigo del producto]],Stock[],13,FALSE),"-")</f>
        <v>377.50799999999992</v>
      </c>
      <c r="I275" s="22">
        <f t="shared" si="4"/>
        <v>151.00319999999996</v>
      </c>
      <c r="J275" s="22">
        <f>IFERROR(Pagos[[#This Row],[Cantidad vendida]]*Pagos[[#This Row],[Ganancia unitaria (Vendedor)]],"-")</f>
        <v>151.00319999999996</v>
      </c>
      <c r="K275" s="1">
        <f>IFERROR(Pagos[[#This Row],[Ganancia unitaria]]-Pagos[[#This Row],[Ganancia unitaria (Vendedor)]],"-")</f>
        <v>226.50479999999996</v>
      </c>
      <c r="L275" s="1">
        <f>IFERROR(Pagos[[#This Row],[Cantidad vendida]]*(Pagos[[#This Row],[Ganancia individual (Tienda)]]),"-")</f>
        <v>226.50479999999996</v>
      </c>
      <c r="M275" s="1">
        <f>(VLOOKUP(Pagos[[#This Row],[Codigo del producto]],Stock[],13,FALSE))*Pagos[[#This Row],[Cantidad vendida]]</f>
        <v>822.49200000000008</v>
      </c>
      <c r="N275" s="1" t="s">
        <v>334</v>
      </c>
      <c r="O275" s="1"/>
    </row>
    <row r="276" spans="1:15" ht="17.25" x14ac:dyDescent="0.3">
      <c r="A276" s="7" t="s">
        <v>311</v>
      </c>
      <c r="B276" s="43">
        <v>46090</v>
      </c>
      <c r="C276" s="7" t="s">
        <v>71</v>
      </c>
      <c r="D276" s="20" t="str">
        <f>IFERROR(VLOOKUP(Pagos[[#This Row],[Codigo del producto]],Entradas[],3,FALSE),"No existe")</f>
        <v>KZ Castor Improved Bass</v>
      </c>
      <c r="E276" s="7">
        <v>1</v>
      </c>
      <c r="F276" s="10">
        <v>650</v>
      </c>
      <c r="G276" s="22">
        <f>IFERROR(Pagos[[#This Row],[Cantidad vendida]]*Pagos[[#This Row],[Precio de venta]],"-")</f>
        <v>650</v>
      </c>
      <c r="H276" s="22">
        <f>IFERROR(Pagos[[#This Row],[Precio de venta]]-VLOOKUP(Pagos[[#This Row],[Codigo del producto]],Stock[],13,FALSE),"-")</f>
        <v>277.815</v>
      </c>
      <c r="I276" s="22">
        <f t="shared" si="4"/>
        <v>125.01675</v>
      </c>
      <c r="J276" s="22">
        <f>IFERROR(Pagos[[#This Row],[Cantidad vendida]]*Pagos[[#This Row],[Ganancia unitaria (Vendedor)]],"-")</f>
        <v>125.01675</v>
      </c>
      <c r="K276" s="1">
        <f>IFERROR(Pagos[[#This Row],[Ganancia unitaria]]-Pagos[[#This Row],[Ganancia unitaria (Vendedor)]],"-")</f>
        <v>152.79825</v>
      </c>
      <c r="L276" s="1">
        <f>IFERROR(Pagos[[#This Row],[Cantidad vendida]]*(Pagos[[#This Row],[Ganancia individual (Tienda)]]),"-")</f>
        <v>152.79825</v>
      </c>
      <c r="M276" s="1">
        <f>(VLOOKUP(Pagos[[#This Row],[Codigo del producto]],Stock[],13,FALSE))*Pagos[[#This Row],[Cantidad vendida]]</f>
        <v>372.185</v>
      </c>
      <c r="N276" s="1" t="s">
        <v>312</v>
      </c>
      <c r="O276" s="1"/>
    </row>
    <row r="277" spans="1:15" ht="17.25" x14ac:dyDescent="0.3">
      <c r="A277" s="10" t="s">
        <v>327</v>
      </c>
      <c r="B277" s="43">
        <v>46090</v>
      </c>
      <c r="C277" s="7" t="s">
        <v>37</v>
      </c>
      <c r="D277" s="20" t="str">
        <f>IFERROR(VLOOKUP(Pagos[[#This Row],[Codigo del producto]],Entradas[],3,FALSE),"No existe")</f>
        <v>Halogenos Grandes</v>
      </c>
      <c r="E277" s="7">
        <v>2</v>
      </c>
      <c r="F277" s="10">
        <v>450</v>
      </c>
      <c r="G277" s="22">
        <f>IFERROR(Pagos[[#This Row],[Cantidad vendida]]*Pagos[[#This Row],[Precio de venta]],"-")</f>
        <v>900</v>
      </c>
      <c r="H277" s="22">
        <f>IFERROR(Pagos[[#This Row],[Precio de venta]]-VLOOKUP(Pagos[[#This Row],[Codigo del producto]],Stock[],13,FALSE),"-")</f>
        <v>276.43650000000002</v>
      </c>
      <c r="I277" s="22">
        <f t="shared" si="4"/>
        <v>124.39642500000001</v>
      </c>
      <c r="J277" s="22">
        <f>IFERROR(Pagos[[#This Row],[Cantidad vendida]]*Pagos[[#This Row],[Ganancia unitaria (Vendedor)]],"-")</f>
        <v>248.79285000000002</v>
      </c>
      <c r="K277" s="1">
        <f>IFERROR(Pagos[[#This Row],[Ganancia unitaria]]-Pagos[[#This Row],[Ganancia unitaria (Vendedor)]],"-")</f>
        <v>152.040075</v>
      </c>
      <c r="L277" s="1">
        <f>IFERROR(Pagos[[#This Row],[Cantidad vendida]]*(Pagos[[#This Row],[Ganancia individual (Tienda)]]),"-")</f>
        <v>304.08015</v>
      </c>
      <c r="M277" s="1">
        <f>(VLOOKUP(Pagos[[#This Row],[Codigo del producto]],Stock[],13,FALSE))*Pagos[[#This Row],[Cantidad vendida]]</f>
        <v>347.12700000000001</v>
      </c>
      <c r="N277" s="1" t="s">
        <v>334</v>
      </c>
      <c r="O277" s="1"/>
    </row>
    <row r="278" spans="1:15" ht="17.25" x14ac:dyDescent="0.3">
      <c r="A278" s="7" t="s">
        <v>313</v>
      </c>
      <c r="B278" s="43">
        <v>46090</v>
      </c>
      <c r="C278" s="7" t="s">
        <v>29</v>
      </c>
      <c r="D278" s="20" t="str">
        <f>IFERROR(VLOOKUP(Pagos[[#This Row],[Codigo del producto]],Entradas[],3,FALSE),"No existe")</f>
        <v>KZ EDX PRO X</v>
      </c>
      <c r="E278" s="7">
        <v>1</v>
      </c>
      <c r="F278" s="10">
        <v>400</v>
      </c>
      <c r="G278" s="22">
        <f>IFERROR(Pagos[[#This Row],[Cantidad vendida]]*Pagos[[#This Row],[Precio de venta]],"-")</f>
        <v>400</v>
      </c>
      <c r="H278" s="22">
        <f>IFERROR(Pagos[[#This Row],[Precio de venta]]-VLOOKUP(Pagos[[#This Row],[Codigo del producto]],Stock[],13,FALSE),"-")</f>
        <v>238.59700000000001</v>
      </c>
      <c r="I278" s="22">
        <f t="shared" si="4"/>
        <v>107.36865</v>
      </c>
      <c r="J278" s="22">
        <f>IFERROR(Pagos[[#This Row],[Cantidad vendida]]*Pagos[[#This Row],[Ganancia unitaria (Vendedor)]],"-")</f>
        <v>107.36865</v>
      </c>
      <c r="K278" s="1">
        <f>IFERROR(Pagos[[#This Row],[Ganancia unitaria]]-Pagos[[#This Row],[Ganancia unitaria (Vendedor)]],"-")</f>
        <v>131.22835000000001</v>
      </c>
      <c r="L278" s="1">
        <f>IFERROR(Pagos[[#This Row],[Cantidad vendida]]*(Pagos[[#This Row],[Ganancia individual (Tienda)]]),"-")</f>
        <v>131.22835000000001</v>
      </c>
      <c r="M278" s="1">
        <f>(VLOOKUP(Pagos[[#This Row],[Codigo del producto]],Stock[],13,FALSE))*Pagos[[#This Row],[Cantidad vendida]]</f>
        <v>161.40299999999999</v>
      </c>
      <c r="N278" s="1" t="s">
        <v>334</v>
      </c>
      <c r="O278" s="1"/>
    </row>
    <row r="279" spans="1:15" ht="17.25" x14ac:dyDescent="0.3">
      <c r="A279" s="7" t="s">
        <v>311</v>
      </c>
      <c r="B279" s="43">
        <v>46090</v>
      </c>
      <c r="C279" s="7" t="s">
        <v>72</v>
      </c>
      <c r="D279" s="20" t="str">
        <f>IFERROR(VLOOKUP(Pagos[[#This Row],[Codigo del producto]],Entradas[],3,FALSE),"No existe")</f>
        <v>KZ AZ09 Bluetooth Adapter</v>
      </c>
      <c r="E279" s="7">
        <v>1</v>
      </c>
      <c r="F279" s="10">
        <v>850</v>
      </c>
      <c r="G279" s="22">
        <f>IFERROR(Pagos[[#This Row],[Cantidad vendida]]*Pagos[[#This Row],[Precio de venta]],"-")</f>
        <v>850</v>
      </c>
      <c r="H279" s="22">
        <f>IFERROR(Pagos[[#This Row],[Precio de venta]]-VLOOKUP(Pagos[[#This Row],[Codigo del producto]],Stock[],13,FALSE),"-")</f>
        <v>238.28999999999996</v>
      </c>
      <c r="I279" s="22">
        <f t="shared" si="4"/>
        <v>107.23049999999999</v>
      </c>
      <c r="J279" s="22">
        <f>IFERROR(Pagos[[#This Row],[Cantidad vendida]]*Pagos[[#This Row],[Ganancia unitaria (Vendedor)]],"-")</f>
        <v>107.23049999999999</v>
      </c>
      <c r="K279" s="1">
        <f>IFERROR(Pagos[[#This Row],[Ganancia unitaria]]-Pagos[[#This Row],[Ganancia unitaria (Vendedor)]],"-")</f>
        <v>131.05949999999996</v>
      </c>
      <c r="L279" s="1">
        <f>IFERROR(Pagos[[#This Row],[Cantidad vendida]]*(Pagos[[#This Row],[Ganancia individual (Tienda)]]),"-")</f>
        <v>131.05949999999996</v>
      </c>
      <c r="M279" s="1">
        <f>(VLOOKUP(Pagos[[#This Row],[Codigo del producto]],Stock[],13,FALSE))*Pagos[[#This Row],[Cantidad vendida]]</f>
        <v>611.71</v>
      </c>
      <c r="N279" s="1" t="s">
        <v>312</v>
      </c>
      <c r="O279" s="1"/>
    </row>
    <row r="280" spans="1:15" ht="17.25" x14ac:dyDescent="0.3">
      <c r="A280" s="7" t="s">
        <v>313</v>
      </c>
      <c r="B280" s="43">
        <v>46091</v>
      </c>
      <c r="C280" s="7" t="s">
        <v>101</v>
      </c>
      <c r="D280" s="20" t="str">
        <f>IFERROR(VLOOKUP(Pagos[[#This Row],[Codigo del producto]],Entradas[],3,FALSE),"No existe")</f>
        <v xml:space="preserve">Shark Attack Mouse X11 Black </v>
      </c>
      <c r="E280" s="7">
        <v>1</v>
      </c>
      <c r="F280" s="10">
        <v>1200</v>
      </c>
      <c r="G280" s="22">
        <f>IFERROR(Pagos[[#This Row],[Cantidad vendida]]*Pagos[[#This Row],[Precio de venta]],"-")</f>
        <v>1200</v>
      </c>
      <c r="H280" s="22">
        <f>IFERROR(Pagos[[#This Row],[Precio de venta]]-VLOOKUP(Pagos[[#This Row],[Codigo del producto]],Stock[],13,FALSE),"-")</f>
        <v>377.50799999999992</v>
      </c>
      <c r="I280" s="22">
        <f t="shared" si="4"/>
        <v>151.00319999999996</v>
      </c>
      <c r="J280" s="22">
        <f>IFERROR(Pagos[[#This Row],[Cantidad vendida]]*Pagos[[#This Row],[Ganancia unitaria (Vendedor)]],"-")</f>
        <v>151.00319999999996</v>
      </c>
      <c r="K280" s="1">
        <f>IFERROR(Pagos[[#This Row],[Ganancia unitaria]]-Pagos[[#This Row],[Ganancia unitaria (Vendedor)]],"-")</f>
        <v>226.50479999999996</v>
      </c>
      <c r="L280" s="1">
        <f>IFERROR(Pagos[[#This Row],[Cantidad vendida]]*(Pagos[[#This Row],[Ganancia individual (Tienda)]]),"-")</f>
        <v>226.50479999999996</v>
      </c>
      <c r="M280" s="1">
        <f>(VLOOKUP(Pagos[[#This Row],[Codigo del producto]],Stock[],13,FALSE))*Pagos[[#This Row],[Cantidad vendida]]</f>
        <v>822.49200000000008</v>
      </c>
      <c r="N280" s="1" t="s">
        <v>334</v>
      </c>
      <c r="O280" s="1"/>
    </row>
    <row r="281" spans="1:15" ht="17.25" x14ac:dyDescent="0.3">
      <c r="A281" s="7" t="s">
        <v>313</v>
      </c>
      <c r="B281" s="43">
        <v>46091</v>
      </c>
      <c r="C281" s="7" t="s">
        <v>72</v>
      </c>
      <c r="D281" s="20" t="str">
        <f>IFERROR(VLOOKUP(Pagos[[#This Row],[Codigo del producto]],Entradas[],3,FALSE),"No existe")</f>
        <v>KZ AZ09 Bluetooth Adapter</v>
      </c>
      <c r="E281" s="7">
        <v>1</v>
      </c>
      <c r="F281" s="10">
        <v>900</v>
      </c>
      <c r="G281" s="22">
        <f>IFERROR(Pagos[[#This Row],[Cantidad vendida]]*Pagos[[#This Row],[Precio de venta]],"-")</f>
        <v>900</v>
      </c>
      <c r="H281" s="22">
        <f>IFERROR(Pagos[[#This Row],[Precio de venta]]-VLOOKUP(Pagos[[#This Row],[Codigo del producto]],Stock[],13,FALSE),"-")</f>
        <v>288.28999999999996</v>
      </c>
      <c r="I281" s="22">
        <f t="shared" si="4"/>
        <v>129.73049999999998</v>
      </c>
      <c r="J281" s="22">
        <f>IFERROR(Pagos[[#This Row],[Cantidad vendida]]*Pagos[[#This Row],[Ganancia unitaria (Vendedor)]],"-")</f>
        <v>129.73049999999998</v>
      </c>
      <c r="K281" s="1">
        <f>IFERROR(Pagos[[#This Row],[Ganancia unitaria]]-Pagos[[#This Row],[Ganancia unitaria (Vendedor)]],"-")</f>
        <v>158.55949999999999</v>
      </c>
      <c r="L281" s="1">
        <f>IFERROR(Pagos[[#This Row],[Cantidad vendida]]*(Pagos[[#This Row],[Ganancia individual (Tienda)]]),"-")</f>
        <v>158.55949999999999</v>
      </c>
      <c r="M281" s="1">
        <f>(VLOOKUP(Pagos[[#This Row],[Codigo del producto]],Stock[],13,FALSE))*Pagos[[#This Row],[Cantidad vendida]]</f>
        <v>611.71</v>
      </c>
      <c r="N281" s="1" t="s">
        <v>334</v>
      </c>
      <c r="O281" s="1"/>
    </row>
    <row r="282" spans="1:15" ht="17.25" x14ac:dyDescent="0.3">
      <c r="A282" s="7" t="s">
        <v>313</v>
      </c>
      <c r="B282" s="43">
        <v>46091</v>
      </c>
      <c r="C282" s="7" t="s">
        <v>29</v>
      </c>
      <c r="D282" s="20" t="str">
        <f>IFERROR(VLOOKUP(Pagos[[#This Row],[Codigo del producto]],Entradas[],3,FALSE),"No existe")</f>
        <v>KZ EDX PRO X</v>
      </c>
      <c r="E282" s="7">
        <v>1</v>
      </c>
      <c r="F282" s="10">
        <v>400</v>
      </c>
      <c r="G282" s="22">
        <f>IFERROR(Pagos[[#This Row],[Cantidad vendida]]*Pagos[[#This Row],[Precio de venta]],"-")</f>
        <v>400</v>
      </c>
      <c r="H282" s="22">
        <f>IFERROR(Pagos[[#This Row],[Precio de venta]]-VLOOKUP(Pagos[[#This Row],[Codigo del producto]],Stock[],13,FALSE),"-")</f>
        <v>238.59700000000001</v>
      </c>
      <c r="I282" s="22">
        <f t="shared" si="4"/>
        <v>107.36865</v>
      </c>
      <c r="J282" s="22">
        <f>IFERROR(Pagos[[#This Row],[Cantidad vendida]]*Pagos[[#This Row],[Ganancia unitaria (Vendedor)]],"-")</f>
        <v>107.36865</v>
      </c>
      <c r="K282" s="1">
        <f>IFERROR(Pagos[[#This Row],[Ganancia unitaria]]-Pagos[[#This Row],[Ganancia unitaria (Vendedor)]],"-")</f>
        <v>131.22835000000001</v>
      </c>
      <c r="L282" s="1">
        <f>IFERROR(Pagos[[#This Row],[Cantidad vendida]]*(Pagos[[#This Row],[Ganancia individual (Tienda)]]),"-")</f>
        <v>131.22835000000001</v>
      </c>
      <c r="M282" s="1">
        <f>(VLOOKUP(Pagos[[#This Row],[Codigo del producto]],Stock[],13,FALSE))*Pagos[[#This Row],[Cantidad vendida]]</f>
        <v>161.40299999999999</v>
      </c>
      <c r="N282" s="1" t="s">
        <v>334</v>
      </c>
      <c r="O282" s="1"/>
    </row>
    <row r="283" spans="1:15" ht="17.25" x14ac:dyDescent="0.3">
      <c r="A283" s="7" t="s">
        <v>313</v>
      </c>
      <c r="B283" s="43">
        <v>46091</v>
      </c>
      <c r="C283" s="7" t="s">
        <v>71</v>
      </c>
      <c r="D283" s="20" t="str">
        <f>IFERROR(VLOOKUP(Pagos[[#This Row],[Codigo del producto]],Entradas[],3,FALSE),"No existe")</f>
        <v>KZ Castor Improved Bass</v>
      </c>
      <c r="E283" s="7">
        <v>1</v>
      </c>
      <c r="F283" s="10">
        <v>600</v>
      </c>
      <c r="G283" s="22">
        <f>IFERROR(Pagos[[#This Row],[Cantidad vendida]]*Pagos[[#This Row],[Precio de venta]],"-")</f>
        <v>600</v>
      </c>
      <c r="H283" s="22">
        <f>IFERROR(Pagos[[#This Row],[Precio de venta]]-VLOOKUP(Pagos[[#This Row],[Codigo del producto]],Stock[],13,FALSE),"-")</f>
        <v>227.815</v>
      </c>
      <c r="I283" s="22">
        <f t="shared" si="4"/>
        <v>102.51675</v>
      </c>
      <c r="J283" s="22">
        <f>IFERROR(Pagos[[#This Row],[Cantidad vendida]]*Pagos[[#This Row],[Ganancia unitaria (Vendedor)]],"-")</f>
        <v>102.51675</v>
      </c>
      <c r="K283" s="1">
        <f>IFERROR(Pagos[[#This Row],[Ganancia unitaria]]-Pagos[[#This Row],[Ganancia unitaria (Vendedor)]],"-")</f>
        <v>125.29825</v>
      </c>
      <c r="L283" s="1">
        <f>IFERROR(Pagos[[#This Row],[Cantidad vendida]]*(Pagos[[#This Row],[Ganancia individual (Tienda)]]),"-")</f>
        <v>125.29825</v>
      </c>
      <c r="M283" s="1">
        <f>(VLOOKUP(Pagos[[#This Row],[Codigo del producto]],Stock[],13,FALSE))*Pagos[[#This Row],[Cantidad vendida]]</f>
        <v>372.185</v>
      </c>
      <c r="N283" s="1" t="s">
        <v>334</v>
      </c>
      <c r="O283" s="1"/>
    </row>
    <row r="284" spans="1:15" ht="17.25" x14ac:dyDescent="0.3">
      <c r="A284" s="7" t="s">
        <v>313</v>
      </c>
      <c r="B284" s="43">
        <v>46091</v>
      </c>
      <c r="C284" s="7" t="s">
        <v>61</v>
      </c>
      <c r="D284" s="20" t="str">
        <f>IFERROR(VLOOKUP(Pagos[[#This Row],[Codigo del producto]],Entradas[],3,FALSE),"No existe")</f>
        <v xml:space="preserve">Adaptador DAC </v>
      </c>
      <c r="E284" s="7">
        <v>1</v>
      </c>
      <c r="F284" s="10">
        <v>300</v>
      </c>
      <c r="G284" s="22">
        <f>IFERROR(Pagos[[#This Row],[Cantidad vendida]]*Pagos[[#This Row],[Precio de venta]],"-")</f>
        <v>300</v>
      </c>
      <c r="H284" s="22">
        <f>IFERROR(Pagos[[#This Row],[Precio de venta]]-VLOOKUP(Pagos[[#This Row],[Codigo del producto]],Stock[],13,FALSE),"-")</f>
        <v>164.392</v>
      </c>
      <c r="I284" s="22">
        <f t="shared" si="4"/>
        <v>73.976399999999998</v>
      </c>
      <c r="J284" s="22">
        <f>IFERROR(Pagos[[#This Row],[Cantidad vendida]]*Pagos[[#This Row],[Ganancia unitaria (Vendedor)]],"-")</f>
        <v>73.976399999999998</v>
      </c>
      <c r="K284" s="1">
        <f>IFERROR(Pagos[[#This Row],[Ganancia unitaria]]-Pagos[[#This Row],[Ganancia unitaria (Vendedor)]],"-")</f>
        <v>90.415599999999998</v>
      </c>
      <c r="L284" s="1">
        <f>IFERROR(Pagos[[#This Row],[Cantidad vendida]]*(Pagos[[#This Row],[Ganancia individual (Tienda)]]),"-")</f>
        <v>90.415599999999998</v>
      </c>
      <c r="M284" s="1">
        <f>(VLOOKUP(Pagos[[#This Row],[Codigo del producto]],Stock[],13,FALSE))*Pagos[[#This Row],[Cantidad vendida]]</f>
        <v>135.608</v>
      </c>
      <c r="N284" s="1" t="s">
        <v>334</v>
      </c>
      <c r="O284" s="1"/>
    </row>
    <row r="285" spans="1:15" ht="17.25" x14ac:dyDescent="0.3">
      <c r="A285" s="7" t="s">
        <v>313</v>
      </c>
      <c r="B285" s="43">
        <v>46092</v>
      </c>
      <c r="C285" s="7" t="s">
        <v>101</v>
      </c>
      <c r="D285" s="20" t="str">
        <f>IFERROR(VLOOKUP(Pagos[[#This Row],[Codigo del producto]],Entradas[],3,FALSE),"No existe")</f>
        <v xml:space="preserve">Shark Attack Mouse X11 Black </v>
      </c>
      <c r="E285" s="7">
        <v>2</v>
      </c>
      <c r="F285" s="10">
        <v>1200</v>
      </c>
      <c r="G285" s="22">
        <f>IFERROR(Pagos[[#This Row],[Cantidad vendida]]*Pagos[[#This Row],[Precio de venta]],"-")</f>
        <v>2400</v>
      </c>
      <c r="H285" s="22">
        <f>IFERROR(Pagos[[#This Row],[Precio de venta]]-VLOOKUP(Pagos[[#This Row],[Codigo del producto]],Stock[],13,FALSE),"-")</f>
        <v>377.50799999999992</v>
      </c>
      <c r="I285" s="22">
        <f t="shared" si="4"/>
        <v>151.00319999999996</v>
      </c>
      <c r="J285" s="22">
        <f>IFERROR(Pagos[[#This Row],[Cantidad vendida]]*Pagos[[#This Row],[Ganancia unitaria (Vendedor)]],"-")</f>
        <v>302.00639999999993</v>
      </c>
      <c r="K285" s="1">
        <f>IFERROR(Pagos[[#This Row],[Ganancia unitaria]]-Pagos[[#This Row],[Ganancia unitaria (Vendedor)]],"-")</f>
        <v>226.50479999999996</v>
      </c>
      <c r="L285" s="1">
        <f>IFERROR(Pagos[[#This Row],[Cantidad vendida]]*(Pagos[[#This Row],[Ganancia individual (Tienda)]]),"-")</f>
        <v>453.00959999999992</v>
      </c>
      <c r="M285" s="1">
        <f>(VLOOKUP(Pagos[[#This Row],[Codigo del producto]],Stock[],13,FALSE))*Pagos[[#This Row],[Cantidad vendida]]</f>
        <v>1644.9840000000002</v>
      </c>
      <c r="N285" s="1" t="s">
        <v>334</v>
      </c>
      <c r="O285" s="1"/>
    </row>
    <row r="286" spans="1:15" ht="17.25" x14ac:dyDescent="0.3">
      <c r="A286" s="7" t="s">
        <v>313</v>
      </c>
      <c r="B286" s="43">
        <v>46092</v>
      </c>
      <c r="C286" s="7" t="s">
        <v>106</v>
      </c>
      <c r="D286" s="20" t="str">
        <f>IFERROR(VLOOKUP(Pagos[[#This Row],[Codigo del producto]],Entradas[],3,FALSE),"No existe")</f>
        <v>Shark Attack Mouse X11 white</v>
      </c>
      <c r="E286" s="7">
        <v>1</v>
      </c>
      <c r="F286" s="10">
        <v>1200</v>
      </c>
      <c r="G286" s="22">
        <f>IFERROR(Pagos[[#This Row],[Cantidad vendida]]*Pagos[[#This Row],[Precio de venta]],"-")</f>
        <v>1200</v>
      </c>
      <c r="H286" s="22">
        <f>IFERROR(Pagos[[#This Row],[Precio de venta]]-VLOOKUP(Pagos[[#This Row],[Codigo del producto]],Stock[],13,FALSE),"-")</f>
        <v>377.50799999999992</v>
      </c>
      <c r="I286" s="22">
        <f t="shared" si="4"/>
        <v>151.00319999999996</v>
      </c>
      <c r="J286" s="22">
        <f>IFERROR(Pagos[[#This Row],[Cantidad vendida]]*Pagos[[#This Row],[Ganancia unitaria (Vendedor)]],"-")</f>
        <v>151.00319999999996</v>
      </c>
      <c r="K286" s="1">
        <f>IFERROR(Pagos[[#This Row],[Ganancia unitaria]]-Pagos[[#This Row],[Ganancia unitaria (Vendedor)]],"-")</f>
        <v>226.50479999999996</v>
      </c>
      <c r="L286" s="1">
        <f>IFERROR(Pagos[[#This Row],[Cantidad vendida]]*(Pagos[[#This Row],[Ganancia individual (Tienda)]]),"-")</f>
        <v>226.50479999999996</v>
      </c>
      <c r="M286" s="1">
        <f>(VLOOKUP(Pagos[[#This Row],[Codigo del producto]],Stock[],13,FALSE))*Pagos[[#This Row],[Cantidad vendida]]</f>
        <v>822.49200000000008</v>
      </c>
      <c r="N286" s="1" t="s">
        <v>334</v>
      </c>
      <c r="O286" s="1"/>
    </row>
    <row r="287" spans="1:15" ht="17.25" x14ac:dyDescent="0.3">
      <c r="A287" s="7" t="s">
        <v>313</v>
      </c>
      <c r="B287" s="43">
        <v>46092</v>
      </c>
      <c r="C287" s="7" t="s">
        <v>72</v>
      </c>
      <c r="D287" s="20" t="str">
        <f>IFERROR(VLOOKUP(Pagos[[#This Row],[Codigo del producto]],Entradas[],3,FALSE),"No existe")</f>
        <v>KZ AZ09 Bluetooth Adapter</v>
      </c>
      <c r="E287" s="7">
        <v>1</v>
      </c>
      <c r="F287" s="10">
        <v>900</v>
      </c>
      <c r="G287" s="22">
        <f>IFERROR(Pagos[[#This Row],[Cantidad vendida]]*Pagos[[#This Row],[Precio de venta]],"-")</f>
        <v>900</v>
      </c>
      <c r="H287" s="22">
        <f>IFERROR(Pagos[[#This Row],[Precio de venta]]-VLOOKUP(Pagos[[#This Row],[Codigo del producto]],Stock[],13,FALSE),"-")</f>
        <v>288.28999999999996</v>
      </c>
      <c r="I287" s="22">
        <f t="shared" si="4"/>
        <v>129.73049999999998</v>
      </c>
      <c r="J287" s="22">
        <f>IFERROR(Pagos[[#This Row],[Cantidad vendida]]*Pagos[[#This Row],[Ganancia unitaria (Vendedor)]],"-")</f>
        <v>129.73049999999998</v>
      </c>
      <c r="K287" s="1">
        <f>IFERROR(Pagos[[#This Row],[Ganancia unitaria]]-Pagos[[#This Row],[Ganancia unitaria (Vendedor)]],"-")</f>
        <v>158.55949999999999</v>
      </c>
      <c r="L287" s="1">
        <f>IFERROR(Pagos[[#This Row],[Cantidad vendida]]*(Pagos[[#This Row],[Ganancia individual (Tienda)]]),"-")</f>
        <v>158.55949999999999</v>
      </c>
      <c r="M287" s="1">
        <f>(VLOOKUP(Pagos[[#This Row],[Codigo del producto]],Stock[],13,FALSE))*Pagos[[#This Row],[Cantidad vendida]]</f>
        <v>611.71</v>
      </c>
      <c r="N287" s="1" t="s">
        <v>334</v>
      </c>
      <c r="O287" s="1"/>
    </row>
    <row r="288" spans="1:15" ht="17.25" x14ac:dyDescent="0.3">
      <c r="A288" s="7" t="s">
        <v>313</v>
      </c>
      <c r="B288" s="43">
        <v>46092</v>
      </c>
      <c r="C288" s="7" t="s">
        <v>36</v>
      </c>
      <c r="D288" s="20" t="str">
        <f>IFERROR(VLOOKUP(Pagos[[#This Row],[Codigo del producto]],Entradas[],3,FALSE),"No existe")</f>
        <v>KZ EDX PRO X</v>
      </c>
      <c r="E288" s="7">
        <v>1</v>
      </c>
      <c r="F288" s="10">
        <v>400</v>
      </c>
      <c r="G288" s="22">
        <f>IFERROR(Pagos[[#This Row],[Cantidad vendida]]*Pagos[[#This Row],[Precio de venta]],"-")</f>
        <v>400</v>
      </c>
      <c r="H288" s="22">
        <f>IFERROR(Pagos[[#This Row],[Precio de venta]]-VLOOKUP(Pagos[[#This Row],[Codigo del producto]],Stock[],13,FALSE),"-")</f>
        <v>236.75450000000001</v>
      </c>
      <c r="I288" s="22">
        <f t="shared" si="4"/>
        <v>106.53952500000001</v>
      </c>
      <c r="J288" s="22">
        <f>IFERROR(Pagos[[#This Row],[Cantidad vendida]]*Pagos[[#This Row],[Ganancia unitaria (Vendedor)]],"-")</f>
        <v>106.53952500000001</v>
      </c>
      <c r="K288" s="1">
        <f>IFERROR(Pagos[[#This Row],[Ganancia unitaria]]-Pagos[[#This Row],[Ganancia unitaria (Vendedor)]],"-")</f>
        <v>130.21497499999998</v>
      </c>
      <c r="L288" s="1">
        <f>IFERROR(Pagos[[#This Row],[Cantidad vendida]]*(Pagos[[#This Row],[Ganancia individual (Tienda)]]),"-")</f>
        <v>130.21497499999998</v>
      </c>
      <c r="M288" s="1">
        <f>(VLOOKUP(Pagos[[#This Row],[Codigo del producto]],Stock[],13,FALSE))*Pagos[[#This Row],[Cantidad vendida]]</f>
        <v>163.24549999999999</v>
      </c>
      <c r="N288" s="1" t="s">
        <v>334</v>
      </c>
      <c r="O288" s="1"/>
    </row>
    <row r="289" spans="1:15" ht="17.25" x14ac:dyDescent="0.3">
      <c r="A289" s="7" t="s">
        <v>313</v>
      </c>
      <c r="B289" s="43">
        <v>46093</v>
      </c>
      <c r="C289" s="7" t="s">
        <v>71</v>
      </c>
      <c r="D289" s="20" t="str">
        <f>IFERROR(VLOOKUP(Pagos[[#This Row],[Codigo del producto]],Entradas[],3,FALSE),"No existe")</f>
        <v>KZ Castor Improved Bass</v>
      </c>
      <c r="E289" s="7">
        <v>1</v>
      </c>
      <c r="F289" s="10">
        <v>650</v>
      </c>
      <c r="G289" s="22">
        <f>IFERROR(Pagos[[#This Row],[Cantidad vendida]]*Pagos[[#This Row],[Precio de venta]],"-")</f>
        <v>650</v>
      </c>
      <c r="H289" s="22">
        <f>IFERROR(Pagos[[#This Row],[Precio de venta]]-VLOOKUP(Pagos[[#This Row],[Codigo del producto]],Stock[],13,FALSE),"-")</f>
        <v>277.815</v>
      </c>
      <c r="I289" s="22">
        <f t="shared" si="4"/>
        <v>125.01675</v>
      </c>
      <c r="J289" s="22">
        <f>IFERROR(Pagos[[#This Row],[Cantidad vendida]]*Pagos[[#This Row],[Ganancia unitaria (Vendedor)]],"-")</f>
        <v>125.01675</v>
      </c>
      <c r="K289" s="1">
        <f>IFERROR(Pagos[[#This Row],[Ganancia unitaria]]-Pagos[[#This Row],[Ganancia unitaria (Vendedor)]],"-")</f>
        <v>152.79825</v>
      </c>
      <c r="L289" s="1">
        <f>IFERROR(Pagos[[#This Row],[Cantidad vendida]]*(Pagos[[#This Row],[Ganancia individual (Tienda)]]),"-")</f>
        <v>152.79825</v>
      </c>
      <c r="M289" s="1">
        <f>(VLOOKUP(Pagos[[#This Row],[Codigo del producto]],Stock[],13,FALSE))*Pagos[[#This Row],[Cantidad vendida]]</f>
        <v>372.185</v>
      </c>
      <c r="N289" s="1" t="s">
        <v>334</v>
      </c>
      <c r="O289" s="1"/>
    </row>
    <row r="290" spans="1:15" ht="17.25" x14ac:dyDescent="0.3">
      <c r="A290" s="7" t="s">
        <v>311</v>
      </c>
      <c r="B290" s="43">
        <v>46093</v>
      </c>
      <c r="C290" s="7" t="s">
        <v>36</v>
      </c>
      <c r="D290" s="20" t="str">
        <f>IFERROR(VLOOKUP(Pagos[[#This Row],[Codigo del producto]],Entradas[],3,FALSE),"No existe")</f>
        <v>KZ EDX PRO X</v>
      </c>
      <c r="E290" s="7">
        <v>1</v>
      </c>
      <c r="F290" s="10">
        <v>400</v>
      </c>
      <c r="G290" s="22">
        <f>IFERROR(Pagos[[#This Row],[Cantidad vendida]]*Pagos[[#This Row],[Precio de venta]],"-")</f>
        <v>400</v>
      </c>
      <c r="H290" s="22">
        <f>IFERROR(Pagos[[#This Row],[Precio de venta]]-VLOOKUP(Pagos[[#This Row],[Codigo del producto]],Stock[],13,FALSE),"-")</f>
        <v>236.75450000000001</v>
      </c>
      <c r="I290" s="22">
        <f t="shared" si="4"/>
        <v>106.53952500000001</v>
      </c>
      <c r="J290" s="22">
        <f>IFERROR(Pagos[[#This Row],[Cantidad vendida]]*Pagos[[#This Row],[Ganancia unitaria (Vendedor)]],"-")</f>
        <v>106.53952500000001</v>
      </c>
      <c r="K290" s="1">
        <f>IFERROR(Pagos[[#This Row],[Ganancia unitaria]]-Pagos[[#This Row],[Ganancia unitaria (Vendedor)]],"-")</f>
        <v>130.21497499999998</v>
      </c>
      <c r="L290" s="1">
        <f>IFERROR(Pagos[[#This Row],[Cantidad vendida]]*(Pagos[[#This Row],[Ganancia individual (Tienda)]]),"-")</f>
        <v>130.21497499999998</v>
      </c>
      <c r="M290" s="1">
        <f>(VLOOKUP(Pagos[[#This Row],[Codigo del producto]],Stock[],13,FALSE))*Pagos[[#This Row],[Cantidad vendida]]</f>
        <v>163.24549999999999</v>
      </c>
      <c r="N290" s="1" t="s">
        <v>312</v>
      </c>
      <c r="O290" s="1"/>
    </row>
    <row r="291" spans="1:15" ht="17.25" x14ac:dyDescent="0.3">
      <c r="A291" s="7" t="s">
        <v>311</v>
      </c>
      <c r="B291" s="43">
        <v>46093</v>
      </c>
      <c r="C291" s="7" t="s">
        <v>61</v>
      </c>
      <c r="D291" s="20" t="str">
        <f>IFERROR(VLOOKUP(Pagos[[#This Row],[Codigo del producto]],Entradas[],3,FALSE),"No existe")</f>
        <v xml:space="preserve">Adaptador DAC </v>
      </c>
      <c r="E291" s="7">
        <v>1</v>
      </c>
      <c r="F291" s="10">
        <v>350</v>
      </c>
      <c r="G291" s="22">
        <f>IFERROR(Pagos[[#This Row],[Cantidad vendida]]*Pagos[[#This Row],[Precio de venta]],"-")</f>
        <v>350</v>
      </c>
      <c r="H291" s="22">
        <f>IFERROR(Pagos[[#This Row],[Precio de venta]]-VLOOKUP(Pagos[[#This Row],[Codigo del producto]],Stock[],13,FALSE),"-")</f>
        <v>214.392</v>
      </c>
      <c r="I291" s="22">
        <f t="shared" si="4"/>
        <v>96.476399999999998</v>
      </c>
      <c r="J291" s="22">
        <f>IFERROR(Pagos[[#This Row],[Cantidad vendida]]*Pagos[[#This Row],[Ganancia unitaria (Vendedor)]],"-")</f>
        <v>96.476399999999998</v>
      </c>
      <c r="K291" s="1">
        <f>IFERROR(Pagos[[#This Row],[Ganancia unitaria]]-Pagos[[#This Row],[Ganancia unitaria (Vendedor)]],"-")</f>
        <v>117.9156</v>
      </c>
      <c r="L291" s="1">
        <f>IFERROR(Pagos[[#This Row],[Cantidad vendida]]*(Pagos[[#This Row],[Ganancia individual (Tienda)]]),"-")</f>
        <v>117.9156</v>
      </c>
      <c r="M291" s="1">
        <f>(VLOOKUP(Pagos[[#This Row],[Codigo del producto]],Stock[],13,FALSE))*Pagos[[#This Row],[Cantidad vendida]]</f>
        <v>135.608</v>
      </c>
      <c r="N291" s="1" t="s">
        <v>312</v>
      </c>
      <c r="O291" s="1"/>
    </row>
    <row r="292" spans="1:15" ht="17.25" x14ac:dyDescent="0.3">
      <c r="A292" s="7" t="s">
        <v>311</v>
      </c>
      <c r="B292" s="43">
        <v>46093</v>
      </c>
      <c r="C292" s="7" t="s">
        <v>61</v>
      </c>
      <c r="D292" s="20" t="str">
        <f>IFERROR(VLOOKUP(Pagos[[#This Row],[Codigo del producto]],Entradas[],3,FALSE),"No existe")</f>
        <v xml:space="preserve">Adaptador DAC </v>
      </c>
      <c r="E292" s="7">
        <v>1</v>
      </c>
      <c r="F292" s="10">
        <v>300</v>
      </c>
      <c r="G292" s="22">
        <f>IFERROR(Pagos[[#This Row],[Cantidad vendida]]*Pagos[[#This Row],[Precio de venta]],"-")</f>
        <v>300</v>
      </c>
      <c r="H292" s="22">
        <f>IFERROR(Pagos[[#This Row],[Precio de venta]]-VLOOKUP(Pagos[[#This Row],[Codigo del producto]],Stock[],13,FALSE),"-")</f>
        <v>164.392</v>
      </c>
      <c r="I292" s="22">
        <f t="shared" si="4"/>
        <v>73.976399999999998</v>
      </c>
      <c r="J292" s="22">
        <f>IFERROR(Pagos[[#This Row],[Cantidad vendida]]*Pagos[[#This Row],[Ganancia unitaria (Vendedor)]],"-")</f>
        <v>73.976399999999998</v>
      </c>
      <c r="K292" s="1">
        <f>IFERROR(Pagos[[#This Row],[Ganancia unitaria]]-Pagos[[#This Row],[Ganancia unitaria (Vendedor)]],"-")</f>
        <v>90.415599999999998</v>
      </c>
      <c r="L292" s="1">
        <f>IFERROR(Pagos[[#This Row],[Cantidad vendida]]*(Pagos[[#This Row],[Ganancia individual (Tienda)]]),"-")</f>
        <v>90.415599999999998</v>
      </c>
      <c r="M292" s="1">
        <f>(VLOOKUP(Pagos[[#This Row],[Codigo del producto]],Stock[],13,FALSE))*Pagos[[#This Row],[Cantidad vendida]]</f>
        <v>135.608</v>
      </c>
      <c r="N292" s="1" t="s">
        <v>312</v>
      </c>
      <c r="O292" s="1"/>
    </row>
    <row r="293" spans="1:15" ht="17.25" x14ac:dyDescent="0.3">
      <c r="A293" s="7" t="s">
        <v>313</v>
      </c>
      <c r="B293" s="43">
        <v>46094</v>
      </c>
      <c r="C293" s="7" t="s">
        <v>101</v>
      </c>
      <c r="D293" s="20" t="str">
        <f>IFERROR(VLOOKUP(Pagos[[#This Row],[Codigo del producto]],Entradas[],3,FALSE),"No existe")</f>
        <v xml:space="preserve">Shark Attack Mouse X11 Black </v>
      </c>
      <c r="E293" s="7">
        <v>1</v>
      </c>
      <c r="F293" s="10">
        <v>1300</v>
      </c>
      <c r="G293" s="22">
        <f>IFERROR(Pagos[[#This Row],[Cantidad vendida]]*Pagos[[#This Row],[Precio de venta]],"-")</f>
        <v>1300</v>
      </c>
      <c r="H293" s="22">
        <f>IFERROR(Pagos[[#This Row],[Precio de venta]]-VLOOKUP(Pagos[[#This Row],[Codigo del producto]],Stock[],13,FALSE),"-")</f>
        <v>477.50799999999992</v>
      </c>
      <c r="I293" s="22">
        <f t="shared" si="4"/>
        <v>191.00319999999999</v>
      </c>
      <c r="J293" s="22">
        <f>IFERROR(Pagos[[#This Row],[Cantidad vendida]]*Pagos[[#This Row],[Ganancia unitaria (Vendedor)]],"-")</f>
        <v>191.00319999999999</v>
      </c>
      <c r="K293" s="1">
        <f>IFERROR(Pagos[[#This Row],[Ganancia unitaria]]-Pagos[[#This Row],[Ganancia unitaria (Vendedor)]],"-")</f>
        <v>286.50479999999993</v>
      </c>
      <c r="L293" s="1">
        <f>IFERROR(Pagos[[#This Row],[Cantidad vendida]]*(Pagos[[#This Row],[Ganancia individual (Tienda)]]),"-")</f>
        <v>286.50479999999993</v>
      </c>
      <c r="M293" s="1">
        <f>(VLOOKUP(Pagos[[#This Row],[Codigo del producto]],Stock[],13,FALSE))*Pagos[[#This Row],[Cantidad vendida]]</f>
        <v>822.49200000000008</v>
      </c>
      <c r="N293" s="1" t="s">
        <v>334</v>
      </c>
      <c r="O293" s="1"/>
    </row>
    <row r="294" spans="1:15" ht="17.25" x14ac:dyDescent="0.3">
      <c r="A294" s="7" t="s">
        <v>313</v>
      </c>
      <c r="B294" s="43">
        <v>46094</v>
      </c>
      <c r="C294" s="7" t="s">
        <v>71</v>
      </c>
      <c r="D294" s="20" t="str">
        <f>IFERROR(VLOOKUP(Pagos[[#This Row],[Codigo del producto]],Entradas[],3,FALSE),"No existe")</f>
        <v>KZ Castor Improved Bass</v>
      </c>
      <c r="E294" s="7">
        <v>1</v>
      </c>
      <c r="F294" s="10">
        <v>650</v>
      </c>
      <c r="G294" s="22">
        <f>IFERROR(Pagos[[#This Row],[Cantidad vendida]]*Pagos[[#This Row],[Precio de venta]],"-")</f>
        <v>650</v>
      </c>
      <c r="H294" s="22">
        <f>IFERROR(Pagos[[#This Row],[Precio de venta]]-VLOOKUP(Pagos[[#This Row],[Codigo del producto]],Stock[],13,FALSE),"-")</f>
        <v>277.815</v>
      </c>
      <c r="I294" s="22">
        <f t="shared" si="4"/>
        <v>125.01675</v>
      </c>
      <c r="J294" s="22">
        <f>IFERROR(Pagos[[#This Row],[Cantidad vendida]]*Pagos[[#This Row],[Ganancia unitaria (Vendedor)]],"-")</f>
        <v>125.01675</v>
      </c>
      <c r="K294" s="1">
        <f>IFERROR(Pagos[[#This Row],[Ganancia unitaria]]-Pagos[[#This Row],[Ganancia unitaria (Vendedor)]],"-")</f>
        <v>152.79825</v>
      </c>
      <c r="L294" s="1">
        <f>IFERROR(Pagos[[#This Row],[Cantidad vendida]]*(Pagos[[#This Row],[Ganancia individual (Tienda)]]),"-")</f>
        <v>152.79825</v>
      </c>
      <c r="M294" s="1">
        <f>(VLOOKUP(Pagos[[#This Row],[Codigo del producto]],Stock[],13,FALSE))*Pagos[[#This Row],[Cantidad vendida]]</f>
        <v>372.185</v>
      </c>
      <c r="N294" s="1" t="s">
        <v>334</v>
      </c>
      <c r="O294" s="1"/>
    </row>
    <row r="295" spans="1:15" ht="17.25" x14ac:dyDescent="0.3">
      <c r="A295" s="7" t="s">
        <v>311</v>
      </c>
      <c r="B295" s="43">
        <v>46094</v>
      </c>
      <c r="C295" s="7" t="s">
        <v>35</v>
      </c>
      <c r="D295" s="20" t="str">
        <f>IFERROR(VLOOKUP(Pagos[[#This Row],[Codigo del producto]],Entradas[],3,FALSE),"No existe")</f>
        <v>Headset Bluetooth para moto</v>
      </c>
      <c r="E295" s="7">
        <v>1</v>
      </c>
      <c r="F295" s="10">
        <v>500</v>
      </c>
      <c r="G295" s="22">
        <f>IFERROR(Pagos[[#This Row],[Cantidad vendida]]*Pagos[[#This Row],[Precio de venta]],"-")</f>
        <v>500</v>
      </c>
      <c r="H295" s="22">
        <f>IFERROR(Pagos[[#This Row],[Precio de venta]]-VLOOKUP(Pagos[[#This Row],[Codigo del producto]],Stock[],13,FALSE),"-")</f>
        <v>227.31</v>
      </c>
      <c r="I295" s="22">
        <f t="shared" si="4"/>
        <v>102.2895</v>
      </c>
      <c r="J295" s="22">
        <f>IFERROR(Pagos[[#This Row],[Cantidad vendida]]*Pagos[[#This Row],[Ganancia unitaria (Vendedor)]],"-")</f>
        <v>102.2895</v>
      </c>
      <c r="K295" s="1">
        <f>IFERROR(Pagos[[#This Row],[Ganancia unitaria]]-Pagos[[#This Row],[Ganancia unitaria (Vendedor)]],"-")</f>
        <v>125.0205</v>
      </c>
      <c r="L295" s="1">
        <f>IFERROR(Pagos[[#This Row],[Cantidad vendida]]*(Pagos[[#This Row],[Ganancia individual (Tienda)]]),"-")</f>
        <v>125.0205</v>
      </c>
      <c r="M295" s="1">
        <f>(VLOOKUP(Pagos[[#This Row],[Codigo del producto]],Stock[],13,FALSE))*Pagos[[#This Row],[Cantidad vendida]]</f>
        <v>272.69</v>
      </c>
      <c r="N295" s="1" t="s">
        <v>334</v>
      </c>
      <c r="O295" s="1"/>
    </row>
    <row r="296" spans="1:15" ht="17.25" x14ac:dyDescent="0.3">
      <c r="A296" s="7" t="s">
        <v>313</v>
      </c>
      <c r="B296" s="43">
        <v>46094</v>
      </c>
      <c r="C296" s="7" t="s">
        <v>67</v>
      </c>
      <c r="D296" s="20" t="str">
        <f>IFERROR(VLOOKUP(Pagos[[#This Row],[Codigo del producto]],Entradas[],3,FALSE),"No existe")</f>
        <v>Cable de Repuesto KZ Tipo C</v>
      </c>
      <c r="E296" s="7">
        <v>1</v>
      </c>
      <c r="F296" s="10">
        <v>400</v>
      </c>
      <c r="G296" s="22">
        <f>IFERROR(Pagos[[#This Row],[Cantidad vendida]]*Pagos[[#This Row],[Precio de venta]],"-")</f>
        <v>400</v>
      </c>
      <c r="H296" s="22">
        <f>IFERROR(Pagos[[#This Row],[Precio de venta]]-VLOOKUP(Pagos[[#This Row],[Codigo del producto]],Stock[],13,FALSE),"-")</f>
        <v>205.0635</v>
      </c>
      <c r="I296" s="22">
        <f t="shared" si="4"/>
        <v>92.278575000000004</v>
      </c>
      <c r="J296" s="22">
        <f>IFERROR(Pagos[[#This Row],[Cantidad vendida]]*Pagos[[#This Row],[Ganancia unitaria (Vendedor)]],"-")</f>
        <v>92.278575000000004</v>
      </c>
      <c r="K296" s="1">
        <f>IFERROR(Pagos[[#This Row],[Ganancia unitaria]]-Pagos[[#This Row],[Ganancia unitaria (Vendedor)]],"-")</f>
        <v>112.784925</v>
      </c>
      <c r="L296" s="1">
        <f>IFERROR(Pagos[[#This Row],[Cantidad vendida]]*(Pagos[[#This Row],[Ganancia individual (Tienda)]]),"-")</f>
        <v>112.784925</v>
      </c>
      <c r="M296" s="1">
        <f>(VLOOKUP(Pagos[[#This Row],[Codigo del producto]],Stock[],13,FALSE))*Pagos[[#This Row],[Cantidad vendida]]</f>
        <v>194.9365</v>
      </c>
      <c r="N296" s="1" t="s">
        <v>334</v>
      </c>
      <c r="O296" s="1"/>
    </row>
    <row r="297" spans="1:15" ht="17.25" x14ac:dyDescent="0.3">
      <c r="A297" s="10" t="s">
        <v>352</v>
      </c>
      <c r="B297" s="43">
        <v>46094</v>
      </c>
      <c r="C297" s="7" t="s">
        <v>67</v>
      </c>
      <c r="D297" s="20" t="str">
        <f>IFERROR(VLOOKUP(Pagos[[#This Row],[Codigo del producto]],Entradas[],3,FALSE),"No existe")</f>
        <v>Cable de Repuesto KZ Tipo C</v>
      </c>
      <c r="E297" s="7">
        <v>1</v>
      </c>
      <c r="F297" s="10">
        <v>400</v>
      </c>
      <c r="G297" s="22">
        <f>IFERROR(Pagos[[#This Row],[Cantidad vendida]]*Pagos[[#This Row],[Precio de venta]],"-")</f>
        <v>400</v>
      </c>
      <c r="H297" s="22">
        <f>IFERROR(Pagos[[#This Row],[Precio de venta]]-VLOOKUP(Pagos[[#This Row],[Codigo del producto]],Stock[],13,FALSE),"-")</f>
        <v>205.0635</v>
      </c>
      <c r="I297" s="22">
        <f t="shared" si="4"/>
        <v>92.278575000000004</v>
      </c>
      <c r="J297" s="22">
        <f>IFERROR(Pagos[[#This Row],[Cantidad vendida]]*Pagos[[#This Row],[Ganancia unitaria (Vendedor)]],"-")</f>
        <v>92.278575000000004</v>
      </c>
      <c r="K297" s="1">
        <f>IFERROR(Pagos[[#This Row],[Ganancia unitaria]]-Pagos[[#This Row],[Ganancia unitaria (Vendedor)]],"-")</f>
        <v>112.784925</v>
      </c>
      <c r="L297" s="1">
        <f>IFERROR(Pagos[[#This Row],[Cantidad vendida]]*(Pagos[[#This Row],[Ganancia individual (Tienda)]]),"-")</f>
        <v>112.784925</v>
      </c>
      <c r="M297" s="1">
        <f>(VLOOKUP(Pagos[[#This Row],[Codigo del producto]],Stock[],13,FALSE))*Pagos[[#This Row],[Cantidad vendida]]</f>
        <v>194.9365</v>
      </c>
      <c r="N297" s="1" t="s">
        <v>312</v>
      </c>
      <c r="O297" s="1"/>
    </row>
    <row r="298" spans="1:15" ht="17.25" x14ac:dyDescent="0.3">
      <c r="A298" s="7" t="s">
        <v>311</v>
      </c>
      <c r="B298" s="43">
        <v>46095</v>
      </c>
      <c r="C298" s="7" t="s">
        <v>87</v>
      </c>
      <c r="D298" s="20" t="str">
        <f>IFERROR(VLOOKUP(Pagos[[#This Row],[Codigo del producto]],Entradas[],3,FALSE),"No existe")</f>
        <v>Shark Attack L80</v>
      </c>
      <c r="E298" s="7">
        <v>1</v>
      </c>
      <c r="F298" s="10">
        <v>1200</v>
      </c>
      <c r="G298" s="22">
        <f>IFERROR(Pagos[[#This Row],[Cantidad vendida]]*Pagos[[#This Row],[Precio de venta]],"-")</f>
        <v>1200</v>
      </c>
      <c r="H298" s="22">
        <f>IFERROR(Pagos[[#This Row],[Precio de venta]]-VLOOKUP(Pagos[[#This Row],[Codigo del producto]],Stock[],13,FALSE),"-")</f>
        <v>278.75</v>
      </c>
      <c r="I298" s="22">
        <f t="shared" si="4"/>
        <v>125.4375</v>
      </c>
      <c r="J298" s="22">
        <f>IFERROR(Pagos[[#This Row],[Cantidad vendida]]*Pagos[[#This Row],[Ganancia unitaria (Vendedor)]],"-")</f>
        <v>125.4375</v>
      </c>
      <c r="K298" s="1">
        <f>IFERROR(Pagos[[#This Row],[Ganancia unitaria]]-Pagos[[#This Row],[Ganancia unitaria (Vendedor)]],"-")</f>
        <v>153.3125</v>
      </c>
      <c r="L298" s="1">
        <f>IFERROR(Pagos[[#This Row],[Cantidad vendida]]*(Pagos[[#This Row],[Ganancia individual (Tienda)]]),"-")</f>
        <v>153.3125</v>
      </c>
      <c r="M298" s="1">
        <f>(VLOOKUP(Pagos[[#This Row],[Codigo del producto]],Stock[],13,FALSE))*Pagos[[#This Row],[Cantidad vendida]]</f>
        <v>921.25</v>
      </c>
      <c r="N298" s="1" t="s">
        <v>312</v>
      </c>
      <c r="O298" s="1"/>
    </row>
    <row r="299" spans="1:15" ht="17.25" x14ac:dyDescent="0.3">
      <c r="A299" s="7" t="s">
        <v>313</v>
      </c>
      <c r="B299" s="43">
        <v>46096</v>
      </c>
      <c r="C299" s="7" t="s">
        <v>101</v>
      </c>
      <c r="D299" s="20" t="str">
        <f>IFERROR(VLOOKUP(Pagos[[#This Row],[Codigo del producto]],Entradas[],3,FALSE),"No existe")</f>
        <v xml:space="preserve">Shark Attack Mouse X11 Black </v>
      </c>
      <c r="E299" s="7">
        <v>1</v>
      </c>
      <c r="F299" s="10">
        <v>1300</v>
      </c>
      <c r="G299" s="22">
        <f>IFERROR(Pagos[[#This Row],[Cantidad vendida]]*Pagos[[#This Row],[Precio de venta]],"-")</f>
        <v>1300</v>
      </c>
      <c r="H299" s="22">
        <f>IFERROR(Pagos[[#This Row],[Precio de venta]]-VLOOKUP(Pagos[[#This Row],[Codigo del producto]],Stock[],13,FALSE),"-")</f>
        <v>477.50799999999992</v>
      </c>
      <c r="I299" s="22">
        <f t="shared" si="4"/>
        <v>191.00319999999999</v>
      </c>
      <c r="J299" s="22">
        <f>IFERROR(Pagos[[#This Row],[Cantidad vendida]]*Pagos[[#This Row],[Ganancia unitaria (Vendedor)]],"-")</f>
        <v>191.00319999999999</v>
      </c>
      <c r="K299" s="1">
        <f>IFERROR(Pagos[[#This Row],[Ganancia unitaria]]-Pagos[[#This Row],[Ganancia unitaria (Vendedor)]],"-")</f>
        <v>286.50479999999993</v>
      </c>
      <c r="L299" s="1">
        <f>IFERROR(Pagos[[#This Row],[Cantidad vendida]]*(Pagos[[#This Row],[Ganancia individual (Tienda)]]),"-")</f>
        <v>286.50479999999993</v>
      </c>
      <c r="M299" s="1">
        <f>(VLOOKUP(Pagos[[#This Row],[Codigo del producto]],Stock[],13,FALSE))*Pagos[[#This Row],[Cantidad vendida]]</f>
        <v>822.49200000000008</v>
      </c>
      <c r="N299" s="1" t="s">
        <v>312</v>
      </c>
      <c r="O299" s="1"/>
    </row>
    <row r="300" spans="1:15" ht="17.25" x14ac:dyDescent="0.3">
      <c r="A300" s="7" t="s">
        <v>313</v>
      </c>
      <c r="B300" s="43">
        <v>46096</v>
      </c>
      <c r="C300" s="7" t="s">
        <v>72</v>
      </c>
      <c r="D300" s="20" t="str">
        <f>IFERROR(VLOOKUP(Pagos[[#This Row],[Codigo del producto]],Entradas[],3,FALSE),"No existe")</f>
        <v>KZ AZ09 Bluetooth Adapter</v>
      </c>
      <c r="E300" s="7">
        <v>1</v>
      </c>
      <c r="F300" s="10">
        <v>950</v>
      </c>
      <c r="G300" s="22">
        <f>IFERROR(Pagos[[#This Row],[Cantidad vendida]]*Pagos[[#This Row],[Precio de venta]],"-")</f>
        <v>950</v>
      </c>
      <c r="H300" s="22">
        <f>IFERROR(Pagos[[#This Row],[Precio de venta]]-VLOOKUP(Pagos[[#This Row],[Codigo del producto]],Stock[],13,FALSE),"-")</f>
        <v>338.28999999999996</v>
      </c>
      <c r="I300" s="22">
        <f t="shared" si="4"/>
        <v>135.316</v>
      </c>
      <c r="J300" s="22">
        <f>IFERROR(Pagos[[#This Row],[Cantidad vendida]]*Pagos[[#This Row],[Ganancia unitaria (Vendedor)]],"-")</f>
        <v>135.316</v>
      </c>
      <c r="K300" s="1">
        <f>IFERROR(Pagos[[#This Row],[Ganancia unitaria]]-Pagos[[#This Row],[Ganancia unitaria (Vendedor)]],"-")</f>
        <v>202.97399999999996</v>
      </c>
      <c r="L300" s="1">
        <f>IFERROR(Pagos[[#This Row],[Cantidad vendida]]*(Pagos[[#This Row],[Ganancia individual (Tienda)]]),"-")</f>
        <v>202.97399999999996</v>
      </c>
      <c r="M300" s="1">
        <f>(VLOOKUP(Pagos[[#This Row],[Codigo del producto]],Stock[],13,FALSE))*Pagos[[#This Row],[Cantidad vendida]]</f>
        <v>611.71</v>
      </c>
      <c r="N300" s="1" t="s">
        <v>312</v>
      </c>
      <c r="O300" s="1"/>
    </row>
    <row r="301" spans="1:15" ht="17.25" x14ac:dyDescent="0.3">
      <c r="A301" s="7" t="s">
        <v>313</v>
      </c>
      <c r="B301" s="43">
        <v>46096</v>
      </c>
      <c r="C301" s="7" t="s">
        <v>71</v>
      </c>
      <c r="D301" s="20" t="str">
        <f>IFERROR(VLOOKUP(Pagos[[#This Row],[Codigo del producto]],Entradas[],3,FALSE),"No existe")</f>
        <v>KZ Castor Improved Bass</v>
      </c>
      <c r="E301" s="7">
        <v>3</v>
      </c>
      <c r="F301" s="10">
        <v>650</v>
      </c>
      <c r="G301" s="22">
        <f>IFERROR(Pagos[[#This Row],[Cantidad vendida]]*Pagos[[#This Row],[Precio de venta]],"-")</f>
        <v>1950</v>
      </c>
      <c r="H301" s="22">
        <f>IFERROR(Pagos[[#This Row],[Precio de venta]]-VLOOKUP(Pagos[[#This Row],[Codigo del producto]],Stock[],13,FALSE),"-")</f>
        <v>277.815</v>
      </c>
      <c r="I301" s="22">
        <f t="shared" si="4"/>
        <v>125.01675</v>
      </c>
      <c r="J301" s="22">
        <f>IFERROR(Pagos[[#This Row],[Cantidad vendida]]*Pagos[[#This Row],[Ganancia unitaria (Vendedor)]],"-")</f>
        <v>375.05025000000001</v>
      </c>
      <c r="K301" s="1">
        <f>IFERROR(Pagos[[#This Row],[Ganancia unitaria]]-Pagos[[#This Row],[Ganancia unitaria (Vendedor)]],"-")</f>
        <v>152.79825</v>
      </c>
      <c r="L301" s="1">
        <f>IFERROR(Pagos[[#This Row],[Cantidad vendida]]*(Pagos[[#This Row],[Ganancia individual (Tienda)]]),"-")</f>
        <v>458.39474999999999</v>
      </c>
      <c r="M301" s="1">
        <f>(VLOOKUP(Pagos[[#This Row],[Codigo del producto]],Stock[],13,FALSE))*Pagos[[#This Row],[Cantidad vendida]]</f>
        <v>1116.5550000000001</v>
      </c>
      <c r="N301" s="1" t="s">
        <v>312</v>
      </c>
      <c r="O301" s="1"/>
    </row>
    <row r="302" spans="1:15" ht="17.25" x14ac:dyDescent="0.3">
      <c r="A302" s="7" t="s">
        <v>311</v>
      </c>
      <c r="B302" s="43">
        <v>46096</v>
      </c>
      <c r="C302" s="7" t="s">
        <v>46</v>
      </c>
      <c r="D302" s="20" t="str">
        <f>IFERROR(VLOOKUP(Pagos[[#This Row],[Codigo del producto]],Entradas[],3,FALSE),"No existe")</f>
        <v>Headset Bluetooth para moto</v>
      </c>
      <c r="E302" s="7">
        <v>1</v>
      </c>
      <c r="F302" s="10">
        <v>500</v>
      </c>
      <c r="G302" s="22">
        <f>IFERROR(Pagos[[#This Row],[Cantidad vendida]]*Pagos[[#This Row],[Precio de venta]],"-")</f>
        <v>500</v>
      </c>
      <c r="H302" s="22">
        <f>IFERROR(Pagos[[#This Row],[Precio de venta]]-VLOOKUP(Pagos[[#This Row],[Codigo del producto]],Stock[],13,FALSE),"-")</f>
        <v>222.51949999999999</v>
      </c>
      <c r="I302" s="22">
        <f t="shared" si="4"/>
        <v>100.133775</v>
      </c>
      <c r="J302" s="22">
        <f>IFERROR(Pagos[[#This Row],[Cantidad vendida]]*Pagos[[#This Row],[Ganancia unitaria (Vendedor)]],"-")</f>
        <v>100.133775</v>
      </c>
      <c r="K302" s="1">
        <f>IFERROR(Pagos[[#This Row],[Ganancia unitaria]]-Pagos[[#This Row],[Ganancia unitaria (Vendedor)]],"-")</f>
        <v>122.38572499999999</v>
      </c>
      <c r="L302" s="1">
        <f>IFERROR(Pagos[[#This Row],[Cantidad vendida]]*(Pagos[[#This Row],[Ganancia individual (Tienda)]]),"-")</f>
        <v>122.38572499999999</v>
      </c>
      <c r="M302" s="1">
        <f>(VLOOKUP(Pagos[[#This Row],[Codigo del producto]],Stock[],13,FALSE))*Pagos[[#This Row],[Cantidad vendida]]</f>
        <v>277.48050000000001</v>
      </c>
      <c r="N302" s="1" t="s">
        <v>334</v>
      </c>
      <c r="O302" s="1"/>
    </row>
    <row r="303" spans="1:15" ht="17.25" x14ac:dyDescent="0.3">
      <c r="A303" s="10" t="s">
        <v>335</v>
      </c>
      <c r="B303" s="43">
        <v>46096</v>
      </c>
      <c r="C303" s="7" t="s">
        <v>61</v>
      </c>
      <c r="D303" s="20" t="str">
        <f>IFERROR(VLOOKUP(Pagos[[#This Row],[Codigo del producto]],Entradas[],3,FALSE),"No existe")</f>
        <v xml:space="preserve">Adaptador DAC </v>
      </c>
      <c r="E303" s="7">
        <v>1</v>
      </c>
      <c r="F303" s="10">
        <v>350</v>
      </c>
      <c r="G303" s="22">
        <f>IFERROR(Pagos[[#This Row],[Cantidad vendida]]*Pagos[[#This Row],[Precio de venta]],"-")</f>
        <v>350</v>
      </c>
      <c r="H303" s="22">
        <f>IFERROR(Pagos[[#This Row],[Precio de venta]]-VLOOKUP(Pagos[[#This Row],[Codigo del producto]],Stock[],13,FALSE),"-")</f>
        <v>214.392</v>
      </c>
      <c r="I303" s="22">
        <f t="shared" si="4"/>
        <v>96.476399999999998</v>
      </c>
      <c r="J303" s="22">
        <f>IFERROR(Pagos[[#This Row],[Cantidad vendida]]*Pagos[[#This Row],[Ganancia unitaria (Vendedor)]],"-")</f>
        <v>96.476399999999998</v>
      </c>
      <c r="K303" s="1">
        <f>IFERROR(Pagos[[#This Row],[Ganancia unitaria]]-Pagos[[#This Row],[Ganancia unitaria (Vendedor)]],"-")</f>
        <v>117.9156</v>
      </c>
      <c r="L303" s="1">
        <f>IFERROR(Pagos[[#This Row],[Cantidad vendida]]*(Pagos[[#This Row],[Ganancia individual (Tienda)]]),"-")</f>
        <v>117.9156</v>
      </c>
      <c r="M303" s="1">
        <f>(VLOOKUP(Pagos[[#This Row],[Codigo del producto]],Stock[],13,FALSE))*Pagos[[#This Row],[Cantidad vendida]]</f>
        <v>135.608</v>
      </c>
      <c r="N303" s="1" t="s">
        <v>334</v>
      </c>
      <c r="O303" s="1"/>
    </row>
    <row r="304" spans="1:15" ht="17.25" x14ac:dyDescent="0.3">
      <c r="A304" s="7" t="s">
        <v>311</v>
      </c>
      <c r="B304" s="43">
        <v>46096</v>
      </c>
      <c r="C304" s="7" t="s">
        <v>67</v>
      </c>
      <c r="D304" s="20" t="str">
        <f>IFERROR(VLOOKUP(Pagos[[#This Row],[Codigo del producto]],Entradas[],3,FALSE),"No existe")</f>
        <v>Cable de Repuesto KZ Tipo C</v>
      </c>
      <c r="E304" s="7">
        <v>1</v>
      </c>
      <c r="F304" s="10">
        <v>400</v>
      </c>
      <c r="G304" s="22">
        <f>IFERROR(Pagos[[#This Row],[Cantidad vendida]]*Pagos[[#This Row],[Precio de venta]],"-")</f>
        <v>400</v>
      </c>
      <c r="H304" s="22">
        <f>IFERROR(Pagos[[#This Row],[Precio de venta]]-VLOOKUP(Pagos[[#This Row],[Codigo del producto]],Stock[],13,FALSE),"-")</f>
        <v>205.0635</v>
      </c>
      <c r="I304" s="22">
        <f t="shared" si="4"/>
        <v>92.278575000000004</v>
      </c>
      <c r="J304" s="22">
        <f>IFERROR(Pagos[[#This Row],[Cantidad vendida]]*Pagos[[#This Row],[Ganancia unitaria (Vendedor)]],"-")</f>
        <v>92.278575000000004</v>
      </c>
      <c r="K304" s="1">
        <f>IFERROR(Pagos[[#This Row],[Ganancia unitaria]]-Pagos[[#This Row],[Ganancia unitaria (Vendedor)]],"-")</f>
        <v>112.784925</v>
      </c>
      <c r="L304" s="1">
        <f>IFERROR(Pagos[[#This Row],[Cantidad vendida]]*(Pagos[[#This Row],[Ganancia individual (Tienda)]]),"-")</f>
        <v>112.784925</v>
      </c>
      <c r="M304" s="1">
        <f>(VLOOKUP(Pagos[[#This Row],[Codigo del producto]],Stock[],13,FALSE))*Pagos[[#This Row],[Cantidad vendida]]</f>
        <v>194.9365</v>
      </c>
      <c r="N304" s="1" t="s">
        <v>334</v>
      </c>
      <c r="O304" s="1"/>
    </row>
    <row r="305" spans="1:15" ht="17.25" x14ac:dyDescent="0.3">
      <c r="A305" s="10" t="s">
        <v>327</v>
      </c>
      <c r="B305" s="43">
        <v>46096</v>
      </c>
      <c r="C305" s="7" t="s">
        <v>41</v>
      </c>
      <c r="D305" s="20" t="str">
        <f>IFERROR(VLOOKUP(Pagos[[#This Row],[Codigo del producto]],Entradas[],3,FALSE),"No existe")</f>
        <v>Halogenos para moto</v>
      </c>
      <c r="E305" s="7">
        <v>1</v>
      </c>
      <c r="F305" s="10">
        <v>350</v>
      </c>
      <c r="G305" s="22">
        <f>IFERROR(Pagos[[#This Row],[Cantidad vendida]]*Pagos[[#This Row],[Precio de venta]],"-")</f>
        <v>350</v>
      </c>
      <c r="H305" s="22">
        <f>IFERROR(Pagos[[#This Row],[Precio de venta]]-VLOOKUP(Pagos[[#This Row],[Codigo del producto]],Stock[],13,FALSE),"-")</f>
        <v>203.33699999999999</v>
      </c>
      <c r="I305" s="22">
        <f t="shared" si="4"/>
        <v>91.501649999999998</v>
      </c>
      <c r="J305" s="22">
        <f>IFERROR(Pagos[[#This Row],[Cantidad vendida]]*Pagos[[#This Row],[Ganancia unitaria (Vendedor)]],"-")</f>
        <v>91.501649999999998</v>
      </c>
      <c r="K305" s="1">
        <f>IFERROR(Pagos[[#This Row],[Ganancia unitaria]]-Pagos[[#This Row],[Ganancia unitaria (Vendedor)]],"-")</f>
        <v>111.83534999999999</v>
      </c>
      <c r="L305" s="1">
        <f>IFERROR(Pagos[[#This Row],[Cantidad vendida]]*(Pagos[[#This Row],[Ganancia individual (Tienda)]]),"-")</f>
        <v>111.83534999999999</v>
      </c>
      <c r="M305" s="1">
        <f>(VLOOKUP(Pagos[[#This Row],[Codigo del producto]],Stock[],13,FALSE))*Pagos[[#This Row],[Cantidad vendida]]</f>
        <v>146.66300000000001</v>
      </c>
      <c r="N305" s="1" t="s">
        <v>334</v>
      </c>
      <c r="O305" s="1"/>
    </row>
    <row r="306" spans="1:15" ht="17.25" x14ac:dyDescent="0.3">
      <c r="A306" s="7" t="s">
        <v>311</v>
      </c>
      <c r="B306" s="43">
        <v>46096</v>
      </c>
      <c r="C306" s="7" t="s">
        <v>104</v>
      </c>
      <c r="D306" s="20" t="str">
        <f>IFERROR(VLOOKUP(Pagos[[#This Row],[Codigo del producto]],Entradas[],3,FALSE),"No existe")</f>
        <v>Cargadores USB para moto</v>
      </c>
      <c r="E306" s="7">
        <v>1</v>
      </c>
      <c r="F306" s="10">
        <v>480</v>
      </c>
      <c r="G306" s="22">
        <f>IFERROR(Pagos[[#This Row],[Cantidad vendida]]*Pagos[[#This Row],[Precio de venta]],"-")</f>
        <v>480</v>
      </c>
      <c r="H306" s="22">
        <f>IFERROR(Pagos[[#This Row],[Precio de venta]]-VLOOKUP(Pagos[[#This Row],[Codigo del producto]],Stock[],13,FALSE),"-")</f>
        <v>170.82849999999996</v>
      </c>
      <c r="I306" s="22">
        <f t="shared" si="4"/>
        <v>76.872824999999992</v>
      </c>
      <c r="J306" s="22">
        <f>IFERROR(Pagos[[#This Row],[Cantidad vendida]]*Pagos[[#This Row],[Ganancia unitaria (Vendedor)]],"-")</f>
        <v>76.872824999999992</v>
      </c>
      <c r="K306" s="1">
        <f>IFERROR(Pagos[[#This Row],[Ganancia unitaria]]-Pagos[[#This Row],[Ganancia unitaria (Vendedor)]],"-")</f>
        <v>93.955674999999971</v>
      </c>
      <c r="L306" s="1">
        <f>IFERROR(Pagos[[#This Row],[Cantidad vendida]]*(Pagos[[#This Row],[Ganancia individual (Tienda)]]),"-")</f>
        <v>93.955674999999971</v>
      </c>
      <c r="M306" s="1">
        <f>(VLOOKUP(Pagos[[#This Row],[Codigo del producto]],Stock[],13,FALSE))*Pagos[[#This Row],[Cantidad vendida]]</f>
        <v>309.17150000000004</v>
      </c>
      <c r="N306" s="1" t="s">
        <v>334</v>
      </c>
      <c r="O306" s="1"/>
    </row>
    <row r="307" spans="1:15" ht="17.25" x14ac:dyDescent="0.3">
      <c r="A307" s="10" t="s">
        <v>313</v>
      </c>
      <c r="B307" s="43">
        <v>46097</v>
      </c>
      <c r="C307" s="7" t="s">
        <v>111</v>
      </c>
      <c r="D307" s="20" t="str">
        <f>IFERROR(VLOOKUP(Pagos[[#This Row],[Codigo del producto]],Entradas[],3,FALSE),"No existe")</f>
        <v>Teclado Mecanico Machenike K500</v>
      </c>
      <c r="E307" s="7">
        <v>1</v>
      </c>
      <c r="F307" s="10">
        <v>2200</v>
      </c>
      <c r="G307" s="22">
        <f>IFERROR(Pagos[[#This Row],[Cantidad vendida]]*Pagos[[#This Row],[Precio de venta]],"-")</f>
        <v>2200</v>
      </c>
      <c r="H307" s="22">
        <f>IFERROR(Pagos[[#This Row],[Precio de venta]]-VLOOKUP(Pagos[[#This Row],[Codigo del producto]],Stock[],13,FALSE),"-")</f>
        <v>652.29999999999995</v>
      </c>
      <c r="I307" s="22">
        <f t="shared" si="4"/>
        <v>247.874</v>
      </c>
      <c r="J307" s="22">
        <f>IFERROR(Pagos[[#This Row],[Cantidad vendida]]*Pagos[[#This Row],[Ganancia unitaria (Vendedor)]],"-")</f>
        <v>247.874</v>
      </c>
      <c r="K307" s="1">
        <f>IFERROR(Pagos[[#This Row],[Ganancia unitaria]]-Pagos[[#This Row],[Ganancia unitaria (Vendedor)]],"-")</f>
        <v>404.42599999999993</v>
      </c>
      <c r="L307" s="1">
        <f>IFERROR(Pagos[[#This Row],[Cantidad vendida]]*(Pagos[[#This Row],[Ganancia individual (Tienda)]]),"-")</f>
        <v>404.42599999999993</v>
      </c>
      <c r="M307" s="1">
        <f>(VLOOKUP(Pagos[[#This Row],[Codigo del producto]],Stock[],13,FALSE))*Pagos[[#This Row],[Cantidad vendida]]</f>
        <v>1547.7</v>
      </c>
      <c r="N307" s="1" t="s">
        <v>334</v>
      </c>
      <c r="O307" s="1"/>
    </row>
    <row r="308" spans="1:15" ht="17.25" x14ac:dyDescent="0.3">
      <c r="A308" s="10" t="s">
        <v>313</v>
      </c>
      <c r="B308" s="43">
        <v>46097</v>
      </c>
      <c r="C308" s="7" t="s">
        <v>101</v>
      </c>
      <c r="D308" s="20" t="str">
        <f>IFERROR(VLOOKUP(Pagos[[#This Row],[Codigo del producto]],Entradas[],3,FALSE),"No existe")</f>
        <v xml:space="preserve">Shark Attack Mouse X11 Black </v>
      </c>
      <c r="E308" s="7">
        <v>1</v>
      </c>
      <c r="F308" s="10">
        <v>1300</v>
      </c>
      <c r="G308" s="22">
        <f>IFERROR(Pagos[[#This Row],[Cantidad vendida]]*Pagos[[#This Row],[Precio de venta]],"-")</f>
        <v>1300</v>
      </c>
      <c r="H308" s="22">
        <f>IFERROR(Pagos[[#This Row],[Precio de venta]]-VLOOKUP(Pagos[[#This Row],[Codigo del producto]],Stock[],13,FALSE),"-")</f>
        <v>477.50799999999992</v>
      </c>
      <c r="I308" s="22">
        <f t="shared" si="4"/>
        <v>191.00319999999999</v>
      </c>
      <c r="J308" s="22">
        <f>IFERROR(Pagos[[#This Row],[Cantidad vendida]]*Pagos[[#This Row],[Ganancia unitaria (Vendedor)]],"-")</f>
        <v>191.00319999999999</v>
      </c>
      <c r="K308" s="1">
        <f>IFERROR(Pagos[[#This Row],[Ganancia unitaria]]-Pagos[[#This Row],[Ganancia unitaria (Vendedor)]],"-")</f>
        <v>286.50479999999993</v>
      </c>
      <c r="L308" s="1">
        <f>IFERROR(Pagos[[#This Row],[Cantidad vendida]]*(Pagos[[#This Row],[Ganancia individual (Tienda)]]),"-")</f>
        <v>286.50479999999993</v>
      </c>
      <c r="M308" s="1">
        <f>(VLOOKUP(Pagos[[#This Row],[Codigo del producto]],Stock[],13,FALSE))*Pagos[[#This Row],[Cantidad vendida]]</f>
        <v>822.49200000000008</v>
      </c>
      <c r="N308" s="1" t="s">
        <v>334</v>
      </c>
      <c r="O308" s="1"/>
    </row>
    <row r="309" spans="1:15" ht="17.25" x14ac:dyDescent="0.3">
      <c r="A309" s="10" t="s">
        <v>327</v>
      </c>
      <c r="B309" s="43">
        <v>46097</v>
      </c>
      <c r="C309" s="7" t="s">
        <v>71</v>
      </c>
      <c r="D309" s="20" t="str">
        <f>IFERROR(VLOOKUP(Pagos[[#This Row],[Codigo del producto]],Entradas[],3,FALSE),"No existe")</f>
        <v>KZ Castor Improved Bass</v>
      </c>
      <c r="E309" s="7">
        <v>1</v>
      </c>
      <c r="F309" s="10">
        <v>700</v>
      </c>
      <c r="G309" s="22">
        <f>IFERROR(Pagos[[#This Row],[Cantidad vendida]]*Pagos[[#This Row],[Precio de venta]],"-")</f>
        <v>700</v>
      </c>
      <c r="H309" s="22">
        <f>IFERROR(Pagos[[#This Row],[Precio de venta]]-VLOOKUP(Pagos[[#This Row],[Codigo del producto]],Stock[],13,FALSE),"-")</f>
        <v>327.815</v>
      </c>
      <c r="I309" s="22">
        <f t="shared" si="4"/>
        <v>131.126</v>
      </c>
      <c r="J309" s="22">
        <f>IFERROR(Pagos[[#This Row],[Cantidad vendida]]*Pagos[[#This Row],[Ganancia unitaria (Vendedor)]],"-")</f>
        <v>131.126</v>
      </c>
      <c r="K309" s="1">
        <f>IFERROR(Pagos[[#This Row],[Ganancia unitaria]]-Pagos[[#This Row],[Ganancia unitaria (Vendedor)]],"-")</f>
        <v>196.68899999999999</v>
      </c>
      <c r="L309" s="1">
        <f>IFERROR(Pagos[[#This Row],[Cantidad vendida]]*(Pagos[[#This Row],[Ganancia individual (Tienda)]]),"-")</f>
        <v>196.68899999999999</v>
      </c>
      <c r="M309" s="1">
        <f>(VLOOKUP(Pagos[[#This Row],[Codigo del producto]],Stock[],13,FALSE))*Pagos[[#This Row],[Cantidad vendida]]</f>
        <v>372.185</v>
      </c>
      <c r="N309" s="1" t="s">
        <v>334</v>
      </c>
      <c r="O309" s="1"/>
    </row>
    <row r="310" spans="1:15" ht="17.25" x14ac:dyDescent="0.3">
      <c r="A310" s="10" t="s">
        <v>313</v>
      </c>
      <c r="B310" s="43">
        <v>46097</v>
      </c>
      <c r="C310" s="7" t="s">
        <v>71</v>
      </c>
      <c r="D310" s="20" t="str">
        <f>IFERROR(VLOOKUP(Pagos[[#This Row],[Codigo del producto]],Entradas[],3,FALSE),"No existe")</f>
        <v>KZ Castor Improved Bass</v>
      </c>
      <c r="E310" s="7">
        <v>1</v>
      </c>
      <c r="F310" s="10">
        <v>700</v>
      </c>
      <c r="G310" s="22">
        <f>IFERROR(Pagos[[#This Row],[Cantidad vendida]]*Pagos[[#This Row],[Precio de venta]],"-")</f>
        <v>700</v>
      </c>
      <c r="H310" s="22">
        <f>IFERROR(Pagos[[#This Row],[Precio de venta]]-VLOOKUP(Pagos[[#This Row],[Codigo del producto]],Stock[],13,FALSE),"-")</f>
        <v>327.815</v>
      </c>
      <c r="I310" s="22">
        <f t="shared" si="4"/>
        <v>131.126</v>
      </c>
      <c r="J310" s="22">
        <f>IFERROR(Pagos[[#This Row],[Cantidad vendida]]*Pagos[[#This Row],[Ganancia unitaria (Vendedor)]],"-")</f>
        <v>131.126</v>
      </c>
      <c r="K310" s="1">
        <f>IFERROR(Pagos[[#This Row],[Ganancia unitaria]]-Pagos[[#This Row],[Ganancia unitaria (Vendedor)]],"-")</f>
        <v>196.68899999999999</v>
      </c>
      <c r="L310" s="1">
        <f>IFERROR(Pagos[[#This Row],[Cantidad vendida]]*(Pagos[[#This Row],[Ganancia individual (Tienda)]]),"-")</f>
        <v>196.68899999999999</v>
      </c>
      <c r="M310" s="1">
        <f>(VLOOKUP(Pagos[[#This Row],[Codigo del producto]],Stock[],13,FALSE))*Pagos[[#This Row],[Cantidad vendida]]</f>
        <v>372.185</v>
      </c>
      <c r="N310" s="1" t="s">
        <v>334</v>
      </c>
      <c r="O310" s="1"/>
    </row>
    <row r="311" spans="1:15" ht="17.25" x14ac:dyDescent="0.3">
      <c r="A311" s="10" t="s">
        <v>313</v>
      </c>
      <c r="B311" s="43">
        <v>46097</v>
      </c>
      <c r="C311" s="7" t="s">
        <v>36</v>
      </c>
      <c r="D311" s="20" t="str">
        <f>IFERROR(VLOOKUP(Pagos[[#This Row],[Codigo del producto]],Entradas[],3,FALSE),"No existe")</f>
        <v>KZ EDX PRO X</v>
      </c>
      <c r="E311" s="7">
        <v>1</v>
      </c>
      <c r="F311" s="10">
        <v>450</v>
      </c>
      <c r="G311" s="22">
        <f>IFERROR(Pagos[[#This Row],[Cantidad vendida]]*Pagos[[#This Row],[Precio de venta]],"-")</f>
        <v>450</v>
      </c>
      <c r="H311" s="22">
        <f>IFERROR(Pagos[[#This Row],[Precio de venta]]-VLOOKUP(Pagos[[#This Row],[Codigo del producto]],Stock[],13,FALSE),"-")</f>
        <v>286.75450000000001</v>
      </c>
      <c r="I311" s="22">
        <f t="shared" si="4"/>
        <v>129.039525</v>
      </c>
      <c r="J311" s="22">
        <f>IFERROR(Pagos[[#This Row],[Cantidad vendida]]*Pagos[[#This Row],[Ganancia unitaria (Vendedor)]],"-")</f>
        <v>129.039525</v>
      </c>
      <c r="K311" s="1">
        <f>IFERROR(Pagos[[#This Row],[Ganancia unitaria]]-Pagos[[#This Row],[Ganancia unitaria (Vendedor)]],"-")</f>
        <v>157.71497500000001</v>
      </c>
      <c r="L311" s="1">
        <f>IFERROR(Pagos[[#This Row],[Cantidad vendida]]*(Pagos[[#This Row],[Ganancia individual (Tienda)]]),"-")</f>
        <v>157.71497500000001</v>
      </c>
      <c r="M311" s="1">
        <f>(VLOOKUP(Pagos[[#This Row],[Codigo del producto]],Stock[],13,FALSE))*Pagos[[#This Row],[Cantidad vendida]]</f>
        <v>163.24549999999999</v>
      </c>
      <c r="N311" s="1" t="s">
        <v>334</v>
      </c>
      <c r="O311" s="1"/>
    </row>
    <row r="312" spans="1:15" s="53" customFormat="1" ht="17.25" x14ac:dyDescent="0.3">
      <c r="A312" s="10" t="s">
        <v>354</v>
      </c>
      <c r="B312" s="43">
        <v>46099</v>
      </c>
      <c r="C312" s="7" t="s">
        <v>107</v>
      </c>
      <c r="D312" s="20" t="str">
        <f>IFERROR(VLOOKUP(Pagos[[#This Row],[Codigo del producto]],Entradas[],3,FALSE),"No existe")</f>
        <v>Arzopa Monitor 27 Inch 2K</v>
      </c>
      <c r="E312" s="7">
        <v>1</v>
      </c>
      <c r="F312" s="10">
        <v>7600</v>
      </c>
      <c r="G312" s="22">
        <f>IFERROR(Pagos[[#This Row],[Cantidad vendida]]*Pagos[[#This Row],[Precio de venta]],"-")</f>
        <v>7600</v>
      </c>
      <c r="H312" s="22">
        <f>IFERROR(Pagos[[#This Row],[Precio de venta]]-VLOOKUP(Pagos[[#This Row],[Codigo del producto]],Stock[],13,FALSE),"-")</f>
        <v>1711.7385000000004</v>
      </c>
      <c r="I312" s="22">
        <f t="shared" si="4"/>
        <v>513.52155000000005</v>
      </c>
      <c r="J312" s="22">
        <f>IFERROR(Pagos[[#This Row],[Cantidad vendida]]*Pagos[[#This Row],[Ganancia unitaria (Vendedor)]],"-")</f>
        <v>513.52155000000005</v>
      </c>
      <c r="K312" s="1">
        <f>IFERROR(Pagos[[#This Row],[Ganancia unitaria]]-Pagos[[#This Row],[Ganancia unitaria (Vendedor)]],"-")</f>
        <v>1198.2169500000005</v>
      </c>
      <c r="L312" s="1">
        <f>IFERROR(Pagos[[#This Row],[Cantidad vendida]]*(Pagos[[#This Row],[Ganancia individual (Tienda)]]),"-")</f>
        <v>1198.2169500000005</v>
      </c>
      <c r="M312" s="1">
        <f>(VLOOKUP(Pagos[[#This Row],[Codigo del producto]],Stock[],13,FALSE))*Pagos[[#This Row],[Cantidad vendida]]</f>
        <v>5888.2614999999996</v>
      </c>
      <c r="N312" s="1" t="s">
        <v>334</v>
      </c>
      <c r="O312" s="1"/>
    </row>
    <row r="313" spans="1:15" ht="17.25" x14ac:dyDescent="0.3">
      <c r="A313" s="46" t="s">
        <v>315</v>
      </c>
      <c r="B313" s="48">
        <v>46099</v>
      </c>
      <c r="C313" s="45" t="s">
        <v>99</v>
      </c>
      <c r="D313" s="59" t="str">
        <f>IFERROR(VLOOKUP(Pagos[[#This Row],[Codigo del producto]],Entradas[],3,FALSE),"No existe")</f>
        <v>Teclado EPOMaker Galaxy 100 Lite negro</v>
      </c>
      <c r="E313" s="45">
        <v>1</v>
      </c>
      <c r="F313" s="46">
        <v>4000</v>
      </c>
      <c r="G313" s="60">
        <f>IFERROR(Pagos[[#This Row],[Cantidad vendida]]*Pagos[[#This Row],[Precio de venta]],"-")</f>
        <v>4000</v>
      </c>
      <c r="H313" s="60">
        <f>IFERROR(Pagos[[#This Row],[Precio de venta]]-VLOOKUP(Pagos[[#This Row],[Codigo del producto]],Stock[],13,FALSE),"-")</f>
        <v>875.11999999999989</v>
      </c>
      <c r="I313" s="60">
        <f t="shared" si="4"/>
        <v>332.54559999999998</v>
      </c>
      <c r="J313" s="60">
        <f>IFERROR(Pagos[[#This Row],[Cantidad vendida]]*Pagos[[#This Row],[Ganancia unitaria (Vendedor)]],"-")</f>
        <v>332.54559999999998</v>
      </c>
      <c r="K313" s="47">
        <f>IFERROR(Pagos[[#This Row],[Ganancia unitaria]]-Pagos[[#This Row],[Ganancia unitaria (Vendedor)]],"-")</f>
        <v>542.57439999999997</v>
      </c>
      <c r="L313" s="47">
        <f>IFERROR(Pagos[[#This Row],[Cantidad vendida]]*(Pagos[[#This Row],[Ganancia individual (Tienda)]]),"-")</f>
        <v>542.57439999999997</v>
      </c>
      <c r="M313" s="47">
        <f>(VLOOKUP(Pagos[[#This Row],[Codigo del producto]],Stock[],13,FALSE))*Pagos[[#This Row],[Cantidad vendida]]</f>
        <v>3124.88</v>
      </c>
      <c r="N313" s="47" t="s">
        <v>355</v>
      </c>
      <c r="O313" s="47" t="s">
        <v>356</v>
      </c>
    </row>
    <row r="314" spans="1:15" ht="17.25" x14ac:dyDescent="0.3">
      <c r="A314" s="10" t="s">
        <v>313</v>
      </c>
      <c r="B314" s="43">
        <v>46099</v>
      </c>
      <c r="C314" s="7" t="s">
        <v>101</v>
      </c>
      <c r="D314" s="20" t="str">
        <f>IFERROR(VLOOKUP(Pagos[[#This Row],[Codigo del producto]],Entradas[],3,FALSE),"No existe")</f>
        <v xml:space="preserve">Shark Attack Mouse X11 Black </v>
      </c>
      <c r="E314" s="7">
        <v>1</v>
      </c>
      <c r="F314" s="10">
        <v>1300</v>
      </c>
      <c r="G314" s="22">
        <f>IFERROR(Pagos[[#This Row],[Cantidad vendida]]*Pagos[[#This Row],[Precio de venta]],"-")</f>
        <v>1300</v>
      </c>
      <c r="H314" s="22">
        <f>IFERROR(Pagos[[#This Row],[Precio de venta]]-VLOOKUP(Pagos[[#This Row],[Codigo del producto]],Stock[],13,FALSE),"-")</f>
        <v>477.50799999999992</v>
      </c>
      <c r="I314" s="22">
        <f t="shared" si="4"/>
        <v>191.00319999999999</v>
      </c>
      <c r="J314" s="22">
        <f>IFERROR(Pagos[[#This Row],[Cantidad vendida]]*Pagos[[#This Row],[Ganancia unitaria (Vendedor)]],"-")</f>
        <v>191.00319999999999</v>
      </c>
      <c r="K314" s="1">
        <f>IFERROR(Pagos[[#This Row],[Ganancia unitaria]]-Pagos[[#This Row],[Ganancia unitaria (Vendedor)]],"-")</f>
        <v>286.50479999999993</v>
      </c>
      <c r="L314" s="1">
        <f>IFERROR(Pagos[[#This Row],[Cantidad vendida]]*(Pagos[[#This Row],[Ganancia individual (Tienda)]]),"-")</f>
        <v>286.50479999999993</v>
      </c>
      <c r="M314" s="1">
        <f>(VLOOKUP(Pagos[[#This Row],[Codigo del producto]],Stock[],13,FALSE))*Pagos[[#This Row],[Cantidad vendida]]</f>
        <v>822.49200000000008</v>
      </c>
      <c r="N314" s="1" t="s">
        <v>334</v>
      </c>
      <c r="O314" s="1"/>
    </row>
    <row r="315" spans="1:15" ht="17.25" x14ac:dyDescent="0.3">
      <c r="A315" s="10" t="s">
        <v>313</v>
      </c>
      <c r="B315" s="43">
        <v>46099</v>
      </c>
      <c r="C315" s="7" t="s">
        <v>85</v>
      </c>
      <c r="D315" s="20" t="str">
        <f>IFERROR(VLOOKUP(Pagos[[#This Row],[Codigo del producto]],Entradas[],3,FALSE),"No existe")</f>
        <v>Cargadores USB para moto</v>
      </c>
      <c r="E315" s="7">
        <v>1</v>
      </c>
      <c r="F315" s="10">
        <v>600</v>
      </c>
      <c r="G315" s="22">
        <f>IFERROR(Pagos[[#This Row],[Cantidad vendida]]*Pagos[[#This Row],[Precio de venta]],"-")</f>
        <v>600</v>
      </c>
      <c r="H315" s="22">
        <f>IFERROR(Pagos[[#This Row],[Precio de venta]]-VLOOKUP(Pagos[[#This Row],[Codigo del producto]],Stock[],13,FALSE),"-")</f>
        <v>297.83000000000004</v>
      </c>
      <c r="I315" s="22">
        <f t="shared" si="4"/>
        <v>134.02350000000001</v>
      </c>
      <c r="J315" s="22">
        <f>IFERROR(Pagos[[#This Row],[Cantidad vendida]]*Pagos[[#This Row],[Ganancia unitaria (Vendedor)]],"-")</f>
        <v>134.02350000000001</v>
      </c>
      <c r="K315" s="1">
        <f>IFERROR(Pagos[[#This Row],[Ganancia unitaria]]-Pagos[[#This Row],[Ganancia unitaria (Vendedor)]],"-")</f>
        <v>163.80650000000003</v>
      </c>
      <c r="L315" s="1">
        <f>IFERROR(Pagos[[#This Row],[Cantidad vendida]]*(Pagos[[#This Row],[Ganancia individual (Tienda)]]),"-")</f>
        <v>163.80650000000003</v>
      </c>
      <c r="M315" s="1">
        <f>(VLOOKUP(Pagos[[#This Row],[Codigo del producto]],Stock[],13,FALSE))*Pagos[[#This Row],[Cantidad vendida]]</f>
        <v>302.16999999999996</v>
      </c>
      <c r="N315" s="1" t="s">
        <v>334</v>
      </c>
      <c r="O315" s="1"/>
    </row>
    <row r="316" spans="1:15" ht="17.25" x14ac:dyDescent="0.3">
      <c r="A316" s="7" t="s">
        <v>311</v>
      </c>
      <c r="B316" s="43">
        <v>46099</v>
      </c>
      <c r="C316" s="7" t="s">
        <v>113</v>
      </c>
      <c r="D316" s="20" t="str">
        <f>IFERROR(VLOOKUP(Pagos[[#This Row],[Codigo del producto]],Entradas[],3,FALSE),"No existe")</f>
        <v>Cargadores USB para moto</v>
      </c>
      <c r="E316" s="7">
        <v>1</v>
      </c>
      <c r="F316" s="10">
        <v>600</v>
      </c>
      <c r="G316" s="22">
        <f>IFERROR(Pagos[[#This Row],[Cantidad vendida]]*Pagos[[#This Row],[Precio de venta]],"-")</f>
        <v>600</v>
      </c>
      <c r="H316" s="22">
        <f>IFERROR(Pagos[[#This Row],[Precio de venta]]-VLOOKUP(Pagos[[#This Row],[Codigo del producto]],Stock[],13,FALSE),"-")</f>
        <v>286.77499999999998</v>
      </c>
      <c r="I316" s="22">
        <f t="shared" si="4"/>
        <v>129.04874999999998</v>
      </c>
      <c r="J316" s="22">
        <f>IFERROR(Pagos[[#This Row],[Cantidad vendida]]*Pagos[[#This Row],[Ganancia unitaria (Vendedor)]],"-")</f>
        <v>129.04874999999998</v>
      </c>
      <c r="K316" s="1">
        <f>IFERROR(Pagos[[#This Row],[Ganancia unitaria]]-Pagos[[#This Row],[Ganancia unitaria (Vendedor)]],"-")</f>
        <v>157.72624999999999</v>
      </c>
      <c r="L316" s="1">
        <f>IFERROR(Pagos[[#This Row],[Cantidad vendida]]*(Pagos[[#This Row],[Ganancia individual (Tienda)]]),"-")</f>
        <v>157.72624999999999</v>
      </c>
      <c r="M316" s="1">
        <f>(VLOOKUP(Pagos[[#This Row],[Codigo del producto]],Stock[],13,FALSE))*Pagos[[#This Row],[Cantidad vendida]]</f>
        <v>313.22500000000002</v>
      </c>
      <c r="N316" s="1" t="s">
        <v>334</v>
      </c>
      <c r="O316" s="1"/>
    </row>
    <row r="317" spans="1:15" ht="17.25" x14ac:dyDescent="0.3">
      <c r="A317" s="10" t="s">
        <v>327</v>
      </c>
      <c r="B317" s="43">
        <v>46099</v>
      </c>
      <c r="C317" s="7" t="s">
        <v>36</v>
      </c>
      <c r="D317" s="20" t="str">
        <f>IFERROR(VLOOKUP(Pagos[[#This Row],[Codigo del producto]],Entradas[],3,FALSE),"No existe")</f>
        <v>KZ EDX PRO X</v>
      </c>
      <c r="E317" s="7">
        <v>1</v>
      </c>
      <c r="F317" s="10">
        <v>450</v>
      </c>
      <c r="G317" s="22">
        <f>IFERROR(Pagos[[#This Row],[Cantidad vendida]]*Pagos[[#This Row],[Precio de venta]],"-")</f>
        <v>450</v>
      </c>
      <c r="H317" s="22">
        <f>IFERROR(Pagos[[#This Row],[Precio de venta]]-VLOOKUP(Pagos[[#This Row],[Codigo del producto]],Stock[],13,FALSE),"-")</f>
        <v>286.75450000000001</v>
      </c>
      <c r="I317" s="22">
        <f t="shared" si="4"/>
        <v>129.039525</v>
      </c>
      <c r="J317" s="22">
        <f>IFERROR(Pagos[[#This Row],[Cantidad vendida]]*Pagos[[#This Row],[Ganancia unitaria (Vendedor)]],"-")</f>
        <v>129.039525</v>
      </c>
      <c r="K317" s="1">
        <f>IFERROR(Pagos[[#This Row],[Ganancia unitaria]]-Pagos[[#This Row],[Ganancia unitaria (Vendedor)]],"-")</f>
        <v>157.71497500000001</v>
      </c>
      <c r="L317" s="1">
        <f>IFERROR(Pagos[[#This Row],[Cantidad vendida]]*(Pagos[[#This Row],[Ganancia individual (Tienda)]]),"-")</f>
        <v>157.71497500000001</v>
      </c>
      <c r="M317" s="1">
        <f>(VLOOKUP(Pagos[[#This Row],[Codigo del producto]],Stock[],13,FALSE))*Pagos[[#This Row],[Cantidad vendida]]</f>
        <v>163.24549999999999</v>
      </c>
      <c r="N317" s="1" t="s">
        <v>334</v>
      </c>
      <c r="O317" s="1"/>
    </row>
    <row r="318" spans="1:15" ht="17.25" x14ac:dyDescent="0.3">
      <c r="A318" s="10" t="s">
        <v>327</v>
      </c>
      <c r="B318" s="43">
        <v>46099</v>
      </c>
      <c r="C318" s="7" t="s">
        <v>67</v>
      </c>
      <c r="D318" s="20" t="str">
        <f>IFERROR(VLOOKUP(Pagos[[#This Row],[Codigo del producto]],Entradas[],3,FALSE),"No existe")</f>
        <v>Cable de Repuesto KZ Tipo C</v>
      </c>
      <c r="E318" s="7">
        <v>2</v>
      </c>
      <c r="F318" s="10">
        <v>400</v>
      </c>
      <c r="G318" s="22">
        <f>IFERROR(Pagos[[#This Row],[Cantidad vendida]]*Pagos[[#This Row],[Precio de venta]],"-")</f>
        <v>800</v>
      </c>
      <c r="H318" s="22">
        <f>IFERROR(Pagos[[#This Row],[Precio de venta]]-VLOOKUP(Pagos[[#This Row],[Codigo del producto]],Stock[],13,FALSE),"-")</f>
        <v>205.0635</v>
      </c>
      <c r="I318" s="22">
        <f t="shared" si="4"/>
        <v>92.278575000000004</v>
      </c>
      <c r="J318" s="22">
        <f>IFERROR(Pagos[[#This Row],[Cantidad vendida]]*Pagos[[#This Row],[Ganancia unitaria (Vendedor)]],"-")</f>
        <v>184.55715000000001</v>
      </c>
      <c r="K318" s="1">
        <f>IFERROR(Pagos[[#This Row],[Ganancia unitaria]]-Pagos[[#This Row],[Ganancia unitaria (Vendedor)]],"-")</f>
        <v>112.784925</v>
      </c>
      <c r="L318" s="1">
        <f>IFERROR(Pagos[[#This Row],[Cantidad vendida]]*(Pagos[[#This Row],[Ganancia individual (Tienda)]]),"-")</f>
        <v>225.56985</v>
      </c>
      <c r="M318" s="1">
        <f>(VLOOKUP(Pagos[[#This Row],[Codigo del producto]],Stock[],13,FALSE))*Pagos[[#This Row],[Cantidad vendida]]</f>
        <v>389.87299999999999</v>
      </c>
      <c r="N318" s="1" t="s">
        <v>334</v>
      </c>
      <c r="O318" s="1"/>
    </row>
    <row r="319" spans="1:15" ht="17.25" x14ac:dyDescent="0.3">
      <c r="A319" s="7" t="s">
        <v>311</v>
      </c>
      <c r="B319" s="43">
        <v>46099</v>
      </c>
      <c r="C319" s="7" t="s">
        <v>104</v>
      </c>
      <c r="D319" s="20" t="str">
        <f>IFERROR(VLOOKUP(Pagos[[#This Row],[Codigo del producto]],Entradas[],3,FALSE),"No existe")</f>
        <v>Cargadores USB para moto</v>
      </c>
      <c r="E319" s="7">
        <v>2</v>
      </c>
      <c r="F319" s="10">
        <v>500</v>
      </c>
      <c r="G319" s="22">
        <f>IFERROR(Pagos[[#This Row],[Cantidad vendida]]*Pagos[[#This Row],[Precio de venta]],"-")</f>
        <v>1000</v>
      </c>
      <c r="H319" s="22">
        <f>IFERROR(Pagos[[#This Row],[Precio de venta]]-VLOOKUP(Pagos[[#This Row],[Codigo del producto]],Stock[],13,FALSE),"-")</f>
        <v>190.82849999999996</v>
      </c>
      <c r="I319" s="22">
        <f t="shared" si="4"/>
        <v>85.872824999999992</v>
      </c>
      <c r="J319" s="22">
        <f>IFERROR(Pagos[[#This Row],[Cantidad vendida]]*Pagos[[#This Row],[Ganancia unitaria (Vendedor)]],"-")</f>
        <v>171.74564999999998</v>
      </c>
      <c r="K319" s="1">
        <f>IFERROR(Pagos[[#This Row],[Ganancia unitaria]]-Pagos[[#This Row],[Ganancia unitaria (Vendedor)]],"-")</f>
        <v>104.95567499999997</v>
      </c>
      <c r="L319" s="1">
        <f>IFERROR(Pagos[[#This Row],[Cantidad vendida]]*(Pagos[[#This Row],[Ganancia individual (Tienda)]]),"-")</f>
        <v>209.91134999999994</v>
      </c>
      <c r="M319" s="1">
        <f>(VLOOKUP(Pagos[[#This Row],[Codigo del producto]],Stock[],13,FALSE))*Pagos[[#This Row],[Cantidad vendida]]</f>
        <v>618.34300000000007</v>
      </c>
      <c r="N319" s="1" t="s">
        <v>334</v>
      </c>
      <c r="O319" s="1"/>
    </row>
    <row r="320" spans="1:15" ht="17.25" x14ac:dyDescent="0.3">
      <c r="A320" s="7" t="s">
        <v>311</v>
      </c>
      <c r="B320" s="43">
        <v>46100</v>
      </c>
      <c r="C320" s="7" t="s">
        <v>113</v>
      </c>
      <c r="D320" s="20" t="str">
        <f>IFERROR(VLOOKUP(Pagos[[#This Row],[Codigo del producto]],Entradas[],3,FALSE),"No existe")</f>
        <v>Cargadores USB para moto</v>
      </c>
      <c r="E320" s="7">
        <v>1</v>
      </c>
      <c r="F320" s="10">
        <v>600</v>
      </c>
      <c r="G320" s="22">
        <f>IFERROR(Pagos[[#This Row],[Cantidad vendida]]*Pagos[[#This Row],[Precio de venta]],"-")</f>
        <v>600</v>
      </c>
      <c r="H320" s="22">
        <f>IFERROR(Pagos[[#This Row],[Precio de venta]]-VLOOKUP(Pagos[[#This Row],[Codigo del producto]],Stock[],13,FALSE),"-")</f>
        <v>286.77499999999998</v>
      </c>
      <c r="I320" s="22">
        <f t="shared" si="4"/>
        <v>129.04874999999998</v>
      </c>
      <c r="J320" s="22">
        <f>IFERROR(Pagos[[#This Row],[Cantidad vendida]]*Pagos[[#This Row],[Ganancia unitaria (Vendedor)]],"-")</f>
        <v>129.04874999999998</v>
      </c>
      <c r="K320" s="1">
        <f>IFERROR(Pagos[[#This Row],[Ganancia unitaria]]-Pagos[[#This Row],[Ganancia unitaria (Vendedor)]],"-")</f>
        <v>157.72624999999999</v>
      </c>
      <c r="L320" s="1">
        <f>IFERROR(Pagos[[#This Row],[Cantidad vendida]]*(Pagos[[#This Row],[Ganancia individual (Tienda)]]),"-")</f>
        <v>157.72624999999999</v>
      </c>
      <c r="M320" s="1">
        <f>(VLOOKUP(Pagos[[#This Row],[Codigo del producto]],Stock[],13,FALSE))*Pagos[[#This Row],[Cantidad vendida]]</f>
        <v>313.22500000000002</v>
      </c>
      <c r="N320" s="1" t="s">
        <v>334</v>
      </c>
      <c r="O320" s="1"/>
    </row>
    <row r="321" spans="1:15" ht="17.25" x14ac:dyDescent="0.3">
      <c r="A321" s="10" t="s">
        <v>327</v>
      </c>
      <c r="B321" s="43">
        <v>46100</v>
      </c>
      <c r="C321" s="7" t="s">
        <v>36</v>
      </c>
      <c r="D321" s="20" t="str">
        <f>IFERROR(VLOOKUP(Pagos[[#This Row],[Codigo del producto]],Entradas[],3,FALSE),"No existe")</f>
        <v>KZ EDX PRO X</v>
      </c>
      <c r="E321" s="7">
        <v>3</v>
      </c>
      <c r="F321" s="10">
        <v>450</v>
      </c>
      <c r="G321" s="22">
        <f>IFERROR(Pagos[[#This Row],[Cantidad vendida]]*Pagos[[#This Row],[Precio de venta]],"-")</f>
        <v>1350</v>
      </c>
      <c r="H321" s="22">
        <f>IFERROR(Pagos[[#This Row],[Precio de venta]]-VLOOKUP(Pagos[[#This Row],[Codigo del producto]],Stock[],13,FALSE),"-")</f>
        <v>286.75450000000001</v>
      </c>
      <c r="I321" s="22">
        <f t="shared" si="4"/>
        <v>129.039525</v>
      </c>
      <c r="J321" s="22">
        <f>IFERROR(Pagos[[#This Row],[Cantidad vendida]]*Pagos[[#This Row],[Ganancia unitaria (Vendedor)]],"-")</f>
        <v>387.11857499999996</v>
      </c>
      <c r="K321" s="1">
        <f>IFERROR(Pagos[[#This Row],[Ganancia unitaria]]-Pagos[[#This Row],[Ganancia unitaria (Vendedor)]],"-")</f>
        <v>157.71497500000001</v>
      </c>
      <c r="L321" s="1">
        <f>IFERROR(Pagos[[#This Row],[Cantidad vendida]]*(Pagos[[#This Row],[Ganancia individual (Tienda)]]),"-")</f>
        <v>473.14492500000006</v>
      </c>
      <c r="M321" s="1">
        <f>(VLOOKUP(Pagos[[#This Row],[Codigo del producto]],Stock[],13,FALSE))*Pagos[[#This Row],[Cantidad vendida]]</f>
        <v>489.73649999999998</v>
      </c>
      <c r="N321" s="1" t="s">
        <v>334</v>
      </c>
      <c r="O321" s="1"/>
    </row>
    <row r="322" spans="1:15" ht="17.25" x14ac:dyDescent="0.3">
      <c r="A322" s="10" t="s">
        <v>321</v>
      </c>
      <c r="B322" s="43">
        <v>46100</v>
      </c>
      <c r="C322" s="7" t="s">
        <v>71</v>
      </c>
      <c r="D322" s="20" t="str">
        <f>IFERROR(VLOOKUP(Pagos[[#This Row],[Codigo del producto]],Entradas[],3,FALSE),"No existe")</f>
        <v>KZ Castor Improved Bass</v>
      </c>
      <c r="E322" s="7">
        <v>1</v>
      </c>
      <c r="F322" s="10">
        <v>650</v>
      </c>
      <c r="G322" s="22">
        <f>IFERROR(Pagos[[#This Row],[Cantidad vendida]]*Pagos[[#This Row],[Precio de venta]],"-")</f>
        <v>650</v>
      </c>
      <c r="H322" s="22">
        <f>IFERROR(Pagos[[#This Row],[Precio de venta]]-VLOOKUP(Pagos[[#This Row],[Codigo del producto]],Stock[],13,FALSE),"-")</f>
        <v>277.815</v>
      </c>
      <c r="I322" s="22">
        <f t="shared" si="4"/>
        <v>125.01675</v>
      </c>
      <c r="J322" s="22">
        <f>IFERROR(Pagos[[#This Row],[Cantidad vendida]]*Pagos[[#This Row],[Ganancia unitaria (Vendedor)]],"-")</f>
        <v>125.01675</v>
      </c>
      <c r="K322" s="1">
        <f>IFERROR(Pagos[[#This Row],[Ganancia unitaria]]-Pagos[[#This Row],[Ganancia unitaria (Vendedor)]],"-")</f>
        <v>152.79825</v>
      </c>
      <c r="L322" s="1">
        <f>IFERROR(Pagos[[#This Row],[Cantidad vendida]]*(Pagos[[#This Row],[Ganancia individual (Tienda)]]),"-")</f>
        <v>152.79825</v>
      </c>
      <c r="M322" s="1">
        <f>(VLOOKUP(Pagos[[#This Row],[Codigo del producto]],Stock[],13,FALSE))*Pagos[[#This Row],[Cantidad vendida]]</f>
        <v>372.185</v>
      </c>
      <c r="N322" s="1" t="s">
        <v>334</v>
      </c>
      <c r="O322" s="1"/>
    </row>
    <row r="323" spans="1:15" ht="17.25" x14ac:dyDescent="0.3">
      <c r="A323" s="10" t="s">
        <v>336</v>
      </c>
      <c r="B323" s="43">
        <v>46100</v>
      </c>
      <c r="C323" s="7" t="s">
        <v>36</v>
      </c>
      <c r="D323" s="20" t="str">
        <f>IFERROR(VLOOKUP(Pagos[[#This Row],[Codigo del producto]],Entradas[],3,FALSE),"No existe")</f>
        <v>KZ EDX PRO X</v>
      </c>
      <c r="E323" s="7">
        <v>1</v>
      </c>
      <c r="F323" s="10">
        <v>400</v>
      </c>
      <c r="G323" s="22">
        <f>IFERROR(Pagos[[#This Row],[Cantidad vendida]]*Pagos[[#This Row],[Precio de venta]],"-")</f>
        <v>400</v>
      </c>
      <c r="H323" s="22">
        <f>IFERROR(Pagos[[#This Row],[Precio de venta]]-VLOOKUP(Pagos[[#This Row],[Codigo del producto]],Stock[],13,FALSE),"-")</f>
        <v>236.75450000000001</v>
      </c>
      <c r="I323" s="22">
        <f t="shared" si="4"/>
        <v>106.53952500000001</v>
      </c>
      <c r="J323" s="22">
        <f>IFERROR(Pagos[[#This Row],[Cantidad vendida]]*Pagos[[#This Row],[Ganancia unitaria (Vendedor)]],"-")</f>
        <v>106.53952500000001</v>
      </c>
      <c r="K323" s="1">
        <f>IFERROR(Pagos[[#This Row],[Ganancia unitaria]]-Pagos[[#This Row],[Ganancia unitaria (Vendedor)]],"-")</f>
        <v>130.21497499999998</v>
      </c>
      <c r="L323" s="1">
        <f>IFERROR(Pagos[[#This Row],[Cantidad vendida]]*(Pagos[[#This Row],[Ganancia individual (Tienda)]]),"-")</f>
        <v>130.21497499999998</v>
      </c>
      <c r="M323" s="1">
        <f>(VLOOKUP(Pagos[[#This Row],[Codigo del producto]],Stock[],13,FALSE))*Pagos[[#This Row],[Cantidad vendida]]</f>
        <v>163.24549999999999</v>
      </c>
      <c r="N323" s="1" t="s">
        <v>334</v>
      </c>
      <c r="O323" s="1"/>
    </row>
    <row r="324" spans="1:15" ht="17.25" x14ac:dyDescent="0.3">
      <c r="A324" s="10" t="s">
        <v>321</v>
      </c>
      <c r="B324" s="43">
        <v>46100</v>
      </c>
      <c r="C324" s="7" t="s">
        <v>67</v>
      </c>
      <c r="D324" s="20" t="str">
        <f>IFERROR(VLOOKUP(Pagos[[#This Row],[Codigo del producto]],Entradas[],3,FALSE),"No existe")</f>
        <v>Cable de Repuesto KZ Tipo C</v>
      </c>
      <c r="E324" s="7">
        <v>1</v>
      </c>
      <c r="F324" s="10">
        <v>400</v>
      </c>
      <c r="G324" s="22">
        <f>IFERROR(Pagos[[#This Row],[Cantidad vendida]]*Pagos[[#This Row],[Precio de venta]],"-")</f>
        <v>400</v>
      </c>
      <c r="H324" s="22">
        <f>IFERROR(Pagos[[#This Row],[Precio de venta]]-VLOOKUP(Pagos[[#This Row],[Codigo del producto]],Stock[],13,FALSE),"-")</f>
        <v>205.0635</v>
      </c>
      <c r="I324" s="22">
        <f t="shared" ref="I324:I351" si="5">IFERROR(
  IF(H324&lt;=0,"-",
    IF(H324&lt;=300, H324*0.45,
      IF(H324&lt;=600, H324*0.4,
        IF(H324&lt;=900, H324*0.38,
          IF(H324&lt;=1000, H324*0.35,
            IF(H324&lt;=1400, H324*0.32,
              IF(H324&lt;=1800, H324*0.3,
                IF(H324&gt;=2000, H324*0.28,
                  "-"
                )
              )
            )
          )
        )
      )
    )
  ),
  "-"
)</f>
        <v>92.278575000000004</v>
      </c>
      <c r="J324" s="22">
        <f>IFERROR(Pagos[[#This Row],[Cantidad vendida]]*Pagos[[#This Row],[Ganancia unitaria (Vendedor)]],"-")</f>
        <v>92.278575000000004</v>
      </c>
      <c r="K324" s="1">
        <f>IFERROR(Pagos[[#This Row],[Ganancia unitaria]]-Pagos[[#This Row],[Ganancia unitaria (Vendedor)]],"-")</f>
        <v>112.784925</v>
      </c>
      <c r="L324" s="1">
        <f>IFERROR(Pagos[[#This Row],[Cantidad vendida]]*(Pagos[[#This Row],[Ganancia individual (Tienda)]]),"-")</f>
        <v>112.784925</v>
      </c>
      <c r="M324" s="1">
        <f>(VLOOKUP(Pagos[[#This Row],[Codigo del producto]],Stock[],13,FALSE))*Pagos[[#This Row],[Cantidad vendida]]</f>
        <v>194.9365</v>
      </c>
      <c r="N324" s="1" t="s">
        <v>334</v>
      </c>
      <c r="O324" s="1"/>
    </row>
    <row r="325" spans="1:15" ht="17.25" x14ac:dyDescent="0.3">
      <c r="A325" s="10" t="s">
        <v>327</v>
      </c>
      <c r="B325" s="43">
        <v>46101</v>
      </c>
      <c r="C325" s="7" t="s">
        <v>36</v>
      </c>
      <c r="D325" s="20" t="str">
        <f>IFERROR(VLOOKUP(Pagos[[#This Row],[Codigo del producto]],Entradas[],3,FALSE),"No existe")</f>
        <v>KZ EDX PRO X</v>
      </c>
      <c r="E325" s="7">
        <v>1</v>
      </c>
      <c r="F325" s="10">
        <v>450</v>
      </c>
      <c r="G325" s="22">
        <f>IFERROR(Pagos[[#This Row],[Cantidad vendida]]*Pagos[[#This Row],[Precio de venta]],"-")</f>
        <v>450</v>
      </c>
      <c r="H325" s="22">
        <f>IFERROR(Pagos[[#This Row],[Precio de venta]]-VLOOKUP(Pagos[[#This Row],[Codigo del producto]],Stock[],13,FALSE),"-")</f>
        <v>286.75450000000001</v>
      </c>
      <c r="I325" s="22">
        <f t="shared" si="5"/>
        <v>129.039525</v>
      </c>
      <c r="J325" s="22">
        <f>IFERROR(Pagos[[#This Row],[Cantidad vendida]]*Pagos[[#This Row],[Ganancia unitaria (Vendedor)]],"-")</f>
        <v>129.039525</v>
      </c>
      <c r="K325" s="1">
        <f>IFERROR(Pagos[[#This Row],[Ganancia unitaria]]-Pagos[[#This Row],[Ganancia unitaria (Vendedor)]],"-")</f>
        <v>157.71497500000001</v>
      </c>
      <c r="L325" s="1">
        <f>IFERROR(Pagos[[#This Row],[Cantidad vendida]]*(Pagos[[#This Row],[Ganancia individual (Tienda)]]),"-")</f>
        <v>157.71497500000001</v>
      </c>
      <c r="M325" s="1">
        <f>(VLOOKUP(Pagos[[#This Row],[Codigo del producto]],Stock[],13,FALSE))*Pagos[[#This Row],[Cantidad vendida]]</f>
        <v>163.24549999999999</v>
      </c>
      <c r="N325" s="1" t="s">
        <v>334</v>
      </c>
      <c r="O325" s="1"/>
    </row>
    <row r="326" spans="1:15" ht="17.25" x14ac:dyDescent="0.3">
      <c r="A326" s="10" t="s">
        <v>313</v>
      </c>
      <c r="B326" s="43">
        <v>46101</v>
      </c>
      <c r="C326" s="7" t="s">
        <v>36</v>
      </c>
      <c r="D326" s="20" t="str">
        <f>IFERROR(VLOOKUP(Pagos[[#This Row],[Codigo del producto]],Entradas[],3,FALSE),"No existe")</f>
        <v>KZ EDX PRO X</v>
      </c>
      <c r="E326" s="7">
        <v>1</v>
      </c>
      <c r="F326" s="10">
        <v>400</v>
      </c>
      <c r="G326" s="22">
        <f>IFERROR(Pagos[[#This Row],[Cantidad vendida]]*Pagos[[#This Row],[Precio de venta]],"-")</f>
        <v>400</v>
      </c>
      <c r="H326" s="22">
        <f>IFERROR(Pagos[[#This Row],[Precio de venta]]-VLOOKUP(Pagos[[#This Row],[Codigo del producto]],Stock[],13,FALSE),"-")</f>
        <v>236.75450000000001</v>
      </c>
      <c r="I326" s="22">
        <f t="shared" si="5"/>
        <v>106.53952500000001</v>
      </c>
      <c r="J326" s="22">
        <f>IFERROR(Pagos[[#This Row],[Cantidad vendida]]*Pagos[[#This Row],[Ganancia unitaria (Vendedor)]],"-")</f>
        <v>106.53952500000001</v>
      </c>
      <c r="K326" s="1">
        <f>IFERROR(Pagos[[#This Row],[Ganancia unitaria]]-Pagos[[#This Row],[Ganancia unitaria (Vendedor)]],"-")</f>
        <v>130.21497499999998</v>
      </c>
      <c r="L326" s="1">
        <f>IFERROR(Pagos[[#This Row],[Cantidad vendida]]*(Pagos[[#This Row],[Ganancia individual (Tienda)]]),"-")</f>
        <v>130.21497499999998</v>
      </c>
      <c r="M326" s="1">
        <f>(VLOOKUP(Pagos[[#This Row],[Codigo del producto]],Stock[],13,FALSE))*Pagos[[#This Row],[Cantidad vendida]]</f>
        <v>163.24549999999999</v>
      </c>
      <c r="N326" s="1" t="s">
        <v>334</v>
      </c>
      <c r="O326" s="1"/>
    </row>
    <row r="327" spans="1:15" ht="17.25" x14ac:dyDescent="0.3">
      <c r="A327" s="10" t="s">
        <v>313</v>
      </c>
      <c r="B327" s="43">
        <v>46101</v>
      </c>
      <c r="C327" s="7" t="s">
        <v>67</v>
      </c>
      <c r="D327" s="20" t="str">
        <f>IFERROR(VLOOKUP(Pagos[[#This Row],[Codigo del producto]],Entradas[],3,FALSE),"No existe")</f>
        <v>Cable de Repuesto KZ Tipo C</v>
      </c>
      <c r="E327" s="7">
        <v>1</v>
      </c>
      <c r="F327" s="10">
        <v>400</v>
      </c>
      <c r="G327" s="22">
        <f>IFERROR(Pagos[[#This Row],[Cantidad vendida]]*Pagos[[#This Row],[Precio de venta]],"-")</f>
        <v>400</v>
      </c>
      <c r="H327" s="22">
        <f>IFERROR(Pagos[[#This Row],[Precio de venta]]-VLOOKUP(Pagos[[#This Row],[Codigo del producto]],Stock[],13,FALSE),"-")</f>
        <v>205.0635</v>
      </c>
      <c r="I327" s="22">
        <f t="shared" si="5"/>
        <v>92.278575000000004</v>
      </c>
      <c r="J327" s="22">
        <f>IFERROR(Pagos[[#This Row],[Cantidad vendida]]*Pagos[[#This Row],[Ganancia unitaria (Vendedor)]],"-")</f>
        <v>92.278575000000004</v>
      </c>
      <c r="K327" s="1">
        <f>IFERROR(Pagos[[#This Row],[Ganancia unitaria]]-Pagos[[#This Row],[Ganancia unitaria (Vendedor)]],"-")</f>
        <v>112.784925</v>
      </c>
      <c r="L327" s="1">
        <f>IFERROR(Pagos[[#This Row],[Cantidad vendida]]*(Pagos[[#This Row],[Ganancia individual (Tienda)]]),"-")</f>
        <v>112.784925</v>
      </c>
      <c r="M327" s="1">
        <f>(VLOOKUP(Pagos[[#This Row],[Codigo del producto]],Stock[],13,FALSE))*Pagos[[#This Row],[Cantidad vendida]]</f>
        <v>194.9365</v>
      </c>
      <c r="N327" s="1" t="s">
        <v>334</v>
      </c>
      <c r="O327" s="1"/>
    </row>
    <row r="328" spans="1:15" ht="17.25" x14ac:dyDescent="0.3">
      <c r="A328" s="10" t="s">
        <v>311</v>
      </c>
      <c r="B328" s="43">
        <v>46102</v>
      </c>
      <c r="C328" s="7" t="s">
        <v>68</v>
      </c>
      <c r="D328" s="20" t="str">
        <f>IFERROR(VLOOKUP(Pagos[[#This Row],[Codigo del producto]],Entradas[],3,FALSE),"No existe")</f>
        <v>BL100 Pro HeadSet</v>
      </c>
      <c r="E328" s="7">
        <v>1</v>
      </c>
      <c r="F328" s="10">
        <v>1400</v>
      </c>
      <c r="G328" s="22">
        <f>IFERROR(Pagos[[#This Row],[Cantidad vendida]]*Pagos[[#This Row],[Precio de venta]],"-")</f>
        <v>1400</v>
      </c>
      <c r="H328" s="22">
        <f>IFERROR(Pagos[[#This Row],[Precio de venta]]-VLOOKUP(Pagos[[#This Row],[Codigo del producto]],Stock[],13,FALSE),"-")</f>
        <v>395.10050000000001</v>
      </c>
      <c r="I328" s="22">
        <f t="shared" si="5"/>
        <v>158.04020000000003</v>
      </c>
      <c r="J328" s="22">
        <f>IFERROR(Pagos[[#This Row],[Cantidad vendida]]*Pagos[[#This Row],[Ganancia unitaria (Vendedor)]],"-")</f>
        <v>158.04020000000003</v>
      </c>
      <c r="K328" s="1">
        <f>IFERROR(Pagos[[#This Row],[Ganancia unitaria]]-Pagos[[#This Row],[Ganancia unitaria (Vendedor)]],"-")</f>
        <v>237.06029999999998</v>
      </c>
      <c r="L328" s="1">
        <f>IFERROR(Pagos[[#This Row],[Cantidad vendida]]*(Pagos[[#This Row],[Ganancia individual (Tienda)]]),"-")</f>
        <v>237.06029999999998</v>
      </c>
      <c r="M328" s="1">
        <f>(VLOOKUP(Pagos[[#This Row],[Codigo del producto]],Stock[],13,FALSE))*Pagos[[#This Row],[Cantidad vendida]]</f>
        <v>1004.8995</v>
      </c>
      <c r="N328" s="1" t="s">
        <v>334</v>
      </c>
      <c r="O328" s="1"/>
    </row>
    <row r="329" spans="1:15" ht="17.25" x14ac:dyDescent="0.3">
      <c r="A329" s="10" t="s">
        <v>313</v>
      </c>
      <c r="B329" s="43">
        <v>46103</v>
      </c>
      <c r="C329" s="7" t="s">
        <v>113</v>
      </c>
      <c r="D329" s="20" t="str">
        <f>IFERROR(VLOOKUP(Pagos[[#This Row],[Codigo del producto]],Entradas[],3,FALSE),"No existe")</f>
        <v>Cargadores USB para moto</v>
      </c>
      <c r="E329" s="7">
        <v>1</v>
      </c>
      <c r="F329" s="10">
        <v>600</v>
      </c>
      <c r="G329" s="22">
        <f>IFERROR(Pagos[[#This Row],[Cantidad vendida]]*Pagos[[#This Row],[Precio de venta]],"-")</f>
        <v>600</v>
      </c>
      <c r="H329" s="22">
        <f>IFERROR(Pagos[[#This Row],[Precio de venta]]-VLOOKUP(Pagos[[#This Row],[Codigo del producto]],Stock[],13,FALSE),"-")</f>
        <v>286.77499999999998</v>
      </c>
      <c r="I329" s="22">
        <f t="shared" si="5"/>
        <v>129.04874999999998</v>
      </c>
      <c r="J329" s="22">
        <f>IFERROR(Pagos[[#This Row],[Cantidad vendida]]*Pagos[[#This Row],[Ganancia unitaria (Vendedor)]],"-")</f>
        <v>129.04874999999998</v>
      </c>
      <c r="K329" s="1">
        <f>IFERROR(Pagos[[#This Row],[Ganancia unitaria]]-Pagos[[#This Row],[Ganancia unitaria (Vendedor)]],"-")</f>
        <v>157.72624999999999</v>
      </c>
      <c r="L329" s="1">
        <f>IFERROR(Pagos[[#This Row],[Cantidad vendida]]*(Pagos[[#This Row],[Ganancia individual (Tienda)]]),"-")</f>
        <v>157.72624999999999</v>
      </c>
      <c r="M329" s="1">
        <f>(VLOOKUP(Pagos[[#This Row],[Codigo del producto]],Stock[],13,FALSE))*Pagos[[#This Row],[Cantidad vendida]]</f>
        <v>313.22500000000002</v>
      </c>
      <c r="N329" s="1" t="s">
        <v>334</v>
      </c>
      <c r="O329" s="1"/>
    </row>
    <row r="330" spans="1:15" ht="17.25" x14ac:dyDescent="0.3">
      <c r="A330" s="10" t="s">
        <v>327</v>
      </c>
      <c r="B330" s="43">
        <v>46103</v>
      </c>
      <c r="C330" s="7" t="s">
        <v>39</v>
      </c>
      <c r="D330" s="20" t="str">
        <f>IFERROR(VLOOKUP(Pagos[[#This Row],[Codigo del producto]],Entradas[],3,FALSE),"No existe")</f>
        <v>KZ EDX PRO X</v>
      </c>
      <c r="E330" s="7">
        <v>3</v>
      </c>
      <c r="F330" s="10">
        <v>450</v>
      </c>
      <c r="G330" s="22">
        <f>IFERROR(Pagos[[#This Row],[Cantidad vendida]]*Pagos[[#This Row],[Precio de venta]],"-")</f>
        <v>1350</v>
      </c>
      <c r="H330" s="22">
        <f>IFERROR(Pagos[[#This Row],[Precio de venta]]-VLOOKUP(Pagos[[#This Row],[Codigo del producto]],Stock[],13,FALSE),"-")</f>
        <v>286.38600000000002</v>
      </c>
      <c r="I330" s="22">
        <f t="shared" si="5"/>
        <v>128.87370000000001</v>
      </c>
      <c r="J330" s="22">
        <f>IFERROR(Pagos[[#This Row],[Cantidad vendida]]*Pagos[[#This Row],[Ganancia unitaria (Vendedor)]],"-")</f>
        <v>386.62110000000007</v>
      </c>
      <c r="K330" s="1">
        <f>IFERROR(Pagos[[#This Row],[Ganancia unitaria]]-Pagos[[#This Row],[Ganancia unitaria (Vendedor)]],"-")</f>
        <v>157.51230000000001</v>
      </c>
      <c r="L330" s="1">
        <f>IFERROR(Pagos[[#This Row],[Cantidad vendida]]*(Pagos[[#This Row],[Ganancia individual (Tienda)]]),"-")</f>
        <v>472.53690000000006</v>
      </c>
      <c r="M330" s="1">
        <f>(VLOOKUP(Pagos[[#This Row],[Codigo del producto]],Stock[],13,FALSE))*Pagos[[#This Row],[Cantidad vendida]]</f>
        <v>490.84199999999993</v>
      </c>
      <c r="N330" s="1" t="s">
        <v>334</v>
      </c>
      <c r="O330" s="1"/>
    </row>
    <row r="331" spans="1:15" ht="17.25" x14ac:dyDescent="0.3">
      <c r="A331" s="10" t="s">
        <v>327</v>
      </c>
      <c r="B331" s="43">
        <v>46103</v>
      </c>
      <c r="C331" s="7" t="s">
        <v>39</v>
      </c>
      <c r="D331" s="20" t="str">
        <f>IFERROR(VLOOKUP(Pagos[[#This Row],[Codigo del producto]],Entradas[],3,FALSE),"No existe")</f>
        <v>KZ EDX PRO X</v>
      </c>
      <c r="E331" s="7">
        <v>1</v>
      </c>
      <c r="F331" s="10">
        <v>400</v>
      </c>
      <c r="G331" s="22">
        <f>IFERROR(Pagos[[#This Row],[Cantidad vendida]]*Pagos[[#This Row],[Precio de venta]],"-")</f>
        <v>400</v>
      </c>
      <c r="H331" s="22">
        <f>IFERROR(Pagos[[#This Row],[Precio de venta]]-VLOOKUP(Pagos[[#This Row],[Codigo del producto]],Stock[],13,FALSE),"-")</f>
        <v>236.38600000000002</v>
      </c>
      <c r="I331" s="22">
        <f t="shared" si="5"/>
        <v>106.37370000000001</v>
      </c>
      <c r="J331" s="22">
        <f>IFERROR(Pagos[[#This Row],[Cantidad vendida]]*Pagos[[#This Row],[Ganancia unitaria (Vendedor)]],"-")</f>
        <v>106.37370000000001</v>
      </c>
      <c r="K331" s="1">
        <f>IFERROR(Pagos[[#This Row],[Ganancia unitaria]]-Pagos[[#This Row],[Ganancia unitaria (Vendedor)]],"-")</f>
        <v>130.01230000000001</v>
      </c>
      <c r="L331" s="1">
        <f>IFERROR(Pagos[[#This Row],[Cantidad vendida]]*(Pagos[[#This Row],[Ganancia individual (Tienda)]]),"-")</f>
        <v>130.01230000000001</v>
      </c>
      <c r="M331" s="1">
        <f>(VLOOKUP(Pagos[[#This Row],[Codigo del producto]],Stock[],13,FALSE))*Pagos[[#This Row],[Cantidad vendida]]</f>
        <v>163.61399999999998</v>
      </c>
      <c r="N331" s="1" t="s">
        <v>334</v>
      </c>
      <c r="O331" s="1"/>
    </row>
    <row r="332" spans="1:15" ht="17.25" x14ac:dyDescent="0.3">
      <c r="A332" s="10" t="s">
        <v>313</v>
      </c>
      <c r="B332" s="43">
        <v>46104</v>
      </c>
      <c r="C332" s="7" t="s">
        <v>111</v>
      </c>
      <c r="D332" s="20" t="str">
        <f>IFERROR(VLOOKUP(Pagos[[#This Row],[Codigo del producto]],Entradas[],3,FALSE),"No existe")</f>
        <v>Teclado Mecanico Machenike K500</v>
      </c>
      <c r="E332" s="7">
        <v>1</v>
      </c>
      <c r="F332" s="10">
        <v>2200</v>
      </c>
      <c r="G332" s="22">
        <f>IFERROR(Pagos[[#This Row],[Cantidad vendida]]*Pagos[[#This Row],[Precio de venta]],"-")</f>
        <v>2200</v>
      </c>
      <c r="H332" s="22">
        <f>IFERROR(Pagos[[#This Row],[Precio de venta]]-VLOOKUP(Pagos[[#This Row],[Codigo del producto]],Stock[],13,FALSE),"-")</f>
        <v>652.29999999999995</v>
      </c>
      <c r="I332" s="22">
        <f t="shared" si="5"/>
        <v>247.874</v>
      </c>
      <c r="J332" s="22">
        <f>IFERROR(Pagos[[#This Row],[Cantidad vendida]]*Pagos[[#This Row],[Ganancia unitaria (Vendedor)]],"-")</f>
        <v>247.874</v>
      </c>
      <c r="K332" s="1">
        <f>IFERROR(Pagos[[#This Row],[Ganancia unitaria]]-Pagos[[#This Row],[Ganancia unitaria (Vendedor)]],"-")</f>
        <v>404.42599999999993</v>
      </c>
      <c r="L332" s="1">
        <f>IFERROR(Pagos[[#This Row],[Cantidad vendida]]*(Pagos[[#This Row],[Ganancia individual (Tienda)]]),"-")</f>
        <v>404.42599999999993</v>
      </c>
      <c r="M332" s="1">
        <f>(VLOOKUP(Pagos[[#This Row],[Codigo del producto]],Stock[],13,FALSE))*Pagos[[#This Row],[Cantidad vendida]]</f>
        <v>1547.7</v>
      </c>
      <c r="N332" s="1" t="s">
        <v>334</v>
      </c>
      <c r="O332" s="1"/>
    </row>
    <row r="333" spans="1:15" ht="17.25" x14ac:dyDescent="0.3">
      <c r="A333" s="10" t="s">
        <v>313</v>
      </c>
      <c r="B333" s="43">
        <v>46104</v>
      </c>
      <c r="C333" s="7" t="s">
        <v>101</v>
      </c>
      <c r="D333" s="20" t="str">
        <f>IFERROR(VLOOKUP(Pagos[[#This Row],[Codigo del producto]],Entradas[],3,FALSE),"No existe")</f>
        <v xml:space="preserve">Shark Attack Mouse X11 Black </v>
      </c>
      <c r="E333" s="7">
        <v>1</v>
      </c>
      <c r="F333" s="10">
        <v>1300</v>
      </c>
      <c r="G333" s="22">
        <f>IFERROR(Pagos[[#This Row],[Cantidad vendida]]*Pagos[[#This Row],[Precio de venta]],"-")</f>
        <v>1300</v>
      </c>
      <c r="H333" s="22">
        <f>IFERROR(Pagos[[#This Row],[Precio de venta]]-VLOOKUP(Pagos[[#This Row],[Codigo del producto]],Stock[],13,FALSE),"-")</f>
        <v>477.50799999999992</v>
      </c>
      <c r="I333" s="22">
        <f t="shared" si="5"/>
        <v>191.00319999999999</v>
      </c>
      <c r="J333" s="22">
        <f>IFERROR(Pagos[[#This Row],[Cantidad vendida]]*Pagos[[#This Row],[Ganancia unitaria (Vendedor)]],"-")</f>
        <v>191.00319999999999</v>
      </c>
      <c r="K333" s="1">
        <f>IFERROR(Pagos[[#This Row],[Ganancia unitaria]]-Pagos[[#This Row],[Ganancia unitaria (Vendedor)]],"-")</f>
        <v>286.50479999999993</v>
      </c>
      <c r="L333" s="1">
        <f>IFERROR(Pagos[[#This Row],[Cantidad vendida]]*(Pagos[[#This Row],[Ganancia individual (Tienda)]]),"-")</f>
        <v>286.50479999999993</v>
      </c>
      <c r="M333" s="1">
        <f>(VLOOKUP(Pagos[[#This Row],[Codigo del producto]],Stock[],13,FALSE))*Pagos[[#This Row],[Cantidad vendida]]</f>
        <v>822.49200000000008</v>
      </c>
      <c r="N333" s="1" t="s">
        <v>334</v>
      </c>
      <c r="O333" s="1"/>
    </row>
    <row r="334" spans="1:15" ht="17.25" x14ac:dyDescent="0.3">
      <c r="A334" s="10" t="s">
        <v>327</v>
      </c>
      <c r="B334" s="43">
        <v>46104</v>
      </c>
      <c r="C334" s="7" t="s">
        <v>106</v>
      </c>
      <c r="D334" s="20" t="str">
        <f>IFERROR(VLOOKUP(Pagos[[#This Row],[Codigo del producto]],Entradas[],3,FALSE),"No existe")</f>
        <v>Shark Attack Mouse X11 white</v>
      </c>
      <c r="E334" s="7">
        <v>1</v>
      </c>
      <c r="F334" s="10">
        <v>1300</v>
      </c>
      <c r="G334" s="22">
        <f>IFERROR(Pagos[[#This Row],[Cantidad vendida]]*Pagos[[#This Row],[Precio de venta]],"-")</f>
        <v>1300</v>
      </c>
      <c r="H334" s="22">
        <f>IFERROR(Pagos[[#This Row],[Precio de venta]]-VLOOKUP(Pagos[[#This Row],[Codigo del producto]],Stock[],13,FALSE),"-")</f>
        <v>477.50799999999992</v>
      </c>
      <c r="I334" s="22">
        <f t="shared" si="5"/>
        <v>191.00319999999999</v>
      </c>
      <c r="J334" s="22">
        <f>IFERROR(Pagos[[#This Row],[Cantidad vendida]]*Pagos[[#This Row],[Ganancia unitaria (Vendedor)]],"-")</f>
        <v>191.00319999999999</v>
      </c>
      <c r="K334" s="1">
        <f>IFERROR(Pagos[[#This Row],[Ganancia unitaria]]-Pagos[[#This Row],[Ganancia unitaria (Vendedor)]],"-")</f>
        <v>286.50479999999993</v>
      </c>
      <c r="L334" s="1">
        <f>IFERROR(Pagos[[#This Row],[Cantidad vendida]]*(Pagos[[#This Row],[Ganancia individual (Tienda)]]),"-")</f>
        <v>286.50479999999993</v>
      </c>
      <c r="M334" s="1">
        <f>(VLOOKUP(Pagos[[#This Row],[Codigo del producto]],Stock[],13,FALSE))*Pagos[[#This Row],[Cantidad vendida]]</f>
        <v>822.49200000000008</v>
      </c>
      <c r="N334" s="1" t="s">
        <v>334</v>
      </c>
      <c r="O334" s="1"/>
    </row>
    <row r="335" spans="1:15" ht="17.25" x14ac:dyDescent="0.3">
      <c r="A335" s="10" t="s">
        <v>311</v>
      </c>
      <c r="B335" s="43">
        <v>46104</v>
      </c>
      <c r="C335" s="7" t="s">
        <v>71</v>
      </c>
      <c r="D335" s="20" t="str">
        <f>IFERROR(VLOOKUP(Pagos[[#This Row],[Codigo del producto]],Entradas[],3,FALSE),"No existe")</f>
        <v>KZ Castor Improved Bass</v>
      </c>
      <c r="E335" s="7">
        <v>1</v>
      </c>
      <c r="F335" s="10">
        <v>650</v>
      </c>
      <c r="G335" s="22">
        <f>IFERROR(Pagos[[#This Row],[Cantidad vendida]]*Pagos[[#This Row],[Precio de venta]],"-")</f>
        <v>650</v>
      </c>
      <c r="H335" s="22">
        <f>IFERROR(Pagos[[#This Row],[Precio de venta]]-VLOOKUP(Pagos[[#This Row],[Codigo del producto]],Stock[],13,FALSE),"-")</f>
        <v>277.815</v>
      </c>
      <c r="I335" s="22">
        <f t="shared" si="5"/>
        <v>125.01675</v>
      </c>
      <c r="J335" s="22">
        <f>IFERROR(Pagos[[#This Row],[Cantidad vendida]]*Pagos[[#This Row],[Ganancia unitaria (Vendedor)]],"-")</f>
        <v>125.01675</v>
      </c>
      <c r="K335" s="1">
        <f>IFERROR(Pagos[[#This Row],[Ganancia unitaria]]-Pagos[[#This Row],[Ganancia unitaria (Vendedor)]],"-")</f>
        <v>152.79825</v>
      </c>
      <c r="L335" s="1">
        <f>IFERROR(Pagos[[#This Row],[Cantidad vendida]]*(Pagos[[#This Row],[Ganancia individual (Tienda)]]),"-")</f>
        <v>152.79825</v>
      </c>
      <c r="M335" s="1">
        <f>(VLOOKUP(Pagos[[#This Row],[Codigo del producto]],Stock[],13,FALSE))*Pagos[[#This Row],[Cantidad vendida]]</f>
        <v>372.185</v>
      </c>
      <c r="N335" s="1" t="s">
        <v>312</v>
      </c>
      <c r="O335" s="1"/>
    </row>
    <row r="336" spans="1:15" ht="17.25" x14ac:dyDescent="0.3">
      <c r="A336" s="10" t="s">
        <v>311</v>
      </c>
      <c r="B336" s="43">
        <v>46104</v>
      </c>
      <c r="C336" s="7" t="s">
        <v>61</v>
      </c>
      <c r="D336" s="20" t="str">
        <f>IFERROR(VLOOKUP(Pagos[[#This Row],[Codigo del producto]],Entradas[],3,FALSE),"No existe")</f>
        <v xml:space="preserve">Adaptador DAC </v>
      </c>
      <c r="E336" s="7">
        <v>1</v>
      </c>
      <c r="F336" s="10">
        <v>350</v>
      </c>
      <c r="G336" s="22">
        <f>IFERROR(Pagos[[#This Row],[Cantidad vendida]]*Pagos[[#This Row],[Precio de venta]],"-")</f>
        <v>350</v>
      </c>
      <c r="H336" s="22">
        <f>IFERROR(Pagos[[#This Row],[Precio de venta]]-VLOOKUP(Pagos[[#This Row],[Codigo del producto]],Stock[],13,FALSE),"-")</f>
        <v>214.392</v>
      </c>
      <c r="I336" s="22">
        <f t="shared" si="5"/>
        <v>96.476399999999998</v>
      </c>
      <c r="J336" s="22">
        <f>IFERROR(Pagos[[#This Row],[Cantidad vendida]]*Pagos[[#This Row],[Ganancia unitaria (Vendedor)]],"-")</f>
        <v>96.476399999999998</v>
      </c>
      <c r="K336" s="1">
        <f>IFERROR(Pagos[[#This Row],[Ganancia unitaria]]-Pagos[[#This Row],[Ganancia unitaria (Vendedor)]],"-")</f>
        <v>117.9156</v>
      </c>
      <c r="L336" s="1">
        <f>IFERROR(Pagos[[#This Row],[Cantidad vendida]]*(Pagos[[#This Row],[Ganancia individual (Tienda)]]),"-")</f>
        <v>117.9156</v>
      </c>
      <c r="M336" s="1">
        <f>(VLOOKUP(Pagos[[#This Row],[Codigo del producto]],Stock[],13,FALSE))*Pagos[[#This Row],[Cantidad vendida]]</f>
        <v>135.608</v>
      </c>
      <c r="N336" s="1" t="s">
        <v>334</v>
      </c>
      <c r="O336" s="1"/>
    </row>
    <row r="337" spans="1:15" ht="17.25" x14ac:dyDescent="0.3">
      <c r="A337" s="46" t="s">
        <v>352</v>
      </c>
      <c r="B337" s="48">
        <v>46106</v>
      </c>
      <c r="C337" s="45" t="s">
        <v>96</v>
      </c>
      <c r="D337" s="59" t="str">
        <f>IFERROR(VLOOKUP(Pagos[[#This Row],[Codigo del producto]],Entradas[],3,FALSE),"No existe")</f>
        <v>Yara Candy Black</v>
      </c>
      <c r="E337" s="45">
        <v>1</v>
      </c>
      <c r="F337" s="46">
        <v>700</v>
      </c>
      <c r="G337" s="60">
        <f>IFERROR(Pagos[[#This Row],[Cantidad vendida]]*Pagos[[#This Row],[Precio de venta]],"-")</f>
        <v>700</v>
      </c>
      <c r="H337" s="60">
        <f>IFERROR(Pagos[[#This Row],[Precio de venta]]-VLOOKUP(Pagos[[#This Row],[Codigo del producto]],Stock[],13,FALSE),"-")</f>
        <v>88.289999999999964</v>
      </c>
      <c r="I337" s="60">
        <f t="shared" si="5"/>
        <v>39.730499999999985</v>
      </c>
      <c r="J337" s="60">
        <f>IFERROR(Pagos[[#This Row],[Cantidad vendida]]*Pagos[[#This Row],[Ganancia unitaria (Vendedor)]],"-")</f>
        <v>39.730499999999985</v>
      </c>
      <c r="K337" s="47">
        <f>IFERROR(Pagos[[#This Row],[Ganancia unitaria]]-Pagos[[#This Row],[Ganancia unitaria (Vendedor)]],"-")</f>
        <v>48.559499999999979</v>
      </c>
      <c r="L337" s="47">
        <f>IFERROR(Pagos[[#This Row],[Cantidad vendida]]*(Pagos[[#This Row],[Ganancia individual (Tienda)]]),"-")</f>
        <v>48.559499999999979</v>
      </c>
      <c r="M337" s="47">
        <f>(VLOOKUP(Pagos[[#This Row],[Codigo del producto]],Stock[],13,FALSE))*Pagos[[#This Row],[Cantidad vendida]]</f>
        <v>611.71</v>
      </c>
      <c r="N337" s="47" t="s">
        <v>355</v>
      </c>
      <c r="O337" s="47" t="s">
        <v>357</v>
      </c>
    </row>
    <row r="338" spans="1:15" ht="17.25" x14ac:dyDescent="0.3">
      <c r="A338" s="46" t="s">
        <v>352</v>
      </c>
      <c r="B338" s="48">
        <v>46106</v>
      </c>
      <c r="C338" s="45" t="s">
        <v>98</v>
      </c>
      <c r="D338" s="59" t="str">
        <f>IFERROR(VLOOKUP(Pagos[[#This Row],[Codigo del producto]],Entradas[],3,FALSE),"No existe")</f>
        <v>Asan bourbun</v>
      </c>
      <c r="E338" s="45">
        <v>1</v>
      </c>
      <c r="F338" s="46">
        <v>700</v>
      </c>
      <c r="G338" s="60">
        <f>IFERROR(Pagos[[#This Row],[Cantidad vendida]]*Pagos[[#This Row],[Precio de venta]],"-")</f>
        <v>700</v>
      </c>
      <c r="H338" s="60">
        <f>IFERROR(Pagos[[#This Row],[Precio de venta]]-VLOOKUP(Pagos[[#This Row],[Codigo del producto]],Stock[],13,FALSE),"-")</f>
        <v>88.289999999999964</v>
      </c>
      <c r="I338" s="60">
        <f t="shared" si="5"/>
        <v>39.730499999999985</v>
      </c>
      <c r="J338" s="60">
        <f>IFERROR(Pagos[[#This Row],[Cantidad vendida]]*Pagos[[#This Row],[Ganancia unitaria (Vendedor)]],"-")</f>
        <v>39.730499999999985</v>
      </c>
      <c r="K338" s="47">
        <f>IFERROR(Pagos[[#This Row],[Ganancia unitaria]]-Pagos[[#This Row],[Ganancia unitaria (Vendedor)]],"-")</f>
        <v>48.559499999999979</v>
      </c>
      <c r="L338" s="47">
        <f>IFERROR(Pagos[[#This Row],[Cantidad vendida]]*(Pagos[[#This Row],[Ganancia individual (Tienda)]]),"-")</f>
        <v>48.559499999999979</v>
      </c>
      <c r="M338" s="47">
        <f>(VLOOKUP(Pagos[[#This Row],[Codigo del producto]],Stock[],13,FALSE))*Pagos[[#This Row],[Cantidad vendida]]</f>
        <v>611.71</v>
      </c>
      <c r="N338" s="47" t="s">
        <v>355</v>
      </c>
      <c r="O338" s="47" t="s">
        <v>357</v>
      </c>
    </row>
    <row r="339" spans="1:15" ht="17.25" x14ac:dyDescent="0.3">
      <c r="A339" s="46" t="s">
        <v>352</v>
      </c>
      <c r="B339" s="48">
        <v>46106</v>
      </c>
      <c r="C339" s="45" t="s">
        <v>117</v>
      </c>
      <c r="D339" s="59" t="str">
        <f>IFERROR(VLOOKUP(Pagos[[#This Row],[Codigo del producto]],Entradas[],3,FALSE),"No existe")</f>
        <v>Afan 9 PM Elixir</v>
      </c>
      <c r="E339" s="45">
        <v>2</v>
      </c>
      <c r="F339" s="46">
        <v>700</v>
      </c>
      <c r="G339" s="60">
        <f>IFERROR(Pagos[[#This Row],[Cantidad vendida]]*Pagos[[#This Row],[Precio de venta]],"-")</f>
        <v>1400</v>
      </c>
      <c r="H339" s="60">
        <f>IFERROR(Pagos[[#This Row],[Precio de venta]]-VLOOKUP(Pagos[[#This Row],[Codigo del producto]],Stock[],13,FALSE),"-")</f>
        <v>33.014999999999873</v>
      </c>
      <c r="I339" s="60">
        <f t="shared" si="5"/>
        <v>14.856749999999943</v>
      </c>
      <c r="J339" s="60">
        <f>IFERROR(Pagos[[#This Row],[Cantidad vendida]]*Pagos[[#This Row],[Ganancia unitaria (Vendedor)]],"-")</f>
        <v>29.713499999999886</v>
      </c>
      <c r="K339" s="47">
        <f>IFERROR(Pagos[[#This Row],[Ganancia unitaria]]-Pagos[[#This Row],[Ganancia unitaria (Vendedor)]],"-")</f>
        <v>18.158249999999931</v>
      </c>
      <c r="L339" s="47">
        <f>IFERROR(Pagos[[#This Row],[Cantidad vendida]]*(Pagos[[#This Row],[Ganancia individual (Tienda)]]),"-")</f>
        <v>36.316499999999863</v>
      </c>
      <c r="M339" s="47">
        <f>(VLOOKUP(Pagos[[#This Row],[Codigo del producto]],Stock[],13,FALSE))*Pagos[[#This Row],[Cantidad vendida]]</f>
        <v>1333.9700000000003</v>
      </c>
      <c r="N339" s="47" t="s">
        <v>355</v>
      </c>
      <c r="O339" s="47" t="s">
        <v>358</v>
      </c>
    </row>
    <row r="340" spans="1:15" ht="17.25" x14ac:dyDescent="0.3">
      <c r="A340" s="10" t="s">
        <v>327</v>
      </c>
      <c r="B340" s="43">
        <v>46107</v>
      </c>
      <c r="C340" s="7" t="s">
        <v>107</v>
      </c>
      <c r="D340" s="20" t="str">
        <f>IFERROR(VLOOKUP(Pagos[[#This Row],[Codigo del producto]],Entradas[],3,FALSE),"No existe")</f>
        <v>Arzopa Monitor 27 Inch 2K</v>
      </c>
      <c r="E340" s="7">
        <v>1</v>
      </c>
      <c r="F340" s="10">
        <v>8000</v>
      </c>
      <c r="G340" s="22">
        <f>IFERROR(Pagos[[#This Row],[Cantidad vendida]]*Pagos[[#This Row],[Precio de venta]],"-")</f>
        <v>8000</v>
      </c>
      <c r="H340" s="20">
        <f>IFERROR(Pagos[[#This Row],[Precio de venta]]-VLOOKUP(Pagos[[#This Row],[Codigo del producto]],Stock[],13,FALSE),"-")</f>
        <v>2111.7385000000004</v>
      </c>
      <c r="I340" s="22">
        <f>IFERROR(
  IF(H340&lt;=0,"-",
    IF(H340&lt;=300, H340*0.45,
      IF(H340&lt;=600, H340*0.4,
        IF(H340&lt;=900, H340*0.38,
          IF(H340&lt;=1000, H340*0.35,
            IF(H340&lt;=1400, H340*0.32,
              IF(H340&lt;=1800, H340*0.3,
                IF(H340&gt;=2000, H340*0.28,
                  "-"
                )
              )
            )
          )
        )
      )
    )
  ),
  "-"
)</f>
        <v>591.28678000000014</v>
      </c>
      <c r="J340" s="22">
        <f>IFERROR(Pagos[[#This Row],[Cantidad vendida]]*Pagos[[#This Row],[Ganancia unitaria (Vendedor)]],"-")</f>
        <v>591.28678000000014</v>
      </c>
      <c r="K340" s="1">
        <f>IFERROR(Pagos[[#This Row],[Ganancia unitaria]]-Pagos[[#This Row],[Ganancia unitaria (Vendedor)]],"-")</f>
        <v>1520.4517200000003</v>
      </c>
      <c r="L340" s="1">
        <f>IFERROR(Pagos[[#This Row],[Cantidad vendida]]*(Pagos[[#This Row],[Ganancia individual (Tienda)]]),"-")</f>
        <v>1520.4517200000003</v>
      </c>
      <c r="M340" s="1">
        <f>(VLOOKUP(Pagos[[#This Row],[Codigo del producto]],Stock[],13,FALSE))*Pagos[[#This Row],[Cantidad vendida]]</f>
        <v>5888.2614999999996</v>
      </c>
      <c r="N340" s="1" t="s">
        <v>334</v>
      </c>
      <c r="O340" s="1"/>
    </row>
    <row r="341" spans="1:15" ht="17.25" x14ac:dyDescent="0.3">
      <c r="A341" s="10" t="s">
        <v>313</v>
      </c>
      <c r="B341" s="43">
        <v>46107</v>
      </c>
      <c r="C341" s="7" t="s">
        <v>101</v>
      </c>
      <c r="D341" s="20" t="str">
        <f>IFERROR(VLOOKUP(Pagos[[#This Row],[Codigo del producto]],Entradas[],3,FALSE),"No existe")</f>
        <v xml:space="preserve">Shark Attack Mouse X11 Black </v>
      </c>
      <c r="E341" s="7">
        <v>1</v>
      </c>
      <c r="F341" s="10">
        <v>1200</v>
      </c>
      <c r="G341" s="22">
        <f>IFERROR(Pagos[[#This Row],[Cantidad vendida]]*Pagos[[#This Row],[Precio de venta]],"-")</f>
        <v>1200</v>
      </c>
      <c r="H341" s="22">
        <f>IFERROR(Pagos[[#This Row],[Precio de venta]]-VLOOKUP(Pagos[[#This Row],[Codigo del producto]],Stock[],13,FALSE),"-")</f>
        <v>377.50799999999992</v>
      </c>
      <c r="I341" s="22">
        <f t="shared" si="5"/>
        <v>151.00319999999996</v>
      </c>
      <c r="J341" s="22">
        <f>IFERROR(Pagos[[#This Row],[Cantidad vendida]]*Pagos[[#This Row],[Ganancia unitaria (Vendedor)]],"-")</f>
        <v>151.00319999999996</v>
      </c>
      <c r="K341" s="1">
        <f>IFERROR(Pagos[[#This Row],[Ganancia unitaria]]-Pagos[[#This Row],[Ganancia unitaria (Vendedor)]],"-")</f>
        <v>226.50479999999996</v>
      </c>
      <c r="L341" s="1">
        <f>IFERROR(Pagos[[#This Row],[Cantidad vendida]]*(Pagos[[#This Row],[Ganancia individual (Tienda)]]),"-")</f>
        <v>226.50479999999996</v>
      </c>
      <c r="M341" s="1">
        <f>(VLOOKUP(Pagos[[#This Row],[Codigo del producto]],Stock[],13,FALSE))*Pagos[[#This Row],[Cantidad vendida]]</f>
        <v>822.49200000000008</v>
      </c>
      <c r="N341" s="1" t="s">
        <v>334</v>
      </c>
      <c r="O341" s="1"/>
    </row>
    <row r="342" spans="1:15" ht="17.25" x14ac:dyDescent="0.3">
      <c r="A342" s="10" t="s">
        <v>313</v>
      </c>
      <c r="B342" s="43">
        <v>46107</v>
      </c>
      <c r="C342" s="7" t="s">
        <v>113</v>
      </c>
      <c r="D342" s="20" t="str">
        <f>IFERROR(VLOOKUP(Pagos[[#This Row],[Codigo del producto]],Entradas[],3,FALSE),"No existe")</f>
        <v>Cargadores USB para moto</v>
      </c>
      <c r="E342" s="7">
        <v>1</v>
      </c>
      <c r="F342" s="10">
        <v>500</v>
      </c>
      <c r="G342" s="22">
        <f>IFERROR(Pagos[[#This Row],[Cantidad vendida]]*Pagos[[#This Row],[Precio de venta]],"-")</f>
        <v>500</v>
      </c>
      <c r="H342" s="22">
        <f>IFERROR(Pagos[[#This Row],[Precio de venta]]-VLOOKUP(Pagos[[#This Row],[Codigo del producto]],Stock[],13,FALSE),"-")</f>
        <v>186.77499999999998</v>
      </c>
      <c r="I342" s="22">
        <f t="shared" si="5"/>
        <v>84.048749999999998</v>
      </c>
      <c r="J342" s="22">
        <f>IFERROR(Pagos[[#This Row],[Cantidad vendida]]*Pagos[[#This Row],[Ganancia unitaria (Vendedor)]],"-")</f>
        <v>84.048749999999998</v>
      </c>
      <c r="K342" s="1">
        <f>IFERROR(Pagos[[#This Row],[Ganancia unitaria]]-Pagos[[#This Row],[Ganancia unitaria (Vendedor)]],"-")</f>
        <v>102.72624999999998</v>
      </c>
      <c r="L342" s="1">
        <f>IFERROR(Pagos[[#This Row],[Cantidad vendida]]*(Pagos[[#This Row],[Ganancia individual (Tienda)]]),"-")</f>
        <v>102.72624999999998</v>
      </c>
      <c r="M342" s="1">
        <f>(VLOOKUP(Pagos[[#This Row],[Codigo del producto]],Stock[],13,FALSE))*Pagos[[#This Row],[Cantidad vendida]]</f>
        <v>313.22500000000002</v>
      </c>
      <c r="N342" s="1" t="s">
        <v>334</v>
      </c>
      <c r="O342" s="1"/>
    </row>
    <row r="343" spans="1:15" ht="17.25" x14ac:dyDescent="0.3">
      <c r="A343" s="10" t="s">
        <v>353</v>
      </c>
      <c r="B343" s="43">
        <v>46107</v>
      </c>
      <c r="C343" s="7" t="s">
        <v>130</v>
      </c>
      <c r="D343" s="20" t="str">
        <f>IFERROR(VLOOKUP(Pagos[[#This Row],[Codigo del producto]],Entradas[],3,FALSE),"No existe")</f>
        <v>Cargadores USB para moto (Sin pantalla)</v>
      </c>
      <c r="E343" s="7">
        <v>1</v>
      </c>
      <c r="F343" s="10">
        <v>400</v>
      </c>
      <c r="G343" s="22">
        <f>IFERROR(Pagos[[#This Row],[Cantidad vendida]]*Pagos[[#This Row],[Precio de venta]],"-")</f>
        <v>400</v>
      </c>
      <c r="H343" s="22">
        <f>IFERROR(Pagos[[#This Row],[Precio de venta]]-VLOOKUP(Pagos[[#This Row],[Codigo del producto]],Stock[],13,FALSE),"-")</f>
        <v>155.68449999999996</v>
      </c>
      <c r="I343" s="22">
        <f t="shared" si="5"/>
        <v>70.058024999999986</v>
      </c>
      <c r="J343" s="22">
        <f>IFERROR(Pagos[[#This Row],[Cantidad vendida]]*Pagos[[#This Row],[Ganancia unitaria (Vendedor)]],"-")</f>
        <v>70.058024999999986</v>
      </c>
      <c r="K343" s="1">
        <f>IFERROR(Pagos[[#This Row],[Ganancia unitaria]]-Pagos[[#This Row],[Ganancia unitaria (Vendedor)]],"-")</f>
        <v>85.626474999999971</v>
      </c>
      <c r="L343" s="1">
        <f>IFERROR(Pagos[[#This Row],[Cantidad vendida]]*(Pagos[[#This Row],[Ganancia individual (Tienda)]]),"-")</f>
        <v>85.626474999999971</v>
      </c>
      <c r="M343" s="1">
        <f>(VLOOKUP(Pagos[[#This Row],[Codigo del producto]],Stock[],13,FALSE))*Pagos[[#This Row],[Cantidad vendida]]</f>
        <v>244.31550000000004</v>
      </c>
      <c r="N343" s="1" t="s">
        <v>355</v>
      </c>
      <c r="O343" s="1"/>
    </row>
    <row r="344" spans="1:15" ht="17.25" x14ac:dyDescent="0.3">
      <c r="A344" s="10" t="s">
        <v>327</v>
      </c>
      <c r="B344" s="43">
        <v>46108</v>
      </c>
      <c r="C344" s="7" t="s">
        <v>41</v>
      </c>
      <c r="D344" s="20" t="str">
        <f>IFERROR(VLOOKUP(Pagos[[#This Row],[Codigo del producto]],Entradas[],3,FALSE),"No existe")</f>
        <v>Halogenos para moto</v>
      </c>
      <c r="E344" s="7">
        <v>1</v>
      </c>
      <c r="F344" s="10">
        <v>300</v>
      </c>
      <c r="G344" s="22">
        <f>IFERROR(Pagos[[#This Row],[Cantidad vendida]]*Pagos[[#This Row],[Precio de venta]],"-")</f>
        <v>300</v>
      </c>
      <c r="H344" s="22">
        <f>IFERROR(Pagos[[#This Row],[Precio de venta]]-VLOOKUP(Pagos[[#This Row],[Codigo del producto]],Stock[],13,FALSE),"-")</f>
        <v>153.33699999999999</v>
      </c>
      <c r="I344" s="22">
        <f t="shared" si="5"/>
        <v>69.001649999999998</v>
      </c>
      <c r="J344" s="22">
        <f>IFERROR(Pagos[[#This Row],[Cantidad vendida]]*Pagos[[#This Row],[Ganancia unitaria (Vendedor)]],"-")</f>
        <v>69.001649999999998</v>
      </c>
      <c r="K344" s="1">
        <f>IFERROR(Pagos[[#This Row],[Ganancia unitaria]]-Pagos[[#This Row],[Ganancia unitaria (Vendedor)]],"-")</f>
        <v>84.335349999999991</v>
      </c>
      <c r="L344" s="1">
        <f>IFERROR(Pagos[[#This Row],[Cantidad vendida]]*(Pagos[[#This Row],[Ganancia individual (Tienda)]]),"-")</f>
        <v>84.335349999999991</v>
      </c>
      <c r="M344" s="1">
        <f>(VLOOKUP(Pagos[[#This Row],[Codigo del producto]],Stock[],13,FALSE))*Pagos[[#This Row],[Cantidad vendida]]</f>
        <v>146.66300000000001</v>
      </c>
      <c r="N344" s="1" t="s">
        <v>334</v>
      </c>
      <c r="O344" s="1"/>
    </row>
    <row r="345" spans="1:15" ht="17.25" x14ac:dyDescent="0.3">
      <c r="A345" s="10" t="s">
        <v>327</v>
      </c>
      <c r="B345" s="43">
        <v>46108</v>
      </c>
      <c r="C345" s="7" t="s">
        <v>120</v>
      </c>
      <c r="D345" s="20" t="str">
        <f>IFERROR(VLOOKUP(Pagos[[#This Row],[Codigo del producto]],Entradas[],3,FALSE),"No existe")</f>
        <v>Nubwo G06</v>
      </c>
      <c r="E345" s="7">
        <v>3</v>
      </c>
      <c r="F345" s="10">
        <v>1333.33</v>
      </c>
      <c r="G345" s="22">
        <f>IFERROR(Pagos[[#This Row],[Cantidad vendida]]*Pagos[[#This Row],[Precio de venta]],"-")</f>
        <v>3999.99</v>
      </c>
      <c r="H345" s="22">
        <f>IFERROR(Pagos[[#This Row],[Precio de venta]]-VLOOKUP(Pagos[[#This Row],[Codigo del producto]],Stock[],13,FALSE),"-")</f>
        <v>387.7589999999999</v>
      </c>
      <c r="I345" s="22">
        <f t="shared" si="5"/>
        <v>155.10359999999997</v>
      </c>
      <c r="J345" s="22">
        <f>IFERROR(Pagos[[#This Row],[Cantidad vendida]]*Pagos[[#This Row],[Ganancia unitaria (Vendedor)]],"-")</f>
        <v>465.31079999999992</v>
      </c>
      <c r="K345" s="1">
        <f>IFERROR(Pagos[[#This Row],[Ganancia unitaria]]-Pagos[[#This Row],[Ganancia unitaria (Vendedor)]],"-")</f>
        <v>232.65539999999993</v>
      </c>
      <c r="L345" s="1">
        <f>IFERROR(Pagos[[#This Row],[Cantidad vendida]]*(Pagos[[#This Row],[Ganancia individual (Tienda)]]),"-")</f>
        <v>697.96619999999984</v>
      </c>
      <c r="M345" s="1">
        <f>(VLOOKUP(Pagos[[#This Row],[Codigo del producto]],Stock[],13,FALSE))*Pagos[[#This Row],[Cantidad vendida]]</f>
        <v>2836.7130000000002</v>
      </c>
      <c r="N345" s="1" t="s">
        <v>334</v>
      </c>
      <c r="O345" s="1"/>
    </row>
    <row r="346" spans="1:15" ht="17.25" x14ac:dyDescent="0.3">
      <c r="A346" s="10" t="s">
        <v>352</v>
      </c>
      <c r="B346" s="43">
        <v>46110</v>
      </c>
      <c r="C346" s="7" t="s">
        <v>104</v>
      </c>
      <c r="D346" s="20" t="str">
        <f>IFERROR(VLOOKUP(Pagos[[#This Row],[Codigo del producto]],Entradas[],3,FALSE),"No existe")</f>
        <v>Cargadores USB para moto</v>
      </c>
      <c r="E346" s="7">
        <v>1</v>
      </c>
      <c r="F346" s="10">
        <v>600</v>
      </c>
      <c r="G346" s="22">
        <f>IFERROR(Pagos[[#This Row],[Cantidad vendida]]*Pagos[[#This Row],[Precio de venta]],"-")</f>
        <v>600</v>
      </c>
      <c r="H346" s="22">
        <f>IFERROR(Pagos[[#This Row],[Precio de venta]]-VLOOKUP(Pagos[[#This Row],[Codigo del producto]],Stock[],13,FALSE),"-")</f>
        <v>290.82849999999996</v>
      </c>
      <c r="I346" s="22">
        <f t="shared" si="5"/>
        <v>130.87282499999998</v>
      </c>
      <c r="J346" s="22">
        <f>IFERROR(Pagos[[#This Row],[Cantidad vendida]]*Pagos[[#This Row],[Ganancia unitaria (Vendedor)]],"-")</f>
        <v>130.87282499999998</v>
      </c>
      <c r="K346" s="1">
        <f>IFERROR(Pagos[[#This Row],[Ganancia unitaria]]-Pagos[[#This Row],[Ganancia unitaria (Vendedor)]],"-")</f>
        <v>159.95567499999999</v>
      </c>
      <c r="L346" s="1">
        <f>IFERROR(Pagos[[#This Row],[Cantidad vendida]]*(Pagos[[#This Row],[Ganancia individual (Tienda)]]),"-")</f>
        <v>159.95567499999999</v>
      </c>
      <c r="M346" s="1">
        <f>(VLOOKUP(Pagos[[#This Row],[Codigo del producto]],Stock[],13,FALSE))*Pagos[[#This Row],[Cantidad vendida]]</f>
        <v>309.17150000000004</v>
      </c>
      <c r="N346" s="1" t="s">
        <v>355</v>
      </c>
      <c r="O346" s="1"/>
    </row>
    <row r="347" spans="1:15" ht="17.25" x14ac:dyDescent="0.3">
      <c r="A347" s="10" t="s">
        <v>352</v>
      </c>
      <c r="B347" s="43">
        <v>46110</v>
      </c>
      <c r="C347" s="7" t="s">
        <v>111</v>
      </c>
      <c r="D347" s="20" t="str">
        <f>IFERROR(VLOOKUP(Pagos[[#This Row],[Codigo del producto]],Entradas[],3,FALSE),"No existe")</f>
        <v>Teclado Mecanico Machenike K500</v>
      </c>
      <c r="E347" s="7">
        <v>1</v>
      </c>
      <c r="F347" s="10">
        <v>2200</v>
      </c>
      <c r="G347" s="22">
        <f>IFERROR(Pagos[[#This Row],[Cantidad vendida]]*Pagos[[#This Row],[Precio de venta]],"-")</f>
        <v>2200</v>
      </c>
      <c r="H347" s="22">
        <f>IFERROR(Pagos[[#This Row],[Precio de venta]]-VLOOKUP(Pagos[[#This Row],[Codigo del producto]],Stock[],13,FALSE),"-")</f>
        <v>652.29999999999995</v>
      </c>
      <c r="I347" s="22">
        <f t="shared" si="5"/>
        <v>247.874</v>
      </c>
      <c r="J347" s="22">
        <f>IFERROR(Pagos[[#This Row],[Cantidad vendida]]*Pagos[[#This Row],[Ganancia unitaria (Vendedor)]],"-")</f>
        <v>247.874</v>
      </c>
      <c r="K347" s="1">
        <f>IFERROR(Pagos[[#This Row],[Ganancia unitaria]]-Pagos[[#This Row],[Ganancia unitaria (Vendedor)]],"-")</f>
        <v>404.42599999999993</v>
      </c>
      <c r="L347" s="1">
        <f>IFERROR(Pagos[[#This Row],[Cantidad vendida]]*(Pagos[[#This Row],[Ganancia individual (Tienda)]]),"-")</f>
        <v>404.42599999999993</v>
      </c>
      <c r="M347" s="1">
        <f>(VLOOKUP(Pagos[[#This Row],[Codigo del producto]],Stock[],13,FALSE))*Pagos[[#This Row],[Cantidad vendida]]</f>
        <v>1547.7</v>
      </c>
      <c r="N347" s="1" t="s">
        <v>355</v>
      </c>
      <c r="O347" s="1"/>
    </row>
    <row r="348" spans="1:15" ht="17.25" x14ac:dyDescent="0.3">
      <c r="A348" s="10" t="s">
        <v>321</v>
      </c>
      <c r="B348" s="43">
        <v>46110</v>
      </c>
      <c r="C348" s="7" t="s">
        <v>67</v>
      </c>
      <c r="D348" s="20" t="str">
        <f>IFERROR(VLOOKUP(Pagos[[#This Row],[Codigo del producto]],Entradas[],3,FALSE),"No existe")</f>
        <v>Cable de Repuesto KZ Tipo C</v>
      </c>
      <c r="E348" s="7">
        <v>2</v>
      </c>
      <c r="F348" s="10">
        <v>400</v>
      </c>
      <c r="G348" s="22">
        <f>IFERROR(Pagos[[#This Row],[Cantidad vendida]]*Pagos[[#This Row],[Precio de venta]],"-")</f>
        <v>800</v>
      </c>
      <c r="H348" s="22">
        <f>IFERROR(Pagos[[#This Row],[Precio de venta]]-VLOOKUP(Pagos[[#This Row],[Codigo del producto]],Stock[],13,FALSE),"-")</f>
        <v>205.0635</v>
      </c>
      <c r="I348" s="22">
        <f t="shared" si="5"/>
        <v>92.278575000000004</v>
      </c>
      <c r="J348" s="22">
        <f>IFERROR(Pagos[[#This Row],[Cantidad vendida]]*Pagos[[#This Row],[Ganancia unitaria (Vendedor)]],"-")</f>
        <v>184.55715000000001</v>
      </c>
      <c r="K348" s="1">
        <f>IFERROR(Pagos[[#This Row],[Ganancia unitaria]]-Pagos[[#This Row],[Ganancia unitaria (Vendedor)]],"-")</f>
        <v>112.784925</v>
      </c>
      <c r="L348" s="1">
        <f>IFERROR(Pagos[[#This Row],[Cantidad vendida]]*(Pagos[[#This Row],[Ganancia individual (Tienda)]]),"-")</f>
        <v>225.56985</v>
      </c>
      <c r="M348" s="1">
        <f>(VLOOKUP(Pagos[[#This Row],[Codigo del producto]],Stock[],13,FALSE))*Pagos[[#This Row],[Cantidad vendida]]</f>
        <v>389.87299999999999</v>
      </c>
      <c r="N348" s="1" t="s">
        <v>334</v>
      </c>
      <c r="O348" s="1"/>
    </row>
    <row r="349" spans="1:15" ht="17.25" x14ac:dyDescent="0.3">
      <c r="A349" s="10" t="s">
        <v>327</v>
      </c>
      <c r="B349" s="43">
        <v>46110</v>
      </c>
      <c r="C349" s="7" t="s">
        <v>104</v>
      </c>
      <c r="D349" s="20" t="str">
        <f>IFERROR(VLOOKUP(Pagos[[#This Row],[Codigo del producto]],Entradas[],3,FALSE),"No existe")</f>
        <v>Cargadores USB para moto</v>
      </c>
      <c r="E349" s="7">
        <v>1</v>
      </c>
      <c r="F349" s="10">
        <v>600</v>
      </c>
      <c r="G349" s="22">
        <f>IFERROR(Pagos[[#This Row],[Cantidad vendida]]*Pagos[[#This Row],[Precio de venta]],"-")</f>
        <v>600</v>
      </c>
      <c r="H349" s="22">
        <f>IFERROR(Pagos[[#This Row],[Precio de venta]]-VLOOKUP(Pagos[[#This Row],[Codigo del producto]],Stock[],13,FALSE),"-")</f>
        <v>290.82849999999996</v>
      </c>
      <c r="I349" s="22">
        <f t="shared" si="5"/>
        <v>130.87282499999998</v>
      </c>
      <c r="J349" s="22">
        <f>IFERROR(Pagos[[#This Row],[Cantidad vendida]]*Pagos[[#This Row],[Ganancia unitaria (Vendedor)]],"-")</f>
        <v>130.87282499999998</v>
      </c>
      <c r="K349" s="1">
        <f>IFERROR(Pagos[[#This Row],[Ganancia unitaria]]-Pagos[[#This Row],[Ganancia unitaria (Vendedor)]],"-")</f>
        <v>159.95567499999999</v>
      </c>
      <c r="L349" s="1">
        <f>IFERROR(Pagos[[#This Row],[Cantidad vendida]]*(Pagos[[#This Row],[Ganancia individual (Tienda)]]),"-")</f>
        <v>159.95567499999999</v>
      </c>
      <c r="M349" s="1">
        <f>(VLOOKUP(Pagos[[#This Row],[Codigo del producto]],Stock[],13,FALSE))*Pagos[[#This Row],[Cantidad vendida]]</f>
        <v>309.17150000000004</v>
      </c>
      <c r="N349" s="1" t="s">
        <v>334</v>
      </c>
      <c r="O349" s="1"/>
    </row>
    <row r="350" spans="1:15" ht="17.25" x14ac:dyDescent="0.3">
      <c r="A350" s="10" t="s">
        <v>359</v>
      </c>
      <c r="B350" s="43">
        <v>46111</v>
      </c>
      <c r="C350" s="7" t="s">
        <v>41</v>
      </c>
      <c r="D350" s="20" t="str">
        <f>IFERROR(VLOOKUP(Pagos[[#This Row],[Codigo del producto]],Entradas[],3,FALSE),"No existe")</f>
        <v>Halogenos para moto</v>
      </c>
      <c r="E350" s="7">
        <v>1</v>
      </c>
      <c r="F350" s="10">
        <v>350</v>
      </c>
      <c r="G350" s="22">
        <f>IFERROR(Pagos[[#This Row],[Cantidad vendida]]*Pagos[[#This Row],[Precio de venta]],"-")</f>
        <v>350</v>
      </c>
      <c r="H350" s="22">
        <f>IFERROR(Pagos[[#This Row],[Precio de venta]]-VLOOKUP(Pagos[[#This Row],[Codigo del producto]],Stock[],13,FALSE),"-")</f>
        <v>203.33699999999999</v>
      </c>
      <c r="I350" s="22">
        <f t="shared" si="5"/>
        <v>91.501649999999998</v>
      </c>
      <c r="J350" s="22">
        <f>IFERROR(Pagos[[#This Row],[Cantidad vendida]]*Pagos[[#This Row],[Ganancia unitaria (Vendedor)]],"-")</f>
        <v>91.501649999999998</v>
      </c>
      <c r="K350" s="1">
        <f>IFERROR(Pagos[[#This Row],[Ganancia unitaria]]-Pagos[[#This Row],[Ganancia unitaria (Vendedor)]],"-")</f>
        <v>111.83534999999999</v>
      </c>
      <c r="L350" s="1">
        <f>IFERROR(Pagos[[#This Row],[Cantidad vendida]]*(Pagos[[#This Row],[Ganancia individual (Tienda)]]),"-")</f>
        <v>111.83534999999999</v>
      </c>
      <c r="M350" s="1">
        <f>(VLOOKUP(Pagos[[#This Row],[Codigo del producto]],Stock[],13,FALSE))*Pagos[[#This Row],[Cantidad vendida]]</f>
        <v>146.66300000000001</v>
      </c>
      <c r="N350" s="1" t="s">
        <v>334</v>
      </c>
      <c r="O350" s="1"/>
    </row>
    <row r="351" spans="1:15" ht="17.25" x14ac:dyDescent="0.3">
      <c r="A351" s="10" t="s">
        <v>311</v>
      </c>
      <c r="B351" s="43">
        <v>46111</v>
      </c>
      <c r="C351" s="7" t="s">
        <v>101</v>
      </c>
      <c r="D351" s="20" t="str">
        <f>IFERROR(VLOOKUP(Pagos[[#This Row],[Codigo del producto]],Entradas[],3,FALSE),"No existe")</f>
        <v xml:space="preserve">Shark Attack Mouse X11 Black </v>
      </c>
      <c r="E351" s="7">
        <v>1</v>
      </c>
      <c r="F351" s="10">
        <v>1300</v>
      </c>
      <c r="G351" s="22">
        <f>IFERROR(Pagos[[#This Row],[Cantidad vendida]]*Pagos[[#This Row],[Precio de venta]],"-")</f>
        <v>1300</v>
      </c>
      <c r="H351" s="22">
        <f>IFERROR(Pagos[[#This Row],[Precio de venta]]-VLOOKUP(Pagos[[#This Row],[Codigo del producto]],Stock[],13,FALSE),"-")</f>
        <v>477.50799999999992</v>
      </c>
      <c r="I351" s="22">
        <f t="shared" si="5"/>
        <v>191.00319999999999</v>
      </c>
      <c r="J351" s="22">
        <f>IFERROR(Pagos[[#This Row],[Cantidad vendida]]*Pagos[[#This Row],[Ganancia unitaria (Vendedor)]],"-")</f>
        <v>191.00319999999999</v>
      </c>
      <c r="K351" s="1">
        <f>IFERROR(Pagos[[#This Row],[Ganancia unitaria]]-Pagos[[#This Row],[Ganancia unitaria (Vendedor)]],"-")</f>
        <v>286.50479999999993</v>
      </c>
      <c r="L351" s="1">
        <f>IFERROR(Pagos[[#This Row],[Cantidad vendida]]*(Pagos[[#This Row],[Ganancia individual (Tienda)]]),"-")</f>
        <v>286.50479999999993</v>
      </c>
      <c r="M351" s="1">
        <f>(VLOOKUP(Pagos[[#This Row],[Codigo del producto]],Stock[],13,FALSE))*Pagos[[#This Row],[Cantidad vendida]]</f>
        <v>822.49200000000008</v>
      </c>
      <c r="N351" s="1" t="s">
        <v>334</v>
      </c>
      <c r="O351" s="1"/>
    </row>
    <row r="352" spans="1:15" ht="17.25" x14ac:dyDescent="0.3">
      <c r="A352" s="10" t="s">
        <v>311</v>
      </c>
      <c r="B352" s="43">
        <v>46111</v>
      </c>
      <c r="C352" s="7" t="s">
        <v>111</v>
      </c>
      <c r="D352" s="20" t="str">
        <f>IFERROR(VLOOKUP(Pagos[[#This Row],[Codigo del producto]],Entradas[],3,FALSE),"No existe")</f>
        <v>Teclado Mecanico Machenike K500</v>
      </c>
      <c r="E352" s="7">
        <v>1</v>
      </c>
      <c r="F352" s="10">
        <v>2200</v>
      </c>
      <c r="G352" s="22">
        <f>IFERROR(Pagos[[#This Row],[Cantidad vendida]]*Pagos[[#This Row],[Precio de venta]],"-")</f>
        <v>2200</v>
      </c>
      <c r="H352" s="22">
        <f>IFERROR(Pagos[[#This Row],[Precio de venta]]-VLOOKUP(Pagos[[#This Row],[Codigo del producto]],Stock[],13,FALSE),"-")</f>
        <v>652.29999999999995</v>
      </c>
      <c r="I352" s="22">
        <f>IFERROR(
  IF(H352&lt;=0,"-",
    IF(H352&lt;=300, H352*0.45,
      IF(H352&lt;=600, H352*0.4,
        IF(H352&lt;=900, H352*0.38,
          IF(H352&lt;=1000, H352*0.35,
            IF(H352&lt;=1400, H352*0.32,
              IF(H352&lt;=1800, H352*0.3,
                IF(H352&gt;=2000, H352*0.28,
                  "-"
                )
              )
            )
          )
        )
      )
    )
  ),
  "-"
)</f>
        <v>247.874</v>
      </c>
      <c r="J352" s="22">
        <f>IFERROR(Pagos[[#This Row],[Cantidad vendida]]*Pagos[[#This Row],[Ganancia unitaria (Vendedor)]],"-")</f>
        <v>247.874</v>
      </c>
      <c r="K352" s="1">
        <f>IFERROR(Pagos[[#This Row],[Ganancia unitaria]]-Pagos[[#This Row],[Ganancia unitaria (Vendedor)]],"-")</f>
        <v>404.42599999999993</v>
      </c>
      <c r="L352" s="1">
        <f>IFERROR(Pagos[[#This Row],[Cantidad vendida]]*(Pagos[[#This Row],[Ganancia individual (Tienda)]]),"-")</f>
        <v>404.42599999999993</v>
      </c>
      <c r="M352" s="1">
        <f>(VLOOKUP(Pagos[[#This Row],[Codigo del producto]],Stock[],13,FALSE))*Pagos[[#This Row],[Cantidad vendida]]</f>
        <v>1547.7</v>
      </c>
      <c r="N352" s="1" t="s">
        <v>334</v>
      </c>
      <c r="O352" s="1"/>
    </row>
    <row r="353" spans="1:20" ht="17.25" x14ac:dyDescent="0.3">
      <c r="A353" s="7" t="s">
        <v>185</v>
      </c>
      <c r="B353" s="43"/>
      <c r="C353" s="7"/>
      <c r="D353" s="20"/>
      <c r="E353" s="7">
        <f>SUBTOTAL(109,E4:E352)</f>
        <v>398</v>
      </c>
      <c r="F353" s="7">
        <f ca="1">SUBTOTAL(109,F9:F354)</f>
        <v>233</v>
      </c>
      <c r="G353" s="22">
        <f>SUBTOTAL(109,G4:G352)</f>
        <v>388659.99</v>
      </c>
      <c r="H353" s="20"/>
      <c r="I353" s="20"/>
      <c r="J353" s="20">
        <f>SUBTOTAL(109,J4:J352)</f>
        <v>57642.1242749999</v>
      </c>
      <c r="K353" s="21"/>
      <c r="L353">
        <f>SUBTOTAL(109,L4:L352)</f>
        <v>87151.935724999974</v>
      </c>
      <c r="M353" s="21"/>
      <c r="N353" s="21"/>
      <c r="O353" s="21">
        <f>SUBTOTAL(103,Pagos[Comentario])</f>
        <v>39</v>
      </c>
    </row>
    <row r="354" spans="1:20" x14ac:dyDescent="0.25">
      <c r="N354" t="s">
        <v>360</v>
      </c>
    </row>
    <row r="355" spans="1:20" ht="16.5" x14ac:dyDescent="0.3">
      <c r="A355" s="57"/>
      <c r="B355" s="73"/>
      <c r="C355" s="57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</row>
    <row r="356" spans="1:20" x14ac:dyDescent="0.25">
      <c r="A356" t="s">
        <v>361</v>
      </c>
      <c r="B356" s="67" t="s">
        <v>362</v>
      </c>
      <c r="R356" s="67"/>
    </row>
    <row r="357" spans="1:20" x14ac:dyDescent="0.25">
      <c r="A357" s="76" t="s">
        <v>363</v>
      </c>
      <c r="B357" s="77">
        <v>0.03</v>
      </c>
      <c r="R357" s="67"/>
    </row>
    <row r="358" spans="1:20" x14ac:dyDescent="0.25">
      <c r="A358" s="76" t="s">
        <v>364</v>
      </c>
      <c r="B358" s="77">
        <v>0.06</v>
      </c>
      <c r="R358" s="67"/>
    </row>
    <row r="359" spans="1:20" x14ac:dyDescent="0.25">
      <c r="A359" s="76" t="s">
        <v>365</v>
      </c>
      <c r="B359" s="77">
        <v>0.03</v>
      </c>
      <c r="R359" s="67"/>
    </row>
    <row r="360" spans="1:20" x14ac:dyDescent="0.25">
      <c r="A360" s="76" t="s">
        <v>366</v>
      </c>
      <c r="B360" s="77">
        <v>0.03</v>
      </c>
      <c r="R360" s="67"/>
    </row>
    <row r="362" spans="1:20" ht="16.5" x14ac:dyDescent="0.3">
      <c r="A362" s="68" t="s">
        <v>367</v>
      </c>
      <c r="B362" s="74" t="s">
        <v>3</v>
      </c>
      <c r="C362" s="68" t="s">
        <v>368</v>
      </c>
      <c r="D362" s="68" t="s">
        <v>2</v>
      </c>
      <c r="E362" s="68" t="s">
        <v>369</v>
      </c>
      <c r="F362" s="68" t="s">
        <v>370</v>
      </c>
      <c r="G362" s="68" t="s">
        <v>371</v>
      </c>
      <c r="H362" s="68" t="s">
        <v>372</v>
      </c>
      <c r="I362" s="68" t="s">
        <v>373</v>
      </c>
      <c r="J362" s="68" t="s">
        <v>374</v>
      </c>
      <c r="K362" s="68" t="s">
        <v>375</v>
      </c>
      <c r="L362" s="68" t="s">
        <v>376</v>
      </c>
      <c r="M362" s="68" t="s">
        <v>377</v>
      </c>
      <c r="N362" s="68" t="s">
        <v>378</v>
      </c>
      <c r="O362" s="68" t="s">
        <v>379</v>
      </c>
      <c r="P362" s="69" t="s">
        <v>380</v>
      </c>
      <c r="Q362" s="69" t="s">
        <v>381</v>
      </c>
      <c r="R362" s="69" t="s">
        <v>382</v>
      </c>
      <c r="S362" s="69" t="s">
        <v>383</v>
      </c>
      <c r="T362" s="69" t="s">
        <v>384</v>
      </c>
    </row>
    <row r="363" spans="1:20" ht="16.5" hidden="1" x14ac:dyDescent="0.3">
      <c r="A363" s="9" t="s">
        <v>315</v>
      </c>
      <c r="B363" s="75">
        <v>46113</v>
      </c>
      <c r="C363" s="9" t="s">
        <v>104</v>
      </c>
      <c r="D363" s="9" t="str">
        <f>IFERROR(VLOOKUP(PagosV2[[#This Row],[Codigo del producto]],Entradas[],3,FALSE),"No existe")</f>
        <v>Cargadores USB para moto</v>
      </c>
      <c r="E363" s="9">
        <v>2</v>
      </c>
      <c r="F363" s="11">
        <v>600</v>
      </c>
      <c r="G363" s="11">
        <f>IFERROR(PagosV2[[#This Row],[Cantidad vendida]]*PagosV2[[#This Row],[Precio de venta]],"-")</f>
        <v>1200</v>
      </c>
      <c r="H363" s="11">
        <f>IFERROR(PagosV2[[#This Row],[Precio de venta]]-VLOOKUP(PagosV2[[#This Row],[Codigo del producto]],Stock[],13,FALSE),"-")</f>
        <v>290.82849999999996</v>
      </c>
      <c r="I363" s="11">
        <f>IFERROR(PagosV2[[#This Row],[Ganancia (UB)]]*$B$357,0)</f>
        <v>8.724854999999998</v>
      </c>
      <c r="J363" s="11">
        <f>IFERROR(PagosV2[[#This Row],[Ganancia (UB)]]*$B$358,0)</f>
        <v>17.449709999999996</v>
      </c>
      <c r="K363" s="11">
        <f>IFERROR(PagosV2[[#This Row],[Ganancia (UB)]]*$B$359,0)</f>
        <v>8.724854999999998</v>
      </c>
      <c r="L363" s="11">
        <f>IFERROR(PagosV2[[#This Row],[Ganancia (UB)]]*$B$360,0)</f>
        <v>8.724854999999998</v>
      </c>
      <c r="M363" s="11">
        <f>IFERROR(PagosV2[[#This Row],[Ganancia (UB)]]-PagosV2[[#This Row],[PM]]-PagosV2[[#This Row],[GC]]-PagosV2[[#This Row],[PC]]-PagosV2[[#This Row],[U]],0)</f>
        <v>247.20422500000001</v>
      </c>
      <c r="N363" s="11">
        <f>IFERROR(
  IF(M363&lt;=0,"-",
    IF(M363&lt;=300, M363*0.45,
      IF(M363&lt;=600, M363*0.4,
        IF(M363&lt;=900, M363*0.38,
          IF(M363&lt;=1000, M363*0.35,
            IF(M363&lt;=1400, M363*0.32,
              IF(M363&lt;=1800, HM363*0.3,
                IF(M363&gt;=2000, M363*0.28,
                  "-"
                )
              )
            )
          )
        )
      )
    )
  ),
  "-"
)</f>
        <v>111.24190125000001</v>
      </c>
      <c r="O363" s="11">
        <f>IFERROR(PagosV2[[#This Row],[Ganancia (UV)]]*PagosV2[[#This Row],[Cantidad vendida]],0)</f>
        <v>222.48380250000002</v>
      </c>
      <c r="P363" s="1">
        <f>IFERROR(PagosV2[[#This Row],[Ganancia (N)]]-PagosV2[[#This Row],[Ganancia (UV)]],0)</f>
        <v>135.96232375</v>
      </c>
      <c r="Q363" s="1">
        <f>IFERROR(PagosV2[[#This Row],[Ganancia individual (Tienda)]]*PagosV2[[#This Row],[Cantidad vendida]],0)</f>
        <v>271.92464749999999</v>
      </c>
      <c r="R363" s="1">
        <f>IFERROR((PagosV2[[#This Row],[Precio de venta]]-PagosV2[[#This Row],[Ganancia (UB)]])*PagosV2[[#This Row],[Cantidad vendida]],0)</f>
        <v>618.34300000000007</v>
      </c>
      <c r="S363" s="21" t="s">
        <v>312</v>
      </c>
      <c r="T363" s="21"/>
    </row>
    <row r="364" spans="1:20" ht="16.5" hidden="1" x14ac:dyDescent="0.3">
      <c r="A364" s="9" t="s">
        <v>313</v>
      </c>
      <c r="B364" s="75">
        <v>46113</v>
      </c>
      <c r="C364" s="9" t="s">
        <v>125</v>
      </c>
      <c r="D364" s="9" t="str">
        <f>IFERROR(VLOOKUP(PagosV2[[#This Row],[Codigo del producto]],Entradas[],3,FALSE),"No existe")</f>
        <v>NYXI Hyperion Pro controller</v>
      </c>
      <c r="E364" s="9">
        <v>1</v>
      </c>
      <c r="F364" s="11">
        <v>2200</v>
      </c>
      <c r="G364" s="11">
        <f>IFERROR(PagosV2[[#This Row],[Cantidad vendida]]*PagosV2[[#This Row],[Precio de venta]],"-")</f>
        <v>2200</v>
      </c>
      <c r="H364" s="11">
        <f>IFERROR(PagosV2[[#This Row],[Precio de venta]]-VLOOKUP(PagosV2[[#This Row],[Codigo del producto]],Stock[],13,FALSE),"-")</f>
        <v>575.65200000000004</v>
      </c>
      <c r="I364" s="11">
        <f>IFERROR(PagosV2[[#This Row],[Ganancia (UB)]]*$B$357,0)</f>
        <v>17.269560000000002</v>
      </c>
      <c r="J364" s="11">
        <f>IFERROR(PagosV2[[#This Row],[Ganancia (UB)]]*$B$358,0)</f>
        <v>34.539120000000004</v>
      </c>
      <c r="K364" s="11">
        <f>IFERROR(PagosV2[[#This Row],[Ganancia (UB)]]*$B$359,0)</f>
        <v>17.269560000000002</v>
      </c>
      <c r="L364" s="11">
        <f>IFERROR(PagosV2[[#This Row],[Ganancia (UB)]]*$B$360,0)</f>
        <v>17.269560000000002</v>
      </c>
      <c r="M364" s="11">
        <f>IFERROR(PagosV2[[#This Row],[Ganancia (UB)]]-PagosV2[[#This Row],[PM]]-PagosV2[[#This Row],[GC]]-PagosV2[[#This Row],[PC]]-PagosV2[[#This Row],[U]],0)</f>
        <v>489.30420000000004</v>
      </c>
      <c r="N364" s="11">
        <f>IFERROR(
  IF(M364&lt;=0,"-",
    IF(M364&lt;=300, M364*0.45,
      IF(M364&lt;=600, M364*0.4,
        IF(M364&lt;=900, M364*0.38,
          IF(M364&lt;=1000, M364*0.35,
            IF(M364&lt;=1400, M364*0.32,
              IF(M364&lt;=1800, HM364*0.3,
                IF(M364&gt;=2000, M364*0.28,
                  "-"
                )
              )
            )
          )
        )
      )
    )
  ),
  "-"
)</f>
        <v>195.72168000000002</v>
      </c>
      <c r="O364" s="11">
        <f>IFERROR(PagosV2[[#This Row],[Ganancia (UV)]]*PagosV2[[#This Row],[Cantidad vendida]],0)</f>
        <v>195.72168000000002</v>
      </c>
      <c r="P364" s="1">
        <f>IFERROR(PagosV2[[#This Row],[Ganancia (N)]]-PagosV2[[#This Row],[Ganancia (UV)]],0)</f>
        <v>293.58252000000005</v>
      </c>
      <c r="Q364" s="1">
        <f>IFERROR(PagosV2[[#This Row],[Ganancia individual (Tienda)]]*PagosV2[[#This Row],[Cantidad vendida]],0)</f>
        <v>293.58252000000005</v>
      </c>
      <c r="R364" s="1">
        <f>IFERROR((PagosV2[[#This Row],[Precio de venta]]-PagosV2[[#This Row],[Ganancia (UB)]])*PagosV2[[#This Row],[Cantidad vendida]],0)</f>
        <v>1624.348</v>
      </c>
      <c r="S364" s="21" t="s">
        <v>312</v>
      </c>
      <c r="T364" s="21"/>
    </row>
    <row r="365" spans="1:20" ht="16.5" hidden="1" x14ac:dyDescent="0.3">
      <c r="A365" s="9" t="s">
        <v>313</v>
      </c>
      <c r="B365" s="75">
        <v>46113</v>
      </c>
      <c r="C365" s="9" t="s">
        <v>107</v>
      </c>
      <c r="D365" s="9" t="str">
        <f>IFERROR(VLOOKUP(PagosV2[[#This Row],[Codigo del producto]],Entradas[],3,FALSE),"No existe")</f>
        <v>Arzopa Monitor 27 Inch 2K</v>
      </c>
      <c r="E365" s="9">
        <v>1</v>
      </c>
      <c r="F365" s="11">
        <v>6590</v>
      </c>
      <c r="G365" s="11">
        <f>IFERROR(PagosV2[[#This Row],[Cantidad vendida]]*PagosV2[[#This Row],[Precio de venta]],"-")</f>
        <v>6590</v>
      </c>
      <c r="H365" s="11">
        <f>IFERROR(PagosV2[[#This Row],[Precio de venta]]-VLOOKUP(PagosV2[[#This Row],[Codigo del producto]],Stock[],13,FALSE),"-")</f>
        <v>701.73850000000039</v>
      </c>
      <c r="I365" s="11">
        <f>IFERROR(PagosV2[[#This Row],[Ganancia (UB)]]*$B$357,0)</f>
        <v>21.05215500000001</v>
      </c>
      <c r="J365" s="11">
        <f>IFERROR(PagosV2[[#This Row],[Ganancia (UB)]]*$B$358,0)</f>
        <v>42.104310000000019</v>
      </c>
      <c r="K365" s="11">
        <f>IFERROR(PagosV2[[#This Row],[Ganancia (UB)]]*$B$359,0)</f>
        <v>21.05215500000001</v>
      </c>
      <c r="L365" s="11">
        <f>IFERROR(PagosV2[[#This Row],[Ganancia (UB)]]*$B$360,0)</f>
        <v>21.05215500000001</v>
      </c>
      <c r="M365" s="11">
        <f>IFERROR(PagosV2[[#This Row],[Ganancia (UB)]]-PagosV2[[#This Row],[PM]]-PagosV2[[#This Row],[GC]]-PagosV2[[#This Row],[PC]]-PagosV2[[#This Row],[U]],0)</f>
        <v>596.47772500000042</v>
      </c>
      <c r="N365" s="11">
        <f t="shared" ref="N365:N382" si="6">IFERROR(
  IF(M365&lt;=0,"-",
    IF(M365&lt;=300, M365*0.45,
      IF(M365&lt;=600, M365*0.4,
        IF(M365&lt;=900, M365*0.38,
          IF(M365&lt;=1000, M365*0.35,
            IF(M365&lt;=1400, M365*0.32,
              IF(M365&lt;=1800, HM365*0.3,
                IF(M365&gt;=2000, M365*0.28,
                  "-"
                )
              )
            )
          )
        )
      )
    )
  ),
  "-"
)</f>
        <v>238.59109000000018</v>
      </c>
      <c r="O365" s="11">
        <f>IFERROR(PagosV2[[#This Row],[Ganancia (UV)]]*PagosV2[[#This Row],[Cantidad vendida]],0)</f>
        <v>238.59109000000018</v>
      </c>
      <c r="P365" s="1">
        <f>IFERROR(PagosV2[[#This Row],[Ganancia (N)]]-PagosV2[[#This Row],[Ganancia (UV)]],0)</f>
        <v>357.88663500000024</v>
      </c>
      <c r="Q365" s="1">
        <f>IFERROR(PagosV2[[#This Row],[Ganancia individual (Tienda)]]*PagosV2[[#This Row],[Cantidad vendida]],0)</f>
        <v>357.88663500000024</v>
      </c>
      <c r="R365" s="1">
        <f>IFERROR((PagosV2[[#This Row],[Precio de venta]]-PagosV2[[#This Row],[Ganancia (UB)]])*PagosV2[[#This Row],[Cantidad vendida]],0)</f>
        <v>5888.2614999999996</v>
      </c>
      <c r="S365" s="21" t="s">
        <v>312</v>
      </c>
      <c r="T365" s="21"/>
    </row>
    <row r="366" spans="1:20" ht="16.5" hidden="1" x14ac:dyDescent="0.3">
      <c r="A366" s="9" t="s">
        <v>313</v>
      </c>
      <c r="B366" s="75">
        <v>46113</v>
      </c>
      <c r="C366" s="9" t="s">
        <v>124</v>
      </c>
      <c r="D366" s="9" t="str">
        <f>IFERROR(VLOOKUP(PagosV2[[#This Row],[Codigo del producto]],Entradas[],3,FALSE),"No existe")</f>
        <v xml:space="preserve">LinYubo Switch controller </v>
      </c>
      <c r="E366" s="9">
        <v>1</v>
      </c>
      <c r="F366" s="11">
        <v>1500</v>
      </c>
      <c r="G366" s="11">
        <f>IFERROR(PagosV2[[#This Row],[Cantidad vendida]]*PagosV2[[#This Row],[Precio de venta]],"-")</f>
        <v>1500</v>
      </c>
      <c r="H366" s="11">
        <f>IFERROR(PagosV2[[#This Row],[Precio de venta]]-VLOOKUP(PagosV2[[#This Row],[Codigo del producto]],Stock[],13,FALSE),"-")</f>
        <v>499.154</v>
      </c>
      <c r="I366" s="11">
        <f>IFERROR(PagosV2[[#This Row],[Ganancia (UB)]]*$B$357,0)</f>
        <v>14.97462</v>
      </c>
      <c r="J366" s="11">
        <f>IFERROR(PagosV2[[#This Row],[Ganancia (UB)]]*$B$358,0)</f>
        <v>29.94924</v>
      </c>
      <c r="K366" s="11">
        <f>IFERROR(PagosV2[[#This Row],[Ganancia (UB)]]*$B$359,0)</f>
        <v>14.97462</v>
      </c>
      <c r="L366" s="11">
        <f>IFERROR(PagosV2[[#This Row],[Ganancia (UB)]]*$B$360,0)</f>
        <v>14.97462</v>
      </c>
      <c r="M366" s="11">
        <f>IFERROR(PagosV2[[#This Row],[Ganancia (UB)]]-PagosV2[[#This Row],[PM]]-PagosV2[[#This Row],[GC]]-PagosV2[[#This Row],[PC]]-PagosV2[[#This Row],[U]],0)</f>
        <v>424.28089999999997</v>
      </c>
      <c r="N366" s="11">
        <f t="shared" si="6"/>
        <v>169.71235999999999</v>
      </c>
      <c r="O366" s="11">
        <f>IFERROR(PagosV2[[#This Row],[Ganancia (UV)]]*PagosV2[[#This Row],[Cantidad vendida]],0)</f>
        <v>169.71235999999999</v>
      </c>
      <c r="P366" s="1">
        <f>IFERROR(PagosV2[[#This Row],[Ganancia (N)]]-PagosV2[[#This Row],[Ganancia (UV)]],0)</f>
        <v>254.56853999999998</v>
      </c>
      <c r="Q366" s="1">
        <f>IFERROR(PagosV2[[#This Row],[Ganancia individual (Tienda)]]*PagosV2[[#This Row],[Cantidad vendida]],0)</f>
        <v>254.56853999999998</v>
      </c>
      <c r="R366" s="1">
        <f>IFERROR((PagosV2[[#This Row],[Precio de venta]]-PagosV2[[#This Row],[Ganancia (UB)]])*PagosV2[[#This Row],[Cantidad vendida]],0)</f>
        <v>1000.846</v>
      </c>
      <c r="S366" s="21" t="s">
        <v>312</v>
      </c>
      <c r="T366" s="21"/>
    </row>
    <row r="367" spans="1:20" s="53" customFormat="1" ht="16.5" hidden="1" x14ac:dyDescent="0.3">
      <c r="A367" s="78" t="s">
        <v>315</v>
      </c>
      <c r="B367" s="79">
        <v>46113</v>
      </c>
      <c r="C367" s="78" t="s">
        <v>116</v>
      </c>
      <c r="D367" s="78" t="str">
        <f>IFERROR(VLOOKUP(PagosV2[[#This Row],[Codigo del producto]],Entradas[],3,FALSE),"No existe")</f>
        <v>Teclado EPOMaker Galaxy 100 Lite blanco</v>
      </c>
      <c r="E367" s="78">
        <v>1</v>
      </c>
      <c r="F367" s="80">
        <v>4000</v>
      </c>
      <c r="G367" s="80">
        <f>IFERROR(PagosV2[[#This Row],[Cantidad vendida]]*PagosV2[[#This Row],[Precio de venta]],"-")</f>
        <v>4000</v>
      </c>
      <c r="H367" s="80">
        <f>IFERROR(PagosV2[[#This Row],[Precio de venta]]-VLOOKUP(PagosV2[[#This Row],[Codigo del producto]],Stock[],13,FALSE),"-")</f>
        <v>660.65299999999979</v>
      </c>
      <c r="I367" s="80">
        <f>IFERROR(PagosV2[[#This Row],[Ganancia (UB)]]*$B$357,0)</f>
        <v>19.819589999999994</v>
      </c>
      <c r="J367" s="80">
        <f>IFERROR(PagosV2[[#This Row],[Ganancia (UB)]]*$B$358,0)</f>
        <v>39.639179999999989</v>
      </c>
      <c r="K367" s="80">
        <f>IFERROR(PagosV2[[#This Row],[Ganancia (UB)]]*$B$359,0)</f>
        <v>19.819589999999994</v>
      </c>
      <c r="L367" s="80">
        <f>IFERROR(PagosV2[[#This Row],[Ganancia (UB)]]*$B$360,0)</f>
        <v>19.819589999999994</v>
      </c>
      <c r="M367" s="80">
        <f>IFERROR(PagosV2[[#This Row],[Ganancia (UB)]]-PagosV2[[#This Row],[PM]]-PagosV2[[#This Row],[GC]]-PagosV2[[#This Row],[PC]]-PagosV2[[#This Row],[U]],0)</f>
        <v>561.55504999999994</v>
      </c>
      <c r="N367" s="80">
        <f t="shared" si="6"/>
        <v>224.62201999999999</v>
      </c>
      <c r="O367" s="80">
        <f>IFERROR(PagosV2[[#This Row],[Ganancia (UV)]]*PagosV2[[#This Row],[Cantidad vendida]],0)</f>
        <v>224.62201999999999</v>
      </c>
      <c r="P367" s="47">
        <f>IFERROR(PagosV2[[#This Row],[Ganancia (N)]]-PagosV2[[#This Row],[Ganancia (UV)]],0)</f>
        <v>336.93302999999992</v>
      </c>
      <c r="Q367" s="47">
        <f>IFERROR(PagosV2[[#This Row],[Ganancia individual (Tienda)]]*PagosV2[[#This Row],[Cantidad vendida]],0)</f>
        <v>336.93302999999992</v>
      </c>
      <c r="R367" s="47">
        <f>IFERROR((PagosV2[[#This Row],[Precio de venta]]-PagosV2[[#This Row],[Ganancia (UB)]])*PagosV2[[#This Row],[Cantidad vendida]],0)</f>
        <v>3339.3470000000002</v>
      </c>
      <c r="S367" s="81" t="s">
        <v>312</v>
      </c>
      <c r="T367" s="81" t="s">
        <v>385</v>
      </c>
    </row>
    <row r="368" spans="1:20" ht="16.5" hidden="1" x14ac:dyDescent="0.3">
      <c r="A368" s="9" t="s">
        <v>315</v>
      </c>
      <c r="B368" s="75">
        <v>46113</v>
      </c>
      <c r="C368" s="9" t="s">
        <v>138</v>
      </c>
      <c r="D368" s="9" t="str">
        <f>IFERROR(VLOOKUP(PagosV2[[#This Row],[Codigo del producto]],Entradas[],3,FALSE),"No existe")</f>
        <v>Afan Supremacy</v>
      </c>
      <c r="E368" s="9">
        <v>1</v>
      </c>
      <c r="F368" s="11">
        <v>900</v>
      </c>
      <c r="G368" s="11">
        <f>IFERROR(PagosV2[[#This Row],[Cantidad vendida]]*PagosV2[[#This Row],[Precio de venta]],"-")</f>
        <v>900</v>
      </c>
      <c r="H368" s="11">
        <f>IFERROR(PagosV2[[#This Row],[Precio de venta]]-VLOOKUP(PagosV2[[#This Row],[Codigo del producto]],Stock[],13,FALSE),"-")</f>
        <v>277.23500000000001</v>
      </c>
      <c r="I368" s="11">
        <f>IFERROR(PagosV2[[#This Row],[Ganancia (UB)]]*$B$357,0)</f>
        <v>8.3170500000000001</v>
      </c>
      <c r="J368" s="11">
        <f>IFERROR(PagosV2[[#This Row],[Ganancia (UB)]]*$B$358,0)</f>
        <v>16.6341</v>
      </c>
      <c r="K368" s="11">
        <f>IFERROR(PagosV2[[#This Row],[Ganancia (UB)]]*$B$359,0)</f>
        <v>8.3170500000000001</v>
      </c>
      <c r="L368" s="11">
        <f>IFERROR(PagosV2[[#This Row],[Ganancia (UB)]]*$B$360,0)</f>
        <v>8.3170500000000001</v>
      </c>
      <c r="M368" s="11">
        <f>IFERROR(PagosV2[[#This Row],[Ganancia (UB)]]-PagosV2[[#This Row],[PM]]-PagosV2[[#This Row],[GC]]-PagosV2[[#This Row],[PC]]-PagosV2[[#This Row],[U]],0)</f>
        <v>235.64975000000004</v>
      </c>
      <c r="N368" s="11">
        <f t="shared" si="6"/>
        <v>106.04238750000002</v>
      </c>
      <c r="O368" s="11">
        <f>IFERROR(PagosV2[[#This Row],[Ganancia (UV)]]*PagosV2[[#This Row],[Cantidad vendida]],0)</f>
        <v>106.04238750000002</v>
      </c>
      <c r="P368" s="1">
        <f>IFERROR(PagosV2[[#This Row],[Ganancia (N)]]-PagosV2[[#This Row],[Ganancia (UV)]],0)</f>
        <v>129.60736250000002</v>
      </c>
      <c r="Q368" s="1">
        <f>IFERROR(PagosV2[[#This Row],[Ganancia individual (Tienda)]]*PagosV2[[#This Row],[Cantidad vendida]],0)</f>
        <v>129.60736250000002</v>
      </c>
      <c r="R368" s="1">
        <f>IFERROR((PagosV2[[#This Row],[Precio de venta]]-PagosV2[[#This Row],[Ganancia (UB)]])*PagosV2[[#This Row],[Cantidad vendida]],0)</f>
        <v>622.76499999999999</v>
      </c>
      <c r="S368" s="21" t="s">
        <v>312</v>
      </c>
      <c r="T368" s="21"/>
    </row>
    <row r="369" spans="1:20" s="53" customFormat="1" ht="16.5" hidden="1" x14ac:dyDescent="0.3">
      <c r="A369" s="78" t="s">
        <v>315</v>
      </c>
      <c r="B369" s="79">
        <v>46114</v>
      </c>
      <c r="C369" s="78" t="s">
        <v>93</v>
      </c>
      <c r="D369" s="78" t="str">
        <f>IFERROR(VLOOKUP(PagosV2[[#This Row],[Codigo del producto]],Entradas[],3,FALSE),"No existe")</f>
        <v>Anker Nano 10,000 mA 30W</v>
      </c>
      <c r="E369" s="78">
        <v>1</v>
      </c>
      <c r="F369" s="80">
        <v>1800</v>
      </c>
      <c r="G369" s="80">
        <f>IFERROR(PagosV2[[#This Row],[Cantidad vendida]]*PagosV2[[#This Row],[Precio de venta]],"-")</f>
        <v>1800</v>
      </c>
      <c r="H369" s="80">
        <f>IFERROR(PagosV2[[#This Row],[Precio de venta]]-VLOOKUP(PagosV2[[#This Row],[Codigo del producto]],Stock[],13,FALSE),"-")</f>
        <v>174.17800000000011</v>
      </c>
      <c r="I369" s="80">
        <f>IFERROR(PagosV2[[#This Row],[Ganancia (UB)]]*$B$357,0)</f>
        <v>5.2253400000000028</v>
      </c>
      <c r="J369" s="80">
        <f>IFERROR(PagosV2[[#This Row],[Ganancia (UB)]]*$B$358,0)</f>
        <v>10.450680000000006</v>
      </c>
      <c r="K369" s="80">
        <f>IFERROR(PagosV2[[#This Row],[Ganancia (UB)]]*$B$359,0)</f>
        <v>5.2253400000000028</v>
      </c>
      <c r="L369" s="80">
        <f>IFERROR(PagosV2[[#This Row],[Ganancia (UB)]]*$B$360,0)</f>
        <v>5.2253400000000028</v>
      </c>
      <c r="M369" s="80">
        <f>IFERROR(PagosV2[[#This Row],[Ganancia (UB)]]-PagosV2[[#This Row],[PM]]-PagosV2[[#This Row],[GC]]-PagosV2[[#This Row],[PC]]-PagosV2[[#This Row],[U]],0)</f>
        <v>148.05130000000008</v>
      </c>
      <c r="N369" s="80">
        <f t="shared" si="6"/>
        <v>66.623085000000046</v>
      </c>
      <c r="O369" s="80">
        <f>IFERROR(PagosV2[[#This Row],[Ganancia (UV)]]*PagosV2[[#This Row],[Cantidad vendida]],0)</f>
        <v>66.623085000000046</v>
      </c>
      <c r="P369" s="47">
        <f>IFERROR(PagosV2[[#This Row],[Ganancia (N)]]-PagosV2[[#This Row],[Ganancia (UV)]],0)</f>
        <v>81.428215000000037</v>
      </c>
      <c r="Q369" s="47">
        <f>IFERROR(PagosV2[[#This Row],[Ganancia individual (Tienda)]]*PagosV2[[#This Row],[Cantidad vendida]],0)</f>
        <v>81.428215000000037</v>
      </c>
      <c r="R369" s="47">
        <f>IFERROR((PagosV2[[#This Row],[Precio de venta]]-PagosV2[[#This Row],[Ganancia (UB)]])*PagosV2[[#This Row],[Cantidad vendida]],0)</f>
        <v>1625.8219999999999</v>
      </c>
      <c r="S369" s="81" t="s">
        <v>312</v>
      </c>
      <c r="T369" s="81" t="s">
        <v>386</v>
      </c>
    </row>
    <row r="370" spans="1:20" ht="16.5" hidden="1" x14ac:dyDescent="0.3">
      <c r="A370" s="9" t="s">
        <v>313</v>
      </c>
      <c r="B370" s="75">
        <v>46114</v>
      </c>
      <c r="C370" s="9" t="s">
        <v>101</v>
      </c>
      <c r="D370" s="9" t="str">
        <f>IFERROR(VLOOKUP(PagosV2[[#This Row],[Codigo del producto]],Entradas[],3,FALSE),"No existe")</f>
        <v xml:space="preserve">Shark Attack Mouse X11 Black </v>
      </c>
      <c r="E370" s="9">
        <v>1</v>
      </c>
      <c r="F370" s="11">
        <v>1200</v>
      </c>
      <c r="G370" s="11">
        <f>IFERROR(PagosV2[[#This Row],[Cantidad vendida]]*PagosV2[[#This Row],[Precio de venta]],"-")</f>
        <v>1200</v>
      </c>
      <c r="H370" s="11">
        <f>IFERROR(PagosV2[[#This Row],[Precio de venta]]-VLOOKUP(PagosV2[[#This Row],[Codigo del producto]],Stock[],13,FALSE),"-")</f>
        <v>377.50799999999992</v>
      </c>
      <c r="I370" s="11">
        <f>IFERROR(PagosV2[[#This Row],[Ganancia (UB)]]*$B$357,0)</f>
        <v>11.325239999999997</v>
      </c>
      <c r="J370" s="11">
        <f>IFERROR(PagosV2[[#This Row],[Ganancia (UB)]]*$B$358,0)</f>
        <v>22.650479999999995</v>
      </c>
      <c r="K370" s="11">
        <f>IFERROR(PagosV2[[#This Row],[Ganancia (UB)]]*$B$359,0)</f>
        <v>11.325239999999997</v>
      </c>
      <c r="L370" s="11">
        <f>IFERROR(PagosV2[[#This Row],[Ganancia (UB)]]*$B$360,0)</f>
        <v>11.325239999999997</v>
      </c>
      <c r="M370" s="11">
        <f>IFERROR(PagosV2[[#This Row],[Ganancia (UB)]]-PagosV2[[#This Row],[PM]]-PagosV2[[#This Row],[GC]]-PagosV2[[#This Row],[PC]]-PagosV2[[#This Row],[U]],0)</f>
        <v>320.88179999999988</v>
      </c>
      <c r="N370" s="11">
        <f t="shared" si="6"/>
        <v>128.35271999999995</v>
      </c>
      <c r="O370" s="11">
        <f>IFERROR(PagosV2[[#This Row],[Ganancia (UV)]]*PagosV2[[#This Row],[Cantidad vendida]],0)</f>
        <v>128.35271999999995</v>
      </c>
      <c r="P370" s="1">
        <f>IFERROR(PagosV2[[#This Row],[Ganancia (N)]]-PagosV2[[#This Row],[Ganancia (UV)]],0)</f>
        <v>192.52907999999994</v>
      </c>
      <c r="Q370" s="1">
        <f>IFERROR(PagosV2[[#This Row],[Ganancia individual (Tienda)]]*PagosV2[[#This Row],[Cantidad vendida]],0)</f>
        <v>192.52907999999994</v>
      </c>
      <c r="R370" s="1">
        <f>IFERROR((PagosV2[[#This Row],[Precio de venta]]-PagosV2[[#This Row],[Ganancia (UB)]])*PagosV2[[#This Row],[Cantidad vendida]],0)</f>
        <v>822.49200000000008</v>
      </c>
      <c r="S370" s="21" t="s">
        <v>312</v>
      </c>
      <c r="T370" s="21"/>
    </row>
    <row r="371" spans="1:20" ht="16.5" hidden="1" x14ac:dyDescent="0.3">
      <c r="A371" s="9" t="s">
        <v>313</v>
      </c>
      <c r="B371" s="75">
        <v>46114</v>
      </c>
      <c r="C371" s="9" t="s">
        <v>120</v>
      </c>
      <c r="D371" s="9" t="str">
        <f>IFERROR(VLOOKUP(PagosV2[[#This Row],[Codigo del producto]],Entradas[],3,FALSE),"No existe")</f>
        <v>Nubwo G06</v>
      </c>
      <c r="E371" s="9">
        <v>1</v>
      </c>
      <c r="F371" s="11">
        <v>1500</v>
      </c>
      <c r="G371" s="11">
        <f>IFERROR(PagosV2[[#This Row],[Cantidad vendida]]*PagosV2[[#This Row],[Precio de venta]],"-")</f>
        <v>1500</v>
      </c>
      <c r="H371" s="11">
        <f>IFERROR(PagosV2[[#This Row],[Precio de venta]]-VLOOKUP(PagosV2[[#This Row],[Codigo del producto]],Stock[],13,FALSE),"-")</f>
        <v>554.42899999999997</v>
      </c>
      <c r="I371" s="11">
        <f>IFERROR(PagosV2[[#This Row],[Ganancia (UB)]]*$B$357,0)</f>
        <v>16.632869999999997</v>
      </c>
      <c r="J371" s="11">
        <f>IFERROR(PagosV2[[#This Row],[Ganancia (UB)]]*$B$358,0)</f>
        <v>33.265739999999994</v>
      </c>
      <c r="K371" s="11">
        <f>IFERROR(PagosV2[[#This Row],[Ganancia (UB)]]*$B$359,0)</f>
        <v>16.632869999999997</v>
      </c>
      <c r="L371" s="11">
        <f>IFERROR(PagosV2[[#This Row],[Ganancia (UB)]]*$B$360,0)</f>
        <v>16.632869999999997</v>
      </c>
      <c r="M371" s="11">
        <f>IFERROR(PagosV2[[#This Row],[Ganancia (UB)]]-PagosV2[[#This Row],[PM]]-PagosV2[[#This Row],[GC]]-PagosV2[[#This Row],[PC]]-PagosV2[[#This Row],[U]],0)</f>
        <v>471.26464999999996</v>
      </c>
      <c r="N371" s="11">
        <f t="shared" si="6"/>
        <v>188.50585999999998</v>
      </c>
      <c r="O371" s="11">
        <f>IFERROR(PagosV2[[#This Row],[Ganancia (UV)]]*PagosV2[[#This Row],[Cantidad vendida]],0)</f>
        <v>188.50585999999998</v>
      </c>
      <c r="P371" s="1">
        <f>IFERROR(PagosV2[[#This Row],[Ganancia (N)]]-PagosV2[[#This Row],[Ganancia (UV)]],0)</f>
        <v>282.75878999999998</v>
      </c>
      <c r="Q371" s="1">
        <f>IFERROR(PagosV2[[#This Row],[Ganancia individual (Tienda)]]*PagosV2[[#This Row],[Cantidad vendida]],0)</f>
        <v>282.75878999999998</v>
      </c>
      <c r="R371" s="1">
        <f>IFERROR((PagosV2[[#This Row],[Precio de venta]]-PagosV2[[#This Row],[Ganancia (UB)]])*PagosV2[[#This Row],[Cantidad vendida]],0)</f>
        <v>945.57100000000003</v>
      </c>
      <c r="S371" s="21" t="s">
        <v>312</v>
      </c>
      <c r="T371" s="21"/>
    </row>
    <row r="372" spans="1:20" ht="16.5" hidden="1" x14ac:dyDescent="0.3">
      <c r="A372" s="9" t="s">
        <v>313</v>
      </c>
      <c r="B372" s="75">
        <v>46114</v>
      </c>
      <c r="C372" s="9" t="s">
        <v>125</v>
      </c>
      <c r="D372" s="9" t="str">
        <f>IFERROR(VLOOKUP(PagosV2[[#This Row],[Codigo del producto]],Entradas[],3,FALSE),"No existe")</f>
        <v>NYXI Hyperion Pro controller</v>
      </c>
      <c r="E372" s="9">
        <v>1</v>
      </c>
      <c r="F372" s="11">
        <v>2200</v>
      </c>
      <c r="G372" s="11">
        <f>IFERROR(PagosV2[[#This Row],[Cantidad vendida]]*PagosV2[[#This Row],[Precio de venta]],"-")</f>
        <v>2200</v>
      </c>
      <c r="H372" s="11">
        <f>IFERROR(PagosV2[[#This Row],[Precio de venta]]-VLOOKUP(PagosV2[[#This Row],[Codigo del producto]],Stock[],13,FALSE),"-")</f>
        <v>575.65200000000004</v>
      </c>
      <c r="I372" s="11">
        <f>IFERROR(PagosV2[[#This Row],[Ganancia (UB)]]*$B$357,0)</f>
        <v>17.269560000000002</v>
      </c>
      <c r="J372" s="11">
        <f>IFERROR(PagosV2[[#This Row],[Ganancia (UB)]]*$B$358,0)</f>
        <v>34.539120000000004</v>
      </c>
      <c r="K372" s="11">
        <f>IFERROR(PagosV2[[#This Row],[Ganancia (UB)]]*$B$359,0)</f>
        <v>17.269560000000002</v>
      </c>
      <c r="L372" s="11">
        <f>IFERROR(PagosV2[[#This Row],[Ganancia (UB)]]*$B$360,0)</f>
        <v>17.269560000000002</v>
      </c>
      <c r="M372" s="11">
        <f>IFERROR(PagosV2[[#This Row],[Ganancia (UB)]]-PagosV2[[#This Row],[PM]]-PagosV2[[#This Row],[GC]]-PagosV2[[#This Row],[PC]]-PagosV2[[#This Row],[U]],0)</f>
        <v>489.30420000000004</v>
      </c>
      <c r="N372" s="11">
        <f t="shared" si="6"/>
        <v>195.72168000000002</v>
      </c>
      <c r="O372" s="11">
        <f>IFERROR(PagosV2[[#This Row],[Ganancia (UV)]]*PagosV2[[#This Row],[Cantidad vendida]],0)</f>
        <v>195.72168000000002</v>
      </c>
      <c r="P372" s="1">
        <f>IFERROR(PagosV2[[#This Row],[Ganancia (N)]]-PagosV2[[#This Row],[Ganancia (UV)]],0)</f>
        <v>293.58252000000005</v>
      </c>
      <c r="Q372" s="1">
        <f>IFERROR(PagosV2[[#This Row],[Ganancia individual (Tienda)]]*PagosV2[[#This Row],[Cantidad vendida]],0)</f>
        <v>293.58252000000005</v>
      </c>
      <c r="R372" s="1">
        <f>IFERROR((PagosV2[[#This Row],[Precio de venta]]-PagosV2[[#This Row],[Ganancia (UB)]])*PagosV2[[#This Row],[Cantidad vendida]],0)</f>
        <v>1624.348</v>
      </c>
      <c r="S372" s="21" t="s">
        <v>312</v>
      </c>
      <c r="T372" s="21"/>
    </row>
    <row r="373" spans="1:20" ht="16.5" hidden="1" x14ac:dyDescent="0.3">
      <c r="A373" s="9" t="s">
        <v>315</v>
      </c>
      <c r="B373" s="75">
        <v>46115</v>
      </c>
      <c r="C373" s="9" t="s">
        <v>74</v>
      </c>
      <c r="D373" s="9" t="str">
        <f>IFERROR(VLOOKUP(PagosV2[[#This Row],[Codigo del producto]],Entradas[],3,FALSE),"No existe")</f>
        <v>Pro Controller Switch</v>
      </c>
      <c r="E373" s="9">
        <v>1</v>
      </c>
      <c r="F373" s="11">
        <v>1000</v>
      </c>
      <c r="G373" s="11">
        <f>IFERROR(PagosV2[[#This Row],[Cantidad vendida]]*PagosV2[[#This Row],[Precio de venta]],"-")</f>
        <v>1000</v>
      </c>
      <c r="H373" s="11">
        <f>IFERROR(PagosV2[[#This Row],[Precio de venta]]-VLOOKUP(PagosV2[[#This Row],[Codigo del producto]],Stock[],13,FALSE),"-")</f>
        <v>355.125</v>
      </c>
      <c r="I373" s="11">
        <f>IFERROR(PagosV2[[#This Row],[Ganancia (UB)]]*$B$357,0)</f>
        <v>10.653749999999999</v>
      </c>
      <c r="J373" s="11">
        <f>IFERROR(PagosV2[[#This Row],[Ganancia (UB)]]*$B$358,0)</f>
        <v>21.307499999999997</v>
      </c>
      <c r="K373" s="11">
        <f>IFERROR(PagosV2[[#This Row],[Ganancia (UB)]]*$B$359,0)</f>
        <v>10.653749999999999</v>
      </c>
      <c r="L373" s="11">
        <f>IFERROR(PagosV2[[#This Row],[Ganancia (UB)]]*$B$360,0)</f>
        <v>10.653749999999999</v>
      </c>
      <c r="M373" s="11">
        <f>IFERROR(PagosV2[[#This Row],[Ganancia (UB)]]-PagosV2[[#This Row],[PM]]-PagosV2[[#This Row],[GC]]-PagosV2[[#This Row],[PC]]-PagosV2[[#This Row],[U]],0)</f>
        <v>301.85624999999999</v>
      </c>
      <c r="N373" s="11">
        <f t="shared" si="6"/>
        <v>120.74250000000001</v>
      </c>
      <c r="O373" s="11">
        <f>IFERROR(PagosV2[[#This Row],[Ganancia (UV)]]*PagosV2[[#This Row],[Cantidad vendida]],0)</f>
        <v>120.74250000000001</v>
      </c>
      <c r="P373" s="1">
        <f>IFERROR(PagosV2[[#This Row],[Ganancia (N)]]-PagosV2[[#This Row],[Ganancia (UV)]],0)</f>
        <v>181.11374999999998</v>
      </c>
      <c r="Q373" s="1">
        <f>IFERROR(PagosV2[[#This Row],[Ganancia individual (Tienda)]]*PagosV2[[#This Row],[Cantidad vendida]],0)</f>
        <v>181.11374999999998</v>
      </c>
      <c r="R373" s="1">
        <f>IFERROR((PagosV2[[#This Row],[Precio de venta]]-PagosV2[[#This Row],[Ganancia (UB)]])*PagosV2[[#This Row],[Cantidad vendida]],0)</f>
        <v>644.875</v>
      </c>
      <c r="S373" s="21" t="s">
        <v>312</v>
      </c>
      <c r="T373" s="21"/>
    </row>
    <row r="374" spans="1:20" ht="16.5" hidden="1" x14ac:dyDescent="0.3">
      <c r="A374" s="9" t="s">
        <v>311</v>
      </c>
      <c r="B374" s="75">
        <v>46115</v>
      </c>
      <c r="C374" s="9" t="s">
        <v>100</v>
      </c>
      <c r="D374" s="9" t="str">
        <f>IFERROR(VLOOKUP(PagosV2[[#This Row],[Codigo del producto]],Entradas[],3,FALSE),"No existe")</f>
        <v>NYXI Pro controller (Orange)</v>
      </c>
      <c r="E374" s="9">
        <v>1</v>
      </c>
      <c r="F374" s="11">
        <v>1950</v>
      </c>
      <c r="G374" s="11">
        <f>IFERROR(PagosV2[[#This Row],[Cantidad vendida]]*PagosV2[[#This Row],[Precio de venta]],"-")</f>
        <v>1950</v>
      </c>
      <c r="H374" s="11">
        <f>IFERROR(PagosV2[[#This Row],[Precio de venta]]-VLOOKUP(PagosV2[[#This Row],[Codigo del producto]],Stock[],13,FALSE),"-")</f>
        <v>353.6579999999999</v>
      </c>
      <c r="I374" s="11">
        <f>IFERROR(PagosV2[[#This Row],[Ganancia (UB)]]*$B$357,0)</f>
        <v>10.609739999999997</v>
      </c>
      <c r="J374" s="11">
        <f>IFERROR(PagosV2[[#This Row],[Ganancia (UB)]]*$B$358,0)</f>
        <v>21.219479999999994</v>
      </c>
      <c r="K374" s="11">
        <f>IFERROR(PagosV2[[#This Row],[Ganancia (UB)]]*$B$359,0)</f>
        <v>10.609739999999997</v>
      </c>
      <c r="L374" s="11">
        <f>IFERROR(PagosV2[[#This Row],[Ganancia (UB)]]*$B$360,0)</f>
        <v>10.609739999999997</v>
      </c>
      <c r="M374" s="11">
        <f>IFERROR(PagosV2[[#This Row],[Ganancia (UB)]]-PagosV2[[#This Row],[PM]]-PagosV2[[#This Row],[GC]]-PagosV2[[#This Row],[PC]]-PagosV2[[#This Row],[U]],0)</f>
        <v>300.60929999999996</v>
      </c>
      <c r="N374" s="11">
        <f t="shared" si="6"/>
        <v>120.24372</v>
      </c>
      <c r="O374" s="11">
        <f>IFERROR(PagosV2[[#This Row],[Ganancia (UV)]]*PagosV2[[#This Row],[Cantidad vendida]],0)</f>
        <v>120.24372</v>
      </c>
      <c r="P374" s="1">
        <f>IFERROR(PagosV2[[#This Row],[Ganancia (N)]]-PagosV2[[#This Row],[Ganancia (UV)]],0)</f>
        <v>180.36557999999997</v>
      </c>
      <c r="Q374" s="1">
        <f>IFERROR(PagosV2[[#This Row],[Ganancia individual (Tienda)]]*PagosV2[[#This Row],[Cantidad vendida]],0)</f>
        <v>180.36557999999997</v>
      </c>
      <c r="R374" s="1">
        <f>IFERROR((PagosV2[[#This Row],[Precio de venta]]-PagosV2[[#This Row],[Ganancia (UB)]])*PagosV2[[#This Row],[Cantidad vendida]],0)</f>
        <v>1596.3420000000001</v>
      </c>
      <c r="S374" s="21" t="s">
        <v>312</v>
      </c>
      <c r="T374" s="21"/>
    </row>
    <row r="375" spans="1:20" ht="16.5" hidden="1" x14ac:dyDescent="0.3">
      <c r="A375" s="9" t="s">
        <v>327</v>
      </c>
      <c r="B375" s="75">
        <v>46115</v>
      </c>
      <c r="C375" s="9" t="s">
        <v>106</v>
      </c>
      <c r="D375" s="9" t="str">
        <f>IFERROR(VLOOKUP(PagosV2[[#This Row],[Codigo del producto]],Entradas[],3,FALSE),"No existe")</f>
        <v>Shark Attack Mouse X11 white</v>
      </c>
      <c r="E375" s="9">
        <v>1</v>
      </c>
      <c r="F375" s="11">
        <v>1300</v>
      </c>
      <c r="G375" s="11">
        <f>IFERROR(PagosV2[[#This Row],[Cantidad vendida]]*PagosV2[[#This Row],[Precio de venta]],"-")</f>
        <v>1300</v>
      </c>
      <c r="H375" s="11">
        <f>IFERROR(PagosV2[[#This Row],[Precio de venta]]-VLOOKUP(PagosV2[[#This Row],[Codigo del producto]],Stock[],13,FALSE),"-")</f>
        <v>477.50799999999992</v>
      </c>
      <c r="I375" s="11">
        <f>IFERROR(PagosV2[[#This Row],[Ganancia (UB)]]*$B$357,0)</f>
        <v>14.325239999999997</v>
      </c>
      <c r="J375" s="11">
        <f>IFERROR(PagosV2[[#This Row],[Ganancia (UB)]]*$B$358,0)</f>
        <v>28.650479999999995</v>
      </c>
      <c r="K375" s="11">
        <f>IFERROR(PagosV2[[#This Row],[Ganancia (UB)]]*$B$359,0)</f>
        <v>14.325239999999997</v>
      </c>
      <c r="L375" s="11">
        <f>IFERROR(PagosV2[[#This Row],[Ganancia (UB)]]*$B$360,0)</f>
        <v>14.325239999999997</v>
      </c>
      <c r="M375" s="11">
        <f>IFERROR(PagosV2[[#This Row],[Ganancia (UB)]]-PagosV2[[#This Row],[PM]]-PagosV2[[#This Row],[GC]]-PagosV2[[#This Row],[PC]]-PagosV2[[#This Row],[U]],0)</f>
        <v>405.88179999999988</v>
      </c>
      <c r="N375" s="11">
        <f t="shared" si="6"/>
        <v>162.35271999999998</v>
      </c>
      <c r="O375" s="11">
        <f>IFERROR(PagosV2[[#This Row],[Ganancia (UV)]]*PagosV2[[#This Row],[Cantidad vendida]],0)</f>
        <v>162.35271999999998</v>
      </c>
      <c r="P375" s="1">
        <f>IFERROR(PagosV2[[#This Row],[Ganancia (N)]]-PagosV2[[#This Row],[Ganancia (UV)]],0)</f>
        <v>243.52907999999991</v>
      </c>
      <c r="Q375" s="1">
        <f>IFERROR(PagosV2[[#This Row],[Ganancia individual (Tienda)]]*PagosV2[[#This Row],[Cantidad vendida]],0)</f>
        <v>243.52907999999991</v>
      </c>
      <c r="R375" s="1">
        <f>IFERROR((PagosV2[[#This Row],[Precio de venta]]-PagosV2[[#This Row],[Ganancia (UB)]])*PagosV2[[#This Row],[Cantidad vendida]],0)</f>
        <v>822.49200000000008</v>
      </c>
      <c r="S375" s="21" t="s">
        <v>312</v>
      </c>
      <c r="T375" s="21"/>
    </row>
    <row r="376" spans="1:20" ht="16.5" hidden="1" x14ac:dyDescent="0.3">
      <c r="A376" s="9" t="s">
        <v>315</v>
      </c>
      <c r="B376" s="75">
        <v>46115</v>
      </c>
      <c r="C376" s="9" t="s">
        <v>119</v>
      </c>
      <c r="D376" s="9" t="str">
        <f>IFERROR(VLOOKUP(PagosV2[[#This Row],[Codigo del producto]],Entradas[],3,FALSE),"No existe")</f>
        <v xml:space="preserve">Versache eros flame </v>
      </c>
      <c r="E376" s="9">
        <v>1</v>
      </c>
      <c r="F376" s="11">
        <v>1832</v>
      </c>
      <c r="G376" s="11">
        <f>IFERROR(PagosV2[[#This Row],[Cantidad vendida]]*PagosV2[[#This Row],[Precio de venta]],"-")</f>
        <v>1832</v>
      </c>
      <c r="H376" s="11">
        <f>IFERROR(PagosV2[[#This Row],[Precio de venta]]-VLOOKUP(PagosV2[[#This Row],[Codigo del producto]],Stock[],13,FALSE),"-")</f>
        <v>182.59400000000005</v>
      </c>
      <c r="I376" s="11">
        <f>IFERROR(PagosV2[[#This Row],[Ganancia (UB)]]*$B$357,0)</f>
        <v>5.4778200000000012</v>
      </c>
      <c r="J376" s="11">
        <f>IFERROR(PagosV2[[#This Row],[Ganancia (UB)]]*$B$358,0)</f>
        <v>10.955640000000002</v>
      </c>
      <c r="K376" s="11">
        <f>IFERROR(PagosV2[[#This Row],[Ganancia (UB)]]*$B$359,0)</f>
        <v>5.4778200000000012</v>
      </c>
      <c r="L376" s="11">
        <f>IFERROR(PagosV2[[#This Row],[Ganancia (UB)]]*$B$360,0)</f>
        <v>5.4778200000000012</v>
      </c>
      <c r="M376" s="11">
        <f>IFERROR(PagosV2[[#This Row],[Ganancia (UB)]]-PagosV2[[#This Row],[PM]]-PagosV2[[#This Row],[GC]]-PagosV2[[#This Row],[PC]]-PagosV2[[#This Row],[U]],0)</f>
        <v>155.20490000000001</v>
      </c>
      <c r="N376" s="11">
        <f t="shared" si="6"/>
        <v>69.842205000000007</v>
      </c>
      <c r="O376" s="11">
        <f>IFERROR(PagosV2[[#This Row],[Ganancia (UV)]]*PagosV2[[#This Row],[Cantidad vendida]],0)</f>
        <v>69.842205000000007</v>
      </c>
      <c r="P376" s="1">
        <f>IFERROR(PagosV2[[#This Row],[Ganancia (N)]]-PagosV2[[#This Row],[Ganancia (UV)]],0)</f>
        <v>85.362695000000002</v>
      </c>
      <c r="Q376" s="1">
        <f>IFERROR(PagosV2[[#This Row],[Ganancia individual (Tienda)]]*PagosV2[[#This Row],[Cantidad vendida]],0)</f>
        <v>85.362695000000002</v>
      </c>
      <c r="R376" s="1">
        <f>IFERROR((PagosV2[[#This Row],[Precio de venta]]-PagosV2[[#This Row],[Ganancia (UB)]])*PagosV2[[#This Row],[Cantidad vendida]],0)</f>
        <v>1649.4059999999999</v>
      </c>
      <c r="S376" s="21" t="s">
        <v>312</v>
      </c>
      <c r="T376" s="21"/>
    </row>
    <row r="377" spans="1:20" ht="16.5" hidden="1" x14ac:dyDescent="0.3">
      <c r="A377" s="9" t="s">
        <v>313</v>
      </c>
      <c r="B377" s="75">
        <v>46118</v>
      </c>
      <c r="C377" s="9" t="s">
        <v>106</v>
      </c>
      <c r="D377" s="9" t="str">
        <f>IFERROR(VLOOKUP(PagosV2[[#This Row],[Codigo del producto]],Entradas[],3,FALSE),"No existe")</f>
        <v>Shark Attack Mouse X11 white</v>
      </c>
      <c r="E377" s="9">
        <v>1</v>
      </c>
      <c r="F377" s="11">
        <v>1300</v>
      </c>
      <c r="G377" s="11">
        <f>IFERROR(PagosV2[[#This Row],[Cantidad vendida]]*PagosV2[[#This Row],[Precio de venta]],"-")</f>
        <v>1300</v>
      </c>
      <c r="H377" s="11">
        <f>IFERROR(PagosV2[[#This Row],[Precio de venta]]-VLOOKUP(PagosV2[[#This Row],[Codigo del producto]],Stock[],13,FALSE),"-")</f>
        <v>477.50799999999992</v>
      </c>
      <c r="I377" s="11">
        <f>IFERROR(PagosV2[[#This Row],[Ganancia (UB)]]*$B$357,0)</f>
        <v>14.325239999999997</v>
      </c>
      <c r="J377" s="11">
        <f>IFERROR(PagosV2[[#This Row],[Ganancia (UB)]]*$B$358,0)</f>
        <v>28.650479999999995</v>
      </c>
      <c r="K377" s="11">
        <f>IFERROR(PagosV2[[#This Row],[Ganancia (UB)]]*$B$359,0)</f>
        <v>14.325239999999997</v>
      </c>
      <c r="L377" s="11">
        <f>IFERROR(PagosV2[[#This Row],[Ganancia (UB)]]*$B$360,0)</f>
        <v>14.325239999999997</v>
      </c>
      <c r="M377" s="11">
        <f>IFERROR(PagosV2[[#This Row],[Ganancia (UB)]]-PagosV2[[#This Row],[PM]]-PagosV2[[#This Row],[GC]]-PagosV2[[#This Row],[PC]]-PagosV2[[#This Row],[U]],0)</f>
        <v>405.88179999999988</v>
      </c>
      <c r="N377" s="11">
        <f t="shared" si="6"/>
        <v>162.35271999999998</v>
      </c>
      <c r="O377" s="11">
        <f>IFERROR(PagosV2[[#This Row],[Ganancia (UV)]]*PagosV2[[#This Row],[Cantidad vendida]],0)</f>
        <v>162.35271999999998</v>
      </c>
      <c r="P377" s="1">
        <f>IFERROR(PagosV2[[#This Row],[Ganancia (N)]]-PagosV2[[#This Row],[Ganancia (UV)]],0)</f>
        <v>243.52907999999991</v>
      </c>
      <c r="Q377" s="1">
        <f>IFERROR(PagosV2[[#This Row],[Ganancia individual (Tienda)]]*PagosV2[[#This Row],[Cantidad vendida]],0)</f>
        <v>243.52907999999991</v>
      </c>
      <c r="R377" s="1">
        <f>IFERROR((PagosV2[[#This Row],[Precio de venta]]-PagosV2[[#This Row],[Ganancia (UB)]])*PagosV2[[#This Row],[Cantidad vendida]],0)</f>
        <v>822.49200000000008</v>
      </c>
      <c r="S377" s="21" t="s">
        <v>312</v>
      </c>
      <c r="T377" s="21"/>
    </row>
    <row r="378" spans="1:20" ht="16.5" hidden="1" x14ac:dyDescent="0.3">
      <c r="A378" s="9" t="s">
        <v>313</v>
      </c>
      <c r="B378" s="75">
        <v>46118</v>
      </c>
      <c r="C378" s="9" t="s">
        <v>51</v>
      </c>
      <c r="D378" s="9" t="str">
        <f>IFERROR(VLOOKUP(PagosV2[[#This Row],[Codigo del producto]],Entradas[],3,FALSE),"No existe")</f>
        <v>Pantalla para moto 5 inch</v>
      </c>
      <c r="E378" s="9">
        <v>1</v>
      </c>
      <c r="F378" s="11">
        <v>2300</v>
      </c>
      <c r="G378" s="11">
        <f>IFERROR(PagosV2[[#This Row],[Cantidad vendida]]*PagosV2[[#This Row],[Precio de venta]],"-")</f>
        <v>2300</v>
      </c>
      <c r="H378" s="11">
        <f>IFERROR(PagosV2[[#This Row],[Precio de venta]]-VLOOKUP(PagosV2[[#This Row],[Codigo del producto]],Stock[],13,FALSE),"-")</f>
        <v>562.52250000000004</v>
      </c>
      <c r="I378" s="11">
        <f>IFERROR(PagosV2[[#This Row],[Ganancia (UB)]]*$B$357,0)</f>
        <v>16.875675000000001</v>
      </c>
      <c r="J378" s="11">
        <f>IFERROR(PagosV2[[#This Row],[Ganancia (UB)]]*$B$358,0)</f>
        <v>33.751350000000002</v>
      </c>
      <c r="K378" s="11">
        <f>IFERROR(PagosV2[[#This Row],[Ganancia (UB)]]*$B$359,0)</f>
        <v>16.875675000000001</v>
      </c>
      <c r="L378" s="11">
        <f>IFERROR(PagosV2[[#This Row],[Ganancia (UB)]]*$B$360,0)</f>
        <v>16.875675000000001</v>
      </c>
      <c r="M378" s="11">
        <f>IFERROR(PagosV2[[#This Row],[Ganancia (UB)]]-PagosV2[[#This Row],[PM]]-PagosV2[[#This Row],[GC]]-PagosV2[[#This Row],[PC]]-PagosV2[[#This Row],[U]],0)</f>
        <v>478.14412500000003</v>
      </c>
      <c r="N378" s="11">
        <f t="shared" si="6"/>
        <v>191.25765000000001</v>
      </c>
      <c r="O378" s="11">
        <f>IFERROR(PagosV2[[#This Row],[Ganancia (UV)]]*PagosV2[[#This Row],[Cantidad vendida]],0)</f>
        <v>191.25765000000001</v>
      </c>
      <c r="P378" s="1">
        <f>IFERROR(PagosV2[[#This Row],[Ganancia (N)]]-PagosV2[[#This Row],[Ganancia (UV)]],0)</f>
        <v>286.88647500000002</v>
      </c>
      <c r="Q378" s="1">
        <f>IFERROR(PagosV2[[#This Row],[Ganancia individual (Tienda)]]*PagosV2[[#This Row],[Cantidad vendida]],0)</f>
        <v>286.88647500000002</v>
      </c>
      <c r="R378" s="1">
        <f>IFERROR((PagosV2[[#This Row],[Precio de venta]]-PagosV2[[#This Row],[Ganancia (UB)]])*PagosV2[[#This Row],[Cantidad vendida]],0)</f>
        <v>1737.4775</v>
      </c>
      <c r="S378" s="21" t="s">
        <v>312</v>
      </c>
      <c r="T378" s="21"/>
    </row>
    <row r="379" spans="1:20" ht="16.5" hidden="1" x14ac:dyDescent="0.3">
      <c r="A379" s="9" t="s">
        <v>313</v>
      </c>
      <c r="B379" s="75">
        <v>46118</v>
      </c>
      <c r="C379" s="9" t="s">
        <v>101</v>
      </c>
      <c r="D379" s="9" t="str">
        <f>IFERROR(VLOOKUP(PagosV2[[#This Row],[Codigo del producto]],Entradas[],3,FALSE),"No existe")</f>
        <v xml:space="preserve">Shark Attack Mouse X11 Black </v>
      </c>
      <c r="E379" s="9">
        <v>1</v>
      </c>
      <c r="F379" s="11">
        <v>1250</v>
      </c>
      <c r="G379" s="11">
        <f>IFERROR(PagosV2[[#This Row],[Cantidad vendida]]*PagosV2[[#This Row],[Precio de venta]],"-")</f>
        <v>1250</v>
      </c>
      <c r="H379" s="11">
        <f>IFERROR(PagosV2[[#This Row],[Precio de venta]]-VLOOKUP(PagosV2[[#This Row],[Codigo del producto]],Stock[],13,FALSE),"-")</f>
        <v>427.50799999999992</v>
      </c>
      <c r="I379" s="11">
        <f>IFERROR(PagosV2[[#This Row],[Ganancia (UB)]]*$B$357,0)</f>
        <v>12.825239999999997</v>
      </c>
      <c r="J379" s="11">
        <f>IFERROR(PagosV2[[#This Row],[Ganancia (UB)]]*$B$358,0)</f>
        <v>25.650479999999995</v>
      </c>
      <c r="K379" s="11">
        <f>IFERROR(PagosV2[[#This Row],[Ganancia (UB)]]*$B$359,0)</f>
        <v>12.825239999999997</v>
      </c>
      <c r="L379" s="11">
        <f>IFERROR(PagosV2[[#This Row],[Ganancia (UB)]]*$B$360,0)</f>
        <v>12.825239999999997</v>
      </c>
      <c r="M379" s="11">
        <f>IFERROR(PagosV2[[#This Row],[Ganancia (UB)]]-PagosV2[[#This Row],[PM]]-PagosV2[[#This Row],[GC]]-PagosV2[[#This Row],[PC]]-PagosV2[[#This Row],[U]],0)</f>
        <v>363.38179999999988</v>
      </c>
      <c r="N379" s="11">
        <f t="shared" si="6"/>
        <v>145.35271999999995</v>
      </c>
      <c r="O379" s="11">
        <f>IFERROR(PagosV2[[#This Row],[Ganancia (UV)]]*PagosV2[[#This Row],[Cantidad vendida]],0)</f>
        <v>145.35271999999995</v>
      </c>
      <c r="P379" s="1">
        <f>IFERROR(PagosV2[[#This Row],[Ganancia (N)]]-PagosV2[[#This Row],[Ganancia (UV)]],0)</f>
        <v>218.02907999999994</v>
      </c>
      <c r="Q379" s="1">
        <f>IFERROR(PagosV2[[#This Row],[Ganancia individual (Tienda)]]*PagosV2[[#This Row],[Cantidad vendida]],0)</f>
        <v>218.02907999999994</v>
      </c>
      <c r="R379" s="1">
        <f>IFERROR((PagosV2[[#This Row],[Precio de venta]]-PagosV2[[#This Row],[Ganancia (UB)]])*PagosV2[[#This Row],[Cantidad vendida]],0)</f>
        <v>822.49200000000008</v>
      </c>
      <c r="S379" s="21" t="s">
        <v>312</v>
      </c>
      <c r="T379" s="21"/>
    </row>
    <row r="380" spans="1:20" ht="16.5" hidden="1" x14ac:dyDescent="0.3">
      <c r="A380" s="9" t="s">
        <v>327</v>
      </c>
      <c r="B380" s="75">
        <v>46118</v>
      </c>
      <c r="C380" s="9" t="s">
        <v>51</v>
      </c>
      <c r="D380" s="9" t="str">
        <f>IFERROR(VLOOKUP(PagosV2[[#This Row],[Codigo del producto]],Entradas[],3,FALSE),"No existe")</f>
        <v>Pantalla para moto 5 inch</v>
      </c>
      <c r="E380" s="9">
        <v>1</v>
      </c>
      <c r="F380" s="11">
        <v>2300</v>
      </c>
      <c r="G380" s="11">
        <f>IFERROR(PagosV2[[#This Row],[Cantidad vendida]]*PagosV2[[#This Row],[Precio de venta]],"-")</f>
        <v>2300</v>
      </c>
      <c r="H380" s="11">
        <f>IFERROR(PagosV2[[#This Row],[Precio de venta]]-VLOOKUP(PagosV2[[#This Row],[Codigo del producto]],Stock[],13,FALSE),"-")</f>
        <v>562.52250000000004</v>
      </c>
      <c r="I380" s="11">
        <f>IFERROR(PagosV2[[#This Row],[Ganancia (UB)]]*$B$357,0)</f>
        <v>16.875675000000001</v>
      </c>
      <c r="J380" s="11">
        <f>IFERROR(PagosV2[[#This Row],[Ganancia (UB)]]*$B$358,0)</f>
        <v>33.751350000000002</v>
      </c>
      <c r="K380" s="11">
        <f>IFERROR(PagosV2[[#This Row],[Ganancia (UB)]]*$B$359,0)</f>
        <v>16.875675000000001</v>
      </c>
      <c r="L380" s="11">
        <f>IFERROR(PagosV2[[#This Row],[Ganancia (UB)]]*$B$360,0)</f>
        <v>16.875675000000001</v>
      </c>
      <c r="M380" s="11">
        <f>IFERROR(PagosV2[[#This Row],[Ganancia (UB)]]-PagosV2[[#This Row],[PM]]-PagosV2[[#This Row],[GC]]-PagosV2[[#This Row],[PC]]-PagosV2[[#This Row],[U]],0)</f>
        <v>478.14412500000003</v>
      </c>
      <c r="N380" s="11">
        <f t="shared" si="6"/>
        <v>191.25765000000001</v>
      </c>
      <c r="O380" s="11">
        <f>IFERROR(PagosV2[[#This Row],[Ganancia (UV)]]*PagosV2[[#This Row],[Cantidad vendida]],0)</f>
        <v>191.25765000000001</v>
      </c>
      <c r="P380" s="1">
        <f>IFERROR(PagosV2[[#This Row],[Ganancia (N)]]-PagosV2[[#This Row],[Ganancia (UV)]],0)</f>
        <v>286.88647500000002</v>
      </c>
      <c r="Q380" s="1">
        <f>IFERROR(PagosV2[[#This Row],[Ganancia individual (Tienda)]]*PagosV2[[#This Row],[Cantidad vendida]],0)</f>
        <v>286.88647500000002</v>
      </c>
      <c r="R380" s="1">
        <f>IFERROR((PagosV2[[#This Row],[Precio de venta]]-PagosV2[[#This Row],[Ganancia (UB)]])*PagosV2[[#This Row],[Cantidad vendida]],0)</f>
        <v>1737.4775</v>
      </c>
      <c r="S380" s="21" t="s">
        <v>312</v>
      </c>
      <c r="T380" s="21"/>
    </row>
    <row r="381" spans="1:20" ht="16.5" hidden="1" x14ac:dyDescent="0.3">
      <c r="A381" s="9" t="s">
        <v>354</v>
      </c>
      <c r="B381" s="75">
        <v>46118</v>
      </c>
      <c r="C381" s="9" t="s">
        <v>130</v>
      </c>
      <c r="D381" s="9" t="str">
        <f>IFERROR(VLOOKUP(PagosV2[[#This Row],[Codigo del producto]],Entradas[],3,FALSE),"No existe")</f>
        <v>Cargadores USB para moto (Sin pantalla)</v>
      </c>
      <c r="E381" s="9">
        <v>1</v>
      </c>
      <c r="F381" s="11">
        <v>500</v>
      </c>
      <c r="G381" s="11">
        <f>IFERROR(PagosV2[[#This Row],[Cantidad vendida]]*PagosV2[[#This Row],[Precio de venta]],"-")</f>
        <v>500</v>
      </c>
      <c r="H381" s="11">
        <f>IFERROR(PagosV2[[#This Row],[Precio de venta]]-VLOOKUP(PagosV2[[#This Row],[Codigo del producto]],Stock[],13,FALSE),"-")</f>
        <v>255.68449999999996</v>
      </c>
      <c r="I381" s="11">
        <f>IFERROR(PagosV2[[#This Row],[Ganancia (UB)]]*$B$357,0)</f>
        <v>7.6705349999999983</v>
      </c>
      <c r="J381" s="11">
        <f>IFERROR(PagosV2[[#This Row],[Ganancia (UB)]]*$B$358,0)</f>
        <v>15.341069999999997</v>
      </c>
      <c r="K381" s="11">
        <f>IFERROR(PagosV2[[#This Row],[Ganancia (UB)]]*$B$359,0)</f>
        <v>7.6705349999999983</v>
      </c>
      <c r="L381" s="11">
        <f>IFERROR(PagosV2[[#This Row],[Ganancia (UB)]]*$B$360,0)</f>
        <v>7.6705349999999983</v>
      </c>
      <c r="M381" s="11">
        <f>IFERROR(PagosV2[[#This Row],[Ganancia (UB)]]-PagosV2[[#This Row],[PM]]-PagosV2[[#This Row],[GC]]-PagosV2[[#This Row],[PC]]-PagosV2[[#This Row],[U]],0)</f>
        <v>217.33182499999995</v>
      </c>
      <c r="N381" s="11">
        <f t="shared" si="6"/>
        <v>97.799321249999977</v>
      </c>
      <c r="O381" s="11">
        <f>IFERROR(PagosV2[[#This Row],[Ganancia (UV)]]*PagosV2[[#This Row],[Cantidad vendida]],0)</f>
        <v>97.799321249999977</v>
      </c>
      <c r="P381" s="1">
        <f>IFERROR(PagosV2[[#This Row],[Ganancia (N)]]-PagosV2[[#This Row],[Ganancia (UV)]],0)</f>
        <v>119.53250374999998</v>
      </c>
      <c r="Q381" s="1">
        <f>IFERROR(PagosV2[[#This Row],[Ganancia individual (Tienda)]]*PagosV2[[#This Row],[Cantidad vendida]],0)</f>
        <v>119.53250374999998</v>
      </c>
      <c r="R381" s="1">
        <f>IFERROR((PagosV2[[#This Row],[Precio de venta]]-PagosV2[[#This Row],[Ganancia (UB)]])*PagosV2[[#This Row],[Cantidad vendida]],0)</f>
        <v>244.31550000000004</v>
      </c>
      <c r="S381" s="21" t="s">
        <v>312</v>
      </c>
      <c r="T381" s="21"/>
    </row>
    <row r="382" spans="1:20" ht="16.5" hidden="1" x14ac:dyDescent="0.3">
      <c r="A382" s="9" t="s">
        <v>313</v>
      </c>
      <c r="B382" s="75">
        <v>46118</v>
      </c>
      <c r="C382" s="9" t="s">
        <v>106</v>
      </c>
      <c r="D382" s="9" t="str">
        <f>IFERROR(VLOOKUP(PagosV2[[#This Row],[Codigo del producto]],Entradas[],3,FALSE),"No existe")</f>
        <v>Shark Attack Mouse X11 white</v>
      </c>
      <c r="E382" s="9">
        <v>1</v>
      </c>
      <c r="F382" s="11">
        <v>1300</v>
      </c>
      <c r="G382" s="11">
        <f>IFERROR(PagosV2[[#This Row],[Cantidad vendida]]*PagosV2[[#This Row],[Precio de venta]],"-")</f>
        <v>1300</v>
      </c>
      <c r="H382" s="11">
        <f>IFERROR(PagosV2[[#This Row],[Precio de venta]]-VLOOKUP(PagosV2[[#This Row],[Codigo del producto]],Stock[],13,FALSE),"-")</f>
        <v>477.50799999999992</v>
      </c>
      <c r="I382" s="11">
        <f>IFERROR(PagosV2[[#This Row],[Ganancia (UB)]]*$B$357,0)</f>
        <v>14.325239999999997</v>
      </c>
      <c r="J382" s="11">
        <f>IFERROR(PagosV2[[#This Row],[Ganancia (UB)]]*$B$358,0)</f>
        <v>28.650479999999995</v>
      </c>
      <c r="K382" s="11">
        <f>IFERROR(PagosV2[[#This Row],[Ganancia (UB)]]*$B$359,0)</f>
        <v>14.325239999999997</v>
      </c>
      <c r="L382" s="11">
        <f>IFERROR(PagosV2[[#This Row],[Ganancia (UB)]]*$B$360,0)</f>
        <v>14.325239999999997</v>
      </c>
      <c r="M382" s="11">
        <f>IFERROR(PagosV2[[#This Row],[Ganancia (UB)]]-PagosV2[[#This Row],[PM]]-PagosV2[[#This Row],[GC]]-PagosV2[[#This Row],[PC]]-PagosV2[[#This Row],[U]],0)</f>
        <v>405.88179999999988</v>
      </c>
      <c r="N382" s="11">
        <f t="shared" si="6"/>
        <v>162.35271999999998</v>
      </c>
      <c r="O382" s="11">
        <f>IFERROR(PagosV2[[#This Row],[Ganancia (UV)]]*PagosV2[[#This Row],[Cantidad vendida]],0)</f>
        <v>162.35271999999998</v>
      </c>
      <c r="P382" s="1">
        <f>IFERROR(PagosV2[[#This Row],[Ganancia (N)]]-PagosV2[[#This Row],[Ganancia (UV)]],0)</f>
        <v>243.52907999999991</v>
      </c>
      <c r="Q382" s="1">
        <f>IFERROR(PagosV2[[#This Row],[Ganancia individual (Tienda)]]*PagosV2[[#This Row],[Cantidad vendida]],0)</f>
        <v>243.52907999999991</v>
      </c>
      <c r="R382" s="1">
        <f>IFERROR((PagosV2[[#This Row],[Precio de venta]]-PagosV2[[#This Row],[Ganancia (UB)]])*PagosV2[[#This Row],[Cantidad vendida]],0)</f>
        <v>822.49200000000008</v>
      </c>
      <c r="S382" s="21" t="s">
        <v>312</v>
      </c>
      <c r="T382" s="21"/>
    </row>
    <row r="383" spans="1:20" ht="16.5" hidden="1" x14ac:dyDescent="0.3">
      <c r="A383" s="9" t="s">
        <v>313</v>
      </c>
      <c r="B383" s="75">
        <v>46118</v>
      </c>
      <c r="C383" s="9" t="s">
        <v>101</v>
      </c>
      <c r="D383" s="9" t="str">
        <f>IFERROR(VLOOKUP(PagosV2[[#This Row],[Codigo del producto]],Entradas[],3,FALSE),"No existe")</f>
        <v xml:space="preserve">Shark Attack Mouse X11 Black </v>
      </c>
      <c r="E383" s="9">
        <v>1</v>
      </c>
      <c r="F383" s="11">
        <v>1270</v>
      </c>
      <c r="G383" s="11">
        <f>IFERROR(PagosV2[[#This Row],[Cantidad vendida]]*PagosV2[[#This Row],[Precio de venta]],"-")</f>
        <v>1270</v>
      </c>
      <c r="H383" s="11">
        <f>IFERROR(PagosV2[[#This Row],[Precio de venta]]-VLOOKUP(PagosV2[[#This Row],[Codigo del producto]],Stock[],13,FALSE),"-")</f>
        <v>447.50799999999992</v>
      </c>
      <c r="I383" s="11">
        <f>IFERROR(PagosV2[[#This Row],[Ganancia (UB)]]*$B$357,0)</f>
        <v>13.425239999999997</v>
      </c>
      <c r="J383" s="11">
        <f>IFERROR(PagosV2[[#This Row],[Ganancia (UB)]]*$B$358,0)</f>
        <v>26.850479999999994</v>
      </c>
      <c r="K383" s="11">
        <f>IFERROR(PagosV2[[#This Row],[Ganancia (UB)]]*$B$359,0)</f>
        <v>13.425239999999997</v>
      </c>
      <c r="L383" s="11">
        <f>IFERROR(PagosV2[[#This Row],[Ganancia (UB)]]*$B$360,0)</f>
        <v>13.425239999999997</v>
      </c>
      <c r="M383" s="11">
        <f>IFERROR(PagosV2[[#This Row],[Ganancia (UB)]]-PagosV2[[#This Row],[PM]]-PagosV2[[#This Row],[GC]]-PagosV2[[#This Row],[PC]]-PagosV2[[#This Row],[U]],0)</f>
        <v>380.3818</v>
      </c>
      <c r="N383" s="11">
        <f t="shared" ref="N383:N446" si="7">IFERROR(
  IF(M383&lt;=0,"-",
    IF(M383&lt;=300, M383*0.45,
      IF(M383&lt;=600, M383*0.4,
        IF(M383&lt;=900, M383*0.38,
          IF(M383&lt;=1000, M383*0.35,
            IF(M383&lt;=1400, M383*0.32,
              IF(M383&lt;=1800, HM383*0.3,
                IF(M383&gt;=2000, M383*0.28,
                  "-"
                )
              )
            )
          )
        )
      )
    )
  ),
  "-"
)</f>
        <v>152.15272000000002</v>
      </c>
      <c r="O383" s="11">
        <f>IFERROR(PagosV2[[#This Row],[Ganancia (UV)]]*PagosV2[[#This Row],[Cantidad vendida]],0)</f>
        <v>152.15272000000002</v>
      </c>
      <c r="P383" s="1">
        <f>IFERROR(PagosV2[[#This Row],[Ganancia (N)]]-PagosV2[[#This Row],[Ganancia (UV)]],0)</f>
        <v>228.22907999999998</v>
      </c>
      <c r="Q383" s="1">
        <f>IFERROR(PagosV2[[#This Row],[Ganancia individual (Tienda)]]*PagosV2[[#This Row],[Cantidad vendida]],0)</f>
        <v>228.22907999999998</v>
      </c>
      <c r="R383" s="1">
        <f>IFERROR((PagosV2[[#This Row],[Precio de venta]]-PagosV2[[#This Row],[Ganancia (UB)]])*PagosV2[[#This Row],[Cantidad vendida]],0)</f>
        <v>822.49200000000008</v>
      </c>
      <c r="S383" s="21" t="s">
        <v>312</v>
      </c>
      <c r="T383" s="21"/>
    </row>
    <row r="384" spans="1:20" ht="16.5" hidden="1" x14ac:dyDescent="0.3">
      <c r="A384" s="9" t="s">
        <v>327</v>
      </c>
      <c r="B384" s="75">
        <v>46118</v>
      </c>
      <c r="C384" s="9" t="s">
        <v>104</v>
      </c>
      <c r="D384" s="9" t="str">
        <f>IFERROR(VLOOKUP(PagosV2[[#This Row],[Codigo del producto]],Entradas[],3,FALSE),"No existe")</f>
        <v>Cargadores USB para moto</v>
      </c>
      <c r="E384" s="9">
        <v>1</v>
      </c>
      <c r="F384" s="11">
        <v>600</v>
      </c>
      <c r="G384" s="11">
        <f>IFERROR(PagosV2[[#This Row],[Cantidad vendida]]*PagosV2[[#This Row],[Precio de venta]],"-")</f>
        <v>600</v>
      </c>
      <c r="H384" s="11">
        <f>IFERROR(PagosV2[[#This Row],[Precio de venta]]-VLOOKUP(PagosV2[[#This Row],[Codigo del producto]],Stock[],13,FALSE),"-")</f>
        <v>290.82849999999996</v>
      </c>
      <c r="I384" s="11">
        <f>IFERROR(PagosV2[[#This Row],[Ganancia (UB)]]*$B$357,0)</f>
        <v>8.724854999999998</v>
      </c>
      <c r="J384" s="11">
        <f>IFERROR(PagosV2[[#This Row],[Ganancia (UB)]]*$B$358,0)</f>
        <v>17.449709999999996</v>
      </c>
      <c r="K384" s="11">
        <f>IFERROR(PagosV2[[#This Row],[Ganancia (UB)]]*$B$359,0)</f>
        <v>8.724854999999998</v>
      </c>
      <c r="L384" s="11">
        <f>IFERROR(PagosV2[[#This Row],[Ganancia (UB)]]*$B$360,0)</f>
        <v>8.724854999999998</v>
      </c>
      <c r="M384" s="11">
        <f>IFERROR(PagosV2[[#This Row],[Ganancia (UB)]]-PagosV2[[#This Row],[PM]]-PagosV2[[#This Row],[GC]]-PagosV2[[#This Row],[PC]]-PagosV2[[#This Row],[U]],0)</f>
        <v>247.20422500000001</v>
      </c>
      <c r="N384" s="11">
        <f t="shared" si="7"/>
        <v>111.24190125000001</v>
      </c>
      <c r="O384" s="11">
        <f>IFERROR(PagosV2[[#This Row],[Ganancia (UV)]]*PagosV2[[#This Row],[Cantidad vendida]],0)</f>
        <v>111.24190125000001</v>
      </c>
      <c r="P384" s="1">
        <f>IFERROR(PagosV2[[#This Row],[Ganancia (N)]]-PagosV2[[#This Row],[Ganancia (UV)]],0)</f>
        <v>135.96232375</v>
      </c>
      <c r="Q384" s="1">
        <f>IFERROR(PagosV2[[#This Row],[Ganancia individual (Tienda)]]*PagosV2[[#This Row],[Cantidad vendida]],0)</f>
        <v>135.96232375</v>
      </c>
      <c r="R384" s="1">
        <f>IFERROR((PagosV2[[#This Row],[Precio de venta]]-PagosV2[[#This Row],[Ganancia (UB)]])*PagosV2[[#This Row],[Cantidad vendida]],0)</f>
        <v>309.17150000000004</v>
      </c>
      <c r="S384" s="21" t="s">
        <v>312</v>
      </c>
      <c r="T384" s="21"/>
    </row>
    <row r="385" spans="1:20" s="23" customFormat="1" ht="16.5" hidden="1" x14ac:dyDescent="0.3">
      <c r="A385" s="9" t="s">
        <v>354</v>
      </c>
      <c r="B385" s="75">
        <v>46118</v>
      </c>
      <c r="C385" s="9" t="s">
        <v>104</v>
      </c>
      <c r="D385" s="9" t="str">
        <f>IFERROR(VLOOKUP(PagosV2[[#This Row],[Codigo del producto]],Entradas[],3,FALSE),"No existe")</f>
        <v>Cargadores USB para moto</v>
      </c>
      <c r="E385" s="9">
        <v>1</v>
      </c>
      <c r="F385" s="11">
        <v>600</v>
      </c>
      <c r="G385" s="11">
        <f>IFERROR(PagosV2[[#This Row],[Cantidad vendida]]*PagosV2[[#This Row],[Precio de venta]],"-")</f>
        <v>600</v>
      </c>
      <c r="H385" s="11">
        <f>IFERROR(PagosV2[[#This Row],[Precio de venta]]-VLOOKUP(PagosV2[[#This Row],[Codigo del producto]],Stock[],13,FALSE),"-")</f>
        <v>290.82849999999996</v>
      </c>
      <c r="I385" s="11">
        <f>IFERROR(PagosV2[[#This Row],[Ganancia (UB)]]*$B$357,0)</f>
        <v>8.724854999999998</v>
      </c>
      <c r="J385" s="11">
        <f>IFERROR(PagosV2[[#This Row],[Ganancia (UB)]]*$B$358,0)</f>
        <v>17.449709999999996</v>
      </c>
      <c r="K385" s="11">
        <f>IFERROR(PagosV2[[#This Row],[Ganancia (UB)]]*$B$359,0)</f>
        <v>8.724854999999998</v>
      </c>
      <c r="L385" s="11">
        <f>IFERROR(PagosV2[[#This Row],[Ganancia (UB)]]*$B$360,0)</f>
        <v>8.724854999999998</v>
      </c>
      <c r="M385" s="11">
        <f>IFERROR(PagosV2[[#This Row],[Ganancia (UB)]]-PagosV2[[#This Row],[PM]]-PagosV2[[#This Row],[GC]]-PagosV2[[#This Row],[PC]]-PagosV2[[#This Row],[U]],0)</f>
        <v>247.20422500000001</v>
      </c>
      <c r="N385" s="11">
        <f t="shared" si="7"/>
        <v>111.24190125000001</v>
      </c>
      <c r="O385" s="11">
        <f>IFERROR(PagosV2[[#This Row],[Ganancia (UV)]]*PagosV2[[#This Row],[Cantidad vendida]],0)</f>
        <v>111.24190125000001</v>
      </c>
      <c r="P385" s="1">
        <f>IFERROR(PagosV2[[#This Row],[Ganancia (N)]]-PagosV2[[#This Row],[Ganancia (UV)]],0)</f>
        <v>135.96232375</v>
      </c>
      <c r="Q385" s="1">
        <f>IFERROR(PagosV2[[#This Row],[Ganancia individual (Tienda)]]*PagosV2[[#This Row],[Cantidad vendida]],0)</f>
        <v>135.96232375</v>
      </c>
      <c r="R385" s="1">
        <f>IFERROR((PagosV2[[#This Row],[Precio de venta]]-PagosV2[[#This Row],[Ganancia (UB)]])*PagosV2[[#This Row],[Cantidad vendida]],0)</f>
        <v>309.17150000000004</v>
      </c>
      <c r="S385" s="21" t="s">
        <v>312</v>
      </c>
      <c r="T385" s="21"/>
    </row>
    <row r="386" spans="1:20" ht="16.5" hidden="1" x14ac:dyDescent="0.3">
      <c r="A386" s="9" t="s">
        <v>387</v>
      </c>
      <c r="B386" s="75">
        <v>46118</v>
      </c>
      <c r="C386" s="9" t="s">
        <v>142</v>
      </c>
      <c r="D386" s="9" t="str">
        <f>IFERROR(VLOOKUP(PagosV2[[#This Row],[Codigo del producto]],Entradas[],3,FALSE),"No existe")</f>
        <v>Headset Bluetooth para moto (Regular)</v>
      </c>
      <c r="E386" s="9">
        <v>4</v>
      </c>
      <c r="F386" s="11">
        <v>450</v>
      </c>
      <c r="G386" s="11">
        <f>IFERROR(PagosV2[[#This Row],[Cantidad vendida]]*PagosV2[[#This Row],[Precio de venta]],"-")</f>
        <v>1800</v>
      </c>
      <c r="H386" s="11">
        <f>IFERROR(PagosV2[[#This Row],[Precio de venta]]-VLOOKUP(PagosV2[[#This Row],[Codigo del producto]],Stock[],13,FALSE),"-")</f>
        <v>136.77499999999998</v>
      </c>
      <c r="I386" s="11">
        <f>IFERROR(PagosV2[[#This Row],[Ganancia (UB)]]*$B$357,0)</f>
        <v>4.1032499999999992</v>
      </c>
      <c r="J386" s="11">
        <f>IFERROR(PagosV2[[#This Row],[Ganancia (UB)]]*$B$358,0)</f>
        <v>8.2064999999999984</v>
      </c>
      <c r="K386" s="11">
        <f>IFERROR(PagosV2[[#This Row],[Ganancia (UB)]]*$B$359,0)</f>
        <v>4.1032499999999992</v>
      </c>
      <c r="L386" s="11">
        <f>IFERROR(PagosV2[[#This Row],[Ganancia (UB)]]*$B$360,0)</f>
        <v>4.1032499999999992</v>
      </c>
      <c r="M386" s="11">
        <f>IFERROR(PagosV2[[#This Row],[Ganancia (UB)]]-PagosV2[[#This Row],[PM]]-PagosV2[[#This Row],[GC]]-PagosV2[[#This Row],[PC]]-PagosV2[[#This Row],[U]],0)</f>
        <v>116.25874999999996</v>
      </c>
      <c r="N386" s="11">
        <f t="shared" si="7"/>
        <v>52.316437499999985</v>
      </c>
      <c r="O386" s="11">
        <f>IFERROR(PagosV2[[#This Row],[Ganancia (UV)]]*PagosV2[[#This Row],[Cantidad vendida]],0)</f>
        <v>209.26574999999994</v>
      </c>
      <c r="P386" s="1">
        <f>IFERROR(PagosV2[[#This Row],[Ganancia (N)]]-PagosV2[[#This Row],[Ganancia (UV)]],0)</f>
        <v>63.942312499999979</v>
      </c>
      <c r="Q386" s="1">
        <f>IFERROR(PagosV2[[#This Row],[Ganancia individual (Tienda)]]*PagosV2[[#This Row],[Cantidad vendida]],0)</f>
        <v>255.76924999999991</v>
      </c>
      <c r="R386" s="1">
        <f>IFERROR((PagosV2[[#This Row],[Precio de venta]]-PagosV2[[#This Row],[Ganancia (UB)]])*PagosV2[[#This Row],[Cantidad vendida]],0)</f>
        <v>1252.9000000000001</v>
      </c>
      <c r="S386" s="21" t="s">
        <v>312</v>
      </c>
      <c r="T386" s="21"/>
    </row>
    <row r="387" spans="1:20" ht="16.5" hidden="1" x14ac:dyDescent="0.3">
      <c r="A387" s="9" t="s">
        <v>313</v>
      </c>
      <c r="B387" s="75">
        <v>46118</v>
      </c>
      <c r="C387" s="9" t="s">
        <v>159</v>
      </c>
      <c r="D387" s="9" t="str">
        <f>IFERROR(VLOOKUP(PagosV2[[#This Row],[Codigo del producto]],Entradas[],3,FALSE),"No existe")</f>
        <v>Pantalla para moto de 5 pulgadas</v>
      </c>
      <c r="E387" s="9">
        <v>2</v>
      </c>
      <c r="F387" s="11">
        <v>2300</v>
      </c>
      <c r="G387" s="11">
        <f>IFERROR(PagosV2[[#This Row],[Cantidad vendida]]*PagosV2[[#This Row],[Precio de venta]],"-")</f>
        <v>4600</v>
      </c>
      <c r="H387" s="11">
        <f>IFERROR(PagosV2[[#This Row],[Precio de venta]]-VLOOKUP(PagosV2[[#This Row],[Codigo del producto]],Stock[],13,FALSE),"-")</f>
        <v>548.51949999999988</v>
      </c>
      <c r="I387" s="11">
        <f>IFERROR(PagosV2[[#This Row],[Ganancia (UB)]]*$B$357,0)</f>
        <v>16.455584999999996</v>
      </c>
      <c r="J387" s="11">
        <f>IFERROR(PagosV2[[#This Row],[Ganancia (UB)]]*$B$358,0)</f>
        <v>32.911169999999991</v>
      </c>
      <c r="K387" s="11">
        <f>IFERROR(PagosV2[[#This Row],[Ganancia (UB)]]*$B$359,0)</f>
        <v>16.455584999999996</v>
      </c>
      <c r="L387" s="11">
        <f>IFERROR(PagosV2[[#This Row],[Ganancia (UB)]]*$B$360,0)</f>
        <v>16.455584999999996</v>
      </c>
      <c r="M387" s="11">
        <f>IFERROR(PagosV2[[#This Row],[Ganancia (UB)]]-PagosV2[[#This Row],[PM]]-PagosV2[[#This Row],[GC]]-PagosV2[[#This Row],[PC]]-PagosV2[[#This Row],[U]],0)</f>
        <v>466.2415749999999</v>
      </c>
      <c r="N387" s="11">
        <f t="shared" si="7"/>
        <v>186.49662999999998</v>
      </c>
      <c r="O387" s="11">
        <f>IFERROR(PagosV2[[#This Row],[Ganancia (UV)]]*PagosV2[[#This Row],[Cantidad vendida]],0)</f>
        <v>372.99325999999996</v>
      </c>
      <c r="P387" s="1">
        <f>IFERROR(PagosV2[[#This Row],[Ganancia (N)]]-PagosV2[[#This Row],[Ganancia (UV)]],0)</f>
        <v>279.74494499999992</v>
      </c>
      <c r="Q387" s="1">
        <f>IFERROR(PagosV2[[#This Row],[Ganancia individual (Tienda)]]*PagosV2[[#This Row],[Cantidad vendida]],0)</f>
        <v>559.48988999999983</v>
      </c>
      <c r="R387" s="1">
        <f>IFERROR((PagosV2[[#This Row],[Precio de venta]]-PagosV2[[#This Row],[Ganancia (UB)]])*PagosV2[[#This Row],[Cantidad vendida]],0)</f>
        <v>3502.9610000000002</v>
      </c>
      <c r="S387" s="21" t="s">
        <v>312</v>
      </c>
      <c r="T387" s="21"/>
    </row>
    <row r="388" spans="1:20" ht="16.5" hidden="1" x14ac:dyDescent="0.3">
      <c r="A388" s="9" t="s">
        <v>327</v>
      </c>
      <c r="B388" s="75">
        <v>46118</v>
      </c>
      <c r="C388" s="9" t="s">
        <v>106</v>
      </c>
      <c r="D388" s="9" t="str">
        <f>IFERROR(VLOOKUP(PagosV2[[#This Row],[Codigo del producto]],Entradas[],3,FALSE),"No existe")</f>
        <v>Shark Attack Mouse X11 white</v>
      </c>
      <c r="E388" s="9">
        <v>1</v>
      </c>
      <c r="F388" s="11">
        <v>1300</v>
      </c>
      <c r="G388" s="11">
        <f>IFERROR(PagosV2[[#This Row],[Cantidad vendida]]*PagosV2[[#This Row],[Precio de venta]],"-")</f>
        <v>1300</v>
      </c>
      <c r="H388" s="11">
        <f>IFERROR(PagosV2[[#This Row],[Precio de venta]]-VLOOKUP(PagosV2[[#This Row],[Codigo del producto]],Stock[],13,FALSE),"-")</f>
        <v>477.50799999999992</v>
      </c>
      <c r="I388" s="11">
        <f>IFERROR(PagosV2[[#This Row],[Ganancia (UB)]]*$B$357,0)</f>
        <v>14.325239999999997</v>
      </c>
      <c r="J388" s="11">
        <f>IFERROR(PagosV2[[#This Row],[Ganancia (UB)]]*$B$358,0)</f>
        <v>28.650479999999995</v>
      </c>
      <c r="K388" s="11">
        <f>IFERROR(PagosV2[[#This Row],[Ganancia (UB)]]*$B$359,0)</f>
        <v>14.325239999999997</v>
      </c>
      <c r="L388" s="11">
        <f>IFERROR(PagosV2[[#This Row],[Ganancia (UB)]]*$B$360,0)</f>
        <v>14.325239999999997</v>
      </c>
      <c r="M388" s="11">
        <f>IFERROR(PagosV2[[#This Row],[Ganancia (UB)]]-PagosV2[[#This Row],[PM]]-PagosV2[[#This Row],[GC]]-PagosV2[[#This Row],[PC]]-PagosV2[[#This Row],[U]],0)</f>
        <v>405.88179999999988</v>
      </c>
      <c r="N388" s="11">
        <f t="shared" si="7"/>
        <v>162.35271999999998</v>
      </c>
      <c r="O388" s="11">
        <f>IFERROR(PagosV2[[#This Row],[Ganancia (UV)]]*PagosV2[[#This Row],[Cantidad vendida]],0)</f>
        <v>162.35271999999998</v>
      </c>
      <c r="P388" s="1">
        <f>IFERROR(PagosV2[[#This Row],[Ganancia (N)]]-PagosV2[[#This Row],[Ganancia (UV)]],0)</f>
        <v>243.52907999999991</v>
      </c>
      <c r="Q388" s="1">
        <f>IFERROR(PagosV2[[#This Row],[Ganancia individual (Tienda)]]*PagosV2[[#This Row],[Cantidad vendida]],0)</f>
        <v>243.52907999999991</v>
      </c>
      <c r="R388" s="1">
        <f>IFERROR((PagosV2[[#This Row],[Precio de venta]]-PagosV2[[#This Row],[Ganancia (UB)]])*PagosV2[[#This Row],[Cantidad vendida]],0)</f>
        <v>822.49200000000008</v>
      </c>
      <c r="S388" s="21" t="s">
        <v>312</v>
      </c>
      <c r="T388" s="21"/>
    </row>
    <row r="389" spans="1:20" ht="16.5" hidden="1" x14ac:dyDescent="0.3">
      <c r="A389" s="9" t="s">
        <v>313</v>
      </c>
      <c r="B389" s="75">
        <v>46121</v>
      </c>
      <c r="C389" s="9" t="s">
        <v>154</v>
      </c>
      <c r="D389" s="9" t="str">
        <f>IFERROR(VLOOKUP(PagosV2[[#This Row],[Codigo del producto]],Entradas[],3,FALSE),"No existe")</f>
        <v xml:space="preserve">Attack Shark Mouse X11 negro </v>
      </c>
      <c r="E389" s="9">
        <v>1</v>
      </c>
      <c r="F389" s="11">
        <v>1300</v>
      </c>
      <c r="G389" s="11">
        <f>IFERROR(PagosV2[[#This Row],[Cantidad vendida]]*PagosV2[[#This Row],[Precio de venta]],"-")</f>
        <v>1300</v>
      </c>
      <c r="H389" s="11">
        <f>IFERROR(PagosV2[[#This Row],[Precio de venta]]-VLOOKUP(PagosV2[[#This Row],[Codigo del producto]],Stock[],13,FALSE),"-")</f>
        <v>377.64449999999988</v>
      </c>
      <c r="I389" s="11">
        <f>IFERROR(PagosV2[[#This Row],[Ganancia (UB)]]*$B$357,0)</f>
        <v>11.329334999999997</v>
      </c>
      <c r="J389" s="11">
        <f>IFERROR(PagosV2[[#This Row],[Ganancia (UB)]]*$B$358,0)</f>
        <v>22.658669999999994</v>
      </c>
      <c r="K389" s="11">
        <f>IFERROR(PagosV2[[#This Row],[Ganancia (UB)]]*$B$359,0)</f>
        <v>11.329334999999997</v>
      </c>
      <c r="L389" s="11">
        <f>IFERROR(PagosV2[[#This Row],[Ganancia (UB)]]*$B$360,0)</f>
        <v>11.329334999999997</v>
      </c>
      <c r="M389" s="11">
        <f>IFERROR(PagosV2[[#This Row],[Ganancia (UB)]]-PagosV2[[#This Row],[PM]]-PagosV2[[#This Row],[GC]]-PagosV2[[#This Row],[PC]]-PagosV2[[#This Row],[U]],0)</f>
        <v>320.99782499999986</v>
      </c>
      <c r="N389" s="11">
        <f t="shared" si="7"/>
        <v>128.39912999999996</v>
      </c>
      <c r="O389" s="11">
        <f>IFERROR(PagosV2[[#This Row],[Ganancia (UV)]]*PagosV2[[#This Row],[Cantidad vendida]],0)</f>
        <v>128.39912999999996</v>
      </c>
      <c r="P389" s="1">
        <f>IFERROR(PagosV2[[#This Row],[Ganancia (N)]]-PagosV2[[#This Row],[Ganancia (UV)]],0)</f>
        <v>192.59869499999991</v>
      </c>
      <c r="Q389" s="1">
        <f>IFERROR(PagosV2[[#This Row],[Ganancia individual (Tienda)]]*PagosV2[[#This Row],[Cantidad vendida]],0)</f>
        <v>192.59869499999991</v>
      </c>
      <c r="R389" s="1">
        <f>IFERROR((PagosV2[[#This Row],[Precio de venta]]-PagosV2[[#This Row],[Ganancia (UB)]])*PagosV2[[#This Row],[Cantidad vendida]],0)</f>
        <v>922.35550000000012</v>
      </c>
      <c r="S389" s="21" t="s">
        <v>312</v>
      </c>
      <c r="T389" s="21"/>
    </row>
    <row r="390" spans="1:20" ht="16.5" hidden="1" x14ac:dyDescent="0.3">
      <c r="A390" s="9" t="s">
        <v>313</v>
      </c>
      <c r="B390" s="75">
        <v>46121</v>
      </c>
      <c r="C390" s="9" t="s">
        <v>112</v>
      </c>
      <c r="D390" s="9" t="str">
        <f>IFERROR(VLOOKUP(PagosV2[[#This Row],[Codigo del producto]],Entradas[],3,FALSE),"No existe")</f>
        <v>Teclado Mecanico Machenike K500</v>
      </c>
      <c r="E390" s="9">
        <v>1</v>
      </c>
      <c r="F390" s="11">
        <v>2000</v>
      </c>
      <c r="G390" s="11">
        <f>IFERROR(PagosV2[[#This Row],[Cantidad vendida]]*PagosV2[[#This Row],[Precio de venta]],"-")</f>
        <v>2000</v>
      </c>
      <c r="H390" s="11">
        <f>IFERROR(PagosV2[[#This Row],[Precio de venta]]-VLOOKUP(PagosV2[[#This Row],[Codigo del producto]],Stock[],13,FALSE),"-")</f>
        <v>452.29999999999995</v>
      </c>
      <c r="I390" s="11">
        <f>IFERROR(PagosV2[[#This Row],[Ganancia (UB)]]*$B$357,0)</f>
        <v>13.568999999999997</v>
      </c>
      <c r="J390" s="11">
        <f>IFERROR(PagosV2[[#This Row],[Ganancia (UB)]]*$B$358,0)</f>
        <v>27.137999999999995</v>
      </c>
      <c r="K390" s="11">
        <f>IFERROR(PagosV2[[#This Row],[Ganancia (UB)]]*$B$359,0)</f>
        <v>13.568999999999997</v>
      </c>
      <c r="L390" s="11">
        <f>IFERROR(PagosV2[[#This Row],[Ganancia (UB)]]*$B$360,0)</f>
        <v>13.568999999999997</v>
      </c>
      <c r="M390" s="11">
        <f>IFERROR(PagosV2[[#This Row],[Ganancia (UB)]]-PagosV2[[#This Row],[PM]]-PagosV2[[#This Row],[GC]]-PagosV2[[#This Row],[PC]]-PagosV2[[#This Row],[U]],0)</f>
        <v>384.45499999999993</v>
      </c>
      <c r="N390" s="11">
        <f t="shared" si="7"/>
        <v>153.78199999999998</v>
      </c>
      <c r="O390" s="11">
        <f>IFERROR(PagosV2[[#This Row],[Ganancia (UV)]]*PagosV2[[#This Row],[Cantidad vendida]],0)</f>
        <v>153.78199999999998</v>
      </c>
      <c r="P390" s="1">
        <f>IFERROR(PagosV2[[#This Row],[Ganancia (N)]]-PagosV2[[#This Row],[Ganancia (UV)]],0)</f>
        <v>230.67299999999994</v>
      </c>
      <c r="Q390" s="1">
        <f>IFERROR(PagosV2[[#This Row],[Ganancia individual (Tienda)]]*PagosV2[[#This Row],[Cantidad vendida]],0)</f>
        <v>230.67299999999994</v>
      </c>
      <c r="R390" s="1">
        <f>IFERROR((PagosV2[[#This Row],[Precio de venta]]-PagosV2[[#This Row],[Ganancia (UB)]])*PagosV2[[#This Row],[Cantidad vendida]],0)</f>
        <v>1547.7</v>
      </c>
      <c r="S390" s="21" t="s">
        <v>312</v>
      </c>
      <c r="T390" s="21"/>
    </row>
    <row r="391" spans="1:20" ht="16.5" hidden="1" x14ac:dyDescent="0.3">
      <c r="A391" s="9" t="s">
        <v>313</v>
      </c>
      <c r="B391" s="75">
        <v>46121</v>
      </c>
      <c r="C391" s="9" t="s">
        <v>104</v>
      </c>
      <c r="D391" s="9" t="str">
        <f>IFERROR(VLOOKUP(PagosV2[[#This Row],[Codigo del producto]],Entradas[],3,FALSE),"No existe")</f>
        <v>Cargadores USB para moto</v>
      </c>
      <c r="E391" s="9">
        <v>1</v>
      </c>
      <c r="F391" s="11">
        <v>600</v>
      </c>
      <c r="G391" s="11">
        <f>IFERROR(PagosV2[[#This Row],[Cantidad vendida]]*PagosV2[[#This Row],[Precio de venta]],"-")</f>
        <v>600</v>
      </c>
      <c r="H391" s="11">
        <f>IFERROR(PagosV2[[#This Row],[Precio de venta]]-VLOOKUP(PagosV2[[#This Row],[Codigo del producto]],Stock[],13,FALSE),"-")</f>
        <v>290.82849999999996</v>
      </c>
      <c r="I391" s="11">
        <f>IFERROR(PagosV2[[#This Row],[Ganancia (UB)]]*$B$357,0)</f>
        <v>8.724854999999998</v>
      </c>
      <c r="J391" s="11">
        <f>IFERROR(PagosV2[[#This Row],[Ganancia (UB)]]*$B$358,0)</f>
        <v>17.449709999999996</v>
      </c>
      <c r="K391" s="11">
        <f>IFERROR(PagosV2[[#This Row],[Ganancia (UB)]]*$B$359,0)</f>
        <v>8.724854999999998</v>
      </c>
      <c r="L391" s="11">
        <f>IFERROR(PagosV2[[#This Row],[Ganancia (UB)]]*$B$360,0)</f>
        <v>8.724854999999998</v>
      </c>
      <c r="M391" s="11">
        <f>IFERROR(PagosV2[[#This Row],[Ganancia (UB)]]-PagosV2[[#This Row],[PM]]-PagosV2[[#This Row],[GC]]-PagosV2[[#This Row],[PC]]-PagosV2[[#This Row],[U]],0)</f>
        <v>247.20422500000001</v>
      </c>
      <c r="N391" s="11">
        <f t="shared" si="7"/>
        <v>111.24190125000001</v>
      </c>
      <c r="O391" s="11">
        <f>IFERROR(PagosV2[[#This Row],[Ganancia (UV)]]*PagosV2[[#This Row],[Cantidad vendida]],0)</f>
        <v>111.24190125000001</v>
      </c>
      <c r="P391" s="1">
        <f>IFERROR(PagosV2[[#This Row],[Ganancia (N)]]-PagosV2[[#This Row],[Ganancia (UV)]],0)</f>
        <v>135.96232375</v>
      </c>
      <c r="Q391" s="1">
        <f>IFERROR(PagosV2[[#This Row],[Ganancia individual (Tienda)]]*PagosV2[[#This Row],[Cantidad vendida]],0)</f>
        <v>135.96232375</v>
      </c>
      <c r="R391" s="1">
        <f>IFERROR((PagosV2[[#This Row],[Precio de venta]]-PagosV2[[#This Row],[Ganancia (UB)]])*PagosV2[[#This Row],[Cantidad vendida]],0)</f>
        <v>309.17150000000004</v>
      </c>
      <c r="S391" s="21" t="s">
        <v>312</v>
      </c>
      <c r="T391" s="21"/>
    </row>
    <row r="392" spans="1:20" ht="16.5" hidden="1" x14ac:dyDescent="0.3">
      <c r="A392" s="9" t="s">
        <v>313</v>
      </c>
      <c r="B392" s="75">
        <v>46121</v>
      </c>
      <c r="C392" s="9" t="s">
        <v>148</v>
      </c>
      <c r="D392" s="9" t="str">
        <f>IFERROR(VLOOKUP(PagosV2[[#This Row],[Codigo del producto]],Entradas[],3,FALSE),"No existe")</f>
        <v>KZ castor Pro</v>
      </c>
      <c r="E392" s="9">
        <v>1</v>
      </c>
      <c r="F392" s="11">
        <v>1000</v>
      </c>
      <c r="G392" s="11">
        <f>IFERROR(PagosV2[[#This Row],[Cantidad vendida]]*PagosV2[[#This Row],[Precio de venta]],"-")</f>
        <v>1000</v>
      </c>
      <c r="H392" s="11">
        <f>IFERROR(PagosV2[[#This Row],[Precio de venta]]-VLOOKUP(PagosV2[[#This Row],[Codigo del producto]],Stock[],13,FALSE),"-")</f>
        <v>335.59449999999993</v>
      </c>
      <c r="I392" s="11">
        <f>IFERROR(PagosV2[[#This Row],[Ganancia (UB)]]*$B$357,0)</f>
        <v>10.067834999999997</v>
      </c>
      <c r="J392" s="11">
        <f>IFERROR(PagosV2[[#This Row],[Ganancia (UB)]]*$B$358,0)</f>
        <v>20.135669999999994</v>
      </c>
      <c r="K392" s="11">
        <f>IFERROR(PagosV2[[#This Row],[Ganancia (UB)]]*$B$359,0)</f>
        <v>10.067834999999997</v>
      </c>
      <c r="L392" s="11">
        <f>IFERROR(PagosV2[[#This Row],[Ganancia (UB)]]*$B$360,0)</f>
        <v>10.067834999999997</v>
      </c>
      <c r="M392" s="11">
        <f>IFERROR(PagosV2[[#This Row],[Ganancia (UB)]]-PagosV2[[#This Row],[PM]]-PagosV2[[#This Row],[GC]]-PagosV2[[#This Row],[PC]]-PagosV2[[#This Row],[U]],0)</f>
        <v>285.25532499999991</v>
      </c>
      <c r="N392" s="11">
        <f t="shared" si="7"/>
        <v>128.36489624999996</v>
      </c>
      <c r="O392" s="11">
        <f>IFERROR(PagosV2[[#This Row],[Ganancia (UV)]]*PagosV2[[#This Row],[Cantidad vendida]],0)</f>
        <v>128.36489624999996</v>
      </c>
      <c r="P392" s="1">
        <f>IFERROR(PagosV2[[#This Row],[Ganancia (N)]]-PagosV2[[#This Row],[Ganancia (UV)]],0)</f>
        <v>156.89042874999996</v>
      </c>
      <c r="Q392" s="1">
        <f>IFERROR(PagosV2[[#This Row],[Ganancia individual (Tienda)]]*PagosV2[[#This Row],[Cantidad vendida]],0)</f>
        <v>156.89042874999996</v>
      </c>
      <c r="R392" s="1">
        <f>IFERROR((PagosV2[[#This Row],[Precio de venta]]-PagosV2[[#This Row],[Ganancia (UB)]])*PagosV2[[#This Row],[Cantidad vendida]],0)</f>
        <v>664.40550000000007</v>
      </c>
      <c r="S392" s="21" t="s">
        <v>312</v>
      </c>
      <c r="T392" s="21"/>
    </row>
    <row r="393" spans="1:20" ht="16.5" hidden="1" x14ac:dyDescent="0.3">
      <c r="A393" s="9" t="s">
        <v>313</v>
      </c>
      <c r="B393" s="75">
        <v>46121</v>
      </c>
      <c r="C393" s="9" t="s">
        <v>61</v>
      </c>
      <c r="D393" s="9" t="str">
        <f>IFERROR(VLOOKUP(PagosV2[[#This Row],[Codigo del producto]],Entradas[],3,FALSE),"No existe")</f>
        <v xml:space="preserve">Adaptador DAC </v>
      </c>
      <c r="E393" s="9">
        <v>1</v>
      </c>
      <c r="F393" s="11">
        <v>300</v>
      </c>
      <c r="G393" s="11">
        <f>IFERROR(PagosV2[[#This Row],[Cantidad vendida]]*PagosV2[[#This Row],[Precio de venta]],"-")</f>
        <v>300</v>
      </c>
      <c r="H393" s="11">
        <f>IFERROR(PagosV2[[#This Row],[Precio de venta]]-VLOOKUP(PagosV2[[#This Row],[Codigo del producto]],Stock[],13,FALSE),"-")</f>
        <v>164.392</v>
      </c>
      <c r="I393" s="11">
        <f>IFERROR(PagosV2[[#This Row],[Ganancia (UB)]]*$B$357,0)</f>
        <v>4.9317599999999997</v>
      </c>
      <c r="J393" s="11">
        <f>IFERROR(PagosV2[[#This Row],[Ganancia (UB)]]*$B$358,0)</f>
        <v>9.8635199999999994</v>
      </c>
      <c r="K393" s="11">
        <f>IFERROR(PagosV2[[#This Row],[Ganancia (UB)]]*$B$359,0)</f>
        <v>4.9317599999999997</v>
      </c>
      <c r="L393" s="11">
        <f>IFERROR(PagosV2[[#This Row],[Ganancia (UB)]]*$B$360,0)</f>
        <v>4.9317599999999997</v>
      </c>
      <c r="M393" s="11">
        <f>IFERROR(PagosV2[[#This Row],[Ganancia (UB)]]-PagosV2[[#This Row],[PM]]-PagosV2[[#This Row],[GC]]-PagosV2[[#This Row],[PC]]-PagosV2[[#This Row],[U]],0)</f>
        <v>139.73320000000001</v>
      </c>
      <c r="N393" s="11">
        <f t="shared" si="7"/>
        <v>62.879940000000005</v>
      </c>
      <c r="O393" s="11">
        <f>IFERROR(PagosV2[[#This Row],[Ganancia (UV)]]*PagosV2[[#This Row],[Cantidad vendida]],0)</f>
        <v>62.879940000000005</v>
      </c>
      <c r="P393" s="1">
        <f>IFERROR(PagosV2[[#This Row],[Ganancia (N)]]-PagosV2[[#This Row],[Ganancia (UV)]],0)</f>
        <v>76.853260000000006</v>
      </c>
      <c r="Q393" s="1">
        <f>IFERROR(PagosV2[[#This Row],[Ganancia individual (Tienda)]]*PagosV2[[#This Row],[Cantidad vendida]],0)</f>
        <v>76.853260000000006</v>
      </c>
      <c r="R393" s="1">
        <f>IFERROR((PagosV2[[#This Row],[Precio de venta]]-PagosV2[[#This Row],[Ganancia (UB)]])*PagosV2[[#This Row],[Cantidad vendida]],0)</f>
        <v>135.608</v>
      </c>
      <c r="S393" s="21" t="s">
        <v>312</v>
      </c>
      <c r="T393" s="21"/>
    </row>
    <row r="394" spans="1:20" ht="16.5" hidden="1" x14ac:dyDescent="0.3">
      <c r="A394" s="9" t="s">
        <v>327</v>
      </c>
      <c r="B394" s="75">
        <v>46121</v>
      </c>
      <c r="C394" s="9" t="s">
        <v>148</v>
      </c>
      <c r="D394" s="9" t="str">
        <f>IFERROR(VLOOKUP(PagosV2[[#This Row],[Codigo del producto]],Entradas[],3,FALSE),"No existe")</f>
        <v>KZ castor Pro</v>
      </c>
      <c r="E394" s="9">
        <v>1</v>
      </c>
      <c r="F394" s="11">
        <v>1000</v>
      </c>
      <c r="G394" s="11">
        <f>IFERROR(PagosV2[[#This Row],[Cantidad vendida]]*PagosV2[[#This Row],[Precio de venta]],"-")</f>
        <v>1000</v>
      </c>
      <c r="H394" s="11">
        <f>IFERROR(PagosV2[[#This Row],[Precio de venta]]-VLOOKUP(PagosV2[[#This Row],[Codigo del producto]],Stock[],13,FALSE),"-")</f>
        <v>335.59449999999993</v>
      </c>
      <c r="I394" s="11">
        <f>IFERROR(PagosV2[[#This Row],[Ganancia (UB)]]*$B$357,0)</f>
        <v>10.067834999999997</v>
      </c>
      <c r="J394" s="11">
        <f>IFERROR(PagosV2[[#This Row],[Ganancia (UB)]]*$B$358,0)</f>
        <v>20.135669999999994</v>
      </c>
      <c r="K394" s="11">
        <f>IFERROR(PagosV2[[#This Row],[Ganancia (UB)]]*$B$359,0)</f>
        <v>10.067834999999997</v>
      </c>
      <c r="L394" s="11">
        <f>IFERROR(PagosV2[[#This Row],[Ganancia (UB)]]*$B$360,0)</f>
        <v>10.067834999999997</v>
      </c>
      <c r="M394" s="11">
        <f>IFERROR(PagosV2[[#This Row],[Ganancia (UB)]]-PagosV2[[#This Row],[PM]]-PagosV2[[#This Row],[GC]]-PagosV2[[#This Row],[PC]]-PagosV2[[#This Row],[U]],0)</f>
        <v>285.25532499999991</v>
      </c>
      <c r="N394" s="11">
        <f t="shared" si="7"/>
        <v>128.36489624999996</v>
      </c>
      <c r="O394" s="11">
        <f>IFERROR(PagosV2[[#This Row],[Ganancia (UV)]]*PagosV2[[#This Row],[Cantidad vendida]],0)</f>
        <v>128.36489624999996</v>
      </c>
      <c r="P394" s="1">
        <f>IFERROR(PagosV2[[#This Row],[Ganancia (N)]]-PagosV2[[#This Row],[Ganancia (UV)]],0)</f>
        <v>156.89042874999996</v>
      </c>
      <c r="Q394" s="1">
        <f>IFERROR(PagosV2[[#This Row],[Ganancia individual (Tienda)]]*PagosV2[[#This Row],[Cantidad vendida]],0)</f>
        <v>156.89042874999996</v>
      </c>
      <c r="R394" s="1">
        <f>IFERROR((PagosV2[[#This Row],[Precio de venta]]-PagosV2[[#This Row],[Ganancia (UB)]])*PagosV2[[#This Row],[Cantidad vendida]],0)</f>
        <v>664.40550000000007</v>
      </c>
      <c r="S394" s="21" t="s">
        <v>312</v>
      </c>
      <c r="T394" s="21"/>
    </row>
    <row r="395" spans="1:20" ht="16.5" hidden="1" x14ac:dyDescent="0.3">
      <c r="A395" s="9" t="s">
        <v>327</v>
      </c>
      <c r="B395" s="75">
        <v>46121</v>
      </c>
      <c r="C395" s="9" t="s">
        <v>61</v>
      </c>
      <c r="D395" s="9" t="str">
        <f>IFERROR(VLOOKUP(PagosV2[[#This Row],[Codigo del producto]],Entradas[],3,FALSE),"No existe")</f>
        <v xml:space="preserve">Adaptador DAC </v>
      </c>
      <c r="E395" s="9">
        <v>1</v>
      </c>
      <c r="F395" s="11">
        <v>300</v>
      </c>
      <c r="G395" s="11">
        <f>IFERROR(PagosV2[[#This Row],[Cantidad vendida]]*PagosV2[[#This Row],[Precio de venta]],"-")</f>
        <v>300</v>
      </c>
      <c r="H395" s="11">
        <f>IFERROR(PagosV2[[#This Row],[Precio de venta]]-VLOOKUP(PagosV2[[#This Row],[Codigo del producto]],Stock[],13,FALSE),"-")</f>
        <v>164.392</v>
      </c>
      <c r="I395" s="11">
        <f>IFERROR(PagosV2[[#This Row],[Ganancia (UB)]]*$B$357,0)</f>
        <v>4.9317599999999997</v>
      </c>
      <c r="J395" s="11">
        <f>IFERROR(PagosV2[[#This Row],[Ganancia (UB)]]*$B$358,0)</f>
        <v>9.8635199999999994</v>
      </c>
      <c r="K395" s="11">
        <f>IFERROR(PagosV2[[#This Row],[Ganancia (UB)]]*$B$359,0)</f>
        <v>4.9317599999999997</v>
      </c>
      <c r="L395" s="11">
        <f>IFERROR(PagosV2[[#This Row],[Ganancia (UB)]]*$B$360,0)</f>
        <v>4.9317599999999997</v>
      </c>
      <c r="M395" s="11">
        <f>IFERROR(PagosV2[[#This Row],[Ganancia (UB)]]-PagosV2[[#This Row],[PM]]-PagosV2[[#This Row],[GC]]-PagosV2[[#This Row],[PC]]-PagosV2[[#This Row],[U]],0)</f>
        <v>139.73320000000001</v>
      </c>
      <c r="N395" s="11">
        <f t="shared" si="7"/>
        <v>62.879940000000005</v>
      </c>
      <c r="O395" s="11">
        <f>IFERROR(PagosV2[[#This Row],[Ganancia (UV)]]*PagosV2[[#This Row],[Cantidad vendida]],0)</f>
        <v>62.879940000000005</v>
      </c>
      <c r="P395" s="1">
        <f>IFERROR(PagosV2[[#This Row],[Ganancia (N)]]-PagosV2[[#This Row],[Ganancia (UV)]],0)</f>
        <v>76.853260000000006</v>
      </c>
      <c r="Q395" s="1">
        <f>IFERROR(PagosV2[[#This Row],[Ganancia individual (Tienda)]]*PagosV2[[#This Row],[Cantidad vendida]],0)</f>
        <v>76.853260000000006</v>
      </c>
      <c r="R395" s="1">
        <f>IFERROR((PagosV2[[#This Row],[Precio de venta]]-PagosV2[[#This Row],[Ganancia (UB)]])*PagosV2[[#This Row],[Cantidad vendida]],0)</f>
        <v>135.608</v>
      </c>
      <c r="S395" s="21" t="s">
        <v>312</v>
      </c>
      <c r="T395" s="21"/>
    </row>
    <row r="396" spans="1:20" ht="16.5" hidden="1" x14ac:dyDescent="0.3">
      <c r="A396" s="9" t="s">
        <v>354</v>
      </c>
      <c r="B396" s="75">
        <v>46121</v>
      </c>
      <c r="C396" s="9" t="s">
        <v>130</v>
      </c>
      <c r="D396" s="9" t="str">
        <f>IFERROR(VLOOKUP(PagosV2[[#This Row],[Codigo del producto]],Entradas[],3,FALSE),"No existe")</f>
        <v>Cargadores USB para moto (Sin pantalla)</v>
      </c>
      <c r="E396" s="9">
        <v>1</v>
      </c>
      <c r="F396" s="11">
        <v>500</v>
      </c>
      <c r="G396" s="11">
        <f>IFERROR(PagosV2[[#This Row],[Cantidad vendida]]*PagosV2[[#This Row],[Precio de venta]],"-")</f>
        <v>500</v>
      </c>
      <c r="H396" s="11">
        <f>IFERROR(PagosV2[[#This Row],[Precio de venta]]-VLOOKUP(PagosV2[[#This Row],[Codigo del producto]],Stock[],13,FALSE),"-")</f>
        <v>255.68449999999996</v>
      </c>
      <c r="I396" s="11">
        <f>IFERROR(PagosV2[[#This Row],[Ganancia (UB)]]*$B$357,0)</f>
        <v>7.6705349999999983</v>
      </c>
      <c r="J396" s="11">
        <f>IFERROR(PagosV2[[#This Row],[Ganancia (UB)]]*$B$358,0)</f>
        <v>15.341069999999997</v>
      </c>
      <c r="K396" s="11">
        <f>IFERROR(PagosV2[[#This Row],[Ganancia (UB)]]*$B$359,0)</f>
        <v>7.6705349999999983</v>
      </c>
      <c r="L396" s="11">
        <f>IFERROR(PagosV2[[#This Row],[Ganancia (UB)]]*$B$360,0)</f>
        <v>7.6705349999999983</v>
      </c>
      <c r="M396" s="11">
        <f>IFERROR(PagosV2[[#This Row],[Ganancia (UB)]]-PagosV2[[#This Row],[PM]]-PagosV2[[#This Row],[GC]]-PagosV2[[#This Row],[PC]]-PagosV2[[#This Row],[U]],0)</f>
        <v>217.33182499999995</v>
      </c>
      <c r="N396" s="11">
        <f t="shared" si="7"/>
        <v>97.799321249999977</v>
      </c>
      <c r="O396" s="11">
        <f>IFERROR(PagosV2[[#This Row],[Ganancia (UV)]]*PagosV2[[#This Row],[Cantidad vendida]],0)</f>
        <v>97.799321249999977</v>
      </c>
      <c r="P396" s="1">
        <f>IFERROR(PagosV2[[#This Row],[Ganancia (N)]]-PagosV2[[#This Row],[Ganancia (UV)]],0)</f>
        <v>119.53250374999998</v>
      </c>
      <c r="Q396" s="1">
        <f>IFERROR(PagosV2[[#This Row],[Ganancia individual (Tienda)]]*PagosV2[[#This Row],[Cantidad vendida]],0)</f>
        <v>119.53250374999998</v>
      </c>
      <c r="R396" s="1">
        <f>IFERROR((PagosV2[[#This Row],[Precio de venta]]-PagosV2[[#This Row],[Ganancia (UB)]])*PagosV2[[#This Row],[Cantidad vendida]],0)</f>
        <v>244.31550000000004</v>
      </c>
      <c r="S396" s="21" t="s">
        <v>312</v>
      </c>
      <c r="T396" s="21"/>
    </row>
    <row r="397" spans="1:20" ht="16.5" hidden="1" x14ac:dyDescent="0.3">
      <c r="A397" s="9" t="s">
        <v>311</v>
      </c>
      <c r="B397" s="75">
        <v>46121</v>
      </c>
      <c r="C397" s="9" t="s">
        <v>150</v>
      </c>
      <c r="D397" s="9" t="str">
        <f>IFERROR(VLOOKUP(PagosV2[[#This Row],[Codigo del producto]],Entradas[],3,FALSE),"No existe")</f>
        <v>KZ EDX Pro X</v>
      </c>
      <c r="E397" s="9">
        <v>2</v>
      </c>
      <c r="F397" s="11">
        <v>400</v>
      </c>
      <c r="G397" s="11">
        <f>IFERROR(PagosV2[[#This Row],[Cantidad vendida]]*PagosV2[[#This Row],[Precio de venta]],"-")</f>
        <v>800</v>
      </c>
      <c r="H397" s="11">
        <f>IFERROR(PagosV2[[#This Row],[Precio de venta]]-VLOOKUP(PagosV2[[#This Row],[Codigo del producto]],Stock[],13,FALSE),"-")</f>
        <v>181.11099999999999</v>
      </c>
      <c r="I397" s="11">
        <f>IFERROR(PagosV2[[#This Row],[Ganancia (UB)]]*$B$357,0)</f>
        <v>5.4333299999999998</v>
      </c>
      <c r="J397" s="11">
        <f>IFERROR(PagosV2[[#This Row],[Ganancia (UB)]]*$B$358,0)</f>
        <v>10.86666</v>
      </c>
      <c r="K397" s="11">
        <f>IFERROR(PagosV2[[#This Row],[Ganancia (UB)]]*$B$359,0)</f>
        <v>5.4333299999999998</v>
      </c>
      <c r="L397" s="11">
        <f>IFERROR(PagosV2[[#This Row],[Ganancia (UB)]]*$B$360,0)</f>
        <v>5.4333299999999998</v>
      </c>
      <c r="M397" s="11">
        <f>IFERROR(PagosV2[[#This Row],[Ganancia (UB)]]-PagosV2[[#This Row],[PM]]-PagosV2[[#This Row],[GC]]-PagosV2[[#This Row],[PC]]-PagosV2[[#This Row],[U]],0)</f>
        <v>153.94434999999996</v>
      </c>
      <c r="N397" s="11">
        <f t="shared" si="7"/>
        <v>69.274957499999985</v>
      </c>
      <c r="O397" s="11">
        <f>IFERROR(PagosV2[[#This Row],[Ganancia (UV)]]*PagosV2[[#This Row],[Cantidad vendida]],0)</f>
        <v>138.54991499999997</v>
      </c>
      <c r="P397" s="1">
        <f>IFERROR(PagosV2[[#This Row],[Ganancia (N)]]-PagosV2[[#This Row],[Ganancia (UV)]],0)</f>
        <v>84.669392499999972</v>
      </c>
      <c r="Q397" s="1">
        <f>IFERROR(PagosV2[[#This Row],[Ganancia individual (Tienda)]]*PagosV2[[#This Row],[Cantidad vendida]],0)</f>
        <v>169.33878499999994</v>
      </c>
      <c r="R397" s="1">
        <f>IFERROR((PagosV2[[#This Row],[Precio de venta]]-PagosV2[[#This Row],[Ganancia (UB)]])*PagosV2[[#This Row],[Cantidad vendida]],0)</f>
        <v>437.77800000000002</v>
      </c>
      <c r="S397" s="21" t="s">
        <v>312</v>
      </c>
      <c r="T397" s="21"/>
    </row>
    <row r="398" spans="1:20" ht="16.5" hidden="1" x14ac:dyDescent="0.3">
      <c r="A398" s="9" t="s">
        <v>311</v>
      </c>
      <c r="B398" s="75">
        <v>46121</v>
      </c>
      <c r="C398" s="9" t="s">
        <v>61</v>
      </c>
      <c r="D398" s="9" t="str">
        <f>IFERROR(VLOOKUP(PagosV2[[#This Row],[Codigo del producto]],Entradas[],3,FALSE),"No existe")</f>
        <v xml:space="preserve">Adaptador DAC </v>
      </c>
      <c r="E398" s="9">
        <v>2</v>
      </c>
      <c r="F398" s="11">
        <v>350</v>
      </c>
      <c r="G398" s="11">
        <f>IFERROR(PagosV2[[#This Row],[Cantidad vendida]]*PagosV2[[#This Row],[Precio de venta]],"-")</f>
        <v>700</v>
      </c>
      <c r="H398" s="11">
        <f>IFERROR(PagosV2[[#This Row],[Precio de venta]]-VLOOKUP(PagosV2[[#This Row],[Codigo del producto]],Stock[],13,FALSE),"-")</f>
        <v>214.392</v>
      </c>
      <c r="I398" s="11">
        <f>IFERROR(PagosV2[[#This Row],[Ganancia (UB)]]*$B$357,0)</f>
        <v>6.4317599999999997</v>
      </c>
      <c r="J398" s="11">
        <f>IFERROR(PagosV2[[#This Row],[Ganancia (UB)]]*$B$358,0)</f>
        <v>12.863519999999999</v>
      </c>
      <c r="K398" s="11">
        <f>IFERROR(PagosV2[[#This Row],[Ganancia (UB)]]*$B$359,0)</f>
        <v>6.4317599999999997</v>
      </c>
      <c r="L398" s="11">
        <f>IFERROR(PagosV2[[#This Row],[Ganancia (UB)]]*$B$360,0)</f>
        <v>6.4317599999999997</v>
      </c>
      <c r="M398" s="11">
        <f>IFERROR(PagosV2[[#This Row],[Ganancia (UB)]]-PagosV2[[#This Row],[PM]]-PagosV2[[#This Row],[GC]]-PagosV2[[#This Row],[PC]]-PagosV2[[#This Row],[U]],0)</f>
        <v>182.23320000000001</v>
      </c>
      <c r="N398" s="11">
        <f t="shared" si="7"/>
        <v>82.004940000000005</v>
      </c>
      <c r="O398" s="11">
        <f>IFERROR(PagosV2[[#This Row],[Ganancia (UV)]]*PagosV2[[#This Row],[Cantidad vendida]],0)</f>
        <v>164.00988000000001</v>
      </c>
      <c r="P398" s="1">
        <f>IFERROR(PagosV2[[#This Row],[Ganancia (N)]]-PagosV2[[#This Row],[Ganancia (UV)]],0)</f>
        <v>100.22826000000001</v>
      </c>
      <c r="Q398" s="1">
        <f>IFERROR(PagosV2[[#This Row],[Ganancia individual (Tienda)]]*PagosV2[[#This Row],[Cantidad vendida]],0)</f>
        <v>200.45652000000001</v>
      </c>
      <c r="R398" s="1">
        <f>IFERROR((PagosV2[[#This Row],[Precio de venta]]-PagosV2[[#This Row],[Ganancia (UB)]])*PagosV2[[#This Row],[Cantidad vendida]],0)</f>
        <v>271.21600000000001</v>
      </c>
      <c r="S398" s="21" t="s">
        <v>312</v>
      </c>
      <c r="T398" s="21"/>
    </row>
    <row r="399" spans="1:20" ht="16.5" hidden="1" x14ac:dyDescent="0.3">
      <c r="A399" s="9" t="s">
        <v>311</v>
      </c>
      <c r="B399" s="75">
        <v>46122</v>
      </c>
      <c r="C399" s="9" t="s">
        <v>64</v>
      </c>
      <c r="D399" s="9" t="str">
        <f>IFERROR(VLOOKUP(PagosV2[[#This Row],[Codigo del producto]],Entradas[],3,FALSE),"No existe")</f>
        <v>Monter MQT39</v>
      </c>
      <c r="E399" s="9">
        <v>1</v>
      </c>
      <c r="F399" s="11">
        <v>500</v>
      </c>
      <c r="G399" s="11">
        <f>IFERROR(PagosV2[[#This Row],[Cantidad vendida]]*PagosV2[[#This Row],[Precio de venta]],"-")</f>
        <v>500</v>
      </c>
      <c r="H399" s="11">
        <f>IFERROR(PagosV2[[#This Row],[Precio de venta]]-VLOOKUP(PagosV2[[#This Row],[Codigo del producto]],Stock[],13,FALSE),"-")</f>
        <v>82.489499999999964</v>
      </c>
      <c r="I399" s="11">
        <f>IFERROR(PagosV2[[#This Row],[Ganancia (UB)]]*$B$357,0)</f>
        <v>2.4746849999999987</v>
      </c>
      <c r="J399" s="11">
        <f>IFERROR(PagosV2[[#This Row],[Ganancia (UB)]]*$B$358,0)</f>
        <v>4.9493699999999974</v>
      </c>
      <c r="K399" s="11">
        <f>IFERROR(PagosV2[[#This Row],[Ganancia (UB)]]*$B$359,0)</f>
        <v>2.4746849999999987</v>
      </c>
      <c r="L399" s="11">
        <f>IFERROR(PagosV2[[#This Row],[Ganancia (UB)]]*$B$360,0)</f>
        <v>2.4746849999999987</v>
      </c>
      <c r="M399" s="11">
        <f>IFERROR(PagosV2[[#This Row],[Ganancia (UB)]]-PagosV2[[#This Row],[PM]]-PagosV2[[#This Row],[GC]]-PagosV2[[#This Row],[PC]]-PagosV2[[#This Row],[U]],0)</f>
        <v>70.116074999999981</v>
      </c>
      <c r="N399" s="11">
        <f t="shared" si="7"/>
        <v>31.552233749999992</v>
      </c>
      <c r="O399" s="11">
        <f>IFERROR(PagosV2[[#This Row],[Ganancia (UV)]]*PagosV2[[#This Row],[Cantidad vendida]],0)</f>
        <v>31.552233749999992</v>
      </c>
      <c r="P399" s="1">
        <f>IFERROR(PagosV2[[#This Row],[Ganancia (N)]]-PagosV2[[#This Row],[Ganancia (UV)]],0)</f>
        <v>38.563841249999989</v>
      </c>
      <c r="Q399" s="1">
        <f>IFERROR(PagosV2[[#This Row],[Ganancia individual (Tienda)]]*PagosV2[[#This Row],[Cantidad vendida]],0)</f>
        <v>38.563841249999989</v>
      </c>
      <c r="R399" s="1">
        <f>IFERROR((PagosV2[[#This Row],[Precio de venta]]-PagosV2[[#This Row],[Ganancia (UB)]])*PagosV2[[#This Row],[Cantidad vendida]],0)</f>
        <v>417.51050000000004</v>
      </c>
      <c r="S399" s="21" t="s">
        <v>312</v>
      </c>
      <c r="T399" s="21"/>
    </row>
    <row r="400" spans="1:20" ht="16.5" hidden="1" x14ac:dyDescent="0.3">
      <c r="A400" s="9" t="s">
        <v>311</v>
      </c>
      <c r="B400" s="75">
        <v>46122</v>
      </c>
      <c r="C400" s="9" t="s">
        <v>150</v>
      </c>
      <c r="D400" s="9" t="str">
        <f>IFERROR(VLOOKUP(PagosV2[[#This Row],[Codigo del producto]],Entradas[],3,FALSE),"No existe")</f>
        <v>KZ EDX Pro X</v>
      </c>
      <c r="E400" s="9">
        <v>1</v>
      </c>
      <c r="F400" s="11">
        <v>450</v>
      </c>
      <c r="G400" s="11">
        <f>IFERROR(PagosV2[[#This Row],[Cantidad vendida]]*PagosV2[[#This Row],[Precio de venta]],"-")</f>
        <v>450</v>
      </c>
      <c r="H400" s="11">
        <f>IFERROR(PagosV2[[#This Row],[Precio de venta]]-VLOOKUP(PagosV2[[#This Row],[Codigo del producto]],Stock[],13,FALSE),"-")</f>
        <v>231.11099999999999</v>
      </c>
      <c r="I400" s="11">
        <f>IFERROR(PagosV2[[#This Row],[Ganancia (UB)]]*$B$357,0)</f>
        <v>6.9333299999999998</v>
      </c>
      <c r="J400" s="11">
        <f>IFERROR(PagosV2[[#This Row],[Ganancia (UB)]]*$B$358,0)</f>
        <v>13.86666</v>
      </c>
      <c r="K400" s="11">
        <f>IFERROR(PagosV2[[#This Row],[Ganancia (UB)]]*$B$359,0)</f>
        <v>6.9333299999999998</v>
      </c>
      <c r="L400" s="11">
        <f>IFERROR(PagosV2[[#This Row],[Ganancia (UB)]]*$B$360,0)</f>
        <v>6.9333299999999998</v>
      </c>
      <c r="M400" s="11">
        <f>IFERROR(PagosV2[[#This Row],[Ganancia (UB)]]-PagosV2[[#This Row],[PM]]-PagosV2[[#This Row],[GC]]-PagosV2[[#This Row],[PC]]-PagosV2[[#This Row],[U]],0)</f>
        <v>196.44434999999996</v>
      </c>
      <c r="N400" s="11">
        <f t="shared" si="7"/>
        <v>88.399957499999985</v>
      </c>
      <c r="O400" s="11">
        <f>IFERROR(PagosV2[[#This Row],[Ganancia (UV)]]*PagosV2[[#This Row],[Cantidad vendida]],0)</f>
        <v>88.399957499999985</v>
      </c>
      <c r="P400" s="1">
        <f>IFERROR(PagosV2[[#This Row],[Ganancia (N)]]-PagosV2[[#This Row],[Ganancia (UV)]],0)</f>
        <v>108.04439249999997</v>
      </c>
      <c r="Q400" s="1">
        <f>IFERROR(PagosV2[[#This Row],[Ganancia individual (Tienda)]]*PagosV2[[#This Row],[Cantidad vendida]],0)</f>
        <v>108.04439249999997</v>
      </c>
      <c r="R400" s="1">
        <f>IFERROR((PagosV2[[#This Row],[Precio de venta]]-PagosV2[[#This Row],[Ganancia (UB)]])*PagosV2[[#This Row],[Cantidad vendida]],0)</f>
        <v>218.88900000000001</v>
      </c>
      <c r="S400" s="21" t="s">
        <v>312</v>
      </c>
      <c r="T400" s="21"/>
    </row>
    <row r="401" spans="1:20" ht="16.5" hidden="1" x14ac:dyDescent="0.3">
      <c r="A401" s="9" t="s">
        <v>311</v>
      </c>
      <c r="B401" s="75">
        <v>46122</v>
      </c>
      <c r="C401" s="9" t="s">
        <v>148</v>
      </c>
      <c r="D401" s="9" t="str">
        <f>IFERROR(VLOOKUP(PagosV2[[#This Row],[Codigo del producto]],Entradas[],3,FALSE),"No existe")</f>
        <v>KZ castor Pro</v>
      </c>
      <c r="E401" s="9">
        <v>1</v>
      </c>
      <c r="F401" s="11">
        <v>1000</v>
      </c>
      <c r="G401" s="11">
        <f>IFERROR(PagosV2[[#This Row],[Cantidad vendida]]*PagosV2[[#This Row],[Precio de venta]],"-")</f>
        <v>1000</v>
      </c>
      <c r="H401" s="11">
        <f>IFERROR(PagosV2[[#This Row],[Precio de venta]]-VLOOKUP(PagosV2[[#This Row],[Codigo del producto]],Stock[],13,FALSE),"-")</f>
        <v>335.59449999999993</v>
      </c>
      <c r="I401" s="11">
        <f>IFERROR(PagosV2[[#This Row],[Ganancia (UB)]]*$B$357,0)</f>
        <v>10.067834999999997</v>
      </c>
      <c r="J401" s="11">
        <f>IFERROR(PagosV2[[#This Row],[Ganancia (UB)]]*$B$358,0)</f>
        <v>20.135669999999994</v>
      </c>
      <c r="K401" s="11">
        <f>IFERROR(PagosV2[[#This Row],[Ganancia (UB)]]*$B$359,0)</f>
        <v>10.067834999999997</v>
      </c>
      <c r="L401" s="11">
        <f>IFERROR(PagosV2[[#This Row],[Ganancia (UB)]]*$B$360,0)</f>
        <v>10.067834999999997</v>
      </c>
      <c r="M401" s="11">
        <f>IFERROR(PagosV2[[#This Row],[Ganancia (UB)]]-PagosV2[[#This Row],[PM]]-PagosV2[[#This Row],[GC]]-PagosV2[[#This Row],[PC]]-PagosV2[[#This Row],[U]],0)</f>
        <v>285.25532499999991</v>
      </c>
      <c r="N401" s="11">
        <f t="shared" si="7"/>
        <v>128.36489624999996</v>
      </c>
      <c r="O401" s="11">
        <f>IFERROR(PagosV2[[#This Row],[Ganancia (UV)]]*PagosV2[[#This Row],[Cantidad vendida]],0)</f>
        <v>128.36489624999996</v>
      </c>
      <c r="P401" s="1">
        <f>IFERROR(PagosV2[[#This Row],[Ganancia (N)]]-PagosV2[[#This Row],[Ganancia (UV)]],0)</f>
        <v>156.89042874999996</v>
      </c>
      <c r="Q401" s="1">
        <f>IFERROR(PagosV2[[#This Row],[Ganancia individual (Tienda)]]*PagosV2[[#This Row],[Cantidad vendida]],0)</f>
        <v>156.89042874999996</v>
      </c>
      <c r="R401" s="1">
        <f>IFERROR((PagosV2[[#This Row],[Precio de venta]]-PagosV2[[#This Row],[Ganancia (UB)]])*PagosV2[[#This Row],[Cantidad vendida]],0)</f>
        <v>664.40550000000007</v>
      </c>
      <c r="S401" s="21" t="s">
        <v>312</v>
      </c>
      <c r="T401" s="21"/>
    </row>
    <row r="402" spans="1:20" ht="16.5" hidden="1" x14ac:dyDescent="0.3">
      <c r="A402" s="9" t="s">
        <v>311</v>
      </c>
      <c r="B402" s="75">
        <v>46122</v>
      </c>
      <c r="C402" s="9" t="s">
        <v>61</v>
      </c>
      <c r="D402" s="9" t="str">
        <f>IFERROR(VLOOKUP(PagosV2[[#This Row],[Codigo del producto]],Entradas[],3,FALSE),"No existe")</f>
        <v xml:space="preserve">Adaptador DAC </v>
      </c>
      <c r="E402" s="9">
        <v>1</v>
      </c>
      <c r="F402" s="11">
        <v>300</v>
      </c>
      <c r="G402" s="11">
        <f>IFERROR(PagosV2[[#This Row],[Cantidad vendida]]*PagosV2[[#This Row],[Precio de venta]],"-")</f>
        <v>300</v>
      </c>
      <c r="H402" s="11">
        <f>IFERROR(PagosV2[[#This Row],[Precio de venta]]-VLOOKUP(PagosV2[[#This Row],[Codigo del producto]],Stock[],13,FALSE),"-")</f>
        <v>164.392</v>
      </c>
      <c r="I402" s="11">
        <f>IFERROR(PagosV2[[#This Row],[Ganancia (UB)]]*$B$357,0)</f>
        <v>4.9317599999999997</v>
      </c>
      <c r="J402" s="11">
        <f>IFERROR(PagosV2[[#This Row],[Ganancia (UB)]]*$B$358,0)</f>
        <v>9.8635199999999994</v>
      </c>
      <c r="K402" s="11">
        <f>IFERROR(PagosV2[[#This Row],[Ganancia (UB)]]*$B$359,0)</f>
        <v>4.9317599999999997</v>
      </c>
      <c r="L402" s="11">
        <f>IFERROR(PagosV2[[#This Row],[Ganancia (UB)]]*$B$360,0)</f>
        <v>4.9317599999999997</v>
      </c>
      <c r="M402" s="11">
        <f>IFERROR(PagosV2[[#This Row],[Ganancia (UB)]]-PagosV2[[#This Row],[PM]]-PagosV2[[#This Row],[GC]]-PagosV2[[#This Row],[PC]]-PagosV2[[#This Row],[U]],0)</f>
        <v>139.73320000000001</v>
      </c>
      <c r="N402" s="11">
        <f t="shared" si="7"/>
        <v>62.879940000000005</v>
      </c>
      <c r="O402" s="11">
        <f>IFERROR(PagosV2[[#This Row],[Ganancia (UV)]]*PagosV2[[#This Row],[Cantidad vendida]],0)</f>
        <v>62.879940000000005</v>
      </c>
      <c r="P402" s="1">
        <f>IFERROR(PagosV2[[#This Row],[Ganancia (N)]]-PagosV2[[#This Row],[Ganancia (UV)]],0)</f>
        <v>76.853260000000006</v>
      </c>
      <c r="Q402" s="1">
        <f>IFERROR(PagosV2[[#This Row],[Ganancia individual (Tienda)]]*PagosV2[[#This Row],[Cantidad vendida]],0)</f>
        <v>76.853260000000006</v>
      </c>
      <c r="R402" s="1">
        <f>IFERROR((PagosV2[[#This Row],[Precio de venta]]-PagosV2[[#This Row],[Ganancia (UB)]])*PagosV2[[#This Row],[Cantidad vendida]],0)</f>
        <v>135.608</v>
      </c>
      <c r="S402" s="21" t="s">
        <v>312</v>
      </c>
      <c r="T402" s="21"/>
    </row>
    <row r="403" spans="1:20" ht="16.5" hidden="1" x14ac:dyDescent="0.3">
      <c r="A403" s="9" t="s">
        <v>313</v>
      </c>
      <c r="B403" s="75">
        <v>46122</v>
      </c>
      <c r="C403" s="9" t="s">
        <v>150</v>
      </c>
      <c r="D403" s="9" t="str">
        <f>IFERROR(VLOOKUP(PagosV2[[#This Row],[Codigo del producto]],Entradas[],3,FALSE),"No existe")</f>
        <v>KZ EDX Pro X</v>
      </c>
      <c r="E403" s="9">
        <v>1</v>
      </c>
      <c r="F403" s="11">
        <v>400</v>
      </c>
      <c r="G403" s="11">
        <f>IFERROR(PagosV2[[#This Row],[Cantidad vendida]]*PagosV2[[#This Row],[Precio de venta]],"-")</f>
        <v>400</v>
      </c>
      <c r="H403" s="11">
        <f>IFERROR(PagosV2[[#This Row],[Precio de venta]]-VLOOKUP(PagosV2[[#This Row],[Codigo del producto]],Stock[],13,FALSE),"-")</f>
        <v>181.11099999999999</v>
      </c>
      <c r="I403" s="11">
        <f>IFERROR(PagosV2[[#This Row],[Ganancia (UB)]]*$B$357,0)</f>
        <v>5.4333299999999998</v>
      </c>
      <c r="J403" s="11">
        <f>IFERROR(PagosV2[[#This Row],[Ganancia (UB)]]*$B$358,0)</f>
        <v>10.86666</v>
      </c>
      <c r="K403" s="11">
        <f>IFERROR(PagosV2[[#This Row],[Ganancia (UB)]]*$B$359,0)</f>
        <v>5.4333299999999998</v>
      </c>
      <c r="L403" s="11">
        <f>IFERROR(PagosV2[[#This Row],[Ganancia (UB)]]*$B$360,0)</f>
        <v>5.4333299999999998</v>
      </c>
      <c r="M403" s="11">
        <f>IFERROR(PagosV2[[#This Row],[Ganancia (UB)]]-PagosV2[[#This Row],[PM]]-PagosV2[[#This Row],[GC]]-PagosV2[[#This Row],[PC]]-PagosV2[[#This Row],[U]],0)</f>
        <v>153.94434999999996</v>
      </c>
      <c r="N403" s="11">
        <f t="shared" si="7"/>
        <v>69.274957499999985</v>
      </c>
      <c r="O403" s="11">
        <f>IFERROR(PagosV2[[#This Row],[Ganancia (UV)]]*PagosV2[[#This Row],[Cantidad vendida]],0)</f>
        <v>69.274957499999985</v>
      </c>
      <c r="P403" s="1">
        <f>IFERROR(PagosV2[[#This Row],[Ganancia (N)]]-PagosV2[[#This Row],[Ganancia (UV)]],0)</f>
        <v>84.669392499999972</v>
      </c>
      <c r="Q403" s="1">
        <f>IFERROR(PagosV2[[#This Row],[Ganancia individual (Tienda)]]*PagosV2[[#This Row],[Cantidad vendida]],0)</f>
        <v>84.669392499999972</v>
      </c>
      <c r="R403" s="1">
        <f>IFERROR((PagosV2[[#This Row],[Precio de venta]]-PagosV2[[#This Row],[Ganancia (UB)]])*PagosV2[[#This Row],[Cantidad vendida]],0)</f>
        <v>218.88900000000001</v>
      </c>
      <c r="S403" s="21" t="s">
        <v>312</v>
      </c>
      <c r="T403" s="21"/>
    </row>
    <row r="404" spans="1:20" ht="16.5" hidden="1" x14ac:dyDescent="0.3">
      <c r="A404" s="9" t="s">
        <v>313</v>
      </c>
      <c r="B404" s="75">
        <v>46122</v>
      </c>
      <c r="C404" s="9" t="s">
        <v>157</v>
      </c>
      <c r="D404" s="9" t="str">
        <f>IFERROR(VLOOKUP(PagosV2[[#This Row],[Codigo del producto]],Entradas[],3,FALSE),"No existe")</f>
        <v>KZ AZ09</v>
      </c>
      <c r="E404" s="9">
        <v>1</v>
      </c>
      <c r="F404" s="11">
        <v>1000</v>
      </c>
      <c r="G404" s="11">
        <f>IFERROR(PagosV2[[#This Row],[Cantidad vendida]]*PagosV2[[#This Row],[Precio de venta]],"-")</f>
        <v>1000</v>
      </c>
      <c r="H404" s="11">
        <f>IFERROR(PagosV2[[#This Row],[Precio de venta]]-VLOOKUP(PagosV2[[#This Row],[Codigo del producto]],Stock[],13,FALSE),"-")</f>
        <v>347.38649999999996</v>
      </c>
      <c r="I404" s="11">
        <f>IFERROR(PagosV2[[#This Row],[Ganancia (UB)]]*$B$357,0)</f>
        <v>10.421594999999998</v>
      </c>
      <c r="J404" s="11">
        <f>IFERROR(PagosV2[[#This Row],[Ganancia (UB)]]*$B$358,0)</f>
        <v>20.843189999999996</v>
      </c>
      <c r="K404" s="11">
        <f>IFERROR(PagosV2[[#This Row],[Ganancia (UB)]]*$B$359,0)</f>
        <v>10.421594999999998</v>
      </c>
      <c r="L404" s="11">
        <f>IFERROR(PagosV2[[#This Row],[Ganancia (UB)]]*$B$360,0)</f>
        <v>10.421594999999998</v>
      </c>
      <c r="M404" s="11">
        <f>IFERROR(PagosV2[[#This Row],[Ganancia (UB)]]-PagosV2[[#This Row],[PM]]-PagosV2[[#This Row],[GC]]-PagosV2[[#This Row],[PC]]-PagosV2[[#This Row],[U]],0)</f>
        <v>295.27852499999989</v>
      </c>
      <c r="N404" s="11">
        <f t="shared" si="7"/>
        <v>132.87533624999995</v>
      </c>
      <c r="O404" s="11">
        <f>IFERROR(PagosV2[[#This Row],[Ganancia (UV)]]*PagosV2[[#This Row],[Cantidad vendida]],0)</f>
        <v>132.87533624999995</v>
      </c>
      <c r="P404" s="1">
        <f>IFERROR(PagosV2[[#This Row],[Ganancia (N)]]-PagosV2[[#This Row],[Ganancia (UV)]],0)</f>
        <v>162.40318874999994</v>
      </c>
      <c r="Q404" s="1">
        <f>IFERROR(PagosV2[[#This Row],[Ganancia individual (Tienda)]]*PagosV2[[#This Row],[Cantidad vendida]],0)</f>
        <v>162.40318874999994</v>
      </c>
      <c r="R404" s="1">
        <f>IFERROR((PagosV2[[#This Row],[Precio de venta]]-PagosV2[[#This Row],[Ganancia (UB)]])*PagosV2[[#This Row],[Cantidad vendida]],0)</f>
        <v>652.61350000000004</v>
      </c>
      <c r="S404" s="21" t="s">
        <v>312</v>
      </c>
      <c r="T404" s="21"/>
    </row>
    <row r="405" spans="1:20" ht="16.5" hidden="1" x14ac:dyDescent="0.3">
      <c r="A405" s="9" t="s">
        <v>354</v>
      </c>
      <c r="B405" s="75">
        <v>46122</v>
      </c>
      <c r="C405" s="9" t="s">
        <v>150</v>
      </c>
      <c r="D405" s="9" t="str">
        <f>IFERROR(VLOOKUP(PagosV2[[#This Row],[Codigo del producto]],Entradas[],3,FALSE),"No existe")</f>
        <v>KZ EDX Pro X</v>
      </c>
      <c r="E405" s="9">
        <v>1</v>
      </c>
      <c r="F405" s="11">
        <v>400</v>
      </c>
      <c r="G405" s="11">
        <f>IFERROR(PagosV2[[#This Row],[Cantidad vendida]]*PagosV2[[#This Row],[Precio de venta]],"-")</f>
        <v>400</v>
      </c>
      <c r="H405" s="11">
        <f>IFERROR(PagosV2[[#This Row],[Precio de venta]]-VLOOKUP(PagosV2[[#This Row],[Codigo del producto]],Stock[],13,FALSE),"-")</f>
        <v>181.11099999999999</v>
      </c>
      <c r="I405" s="11">
        <f>IFERROR(PagosV2[[#This Row],[Ganancia (UB)]]*$B$357,0)</f>
        <v>5.4333299999999998</v>
      </c>
      <c r="J405" s="11">
        <f>IFERROR(PagosV2[[#This Row],[Ganancia (UB)]]*$B$358,0)</f>
        <v>10.86666</v>
      </c>
      <c r="K405" s="11">
        <f>IFERROR(PagosV2[[#This Row],[Ganancia (UB)]]*$B$359,0)</f>
        <v>5.4333299999999998</v>
      </c>
      <c r="L405" s="11">
        <f>IFERROR(PagosV2[[#This Row],[Ganancia (UB)]]*$B$360,0)</f>
        <v>5.4333299999999998</v>
      </c>
      <c r="M405" s="11">
        <f>IFERROR(PagosV2[[#This Row],[Ganancia (UB)]]-PagosV2[[#This Row],[PM]]-PagosV2[[#This Row],[GC]]-PagosV2[[#This Row],[PC]]-PagosV2[[#This Row],[U]],0)</f>
        <v>153.94434999999996</v>
      </c>
      <c r="N405" s="11">
        <f t="shared" si="7"/>
        <v>69.274957499999985</v>
      </c>
      <c r="O405" s="11">
        <f>IFERROR(PagosV2[[#This Row],[Ganancia (UV)]]*PagosV2[[#This Row],[Cantidad vendida]],0)</f>
        <v>69.274957499999985</v>
      </c>
      <c r="P405" s="1">
        <f>IFERROR(PagosV2[[#This Row],[Ganancia (N)]]-PagosV2[[#This Row],[Ganancia (UV)]],0)</f>
        <v>84.669392499999972</v>
      </c>
      <c r="Q405" s="1">
        <f>IFERROR(PagosV2[[#This Row],[Ganancia individual (Tienda)]]*PagosV2[[#This Row],[Cantidad vendida]],0)</f>
        <v>84.669392499999972</v>
      </c>
      <c r="R405" s="1">
        <f>IFERROR((PagosV2[[#This Row],[Precio de venta]]-PagosV2[[#This Row],[Ganancia (UB)]])*PagosV2[[#This Row],[Cantidad vendida]],0)</f>
        <v>218.88900000000001</v>
      </c>
      <c r="S405" s="21" t="s">
        <v>312</v>
      </c>
      <c r="T405" s="21"/>
    </row>
    <row r="406" spans="1:20" ht="16.5" hidden="1" x14ac:dyDescent="0.3">
      <c r="A406" s="9" t="s">
        <v>354</v>
      </c>
      <c r="B406" s="75">
        <v>46122</v>
      </c>
      <c r="C406" s="9" t="s">
        <v>157</v>
      </c>
      <c r="D406" s="9" t="str">
        <f>IFERROR(VLOOKUP(PagosV2[[#This Row],[Codigo del producto]],Entradas[],3,FALSE),"No existe")</f>
        <v>KZ AZ09</v>
      </c>
      <c r="E406" s="9">
        <v>1</v>
      </c>
      <c r="F406" s="11">
        <v>1000</v>
      </c>
      <c r="G406" s="11">
        <f>IFERROR(PagosV2[[#This Row],[Cantidad vendida]]*PagosV2[[#This Row],[Precio de venta]],"-")</f>
        <v>1000</v>
      </c>
      <c r="H406" s="11">
        <f>IFERROR(PagosV2[[#This Row],[Precio de venta]]-VLOOKUP(PagosV2[[#This Row],[Codigo del producto]],Stock[],13,FALSE),"-")</f>
        <v>347.38649999999996</v>
      </c>
      <c r="I406" s="11">
        <f>IFERROR(PagosV2[[#This Row],[Ganancia (UB)]]*$B$357,0)</f>
        <v>10.421594999999998</v>
      </c>
      <c r="J406" s="11">
        <f>IFERROR(PagosV2[[#This Row],[Ganancia (UB)]]*$B$358,0)</f>
        <v>20.843189999999996</v>
      </c>
      <c r="K406" s="11">
        <f>IFERROR(PagosV2[[#This Row],[Ganancia (UB)]]*$B$359,0)</f>
        <v>10.421594999999998</v>
      </c>
      <c r="L406" s="11">
        <f>IFERROR(PagosV2[[#This Row],[Ganancia (UB)]]*$B$360,0)</f>
        <v>10.421594999999998</v>
      </c>
      <c r="M406" s="11">
        <f>IFERROR(PagosV2[[#This Row],[Ganancia (UB)]]-PagosV2[[#This Row],[PM]]-PagosV2[[#This Row],[GC]]-PagosV2[[#This Row],[PC]]-PagosV2[[#This Row],[U]],0)</f>
        <v>295.27852499999989</v>
      </c>
      <c r="N406" s="11">
        <f t="shared" si="7"/>
        <v>132.87533624999995</v>
      </c>
      <c r="O406" s="11">
        <f>IFERROR(PagosV2[[#This Row],[Ganancia (UV)]]*PagosV2[[#This Row],[Cantidad vendida]],0)</f>
        <v>132.87533624999995</v>
      </c>
      <c r="P406" s="1">
        <f>IFERROR(PagosV2[[#This Row],[Ganancia (N)]]-PagosV2[[#This Row],[Ganancia (UV)]],0)</f>
        <v>162.40318874999994</v>
      </c>
      <c r="Q406" s="1">
        <f>IFERROR(PagosV2[[#This Row],[Ganancia individual (Tienda)]]*PagosV2[[#This Row],[Cantidad vendida]],0)</f>
        <v>162.40318874999994</v>
      </c>
      <c r="R406" s="1">
        <f>IFERROR((PagosV2[[#This Row],[Precio de venta]]-PagosV2[[#This Row],[Ganancia (UB)]])*PagosV2[[#This Row],[Cantidad vendida]],0)</f>
        <v>652.61350000000004</v>
      </c>
      <c r="S406" s="21" t="s">
        <v>312</v>
      </c>
      <c r="T406" s="21"/>
    </row>
    <row r="407" spans="1:20" ht="16.5" hidden="1" x14ac:dyDescent="0.3">
      <c r="A407" s="9" t="s">
        <v>315</v>
      </c>
      <c r="B407" s="75">
        <v>46122</v>
      </c>
      <c r="C407" s="9" t="s">
        <v>148</v>
      </c>
      <c r="D407" s="9" t="str">
        <f>IFERROR(VLOOKUP(PagosV2[[#This Row],[Codigo del producto]],Entradas[],3,FALSE),"No existe")</f>
        <v>KZ castor Pro</v>
      </c>
      <c r="E407" s="9">
        <v>1</v>
      </c>
      <c r="F407" s="11">
        <v>900</v>
      </c>
      <c r="G407" s="11">
        <f>IFERROR(PagosV2[[#This Row],[Cantidad vendida]]*PagosV2[[#This Row],[Precio de venta]],"-")</f>
        <v>900</v>
      </c>
      <c r="H407" s="11">
        <f>IFERROR(PagosV2[[#This Row],[Precio de venta]]-VLOOKUP(PagosV2[[#This Row],[Codigo del producto]],Stock[],13,FALSE),"-")</f>
        <v>235.59449999999993</v>
      </c>
      <c r="I407" s="11">
        <f>IFERROR(PagosV2[[#This Row],[Ganancia (UB)]]*$B$357,0)</f>
        <v>7.0678349999999979</v>
      </c>
      <c r="J407" s="11">
        <f>IFERROR(PagosV2[[#This Row],[Ganancia (UB)]]*$B$358,0)</f>
        <v>14.135669999999996</v>
      </c>
      <c r="K407" s="11">
        <f>IFERROR(PagosV2[[#This Row],[Ganancia (UB)]]*$B$359,0)</f>
        <v>7.0678349999999979</v>
      </c>
      <c r="L407" s="11">
        <f>IFERROR(PagosV2[[#This Row],[Ganancia (UB)]]*$B$360,0)</f>
        <v>7.0678349999999979</v>
      </c>
      <c r="M407" s="11">
        <f>IFERROR(PagosV2[[#This Row],[Ganancia (UB)]]-PagosV2[[#This Row],[PM]]-PagosV2[[#This Row],[GC]]-PagosV2[[#This Row],[PC]]-PagosV2[[#This Row],[U]],0)</f>
        <v>200.25532499999991</v>
      </c>
      <c r="N407" s="11">
        <f t="shared" si="7"/>
        <v>90.114896249999958</v>
      </c>
      <c r="O407" s="11">
        <f>IFERROR(PagosV2[[#This Row],[Ganancia (UV)]]*PagosV2[[#This Row],[Cantidad vendida]],0)</f>
        <v>90.114896249999958</v>
      </c>
      <c r="P407" s="1">
        <f>IFERROR(PagosV2[[#This Row],[Ganancia (N)]]-PagosV2[[#This Row],[Ganancia (UV)]],0)</f>
        <v>110.14042874999996</v>
      </c>
      <c r="Q407" s="1">
        <f>IFERROR(PagosV2[[#This Row],[Ganancia individual (Tienda)]]*PagosV2[[#This Row],[Cantidad vendida]],0)</f>
        <v>110.14042874999996</v>
      </c>
      <c r="R407" s="1">
        <f>IFERROR((PagosV2[[#This Row],[Precio de venta]]-PagosV2[[#This Row],[Ganancia (UB)]])*PagosV2[[#This Row],[Cantidad vendida]],0)</f>
        <v>664.40550000000007</v>
      </c>
      <c r="S407" s="21" t="s">
        <v>312</v>
      </c>
      <c r="T407" s="21" t="s">
        <v>388</v>
      </c>
    </row>
    <row r="408" spans="1:20" ht="16.5" hidden="1" x14ac:dyDescent="0.3">
      <c r="A408" s="83" t="s">
        <v>315</v>
      </c>
      <c r="B408" s="84">
        <v>46122</v>
      </c>
      <c r="C408" s="83" t="s">
        <v>157</v>
      </c>
      <c r="D408" s="83" t="str">
        <f>IFERROR(VLOOKUP(PagosV2[[#This Row],[Codigo del producto]],Entradas[],3,FALSE),"No existe")</f>
        <v>KZ AZ09</v>
      </c>
      <c r="E408" s="83">
        <v>1</v>
      </c>
      <c r="F408" s="85">
        <v>900</v>
      </c>
      <c r="G408" s="85">
        <f>IFERROR(PagosV2[[#This Row],[Cantidad vendida]]*PagosV2[[#This Row],[Precio de venta]],"-")</f>
        <v>900</v>
      </c>
      <c r="H408" s="85">
        <f>IFERROR(PagosV2[[#This Row],[Precio de venta]]-VLOOKUP(PagosV2[[#This Row],[Codigo del producto]],Stock[],13,FALSE),"-")</f>
        <v>247.38649999999996</v>
      </c>
      <c r="I408" s="85">
        <f>IFERROR(PagosV2[[#This Row],[Ganancia (UB)]]*$B$357,0)</f>
        <v>7.4215949999999982</v>
      </c>
      <c r="J408" s="85">
        <f>IFERROR(PagosV2[[#This Row],[Ganancia (UB)]]*$B$358,0)</f>
        <v>14.843189999999996</v>
      </c>
      <c r="K408" s="85">
        <f>IFERROR(PagosV2[[#This Row],[Ganancia (UB)]]*$B$359,0)</f>
        <v>7.4215949999999982</v>
      </c>
      <c r="L408" s="85">
        <f>IFERROR(PagosV2[[#This Row],[Ganancia (UB)]]*$B$360,0)</f>
        <v>7.4215949999999982</v>
      </c>
      <c r="M408" s="85">
        <f>IFERROR(PagosV2[[#This Row],[Ganancia (UB)]]-PagosV2[[#This Row],[PM]]-PagosV2[[#This Row],[GC]]-PagosV2[[#This Row],[PC]]-PagosV2[[#This Row],[U]],0)</f>
        <v>210.27852499999997</v>
      </c>
      <c r="N408" s="85">
        <f t="shared" si="7"/>
        <v>94.625336249999989</v>
      </c>
      <c r="O408" s="85">
        <f>IFERROR(PagosV2[[#This Row],[Ganancia (UV)]]*PagosV2[[#This Row],[Cantidad vendida]],0)</f>
        <v>94.625336249999989</v>
      </c>
      <c r="P408" s="86">
        <f>IFERROR(PagosV2[[#This Row],[Ganancia (N)]]-PagosV2[[#This Row],[Ganancia (UV)]],0)</f>
        <v>115.65318874999998</v>
      </c>
      <c r="Q408" s="86">
        <f>IFERROR(PagosV2[[#This Row],[Ganancia individual (Tienda)]]*PagosV2[[#This Row],[Cantidad vendida]],0)</f>
        <v>115.65318874999998</v>
      </c>
      <c r="R408" s="86">
        <f>IFERROR((PagosV2[[#This Row],[Precio de venta]]-PagosV2[[#This Row],[Ganancia (UB)]])*PagosV2[[#This Row],[Cantidad vendida]],0)</f>
        <v>652.61350000000004</v>
      </c>
      <c r="S408" s="21" t="s">
        <v>312</v>
      </c>
      <c r="T408" s="87" t="s">
        <v>389</v>
      </c>
    </row>
    <row r="409" spans="1:20" ht="16.5" hidden="1" x14ac:dyDescent="0.3">
      <c r="A409" s="9" t="s">
        <v>313</v>
      </c>
      <c r="B409" s="75">
        <v>46125</v>
      </c>
      <c r="C409" s="9" t="s">
        <v>115</v>
      </c>
      <c r="D409" s="9" t="str">
        <f>IFERROR(VLOOKUP(PagosV2[[#This Row],[Codigo del producto]],Entradas[],3,FALSE),"No existe")</f>
        <v>Cargadores USB para moto</v>
      </c>
      <c r="E409" s="9">
        <v>2</v>
      </c>
      <c r="F409" s="11">
        <v>600</v>
      </c>
      <c r="G409" s="11">
        <f>IFERROR(PagosV2[[#This Row],[Cantidad vendida]]*PagosV2[[#This Row],[Precio de venta]],"-")</f>
        <v>1200</v>
      </c>
      <c r="H409" s="11">
        <f>IFERROR(PagosV2[[#This Row],[Precio de venta]]-VLOOKUP(PagosV2[[#This Row],[Codigo del producto]],Stock[],13,FALSE),"-")</f>
        <v>281.61599999999999</v>
      </c>
      <c r="I409" s="11">
        <f>IFERROR(PagosV2[[#This Row],[Ganancia (UB)]]*$B$357,0)</f>
        <v>8.44848</v>
      </c>
      <c r="J409" s="11">
        <f>IFERROR(PagosV2[[#This Row],[Ganancia (UB)]]*$B$358,0)</f>
        <v>16.89696</v>
      </c>
      <c r="K409" s="11">
        <f>IFERROR(PagosV2[[#This Row],[Ganancia (UB)]]*$B$359,0)</f>
        <v>8.44848</v>
      </c>
      <c r="L409" s="11">
        <f>IFERROR(PagosV2[[#This Row],[Ganancia (UB)]]*$B$360,0)</f>
        <v>8.44848</v>
      </c>
      <c r="M409" s="11">
        <f>IFERROR(PagosV2[[#This Row],[Ganancia (UB)]]-PagosV2[[#This Row],[PM]]-PagosV2[[#This Row],[GC]]-PagosV2[[#This Row],[PC]]-PagosV2[[#This Row],[U]],0)</f>
        <v>239.37360000000001</v>
      </c>
      <c r="N409" s="11">
        <f t="shared" si="7"/>
        <v>107.71812000000001</v>
      </c>
      <c r="O409" s="11">
        <f>IFERROR(PagosV2[[#This Row],[Ganancia (UV)]]*PagosV2[[#This Row],[Cantidad vendida]],0)</f>
        <v>215.43624000000003</v>
      </c>
      <c r="P409" s="1">
        <f>IFERROR(PagosV2[[#This Row],[Ganancia (N)]]-PagosV2[[#This Row],[Ganancia (UV)]],0)</f>
        <v>131.65548000000001</v>
      </c>
      <c r="Q409" s="1">
        <f>IFERROR(PagosV2[[#This Row],[Ganancia individual (Tienda)]]*PagosV2[[#This Row],[Cantidad vendida]],0)</f>
        <v>263.31096000000002</v>
      </c>
      <c r="R409" s="1">
        <f>IFERROR((PagosV2[[#This Row],[Precio de venta]]-PagosV2[[#This Row],[Ganancia (UB)]])*PagosV2[[#This Row],[Cantidad vendida]],0)</f>
        <v>636.76800000000003</v>
      </c>
      <c r="S409" s="21" t="s">
        <v>312</v>
      </c>
      <c r="T409" s="21"/>
    </row>
    <row r="410" spans="1:20" ht="16.5" hidden="1" x14ac:dyDescent="0.3">
      <c r="A410" s="9" t="s">
        <v>313</v>
      </c>
      <c r="B410" s="75">
        <v>46125</v>
      </c>
      <c r="C410" s="9" t="s">
        <v>67</v>
      </c>
      <c r="D410" s="9" t="str">
        <f>IFERROR(VLOOKUP(PagosV2[[#This Row],[Codigo del producto]],Entradas[],3,FALSE),"No existe")</f>
        <v>Cable de Repuesto KZ Tipo C</v>
      </c>
      <c r="E410" s="9">
        <v>1</v>
      </c>
      <c r="F410" s="11">
        <v>400</v>
      </c>
      <c r="G410" s="11">
        <f>IFERROR(PagosV2[[#This Row],[Cantidad vendida]]*PagosV2[[#This Row],[Precio de venta]],"-")</f>
        <v>400</v>
      </c>
      <c r="H410" s="11">
        <f>IFERROR(PagosV2[[#This Row],[Precio de venta]]-VLOOKUP(PagosV2[[#This Row],[Codigo del producto]],Stock[],13,FALSE),"-")</f>
        <v>205.0635</v>
      </c>
      <c r="I410" s="11">
        <f>IFERROR(PagosV2[[#This Row],[Ganancia (UB)]]*$B$357,0)</f>
        <v>6.1519050000000002</v>
      </c>
      <c r="J410" s="11">
        <f>IFERROR(PagosV2[[#This Row],[Ganancia (UB)]]*$B$358,0)</f>
        <v>12.30381</v>
      </c>
      <c r="K410" s="11">
        <f>IFERROR(PagosV2[[#This Row],[Ganancia (UB)]]*$B$359,0)</f>
        <v>6.1519050000000002</v>
      </c>
      <c r="L410" s="11">
        <f>IFERROR(PagosV2[[#This Row],[Ganancia (UB)]]*$B$360,0)</f>
        <v>6.1519050000000002</v>
      </c>
      <c r="M410" s="11">
        <f>IFERROR(PagosV2[[#This Row],[Ganancia (UB)]]-PagosV2[[#This Row],[PM]]-PagosV2[[#This Row],[GC]]-PagosV2[[#This Row],[PC]]-PagosV2[[#This Row],[U]],0)</f>
        <v>174.30397500000001</v>
      </c>
      <c r="N410" s="11">
        <f t="shared" si="7"/>
        <v>78.436788750000005</v>
      </c>
      <c r="O410" s="11">
        <f>IFERROR(PagosV2[[#This Row],[Ganancia (UV)]]*PagosV2[[#This Row],[Cantidad vendida]],0)</f>
        <v>78.436788750000005</v>
      </c>
      <c r="P410" s="1">
        <f>IFERROR(PagosV2[[#This Row],[Ganancia (N)]]-PagosV2[[#This Row],[Ganancia (UV)]],0)</f>
        <v>95.867186250000003</v>
      </c>
      <c r="Q410" s="1">
        <f>IFERROR(PagosV2[[#This Row],[Ganancia individual (Tienda)]]*PagosV2[[#This Row],[Cantidad vendida]],0)</f>
        <v>95.867186250000003</v>
      </c>
      <c r="R410" s="1">
        <f>IFERROR((PagosV2[[#This Row],[Precio de venta]]-PagosV2[[#This Row],[Ganancia (UB)]])*PagosV2[[#This Row],[Cantidad vendida]],0)</f>
        <v>194.9365</v>
      </c>
      <c r="S410" s="21" t="s">
        <v>312</v>
      </c>
      <c r="T410" s="21"/>
    </row>
    <row r="411" spans="1:20" ht="16.5" hidden="1" x14ac:dyDescent="0.3">
      <c r="A411" s="9" t="s">
        <v>313</v>
      </c>
      <c r="B411" s="75">
        <v>46125</v>
      </c>
      <c r="C411" s="9" t="s">
        <v>157</v>
      </c>
      <c r="D411" s="9" t="str">
        <f>IFERROR(VLOOKUP(PagosV2[[#This Row],[Codigo del producto]],Entradas[],3,FALSE),"No existe")</f>
        <v>KZ AZ09</v>
      </c>
      <c r="E411" s="9">
        <v>1</v>
      </c>
      <c r="F411" s="11">
        <v>1000</v>
      </c>
      <c r="G411" s="11">
        <f>IFERROR(PagosV2[[#This Row],[Cantidad vendida]]*PagosV2[[#This Row],[Precio de venta]],"-")</f>
        <v>1000</v>
      </c>
      <c r="H411" s="11">
        <f>IFERROR(PagosV2[[#This Row],[Precio de venta]]-VLOOKUP(PagosV2[[#This Row],[Codigo del producto]],Stock[],13,FALSE),"-")</f>
        <v>347.38649999999996</v>
      </c>
      <c r="I411" s="11">
        <f>IFERROR(PagosV2[[#This Row],[Ganancia (UB)]]*$B$357,0)</f>
        <v>10.421594999999998</v>
      </c>
      <c r="J411" s="11">
        <f>IFERROR(PagosV2[[#This Row],[Ganancia (UB)]]*$B$358,0)</f>
        <v>20.843189999999996</v>
      </c>
      <c r="K411" s="11">
        <f>IFERROR(PagosV2[[#This Row],[Ganancia (UB)]]*$B$359,0)</f>
        <v>10.421594999999998</v>
      </c>
      <c r="L411" s="11">
        <f>IFERROR(PagosV2[[#This Row],[Ganancia (UB)]]*$B$360,0)</f>
        <v>10.421594999999998</v>
      </c>
      <c r="M411" s="11">
        <f>IFERROR(PagosV2[[#This Row],[Ganancia (UB)]]-PagosV2[[#This Row],[PM]]-PagosV2[[#This Row],[GC]]-PagosV2[[#This Row],[PC]]-PagosV2[[#This Row],[U]],0)</f>
        <v>295.27852499999989</v>
      </c>
      <c r="N411" s="11">
        <f t="shared" si="7"/>
        <v>132.87533624999995</v>
      </c>
      <c r="O411" s="11">
        <f>IFERROR(PagosV2[[#This Row],[Ganancia (UV)]]*PagosV2[[#This Row],[Cantidad vendida]],0)</f>
        <v>132.87533624999995</v>
      </c>
      <c r="P411" s="1">
        <f>IFERROR(PagosV2[[#This Row],[Ganancia (N)]]-PagosV2[[#This Row],[Ganancia (UV)]],0)</f>
        <v>162.40318874999994</v>
      </c>
      <c r="Q411" s="1">
        <f>IFERROR(PagosV2[[#This Row],[Ganancia individual (Tienda)]]*PagosV2[[#This Row],[Cantidad vendida]],0)</f>
        <v>162.40318874999994</v>
      </c>
      <c r="R411" s="1">
        <f>IFERROR((PagosV2[[#This Row],[Precio de venta]]-PagosV2[[#This Row],[Ganancia (UB)]])*PagosV2[[#This Row],[Cantidad vendida]],0)</f>
        <v>652.61350000000004</v>
      </c>
      <c r="S411" s="21" t="s">
        <v>312</v>
      </c>
      <c r="T411" s="21"/>
    </row>
    <row r="412" spans="1:20" ht="16.5" hidden="1" x14ac:dyDescent="0.3">
      <c r="A412" s="9" t="s">
        <v>313</v>
      </c>
      <c r="B412" s="75">
        <v>46125</v>
      </c>
      <c r="C412" s="9" t="s">
        <v>150</v>
      </c>
      <c r="D412" s="9" t="str">
        <f>IFERROR(VLOOKUP(PagosV2[[#This Row],[Codigo del producto]],Entradas[],3,FALSE),"No existe")</f>
        <v>KZ EDX Pro X</v>
      </c>
      <c r="E412" s="9">
        <v>1</v>
      </c>
      <c r="F412" s="11">
        <v>400</v>
      </c>
      <c r="G412" s="11">
        <f>IFERROR(PagosV2[[#This Row],[Cantidad vendida]]*PagosV2[[#This Row],[Precio de venta]],"-")</f>
        <v>400</v>
      </c>
      <c r="H412" s="11">
        <f>IFERROR(PagosV2[[#This Row],[Precio de venta]]-VLOOKUP(PagosV2[[#This Row],[Codigo del producto]],Stock[],13,FALSE),"-")</f>
        <v>181.11099999999999</v>
      </c>
      <c r="I412" s="11">
        <f>IFERROR(PagosV2[[#This Row],[Ganancia (UB)]]*$B$357,0)</f>
        <v>5.4333299999999998</v>
      </c>
      <c r="J412" s="11">
        <f>IFERROR(PagosV2[[#This Row],[Ganancia (UB)]]*$B$358,0)</f>
        <v>10.86666</v>
      </c>
      <c r="K412" s="11">
        <f>IFERROR(PagosV2[[#This Row],[Ganancia (UB)]]*$B$359,0)</f>
        <v>5.4333299999999998</v>
      </c>
      <c r="L412" s="11">
        <f>IFERROR(PagosV2[[#This Row],[Ganancia (UB)]]*$B$360,0)</f>
        <v>5.4333299999999998</v>
      </c>
      <c r="M412" s="11">
        <f>IFERROR(PagosV2[[#This Row],[Ganancia (UB)]]-PagosV2[[#This Row],[PM]]-PagosV2[[#This Row],[GC]]-PagosV2[[#This Row],[PC]]-PagosV2[[#This Row],[U]],0)</f>
        <v>153.94434999999996</v>
      </c>
      <c r="N412" s="11">
        <f t="shared" si="7"/>
        <v>69.274957499999985</v>
      </c>
      <c r="O412" s="11">
        <f>IFERROR(PagosV2[[#This Row],[Ganancia (UV)]]*PagosV2[[#This Row],[Cantidad vendida]],0)</f>
        <v>69.274957499999985</v>
      </c>
      <c r="P412" s="1">
        <f>IFERROR(PagosV2[[#This Row],[Ganancia (N)]]-PagosV2[[#This Row],[Ganancia (UV)]],0)</f>
        <v>84.669392499999972</v>
      </c>
      <c r="Q412" s="1">
        <f>IFERROR(PagosV2[[#This Row],[Ganancia individual (Tienda)]]*PagosV2[[#This Row],[Cantidad vendida]],0)</f>
        <v>84.669392499999972</v>
      </c>
      <c r="R412" s="1">
        <f>IFERROR((PagosV2[[#This Row],[Precio de venta]]-PagosV2[[#This Row],[Ganancia (UB)]])*PagosV2[[#This Row],[Cantidad vendida]],0)</f>
        <v>218.88900000000001</v>
      </c>
      <c r="S412" s="21" t="s">
        <v>312</v>
      </c>
      <c r="T412" s="21"/>
    </row>
    <row r="413" spans="1:20" ht="16.5" hidden="1" x14ac:dyDescent="0.3">
      <c r="A413" s="9" t="s">
        <v>313</v>
      </c>
      <c r="B413" s="75">
        <v>46125</v>
      </c>
      <c r="C413" s="9" t="s">
        <v>120</v>
      </c>
      <c r="D413" s="9" t="str">
        <f>IFERROR(VLOOKUP(PagosV2[[#This Row],[Codigo del producto]],Entradas[],3,FALSE),"No existe")</f>
        <v>Nubwo G06</v>
      </c>
      <c r="E413" s="9">
        <v>1</v>
      </c>
      <c r="F413" s="11">
        <v>1500</v>
      </c>
      <c r="G413" s="11">
        <f>IFERROR(PagosV2[[#This Row],[Cantidad vendida]]*PagosV2[[#This Row],[Precio de venta]],"-")</f>
        <v>1500</v>
      </c>
      <c r="H413" s="11">
        <f>IFERROR(PagosV2[[#This Row],[Precio de venta]]-VLOOKUP(PagosV2[[#This Row],[Codigo del producto]],Stock[],13,FALSE),"-")</f>
        <v>554.42899999999997</v>
      </c>
      <c r="I413" s="11">
        <f>IFERROR(PagosV2[[#This Row],[Ganancia (UB)]]*$B$357,0)</f>
        <v>16.632869999999997</v>
      </c>
      <c r="J413" s="11">
        <f>IFERROR(PagosV2[[#This Row],[Ganancia (UB)]]*$B$358,0)</f>
        <v>33.265739999999994</v>
      </c>
      <c r="K413" s="11">
        <f>IFERROR(PagosV2[[#This Row],[Ganancia (UB)]]*$B$359,0)</f>
        <v>16.632869999999997</v>
      </c>
      <c r="L413" s="11">
        <f>IFERROR(PagosV2[[#This Row],[Ganancia (UB)]]*$B$360,0)</f>
        <v>16.632869999999997</v>
      </c>
      <c r="M413" s="11">
        <f>IFERROR(PagosV2[[#This Row],[Ganancia (UB)]]-PagosV2[[#This Row],[PM]]-PagosV2[[#This Row],[GC]]-PagosV2[[#This Row],[PC]]-PagosV2[[#This Row],[U]],0)</f>
        <v>471.26464999999996</v>
      </c>
      <c r="N413" s="11">
        <f t="shared" si="7"/>
        <v>188.50585999999998</v>
      </c>
      <c r="O413" s="11">
        <f>IFERROR(PagosV2[[#This Row],[Ganancia (UV)]]*PagosV2[[#This Row],[Cantidad vendida]],0)</f>
        <v>188.50585999999998</v>
      </c>
      <c r="P413" s="1">
        <f>IFERROR(PagosV2[[#This Row],[Ganancia (N)]]-PagosV2[[#This Row],[Ganancia (UV)]],0)</f>
        <v>282.75878999999998</v>
      </c>
      <c r="Q413" s="1">
        <f>IFERROR(PagosV2[[#This Row],[Ganancia individual (Tienda)]]*PagosV2[[#This Row],[Cantidad vendida]],0)</f>
        <v>282.75878999999998</v>
      </c>
      <c r="R413" s="1">
        <f>IFERROR((PagosV2[[#This Row],[Precio de venta]]-PagosV2[[#This Row],[Ganancia (UB)]])*PagosV2[[#This Row],[Cantidad vendida]],0)</f>
        <v>945.57100000000003</v>
      </c>
      <c r="S413" s="21" t="s">
        <v>312</v>
      </c>
      <c r="T413" s="21"/>
    </row>
    <row r="414" spans="1:20" ht="16.5" hidden="1" x14ac:dyDescent="0.3">
      <c r="A414" s="9" t="s">
        <v>327</v>
      </c>
      <c r="B414" s="75">
        <v>46125</v>
      </c>
      <c r="C414" s="9" t="s">
        <v>112</v>
      </c>
      <c r="D414" s="9" t="str">
        <f>IFERROR(VLOOKUP(PagosV2[[#This Row],[Codigo del producto]],Entradas[],3,FALSE),"No existe")</f>
        <v>Teclado Mecanico Machenike K500</v>
      </c>
      <c r="E414" s="9">
        <v>1</v>
      </c>
      <c r="F414" s="11">
        <v>2200</v>
      </c>
      <c r="G414" s="11">
        <f>IFERROR(PagosV2[[#This Row],[Cantidad vendida]]*PagosV2[[#This Row],[Precio de venta]],"-")</f>
        <v>2200</v>
      </c>
      <c r="H414" s="11">
        <f>IFERROR(PagosV2[[#This Row],[Precio de venta]]-VLOOKUP(PagosV2[[#This Row],[Codigo del producto]],Stock[],13,FALSE),"-")</f>
        <v>652.29999999999995</v>
      </c>
      <c r="I414" s="11">
        <f>IFERROR(PagosV2[[#This Row],[Ganancia (UB)]]*$B$357,0)</f>
        <v>19.568999999999999</v>
      </c>
      <c r="J414" s="11">
        <f>IFERROR(PagosV2[[#This Row],[Ganancia (UB)]]*$B$358,0)</f>
        <v>39.137999999999998</v>
      </c>
      <c r="K414" s="11">
        <f>IFERROR(PagosV2[[#This Row],[Ganancia (UB)]]*$B$359,0)</f>
        <v>19.568999999999999</v>
      </c>
      <c r="L414" s="11">
        <f>IFERROR(PagosV2[[#This Row],[Ganancia (UB)]]*$B$360,0)</f>
        <v>19.568999999999999</v>
      </c>
      <c r="M414" s="11">
        <f>IFERROR(PagosV2[[#This Row],[Ganancia (UB)]]-PagosV2[[#This Row],[PM]]-PagosV2[[#This Row],[GC]]-PagosV2[[#This Row],[PC]]-PagosV2[[#This Row],[U]],0)</f>
        <v>554.45500000000004</v>
      </c>
      <c r="N414" s="11">
        <f t="shared" si="7"/>
        <v>221.78200000000004</v>
      </c>
      <c r="O414" s="11">
        <f>IFERROR(PagosV2[[#This Row],[Ganancia (UV)]]*PagosV2[[#This Row],[Cantidad vendida]],0)</f>
        <v>221.78200000000004</v>
      </c>
      <c r="P414" s="1">
        <f>IFERROR(PagosV2[[#This Row],[Ganancia (N)]]-PagosV2[[#This Row],[Ganancia (UV)]],0)</f>
        <v>332.673</v>
      </c>
      <c r="Q414" s="1">
        <f>IFERROR(PagosV2[[#This Row],[Ganancia individual (Tienda)]]*PagosV2[[#This Row],[Cantidad vendida]],0)</f>
        <v>332.673</v>
      </c>
      <c r="R414" s="1">
        <f>IFERROR((PagosV2[[#This Row],[Precio de venta]]-PagosV2[[#This Row],[Ganancia (UB)]])*PagosV2[[#This Row],[Cantidad vendida]],0)</f>
        <v>1547.7</v>
      </c>
      <c r="S414" s="21" t="s">
        <v>312</v>
      </c>
      <c r="T414" s="21"/>
    </row>
    <row r="415" spans="1:20" ht="16.5" hidden="1" x14ac:dyDescent="0.3">
      <c r="A415" s="9" t="s">
        <v>354</v>
      </c>
      <c r="B415" s="75">
        <v>46125</v>
      </c>
      <c r="C415" s="9" t="s">
        <v>157</v>
      </c>
      <c r="D415" s="9" t="str">
        <f>IFERROR(VLOOKUP(PagosV2[[#This Row],[Codigo del producto]],Entradas[],3,FALSE),"No existe")</f>
        <v>KZ AZ09</v>
      </c>
      <c r="E415" s="9">
        <v>1</v>
      </c>
      <c r="F415" s="11">
        <v>1000</v>
      </c>
      <c r="G415" s="11">
        <f>IFERROR(PagosV2[[#This Row],[Cantidad vendida]]*PagosV2[[#This Row],[Precio de venta]],"-")</f>
        <v>1000</v>
      </c>
      <c r="H415" s="11">
        <f>IFERROR(PagosV2[[#This Row],[Precio de venta]]-VLOOKUP(PagosV2[[#This Row],[Codigo del producto]],Stock[],13,FALSE),"-")</f>
        <v>347.38649999999996</v>
      </c>
      <c r="I415" s="11">
        <f>IFERROR(PagosV2[[#This Row],[Ganancia (UB)]]*$B$357,0)</f>
        <v>10.421594999999998</v>
      </c>
      <c r="J415" s="11">
        <f>IFERROR(PagosV2[[#This Row],[Ganancia (UB)]]*$B$358,0)</f>
        <v>20.843189999999996</v>
      </c>
      <c r="K415" s="11">
        <f>IFERROR(PagosV2[[#This Row],[Ganancia (UB)]]*$B$359,0)</f>
        <v>10.421594999999998</v>
      </c>
      <c r="L415" s="11">
        <f>IFERROR(PagosV2[[#This Row],[Ganancia (UB)]]*$B$360,0)</f>
        <v>10.421594999999998</v>
      </c>
      <c r="M415" s="11">
        <f>IFERROR(PagosV2[[#This Row],[Ganancia (UB)]]-PagosV2[[#This Row],[PM]]-PagosV2[[#This Row],[GC]]-PagosV2[[#This Row],[PC]]-PagosV2[[#This Row],[U]],0)</f>
        <v>295.27852499999989</v>
      </c>
      <c r="N415" s="11">
        <f t="shared" si="7"/>
        <v>132.87533624999995</v>
      </c>
      <c r="O415" s="11">
        <f>IFERROR(PagosV2[[#This Row],[Ganancia (UV)]]*PagosV2[[#This Row],[Cantidad vendida]],0)</f>
        <v>132.87533624999995</v>
      </c>
      <c r="P415" s="1">
        <f>IFERROR(PagosV2[[#This Row],[Ganancia (N)]]-PagosV2[[#This Row],[Ganancia (UV)]],0)</f>
        <v>162.40318874999994</v>
      </c>
      <c r="Q415" s="1">
        <f>IFERROR(PagosV2[[#This Row],[Ganancia individual (Tienda)]]*PagosV2[[#This Row],[Cantidad vendida]],0)</f>
        <v>162.40318874999994</v>
      </c>
      <c r="R415" s="1">
        <f>IFERROR((PagosV2[[#This Row],[Precio de venta]]-PagosV2[[#This Row],[Ganancia (UB)]])*PagosV2[[#This Row],[Cantidad vendida]],0)</f>
        <v>652.61350000000004</v>
      </c>
      <c r="S415" s="21" t="s">
        <v>312</v>
      </c>
      <c r="T415" s="21"/>
    </row>
    <row r="416" spans="1:20" ht="16.5" hidden="1" x14ac:dyDescent="0.3">
      <c r="A416" s="9" t="s">
        <v>354</v>
      </c>
      <c r="B416" s="75">
        <v>46125</v>
      </c>
      <c r="C416" s="9" t="s">
        <v>150</v>
      </c>
      <c r="D416" s="9" t="str">
        <f>IFERROR(VLOOKUP(PagosV2[[#This Row],[Codigo del producto]],Entradas[],3,FALSE),"No existe")</f>
        <v>KZ EDX Pro X</v>
      </c>
      <c r="E416" s="9">
        <v>1</v>
      </c>
      <c r="F416" s="11">
        <v>400</v>
      </c>
      <c r="G416" s="11">
        <f>IFERROR(PagosV2[[#This Row],[Cantidad vendida]]*PagosV2[[#This Row],[Precio de venta]],"-")</f>
        <v>400</v>
      </c>
      <c r="H416" s="11">
        <f>IFERROR(PagosV2[[#This Row],[Precio de venta]]-VLOOKUP(PagosV2[[#This Row],[Codigo del producto]],Stock[],13,FALSE),"-")</f>
        <v>181.11099999999999</v>
      </c>
      <c r="I416" s="11">
        <f>IFERROR(PagosV2[[#This Row],[Ganancia (UB)]]*$B$357,0)</f>
        <v>5.4333299999999998</v>
      </c>
      <c r="J416" s="11">
        <f>IFERROR(PagosV2[[#This Row],[Ganancia (UB)]]*$B$358,0)</f>
        <v>10.86666</v>
      </c>
      <c r="K416" s="11">
        <f>IFERROR(PagosV2[[#This Row],[Ganancia (UB)]]*$B$359,0)</f>
        <v>5.4333299999999998</v>
      </c>
      <c r="L416" s="11">
        <f>IFERROR(PagosV2[[#This Row],[Ganancia (UB)]]*$B$360,0)</f>
        <v>5.4333299999999998</v>
      </c>
      <c r="M416" s="11">
        <f>IFERROR(PagosV2[[#This Row],[Ganancia (UB)]]-PagosV2[[#This Row],[PM]]-PagosV2[[#This Row],[GC]]-PagosV2[[#This Row],[PC]]-PagosV2[[#This Row],[U]],0)</f>
        <v>153.94434999999996</v>
      </c>
      <c r="N416" s="11">
        <f t="shared" si="7"/>
        <v>69.274957499999985</v>
      </c>
      <c r="O416" s="11">
        <f>IFERROR(PagosV2[[#This Row],[Ganancia (UV)]]*PagosV2[[#This Row],[Cantidad vendida]],0)</f>
        <v>69.274957499999985</v>
      </c>
      <c r="P416" s="1">
        <f>IFERROR(PagosV2[[#This Row],[Ganancia (N)]]-PagosV2[[#This Row],[Ganancia (UV)]],0)</f>
        <v>84.669392499999972</v>
      </c>
      <c r="Q416" s="1">
        <f>IFERROR(PagosV2[[#This Row],[Ganancia individual (Tienda)]]*PagosV2[[#This Row],[Cantidad vendida]],0)</f>
        <v>84.669392499999972</v>
      </c>
      <c r="R416" s="1">
        <f>IFERROR((PagosV2[[#This Row],[Precio de venta]]-PagosV2[[#This Row],[Ganancia (UB)]])*PagosV2[[#This Row],[Cantidad vendida]],0)</f>
        <v>218.88900000000001</v>
      </c>
      <c r="S416" s="21" t="s">
        <v>312</v>
      </c>
      <c r="T416" s="21"/>
    </row>
    <row r="417" spans="1:20" ht="16.5" hidden="1" x14ac:dyDescent="0.3">
      <c r="A417" s="9" t="s">
        <v>311</v>
      </c>
      <c r="B417" s="75">
        <v>46125</v>
      </c>
      <c r="C417" s="9" t="s">
        <v>106</v>
      </c>
      <c r="D417" s="9" t="str">
        <f>IFERROR(VLOOKUP(PagosV2[[#This Row],[Codigo del producto]],Entradas[],3,FALSE),"No existe")</f>
        <v>Shark Attack Mouse X11 white</v>
      </c>
      <c r="E417" s="9">
        <v>1</v>
      </c>
      <c r="F417" s="11">
        <v>1300</v>
      </c>
      <c r="G417" s="11">
        <f>IFERROR(PagosV2[[#This Row],[Cantidad vendida]]*PagosV2[[#This Row],[Precio de venta]],"-")</f>
        <v>1300</v>
      </c>
      <c r="H417" s="11">
        <f>IFERROR(PagosV2[[#This Row],[Precio de venta]]-VLOOKUP(PagosV2[[#This Row],[Codigo del producto]],Stock[],13,FALSE),"-")</f>
        <v>477.50799999999992</v>
      </c>
      <c r="I417" s="11">
        <f>IFERROR(PagosV2[[#This Row],[Ganancia (UB)]]*$B$357,0)</f>
        <v>14.325239999999997</v>
      </c>
      <c r="J417" s="11">
        <f>IFERROR(PagosV2[[#This Row],[Ganancia (UB)]]*$B$358,0)</f>
        <v>28.650479999999995</v>
      </c>
      <c r="K417" s="11">
        <f>IFERROR(PagosV2[[#This Row],[Ganancia (UB)]]*$B$359,0)</f>
        <v>14.325239999999997</v>
      </c>
      <c r="L417" s="11">
        <f>IFERROR(PagosV2[[#This Row],[Ganancia (UB)]]*$B$360,0)</f>
        <v>14.325239999999997</v>
      </c>
      <c r="M417" s="11">
        <f>IFERROR(PagosV2[[#This Row],[Ganancia (UB)]]-PagosV2[[#This Row],[PM]]-PagosV2[[#This Row],[GC]]-PagosV2[[#This Row],[PC]]-PagosV2[[#This Row],[U]],0)</f>
        <v>405.88179999999988</v>
      </c>
      <c r="N417" s="11">
        <f t="shared" si="7"/>
        <v>162.35271999999998</v>
      </c>
      <c r="O417" s="11">
        <f>IFERROR(PagosV2[[#This Row],[Ganancia (UV)]]*PagosV2[[#This Row],[Cantidad vendida]],0)</f>
        <v>162.35271999999998</v>
      </c>
      <c r="P417" s="1">
        <f>IFERROR(PagosV2[[#This Row],[Ganancia (N)]]-PagosV2[[#This Row],[Ganancia (UV)]],0)</f>
        <v>243.52907999999991</v>
      </c>
      <c r="Q417" s="1">
        <f>IFERROR(PagosV2[[#This Row],[Ganancia individual (Tienda)]]*PagosV2[[#This Row],[Cantidad vendida]],0)</f>
        <v>243.52907999999991</v>
      </c>
      <c r="R417" s="1">
        <f>IFERROR((PagosV2[[#This Row],[Precio de venta]]-PagosV2[[#This Row],[Ganancia (UB)]])*PagosV2[[#This Row],[Cantidad vendida]],0)</f>
        <v>822.49200000000008</v>
      </c>
      <c r="S417" s="21" t="s">
        <v>312</v>
      </c>
      <c r="T417" s="21"/>
    </row>
    <row r="418" spans="1:20" ht="16.5" hidden="1" x14ac:dyDescent="0.3">
      <c r="A418" s="9" t="s">
        <v>321</v>
      </c>
      <c r="B418" s="75">
        <v>46125</v>
      </c>
      <c r="C418" s="9" t="s">
        <v>106</v>
      </c>
      <c r="D418" s="9" t="str">
        <f>IFERROR(VLOOKUP(PagosV2[[#This Row],[Codigo del producto]],Entradas[],3,FALSE),"No existe")</f>
        <v>Shark Attack Mouse X11 white</v>
      </c>
      <c r="E418" s="9">
        <v>1</v>
      </c>
      <c r="F418" s="11">
        <v>1300</v>
      </c>
      <c r="G418" s="11">
        <f>IFERROR(PagosV2[[#This Row],[Cantidad vendida]]*PagosV2[[#This Row],[Precio de venta]],"-")</f>
        <v>1300</v>
      </c>
      <c r="H418" s="11">
        <f>IFERROR(PagosV2[[#This Row],[Precio de venta]]-VLOOKUP(PagosV2[[#This Row],[Codigo del producto]],Stock[],13,FALSE),"-")</f>
        <v>477.50799999999992</v>
      </c>
      <c r="I418" s="11">
        <f>IFERROR(PagosV2[[#This Row],[Ganancia (UB)]]*$B$357,0)</f>
        <v>14.325239999999997</v>
      </c>
      <c r="J418" s="11">
        <f>IFERROR(PagosV2[[#This Row],[Ganancia (UB)]]*$B$358,0)</f>
        <v>28.650479999999995</v>
      </c>
      <c r="K418" s="11">
        <f>IFERROR(PagosV2[[#This Row],[Ganancia (UB)]]*$B$359,0)</f>
        <v>14.325239999999997</v>
      </c>
      <c r="L418" s="11">
        <f>IFERROR(PagosV2[[#This Row],[Ganancia (UB)]]*$B$360,0)</f>
        <v>14.325239999999997</v>
      </c>
      <c r="M418" s="11">
        <f>IFERROR(PagosV2[[#This Row],[Ganancia (UB)]]-PagosV2[[#This Row],[PM]]-PagosV2[[#This Row],[GC]]-PagosV2[[#This Row],[PC]]-PagosV2[[#This Row],[U]],0)</f>
        <v>405.88179999999988</v>
      </c>
      <c r="N418" s="11">
        <f t="shared" si="7"/>
        <v>162.35271999999998</v>
      </c>
      <c r="O418" s="11">
        <f>IFERROR(PagosV2[[#This Row],[Ganancia (UV)]]*PagosV2[[#This Row],[Cantidad vendida]],0)</f>
        <v>162.35271999999998</v>
      </c>
      <c r="P418" s="1">
        <f>IFERROR(PagosV2[[#This Row],[Ganancia (N)]]-PagosV2[[#This Row],[Ganancia (UV)]],0)</f>
        <v>243.52907999999991</v>
      </c>
      <c r="Q418" s="1">
        <f>IFERROR(PagosV2[[#This Row],[Ganancia individual (Tienda)]]*PagosV2[[#This Row],[Cantidad vendida]],0)</f>
        <v>243.52907999999991</v>
      </c>
      <c r="R418" s="1">
        <f>IFERROR((PagosV2[[#This Row],[Precio de venta]]-PagosV2[[#This Row],[Ganancia (UB)]])*PagosV2[[#This Row],[Cantidad vendida]],0)</f>
        <v>822.49200000000008</v>
      </c>
      <c r="S418" s="21" t="s">
        <v>312</v>
      </c>
      <c r="T418" s="21"/>
    </row>
    <row r="419" spans="1:20" ht="16.5" hidden="1" x14ac:dyDescent="0.3">
      <c r="A419" s="9" t="s">
        <v>313</v>
      </c>
      <c r="B419" s="75">
        <v>46127</v>
      </c>
      <c r="C419" s="9" t="s">
        <v>154</v>
      </c>
      <c r="D419" s="9" t="str">
        <f>IFERROR(VLOOKUP(PagosV2[[#This Row],[Codigo del producto]],Entradas[],3,FALSE),"No existe")</f>
        <v xml:space="preserve">Attack Shark Mouse X11 negro </v>
      </c>
      <c r="E419" s="9">
        <v>1</v>
      </c>
      <c r="F419" s="11">
        <v>1300</v>
      </c>
      <c r="G419" s="11">
        <f>IFERROR(PagosV2[[#This Row],[Cantidad vendida]]*PagosV2[[#This Row],[Precio de venta]],"-")</f>
        <v>1300</v>
      </c>
      <c r="H419" s="11">
        <f>IFERROR(PagosV2[[#This Row],[Precio de venta]]-VLOOKUP(PagosV2[[#This Row],[Codigo del producto]],Stock[],13,FALSE),"-")</f>
        <v>377.64449999999988</v>
      </c>
      <c r="I419" s="11">
        <f>IFERROR(PagosV2[[#This Row],[Ganancia (UB)]]*$B$357,0)</f>
        <v>11.329334999999997</v>
      </c>
      <c r="J419" s="11">
        <f>IFERROR(PagosV2[[#This Row],[Ganancia (UB)]]*$B$358,0)</f>
        <v>22.658669999999994</v>
      </c>
      <c r="K419" s="11">
        <f>IFERROR(PagosV2[[#This Row],[Ganancia (UB)]]*$B$359,0)</f>
        <v>11.329334999999997</v>
      </c>
      <c r="L419" s="11">
        <f>IFERROR(PagosV2[[#This Row],[Ganancia (UB)]]*$B$360,0)</f>
        <v>11.329334999999997</v>
      </c>
      <c r="M419" s="11">
        <f>IFERROR(PagosV2[[#This Row],[Ganancia (UB)]]-PagosV2[[#This Row],[PM]]-PagosV2[[#This Row],[GC]]-PagosV2[[#This Row],[PC]]-PagosV2[[#This Row],[U]],0)</f>
        <v>320.99782499999986</v>
      </c>
      <c r="N419" s="11">
        <f t="shared" si="7"/>
        <v>128.39912999999996</v>
      </c>
      <c r="O419" s="11">
        <f>IFERROR(PagosV2[[#This Row],[Ganancia (UV)]]*PagosV2[[#This Row],[Cantidad vendida]],0)</f>
        <v>128.39912999999996</v>
      </c>
      <c r="P419" s="1">
        <f>IFERROR(PagosV2[[#This Row],[Ganancia (N)]]-PagosV2[[#This Row],[Ganancia (UV)]],0)</f>
        <v>192.59869499999991</v>
      </c>
      <c r="Q419" s="1">
        <f>IFERROR(PagosV2[[#This Row],[Ganancia individual (Tienda)]]*PagosV2[[#This Row],[Cantidad vendida]],0)</f>
        <v>192.59869499999991</v>
      </c>
      <c r="R419" s="1">
        <f>IFERROR((PagosV2[[#This Row],[Precio de venta]]-PagosV2[[#This Row],[Ganancia (UB)]])*PagosV2[[#This Row],[Cantidad vendida]],0)</f>
        <v>922.35550000000012</v>
      </c>
      <c r="S419" s="21" t="s">
        <v>312</v>
      </c>
      <c r="T419" s="21"/>
    </row>
    <row r="420" spans="1:20" ht="16.5" hidden="1" x14ac:dyDescent="0.3">
      <c r="A420" s="9" t="s">
        <v>313</v>
      </c>
      <c r="B420" s="75">
        <v>46127</v>
      </c>
      <c r="C420" s="9" t="s">
        <v>159</v>
      </c>
      <c r="D420" s="9" t="str">
        <f>IFERROR(VLOOKUP(PagosV2[[#This Row],[Codigo del producto]],Entradas[],3,FALSE),"No existe")</f>
        <v>Pantalla para moto de 5 pulgadas</v>
      </c>
      <c r="E420" s="9">
        <v>1</v>
      </c>
      <c r="F420" s="11">
        <v>2300</v>
      </c>
      <c r="G420" s="11">
        <f>IFERROR(PagosV2[[#This Row],[Cantidad vendida]]*PagosV2[[#This Row],[Precio de venta]],"-")</f>
        <v>2300</v>
      </c>
      <c r="H420" s="11">
        <f>IFERROR(PagosV2[[#This Row],[Precio de venta]]-VLOOKUP(PagosV2[[#This Row],[Codigo del producto]],Stock[],13,FALSE),"-")</f>
        <v>548.51949999999988</v>
      </c>
      <c r="I420" s="11">
        <f>IFERROR(PagosV2[[#This Row],[Ganancia (UB)]]*$B$357,0)</f>
        <v>16.455584999999996</v>
      </c>
      <c r="J420" s="11">
        <f>IFERROR(PagosV2[[#This Row],[Ganancia (UB)]]*$B$358,0)</f>
        <v>32.911169999999991</v>
      </c>
      <c r="K420" s="11">
        <f>IFERROR(PagosV2[[#This Row],[Ganancia (UB)]]*$B$359,0)</f>
        <v>16.455584999999996</v>
      </c>
      <c r="L420" s="11">
        <f>IFERROR(PagosV2[[#This Row],[Ganancia (UB)]]*$B$360,0)</f>
        <v>16.455584999999996</v>
      </c>
      <c r="M420" s="11">
        <f>IFERROR(PagosV2[[#This Row],[Ganancia (UB)]]-PagosV2[[#This Row],[PM]]-PagosV2[[#This Row],[GC]]-PagosV2[[#This Row],[PC]]-PagosV2[[#This Row],[U]],0)</f>
        <v>466.2415749999999</v>
      </c>
      <c r="N420" s="11">
        <f t="shared" si="7"/>
        <v>186.49662999999998</v>
      </c>
      <c r="O420" s="11">
        <f>IFERROR(PagosV2[[#This Row],[Ganancia (UV)]]*PagosV2[[#This Row],[Cantidad vendida]],0)</f>
        <v>186.49662999999998</v>
      </c>
      <c r="P420" s="1">
        <f>IFERROR(PagosV2[[#This Row],[Ganancia (N)]]-PagosV2[[#This Row],[Ganancia (UV)]],0)</f>
        <v>279.74494499999992</v>
      </c>
      <c r="Q420" s="1">
        <f>IFERROR(PagosV2[[#This Row],[Ganancia individual (Tienda)]]*PagosV2[[#This Row],[Cantidad vendida]],0)</f>
        <v>279.74494499999992</v>
      </c>
      <c r="R420" s="1">
        <f>IFERROR((PagosV2[[#This Row],[Precio de venta]]-PagosV2[[#This Row],[Ganancia (UB)]])*PagosV2[[#This Row],[Cantidad vendida]],0)</f>
        <v>1751.4805000000001</v>
      </c>
      <c r="S420" s="21" t="s">
        <v>312</v>
      </c>
      <c r="T420" s="21"/>
    </row>
    <row r="421" spans="1:20" ht="16.5" hidden="1" x14ac:dyDescent="0.3">
      <c r="A421" s="9" t="s">
        <v>313</v>
      </c>
      <c r="B421" s="75">
        <v>46127</v>
      </c>
      <c r="C421" s="9" t="s">
        <v>150</v>
      </c>
      <c r="D421" s="9" t="str">
        <f>IFERROR(VLOOKUP(PagosV2[[#This Row],[Codigo del producto]],Entradas[],3,FALSE),"No existe")</f>
        <v>KZ EDX Pro X</v>
      </c>
      <c r="E421" s="9">
        <v>1</v>
      </c>
      <c r="F421" s="11">
        <v>400</v>
      </c>
      <c r="G421" s="11">
        <f>IFERROR(PagosV2[[#This Row],[Cantidad vendida]]*PagosV2[[#This Row],[Precio de venta]],"-")</f>
        <v>400</v>
      </c>
      <c r="H421" s="11">
        <f>IFERROR(PagosV2[[#This Row],[Precio de venta]]-VLOOKUP(PagosV2[[#This Row],[Codigo del producto]],Stock[],13,FALSE),"-")</f>
        <v>181.11099999999999</v>
      </c>
      <c r="I421" s="11">
        <f>IFERROR(PagosV2[[#This Row],[Ganancia (UB)]]*$B$357,0)</f>
        <v>5.4333299999999998</v>
      </c>
      <c r="J421" s="11">
        <f>IFERROR(PagosV2[[#This Row],[Ganancia (UB)]]*$B$358,0)</f>
        <v>10.86666</v>
      </c>
      <c r="K421" s="11">
        <f>IFERROR(PagosV2[[#This Row],[Ganancia (UB)]]*$B$359,0)</f>
        <v>5.4333299999999998</v>
      </c>
      <c r="L421" s="11">
        <f>IFERROR(PagosV2[[#This Row],[Ganancia (UB)]]*$B$360,0)</f>
        <v>5.4333299999999998</v>
      </c>
      <c r="M421" s="11">
        <f>IFERROR(PagosV2[[#This Row],[Ganancia (UB)]]-PagosV2[[#This Row],[PM]]-PagosV2[[#This Row],[GC]]-PagosV2[[#This Row],[PC]]-PagosV2[[#This Row],[U]],0)</f>
        <v>153.94434999999996</v>
      </c>
      <c r="N421" s="11">
        <f t="shared" si="7"/>
        <v>69.274957499999985</v>
      </c>
      <c r="O421" s="11">
        <f>IFERROR(PagosV2[[#This Row],[Ganancia (UV)]]*PagosV2[[#This Row],[Cantidad vendida]],0)</f>
        <v>69.274957499999985</v>
      </c>
      <c r="P421" s="1">
        <f>IFERROR(PagosV2[[#This Row],[Ganancia (N)]]-PagosV2[[#This Row],[Ganancia (UV)]],0)</f>
        <v>84.669392499999972</v>
      </c>
      <c r="Q421" s="1">
        <f>IFERROR(PagosV2[[#This Row],[Ganancia individual (Tienda)]]*PagosV2[[#This Row],[Cantidad vendida]],0)</f>
        <v>84.669392499999972</v>
      </c>
      <c r="R421" s="1">
        <f>IFERROR((PagosV2[[#This Row],[Precio de venta]]-PagosV2[[#This Row],[Ganancia (UB)]])*PagosV2[[#This Row],[Cantidad vendida]],0)</f>
        <v>218.88900000000001</v>
      </c>
      <c r="S421" s="21" t="s">
        <v>312</v>
      </c>
      <c r="T421" s="21"/>
    </row>
    <row r="422" spans="1:20" ht="16.5" hidden="1" x14ac:dyDescent="0.3">
      <c r="A422" s="9" t="s">
        <v>313</v>
      </c>
      <c r="B422" s="75">
        <v>46127</v>
      </c>
      <c r="C422" s="9" t="s">
        <v>67</v>
      </c>
      <c r="D422" s="9" t="str">
        <f>IFERROR(VLOOKUP(PagosV2[[#This Row],[Codigo del producto]],Entradas[],3,FALSE),"No existe")</f>
        <v>Cable de Repuesto KZ Tipo C</v>
      </c>
      <c r="E422" s="9">
        <v>1</v>
      </c>
      <c r="F422" s="11">
        <v>400</v>
      </c>
      <c r="G422" s="11">
        <f>IFERROR(PagosV2[[#This Row],[Cantidad vendida]]*PagosV2[[#This Row],[Precio de venta]],"-")</f>
        <v>400</v>
      </c>
      <c r="H422" s="11">
        <f>IFERROR(PagosV2[[#This Row],[Precio de venta]]-VLOOKUP(PagosV2[[#This Row],[Codigo del producto]],Stock[],13,FALSE),"-")</f>
        <v>205.0635</v>
      </c>
      <c r="I422" s="11">
        <f>IFERROR(PagosV2[[#This Row],[Ganancia (UB)]]*$B$357,0)</f>
        <v>6.1519050000000002</v>
      </c>
      <c r="J422" s="11">
        <f>IFERROR(PagosV2[[#This Row],[Ganancia (UB)]]*$B$358,0)</f>
        <v>12.30381</v>
      </c>
      <c r="K422" s="11">
        <f>IFERROR(PagosV2[[#This Row],[Ganancia (UB)]]*$B$359,0)</f>
        <v>6.1519050000000002</v>
      </c>
      <c r="L422" s="11">
        <f>IFERROR(PagosV2[[#This Row],[Ganancia (UB)]]*$B$360,0)</f>
        <v>6.1519050000000002</v>
      </c>
      <c r="M422" s="11">
        <f>IFERROR(PagosV2[[#This Row],[Ganancia (UB)]]-PagosV2[[#This Row],[PM]]-PagosV2[[#This Row],[GC]]-PagosV2[[#This Row],[PC]]-PagosV2[[#This Row],[U]],0)</f>
        <v>174.30397500000001</v>
      </c>
      <c r="N422" s="11">
        <f t="shared" si="7"/>
        <v>78.436788750000005</v>
      </c>
      <c r="O422" s="11">
        <f>IFERROR(PagosV2[[#This Row],[Ganancia (UV)]]*PagosV2[[#This Row],[Cantidad vendida]],0)</f>
        <v>78.436788750000005</v>
      </c>
      <c r="P422" s="1">
        <f>IFERROR(PagosV2[[#This Row],[Ganancia (N)]]-PagosV2[[#This Row],[Ganancia (UV)]],0)</f>
        <v>95.867186250000003</v>
      </c>
      <c r="Q422" s="1">
        <f>IFERROR(PagosV2[[#This Row],[Ganancia individual (Tienda)]]*PagosV2[[#This Row],[Cantidad vendida]],0)</f>
        <v>95.867186250000003</v>
      </c>
      <c r="R422" s="1">
        <f>IFERROR((PagosV2[[#This Row],[Precio de venta]]-PagosV2[[#This Row],[Ganancia (UB)]])*PagosV2[[#This Row],[Cantidad vendida]],0)</f>
        <v>194.9365</v>
      </c>
      <c r="S422" s="21" t="s">
        <v>312</v>
      </c>
      <c r="T422" s="21"/>
    </row>
    <row r="423" spans="1:20" ht="16.5" hidden="1" x14ac:dyDescent="0.3">
      <c r="A423" s="9" t="s">
        <v>313</v>
      </c>
      <c r="B423" s="75">
        <v>46127</v>
      </c>
      <c r="C423" s="9" t="s">
        <v>150</v>
      </c>
      <c r="D423" s="9" t="str">
        <f>IFERROR(VLOOKUP(PagosV2[[#This Row],[Codigo del producto]],Entradas[],3,FALSE),"No existe")</f>
        <v>KZ EDX Pro X</v>
      </c>
      <c r="E423" s="9">
        <v>1</v>
      </c>
      <c r="F423" s="11">
        <v>450</v>
      </c>
      <c r="G423" s="11">
        <f>IFERROR(PagosV2[[#This Row],[Cantidad vendida]]*PagosV2[[#This Row],[Precio de venta]],"-")</f>
        <v>450</v>
      </c>
      <c r="H423" s="11">
        <f>IFERROR(PagosV2[[#This Row],[Precio de venta]]-VLOOKUP(PagosV2[[#This Row],[Codigo del producto]],Stock[],13,FALSE),"-")</f>
        <v>231.11099999999999</v>
      </c>
      <c r="I423" s="11">
        <f>IFERROR(PagosV2[[#This Row],[Ganancia (UB)]]*$B$357,0)</f>
        <v>6.9333299999999998</v>
      </c>
      <c r="J423" s="11">
        <f>IFERROR(PagosV2[[#This Row],[Ganancia (UB)]]*$B$358,0)</f>
        <v>13.86666</v>
      </c>
      <c r="K423" s="11">
        <f>IFERROR(PagosV2[[#This Row],[Ganancia (UB)]]*$B$359,0)</f>
        <v>6.9333299999999998</v>
      </c>
      <c r="L423" s="11">
        <f>IFERROR(PagosV2[[#This Row],[Ganancia (UB)]]*$B$360,0)</f>
        <v>6.9333299999999998</v>
      </c>
      <c r="M423" s="11">
        <f>IFERROR(PagosV2[[#This Row],[Ganancia (UB)]]-PagosV2[[#This Row],[PM]]-PagosV2[[#This Row],[GC]]-PagosV2[[#This Row],[PC]]-PagosV2[[#This Row],[U]],0)</f>
        <v>196.44434999999996</v>
      </c>
      <c r="N423" s="11">
        <f t="shared" si="7"/>
        <v>88.399957499999985</v>
      </c>
      <c r="O423" s="11">
        <f>IFERROR(PagosV2[[#This Row],[Ganancia (UV)]]*PagosV2[[#This Row],[Cantidad vendida]],0)</f>
        <v>88.399957499999985</v>
      </c>
      <c r="P423" s="1">
        <f>IFERROR(PagosV2[[#This Row],[Ganancia (N)]]-PagosV2[[#This Row],[Ganancia (UV)]],0)</f>
        <v>108.04439249999997</v>
      </c>
      <c r="Q423" s="1">
        <f>IFERROR(PagosV2[[#This Row],[Ganancia individual (Tienda)]]*PagosV2[[#This Row],[Cantidad vendida]],0)</f>
        <v>108.04439249999997</v>
      </c>
      <c r="R423" s="1">
        <f>IFERROR((PagosV2[[#This Row],[Precio de venta]]-PagosV2[[#This Row],[Ganancia (UB)]])*PagosV2[[#This Row],[Cantidad vendida]],0)</f>
        <v>218.88900000000001</v>
      </c>
      <c r="S423" s="21" t="s">
        <v>312</v>
      </c>
      <c r="T423" s="21"/>
    </row>
    <row r="424" spans="1:20" ht="16.5" hidden="1" x14ac:dyDescent="0.3">
      <c r="A424" s="9" t="s">
        <v>327</v>
      </c>
      <c r="B424" s="75">
        <v>46127</v>
      </c>
      <c r="C424" s="9" t="s">
        <v>148</v>
      </c>
      <c r="D424" s="9" t="str">
        <f>IFERROR(VLOOKUP(PagosV2[[#This Row],[Codigo del producto]],Entradas[],3,FALSE),"No existe")</f>
        <v>KZ castor Pro</v>
      </c>
      <c r="E424" s="9">
        <v>1</v>
      </c>
      <c r="F424" s="11">
        <v>1000</v>
      </c>
      <c r="G424" s="11">
        <f>IFERROR(PagosV2[[#This Row],[Cantidad vendida]]*PagosV2[[#This Row],[Precio de venta]],"-")</f>
        <v>1000</v>
      </c>
      <c r="H424" s="11">
        <f>IFERROR(PagosV2[[#This Row],[Precio de venta]]-VLOOKUP(PagosV2[[#This Row],[Codigo del producto]],Stock[],13,FALSE),"-")</f>
        <v>335.59449999999993</v>
      </c>
      <c r="I424" s="11">
        <f>IFERROR(PagosV2[[#This Row],[Ganancia (UB)]]*$B$357,0)</f>
        <v>10.067834999999997</v>
      </c>
      <c r="J424" s="11">
        <f>IFERROR(PagosV2[[#This Row],[Ganancia (UB)]]*$B$358,0)</f>
        <v>20.135669999999994</v>
      </c>
      <c r="K424" s="11">
        <f>IFERROR(PagosV2[[#This Row],[Ganancia (UB)]]*$B$359,0)</f>
        <v>10.067834999999997</v>
      </c>
      <c r="L424" s="11">
        <f>IFERROR(PagosV2[[#This Row],[Ganancia (UB)]]*$B$360,0)</f>
        <v>10.067834999999997</v>
      </c>
      <c r="M424" s="11">
        <f>IFERROR(PagosV2[[#This Row],[Ganancia (UB)]]-PagosV2[[#This Row],[PM]]-PagosV2[[#This Row],[GC]]-PagosV2[[#This Row],[PC]]-PagosV2[[#This Row],[U]],0)</f>
        <v>285.25532499999991</v>
      </c>
      <c r="N424" s="11">
        <f t="shared" si="7"/>
        <v>128.36489624999996</v>
      </c>
      <c r="O424" s="11">
        <f>IFERROR(PagosV2[[#This Row],[Ganancia (UV)]]*PagosV2[[#This Row],[Cantidad vendida]],0)</f>
        <v>128.36489624999996</v>
      </c>
      <c r="P424" s="1">
        <f>IFERROR(PagosV2[[#This Row],[Ganancia (N)]]-PagosV2[[#This Row],[Ganancia (UV)]],0)</f>
        <v>156.89042874999996</v>
      </c>
      <c r="Q424" s="1">
        <f>IFERROR(PagosV2[[#This Row],[Ganancia individual (Tienda)]]*PagosV2[[#This Row],[Cantidad vendida]],0)</f>
        <v>156.89042874999996</v>
      </c>
      <c r="R424" s="1">
        <f>IFERROR((PagosV2[[#This Row],[Precio de venta]]-PagosV2[[#This Row],[Ganancia (UB)]])*PagosV2[[#This Row],[Cantidad vendida]],0)</f>
        <v>664.40550000000007</v>
      </c>
      <c r="S424" s="21" t="s">
        <v>312</v>
      </c>
      <c r="T424" s="21"/>
    </row>
    <row r="425" spans="1:20" ht="16.5" hidden="1" x14ac:dyDescent="0.3">
      <c r="A425" s="9" t="s">
        <v>327</v>
      </c>
      <c r="B425" s="75">
        <v>46127</v>
      </c>
      <c r="C425" s="9" t="s">
        <v>66</v>
      </c>
      <c r="D425" s="9" t="str">
        <f>IFERROR(VLOOKUP(PagosV2[[#This Row],[Codigo del producto]],Entradas[],3,FALSE),"No existe")</f>
        <v xml:space="preserve">Adaptador DAC </v>
      </c>
      <c r="E425" s="9">
        <v>1</v>
      </c>
      <c r="F425" s="11">
        <v>300</v>
      </c>
      <c r="G425" s="11">
        <f>IFERROR(PagosV2[[#This Row],[Cantidad vendida]]*PagosV2[[#This Row],[Precio de venta]],"-")</f>
        <v>300</v>
      </c>
      <c r="H425" s="11">
        <f>IFERROR(PagosV2[[#This Row],[Precio de venta]]-VLOOKUP(PagosV2[[#This Row],[Codigo del producto]],Stock[],13,FALSE),"-")</f>
        <v>123.48849999999999</v>
      </c>
      <c r="I425" s="11">
        <f>IFERROR(PagosV2[[#This Row],[Ganancia (UB)]]*$B$357,0)</f>
        <v>3.7046549999999994</v>
      </c>
      <c r="J425" s="11">
        <f>IFERROR(PagosV2[[#This Row],[Ganancia (UB)]]*$B$358,0)</f>
        <v>7.4093099999999987</v>
      </c>
      <c r="K425" s="11">
        <f>IFERROR(PagosV2[[#This Row],[Ganancia (UB)]]*$B$359,0)</f>
        <v>3.7046549999999994</v>
      </c>
      <c r="L425" s="11">
        <f>IFERROR(PagosV2[[#This Row],[Ganancia (UB)]]*$B$360,0)</f>
        <v>3.7046549999999994</v>
      </c>
      <c r="M425" s="11">
        <f>IFERROR(PagosV2[[#This Row],[Ganancia (UB)]]-PagosV2[[#This Row],[PM]]-PagosV2[[#This Row],[GC]]-PagosV2[[#This Row],[PC]]-PagosV2[[#This Row],[U]],0)</f>
        <v>104.96522499999998</v>
      </c>
      <c r="N425" s="11">
        <f t="shared" si="7"/>
        <v>47.234351249999989</v>
      </c>
      <c r="O425" s="11">
        <f>IFERROR(PagosV2[[#This Row],[Ganancia (UV)]]*PagosV2[[#This Row],[Cantidad vendida]],0)</f>
        <v>47.234351249999989</v>
      </c>
      <c r="P425" s="1">
        <f>IFERROR(PagosV2[[#This Row],[Ganancia (N)]]-PagosV2[[#This Row],[Ganancia (UV)]],0)</f>
        <v>57.730873749999986</v>
      </c>
      <c r="Q425" s="1">
        <f>IFERROR(PagosV2[[#This Row],[Ganancia individual (Tienda)]]*PagosV2[[#This Row],[Cantidad vendida]],0)</f>
        <v>57.730873749999986</v>
      </c>
      <c r="R425" s="1">
        <f>IFERROR((PagosV2[[#This Row],[Precio de venta]]-PagosV2[[#This Row],[Ganancia (UB)]])*PagosV2[[#This Row],[Cantidad vendida]],0)</f>
        <v>176.51150000000001</v>
      </c>
      <c r="S425" s="21" t="s">
        <v>312</v>
      </c>
      <c r="T425" s="21"/>
    </row>
    <row r="426" spans="1:20" ht="16.5" hidden="1" x14ac:dyDescent="0.3">
      <c r="A426" s="9" t="s">
        <v>327</v>
      </c>
      <c r="B426" s="75">
        <v>46127</v>
      </c>
      <c r="C426" s="9" t="s">
        <v>67</v>
      </c>
      <c r="D426" s="9" t="str">
        <f>IFERROR(VLOOKUP(PagosV2[[#This Row],[Codigo del producto]],Entradas[],3,FALSE),"No existe")</f>
        <v>Cable de Repuesto KZ Tipo C</v>
      </c>
      <c r="E426" s="9">
        <v>1</v>
      </c>
      <c r="F426" s="11">
        <v>400</v>
      </c>
      <c r="G426" s="11">
        <f>IFERROR(PagosV2[[#This Row],[Cantidad vendida]]*PagosV2[[#This Row],[Precio de venta]],"-")</f>
        <v>400</v>
      </c>
      <c r="H426" s="11">
        <f>IFERROR(PagosV2[[#This Row],[Precio de venta]]-VLOOKUP(PagosV2[[#This Row],[Codigo del producto]],Stock[],13,FALSE),"-")</f>
        <v>205.0635</v>
      </c>
      <c r="I426" s="11">
        <f>IFERROR(PagosV2[[#This Row],[Ganancia (UB)]]*$B$357,0)</f>
        <v>6.1519050000000002</v>
      </c>
      <c r="J426" s="11">
        <f>IFERROR(PagosV2[[#This Row],[Ganancia (UB)]]*$B$358,0)</f>
        <v>12.30381</v>
      </c>
      <c r="K426" s="11">
        <f>IFERROR(PagosV2[[#This Row],[Ganancia (UB)]]*$B$359,0)</f>
        <v>6.1519050000000002</v>
      </c>
      <c r="L426" s="11">
        <f>IFERROR(PagosV2[[#This Row],[Ganancia (UB)]]*$B$360,0)</f>
        <v>6.1519050000000002</v>
      </c>
      <c r="M426" s="11">
        <f>IFERROR(PagosV2[[#This Row],[Ganancia (UB)]]-PagosV2[[#This Row],[PM]]-PagosV2[[#This Row],[GC]]-PagosV2[[#This Row],[PC]]-PagosV2[[#This Row],[U]],0)</f>
        <v>174.30397500000001</v>
      </c>
      <c r="N426" s="11">
        <f t="shared" si="7"/>
        <v>78.436788750000005</v>
      </c>
      <c r="O426" s="11">
        <f>IFERROR(PagosV2[[#This Row],[Ganancia (UV)]]*PagosV2[[#This Row],[Cantidad vendida]],0)</f>
        <v>78.436788750000005</v>
      </c>
      <c r="P426" s="1">
        <f>IFERROR(PagosV2[[#This Row],[Ganancia (N)]]-PagosV2[[#This Row],[Ganancia (UV)]],0)</f>
        <v>95.867186250000003</v>
      </c>
      <c r="Q426" s="1">
        <f>IFERROR(PagosV2[[#This Row],[Ganancia individual (Tienda)]]*PagosV2[[#This Row],[Cantidad vendida]],0)</f>
        <v>95.867186250000003</v>
      </c>
      <c r="R426" s="1">
        <f>IFERROR((PagosV2[[#This Row],[Precio de venta]]-PagosV2[[#This Row],[Ganancia (UB)]])*PagosV2[[#This Row],[Cantidad vendida]],0)</f>
        <v>194.9365</v>
      </c>
      <c r="S426" s="21" t="s">
        <v>312</v>
      </c>
      <c r="T426" s="21"/>
    </row>
    <row r="427" spans="1:20" ht="16.5" hidden="1" x14ac:dyDescent="0.3">
      <c r="A427" s="9" t="s">
        <v>311</v>
      </c>
      <c r="B427" s="75">
        <v>46127</v>
      </c>
      <c r="C427" s="9" t="s">
        <v>157</v>
      </c>
      <c r="D427" s="9" t="str">
        <f>IFERROR(VLOOKUP(PagosV2[[#This Row],[Codigo del producto]],Entradas[],3,FALSE),"No existe")</f>
        <v>KZ AZ09</v>
      </c>
      <c r="E427" s="9">
        <v>1</v>
      </c>
      <c r="F427" s="11">
        <v>900</v>
      </c>
      <c r="G427" s="11">
        <f>IFERROR(PagosV2[[#This Row],[Cantidad vendida]]*PagosV2[[#This Row],[Precio de venta]],"-")</f>
        <v>900</v>
      </c>
      <c r="H427" s="11">
        <f>IFERROR(PagosV2[[#This Row],[Precio de venta]]-VLOOKUP(PagosV2[[#This Row],[Codigo del producto]],Stock[],13,FALSE),"-")</f>
        <v>247.38649999999996</v>
      </c>
      <c r="I427" s="11">
        <f>IFERROR(PagosV2[[#This Row],[Ganancia (UB)]]*$B$357,0)</f>
        <v>7.4215949999999982</v>
      </c>
      <c r="J427" s="11">
        <f>IFERROR(PagosV2[[#This Row],[Ganancia (UB)]]*$B$358,0)</f>
        <v>14.843189999999996</v>
      </c>
      <c r="K427" s="11">
        <f>IFERROR(PagosV2[[#This Row],[Ganancia (UB)]]*$B$359,0)</f>
        <v>7.4215949999999982</v>
      </c>
      <c r="L427" s="11">
        <f>IFERROR(PagosV2[[#This Row],[Ganancia (UB)]]*$B$360,0)</f>
        <v>7.4215949999999982</v>
      </c>
      <c r="M427" s="11">
        <f>IFERROR(PagosV2[[#This Row],[Ganancia (UB)]]-PagosV2[[#This Row],[PM]]-PagosV2[[#This Row],[GC]]-PagosV2[[#This Row],[PC]]-PagosV2[[#This Row],[U]],0)</f>
        <v>210.27852499999997</v>
      </c>
      <c r="N427" s="11">
        <f t="shared" si="7"/>
        <v>94.625336249999989</v>
      </c>
      <c r="O427" s="11">
        <f>IFERROR(PagosV2[[#This Row],[Ganancia (UV)]]*PagosV2[[#This Row],[Cantidad vendida]],0)</f>
        <v>94.625336249999989</v>
      </c>
      <c r="P427" s="1">
        <f>IFERROR(PagosV2[[#This Row],[Ganancia (N)]]-PagosV2[[#This Row],[Ganancia (UV)]],0)</f>
        <v>115.65318874999998</v>
      </c>
      <c r="Q427" s="1">
        <f>IFERROR(PagosV2[[#This Row],[Ganancia individual (Tienda)]]*PagosV2[[#This Row],[Cantidad vendida]],0)</f>
        <v>115.65318874999998</v>
      </c>
      <c r="R427" s="1">
        <f>IFERROR((PagosV2[[#This Row],[Precio de venta]]-PagosV2[[#This Row],[Ganancia (UB)]])*PagosV2[[#This Row],[Cantidad vendida]],0)</f>
        <v>652.61350000000004</v>
      </c>
      <c r="S427" s="21" t="s">
        <v>312</v>
      </c>
      <c r="T427" s="21"/>
    </row>
    <row r="428" spans="1:20" ht="16.5" hidden="1" x14ac:dyDescent="0.3">
      <c r="A428" s="9" t="s">
        <v>311</v>
      </c>
      <c r="B428" s="75">
        <v>46127</v>
      </c>
      <c r="C428" s="9" t="s">
        <v>150</v>
      </c>
      <c r="D428" s="9" t="str">
        <f>IFERROR(VLOOKUP(PagosV2[[#This Row],[Codigo del producto]],Entradas[],3,FALSE),"No existe")</f>
        <v>KZ EDX Pro X</v>
      </c>
      <c r="E428" s="9">
        <v>1</v>
      </c>
      <c r="F428" s="11">
        <v>400</v>
      </c>
      <c r="G428" s="11">
        <f>IFERROR(PagosV2[[#This Row],[Cantidad vendida]]*PagosV2[[#This Row],[Precio de venta]],"-")</f>
        <v>400</v>
      </c>
      <c r="H428" s="11">
        <f>IFERROR(PagosV2[[#This Row],[Precio de venta]]-VLOOKUP(PagosV2[[#This Row],[Codigo del producto]],Stock[],13,FALSE),"-")</f>
        <v>181.11099999999999</v>
      </c>
      <c r="I428" s="11">
        <f>IFERROR(PagosV2[[#This Row],[Ganancia (UB)]]*$B$357,0)</f>
        <v>5.4333299999999998</v>
      </c>
      <c r="J428" s="11">
        <f>IFERROR(PagosV2[[#This Row],[Ganancia (UB)]]*$B$358,0)</f>
        <v>10.86666</v>
      </c>
      <c r="K428" s="11">
        <f>IFERROR(PagosV2[[#This Row],[Ganancia (UB)]]*$B$359,0)</f>
        <v>5.4333299999999998</v>
      </c>
      <c r="L428" s="11">
        <f>IFERROR(PagosV2[[#This Row],[Ganancia (UB)]]*$B$360,0)</f>
        <v>5.4333299999999998</v>
      </c>
      <c r="M428" s="11">
        <f>IFERROR(PagosV2[[#This Row],[Ganancia (UB)]]-PagosV2[[#This Row],[PM]]-PagosV2[[#This Row],[GC]]-PagosV2[[#This Row],[PC]]-PagosV2[[#This Row],[U]],0)</f>
        <v>153.94434999999996</v>
      </c>
      <c r="N428" s="11">
        <f t="shared" si="7"/>
        <v>69.274957499999985</v>
      </c>
      <c r="O428" s="11">
        <f>IFERROR(PagosV2[[#This Row],[Ganancia (UV)]]*PagosV2[[#This Row],[Cantidad vendida]],0)</f>
        <v>69.274957499999985</v>
      </c>
      <c r="P428" s="1">
        <f>IFERROR(PagosV2[[#This Row],[Ganancia (N)]]-PagosV2[[#This Row],[Ganancia (UV)]],0)</f>
        <v>84.669392499999972</v>
      </c>
      <c r="Q428" s="1">
        <f>IFERROR(PagosV2[[#This Row],[Ganancia individual (Tienda)]]*PagosV2[[#This Row],[Cantidad vendida]],0)</f>
        <v>84.669392499999972</v>
      </c>
      <c r="R428" s="1">
        <f>IFERROR((PagosV2[[#This Row],[Precio de venta]]-PagosV2[[#This Row],[Ganancia (UB)]])*PagosV2[[#This Row],[Cantidad vendida]],0)</f>
        <v>218.88900000000001</v>
      </c>
      <c r="S428" s="21" t="s">
        <v>312</v>
      </c>
      <c r="T428" s="21"/>
    </row>
    <row r="429" spans="1:20" ht="16.5" hidden="1" x14ac:dyDescent="0.3">
      <c r="A429" s="9" t="s">
        <v>311</v>
      </c>
      <c r="B429" s="75">
        <v>46127</v>
      </c>
      <c r="C429" s="9" t="s">
        <v>66</v>
      </c>
      <c r="D429" s="9" t="str">
        <f>IFERROR(VLOOKUP(PagosV2[[#This Row],[Codigo del producto]],Entradas[],3,FALSE),"No existe")</f>
        <v xml:space="preserve">Adaptador DAC </v>
      </c>
      <c r="E429" s="9">
        <v>1</v>
      </c>
      <c r="F429" s="11">
        <v>300</v>
      </c>
      <c r="G429" s="11">
        <f>IFERROR(PagosV2[[#This Row],[Cantidad vendida]]*PagosV2[[#This Row],[Precio de venta]],"-")</f>
        <v>300</v>
      </c>
      <c r="H429" s="11">
        <f>IFERROR(PagosV2[[#This Row],[Precio de venta]]-VLOOKUP(PagosV2[[#This Row],[Codigo del producto]],Stock[],13,FALSE),"-")</f>
        <v>123.48849999999999</v>
      </c>
      <c r="I429" s="11">
        <f>IFERROR(PagosV2[[#This Row],[Ganancia (UB)]]*$B$357,0)</f>
        <v>3.7046549999999994</v>
      </c>
      <c r="J429" s="11">
        <f>IFERROR(PagosV2[[#This Row],[Ganancia (UB)]]*$B$358,0)</f>
        <v>7.4093099999999987</v>
      </c>
      <c r="K429" s="11">
        <f>IFERROR(PagosV2[[#This Row],[Ganancia (UB)]]*$B$359,0)</f>
        <v>3.7046549999999994</v>
      </c>
      <c r="L429" s="11">
        <f>IFERROR(PagosV2[[#This Row],[Ganancia (UB)]]*$B$360,0)</f>
        <v>3.7046549999999994</v>
      </c>
      <c r="M429" s="11">
        <f>IFERROR(PagosV2[[#This Row],[Ganancia (UB)]]-PagosV2[[#This Row],[PM]]-PagosV2[[#This Row],[GC]]-PagosV2[[#This Row],[PC]]-PagosV2[[#This Row],[U]],0)</f>
        <v>104.96522499999998</v>
      </c>
      <c r="N429" s="11">
        <f t="shared" si="7"/>
        <v>47.234351249999989</v>
      </c>
      <c r="O429" s="11">
        <f>IFERROR(PagosV2[[#This Row],[Ganancia (UV)]]*PagosV2[[#This Row],[Cantidad vendida]],0)</f>
        <v>47.234351249999989</v>
      </c>
      <c r="P429" s="1">
        <f>IFERROR(PagosV2[[#This Row],[Ganancia (N)]]-PagosV2[[#This Row],[Ganancia (UV)]],0)</f>
        <v>57.730873749999986</v>
      </c>
      <c r="Q429" s="1">
        <f>IFERROR(PagosV2[[#This Row],[Ganancia individual (Tienda)]]*PagosV2[[#This Row],[Cantidad vendida]],0)</f>
        <v>57.730873749999986</v>
      </c>
      <c r="R429" s="1">
        <f>IFERROR((PagosV2[[#This Row],[Precio de venta]]-PagosV2[[#This Row],[Ganancia (UB)]])*PagosV2[[#This Row],[Cantidad vendida]],0)</f>
        <v>176.51150000000001</v>
      </c>
      <c r="S429" s="21" t="s">
        <v>312</v>
      </c>
      <c r="T429" s="21"/>
    </row>
    <row r="430" spans="1:20" ht="16.5" hidden="1" x14ac:dyDescent="0.3">
      <c r="A430" s="9" t="s">
        <v>327</v>
      </c>
      <c r="B430" s="75">
        <v>46128</v>
      </c>
      <c r="C430" s="9" t="s">
        <v>157</v>
      </c>
      <c r="D430" s="9" t="str">
        <f>IFERROR(VLOOKUP(PagosV2[[#This Row],[Codigo del producto]],Entradas[],3,FALSE),"No existe")</f>
        <v>KZ AZ09</v>
      </c>
      <c r="E430" s="9">
        <v>1</v>
      </c>
      <c r="F430" s="11">
        <v>1000</v>
      </c>
      <c r="G430" s="11">
        <f>IFERROR(PagosV2[[#This Row],[Cantidad vendida]]*PagosV2[[#This Row],[Precio de venta]],"-")</f>
        <v>1000</v>
      </c>
      <c r="H430" s="11">
        <f>IFERROR(PagosV2[[#This Row],[Precio de venta]]-VLOOKUP(PagosV2[[#This Row],[Codigo del producto]],Stock[],13,FALSE),"-")</f>
        <v>347.38649999999996</v>
      </c>
      <c r="I430" s="11">
        <f>IFERROR(PagosV2[[#This Row],[Ganancia (UB)]]*$B$357,0)</f>
        <v>10.421594999999998</v>
      </c>
      <c r="J430" s="11">
        <f>IFERROR(PagosV2[[#This Row],[Ganancia (UB)]]*$B$358,0)</f>
        <v>20.843189999999996</v>
      </c>
      <c r="K430" s="11">
        <f>IFERROR(PagosV2[[#This Row],[Ganancia (UB)]]*$B$359,0)</f>
        <v>10.421594999999998</v>
      </c>
      <c r="L430" s="11">
        <f>IFERROR(PagosV2[[#This Row],[Ganancia (UB)]]*$B$360,0)</f>
        <v>10.421594999999998</v>
      </c>
      <c r="M430" s="11">
        <f>IFERROR(PagosV2[[#This Row],[Ganancia (UB)]]-PagosV2[[#This Row],[PM]]-PagosV2[[#This Row],[GC]]-PagosV2[[#This Row],[PC]]-PagosV2[[#This Row],[U]],0)</f>
        <v>295.27852499999989</v>
      </c>
      <c r="N430" s="11">
        <f t="shared" si="7"/>
        <v>132.87533624999995</v>
      </c>
      <c r="O430" s="11">
        <f>IFERROR(PagosV2[[#This Row],[Ganancia (UV)]]*PagosV2[[#This Row],[Cantidad vendida]],0)</f>
        <v>132.87533624999995</v>
      </c>
      <c r="P430" s="1">
        <f>IFERROR(PagosV2[[#This Row],[Ganancia (N)]]-PagosV2[[#This Row],[Ganancia (UV)]],0)</f>
        <v>162.40318874999994</v>
      </c>
      <c r="Q430" s="1">
        <f>IFERROR(PagosV2[[#This Row],[Ganancia individual (Tienda)]]*PagosV2[[#This Row],[Cantidad vendida]],0)</f>
        <v>162.40318874999994</v>
      </c>
      <c r="R430" s="1">
        <f>IFERROR((PagosV2[[#This Row],[Precio de venta]]-PagosV2[[#This Row],[Ganancia (UB)]])*PagosV2[[#This Row],[Cantidad vendida]],0)</f>
        <v>652.61350000000004</v>
      </c>
      <c r="S430" s="21" t="s">
        <v>312</v>
      </c>
      <c r="T430" s="21"/>
    </row>
    <row r="431" spans="1:20" ht="16.5" hidden="1" x14ac:dyDescent="0.3">
      <c r="A431" s="9" t="s">
        <v>327</v>
      </c>
      <c r="B431" s="75">
        <v>46129</v>
      </c>
      <c r="C431" s="9" t="s">
        <v>150</v>
      </c>
      <c r="D431" s="9" t="str">
        <f>IFERROR(VLOOKUP(PagosV2[[#This Row],[Codigo del producto]],Entradas[],3,FALSE),"No existe")</f>
        <v>KZ EDX Pro X</v>
      </c>
      <c r="E431" s="9">
        <v>1</v>
      </c>
      <c r="F431" s="11">
        <v>400</v>
      </c>
      <c r="G431" s="11">
        <f>IFERROR(PagosV2[[#This Row],[Cantidad vendida]]*PagosV2[[#This Row],[Precio de venta]],"-")</f>
        <v>400</v>
      </c>
      <c r="H431" s="11">
        <f>IFERROR(PagosV2[[#This Row],[Precio de venta]]-VLOOKUP(PagosV2[[#This Row],[Codigo del producto]],Stock[],13,FALSE),"-")</f>
        <v>181.11099999999999</v>
      </c>
      <c r="I431" s="11">
        <f>IFERROR(PagosV2[[#This Row],[Ganancia (UB)]]*$B$357,0)</f>
        <v>5.4333299999999998</v>
      </c>
      <c r="J431" s="11">
        <f>IFERROR(PagosV2[[#This Row],[Ganancia (UB)]]*$B$358,0)</f>
        <v>10.86666</v>
      </c>
      <c r="K431" s="11">
        <f>IFERROR(PagosV2[[#This Row],[Ganancia (UB)]]*$B$359,0)</f>
        <v>5.4333299999999998</v>
      </c>
      <c r="L431" s="11">
        <f>IFERROR(PagosV2[[#This Row],[Ganancia (UB)]]*$B$360,0)</f>
        <v>5.4333299999999998</v>
      </c>
      <c r="M431" s="11">
        <f>IFERROR(PagosV2[[#This Row],[Ganancia (UB)]]-PagosV2[[#This Row],[PM]]-PagosV2[[#This Row],[GC]]-PagosV2[[#This Row],[PC]]-PagosV2[[#This Row],[U]],0)</f>
        <v>153.94434999999996</v>
      </c>
      <c r="N431" s="11">
        <f t="shared" si="7"/>
        <v>69.274957499999985</v>
      </c>
      <c r="O431" s="11">
        <f>IFERROR(PagosV2[[#This Row],[Ganancia (UV)]]*PagosV2[[#This Row],[Cantidad vendida]],0)</f>
        <v>69.274957499999985</v>
      </c>
      <c r="P431" s="1">
        <f>IFERROR(PagosV2[[#This Row],[Ganancia (N)]]-PagosV2[[#This Row],[Ganancia (UV)]],0)</f>
        <v>84.669392499999972</v>
      </c>
      <c r="Q431" s="1">
        <f>IFERROR(PagosV2[[#This Row],[Ganancia individual (Tienda)]]*PagosV2[[#This Row],[Cantidad vendida]],0)</f>
        <v>84.669392499999972</v>
      </c>
      <c r="R431" s="1">
        <f>IFERROR((PagosV2[[#This Row],[Precio de venta]]-PagosV2[[#This Row],[Ganancia (UB)]])*PagosV2[[#This Row],[Cantidad vendida]],0)</f>
        <v>218.88900000000001</v>
      </c>
      <c r="S431" s="21" t="s">
        <v>312</v>
      </c>
      <c r="T431" s="21"/>
    </row>
    <row r="432" spans="1:20" ht="16.5" hidden="1" x14ac:dyDescent="0.3">
      <c r="A432" s="9" t="s">
        <v>327</v>
      </c>
      <c r="B432" s="75">
        <v>46129</v>
      </c>
      <c r="C432" s="9" t="s">
        <v>157</v>
      </c>
      <c r="D432" s="9" t="str">
        <f>IFERROR(VLOOKUP(PagosV2[[#This Row],[Codigo del producto]],Entradas[],3,FALSE),"No existe")</f>
        <v>KZ AZ09</v>
      </c>
      <c r="E432" s="9">
        <v>1</v>
      </c>
      <c r="F432" s="11">
        <v>1000</v>
      </c>
      <c r="G432" s="11">
        <f>IFERROR(PagosV2[[#This Row],[Cantidad vendida]]*PagosV2[[#This Row],[Precio de venta]],"-")</f>
        <v>1000</v>
      </c>
      <c r="H432" s="11">
        <f>IFERROR(PagosV2[[#This Row],[Precio de venta]]-VLOOKUP(PagosV2[[#This Row],[Codigo del producto]],Stock[],13,FALSE),"-")</f>
        <v>347.38649999999996</v>
      </c>
      <c r="I432" s="11">
        <f>IFERROR(PagosV2[[#This Row],[Ganancia (UB)]]*$B$357,0)</f>
        <v>10.421594999999998</v>
      </c>
      <c r="J432" s="11">
        <f>IFERROR(PagosV2[[#This Row],[Ganancia (UB)]]*$B$358,0)</f>
        <v>20.843189999999996</v>
      </c>
      <c r="K432" s="11">
        <f>IFERROR(PagosV2[[#This Row],[Ganancia (UB)]]*$B$359,0)</f>
        <v>10.421594999999998</v>
      </c>
      <c r="L432" s="11">
        <f>IFERROR(PagosV2[[#This Row],[Ganancia (UB)]]*$B$360,0)</f>
        <v>10.421594999999998</v>
      </c>
      <c r="M432" s="11">
        <f>IFERROR(PagosV2[[#This Row],[Ganancia (UB)]]-PagosV2[[#This Row],[PM]]-PagosV2[[#This Row],[GC]]-PagosV2[[#This Row],[PC]]-PagosV2[[#This Row],[U]],0)</f>
        <v>295.27852499999989</v>
      </c>
      <c r="N432" s="11">
        <f t="shared" si="7"/>
        <v>132.87533624999995</v>
      </c>
      <c r="O432" s="11">
        <f>IFERROR(PagosV2[[#This Row],[Ganancia (UV)]]*PagosV2[[#This Row],[Cantidad vendida]],0)</f>
        <v>132.87533624999995</v>
      </c>
      <c r="P432" s="1">
        <f>IFERROR(PagosV2[[#This Row],[Ganancia (N)]]-PagosV2[[#This Row],[Ganancia (UV)]],0)</f>
        <v>162.40318874999994</v>
      </c>
      <c r="Q432" s="1">
        <f>IFERROR(PagosV2[[#This Row],[Ganancia individual (Tienda)]]*PagosV2[[#This Row],[Cantidad vendida]],0)</f>
        <v>162.40318874999994</v>
      </c>
      <c r="R432" s="1">
        <f>IFERROR((PagosV2[[#This Row],[Precio de venta]]-PagosV2[[#This Row],[Ganancia (UB)]])*PagosV2[[#This Row],[Cantidad vendida]],0)</f>
        <v>652.61350000000004</v>
      </c>
      <c r="S432" s="21" t="s">
        <v>312</v>
      </c>
      <c r="T432" s="21"/>
    </row>
    <row r="433" spans="1:20" ht="16.5" hidden="1" x14ac:dyDescent="0.3">
      <c r="A433" s="9" t="s">
        <v>327</v>
      </c>
      <c r="B433" s="75">
        <v>46129</v>
      </c>
      <c r="C433" s="9" t="s">
        <v>41</v>
      </c>
      <c r="D433" s="9" t="str">
        <f>IFERROR(VLOOKUP(PagosV2[[#This Row],[Codigo del producto]],Entradas[],3,FALSE),"No existe")</f>
        <v>Halogenos para moto</v>
      </c>
      <c r="E433" s="9">
        <v>1</v>
      </c>
      <c r="F433" s="11">
        <v>350</v>
      </c>
      <c r="G433" s="11">
        <f>IFERROR(PagosV2[[#This Row],[Cantidad vendida]]*PagosV2[[#This Row],[Precio de venta]],"-")</f>
        <v>350</v>
      </c>
      <c r="H433" s="11">
        <f>IFERROR(PagosV2[[#This Row],[Precio de venta]]-VLOOKUP(PagosV2[[#This Row],[Codigo del producto]],Stock[],13,FALSE),"-")</f>
        <v>203.33699999999999</v>
      </c>
      <c r="I433" s="11">
        <f>IFERROR(PagosV2[[#This Row],[Ganancia (UB)]]*$B$357,0)</f>
        <v>6.100109999999999</v>
      </c>
      <c r="J433" s="11">
        <f>IFERROR(PagosV2[[#This Row],[Ganancia (UB)]]*$B$358,0)</f>
        <v>12.200219999999998</v>
      </c>
      <c r="K433" s="11">
        <f>IFERROR(PagosV2[[#This Row],[Ganancia (UB)]]*$B$359,0)</f>
        <v>6.100109999999999</v>
      </c>
      <c r="L433" s="11">
        <f>IFERROR(PagosV2[[#This Row],[Ganancia (UB)]]*$B$360,0)</f>
        <v>6.100109999999999</v>
      </c>
      <c r="M433" s="11">
        <f>IFERROR(PagosV2[[#This Row],[Ganancia (UB)]]-PagosV2[[#This Row],[PM]]-PagosV2[[#This Row],[GC]]-PagosV2[[#This Row],[PC]]-PagosV2[[#This Row],[U]],0)</f>
        <v>172.83644999999999</v>
      </c>
      <c r="N433" s="11">
        <f t="shared" si="7"/>
        <v>77.776402499999989</v>
      </c>
      <c r="O433" s="11">
        <f>IFERROR(PagosV2[[#This Row],[Ganancia (UV)]]*PagosV2[[#This Row],[Cantidad vendida]],0)</f>
        <v>77.776402499999989</v>
      </c>
      <c r="P433" s="1">
        <f>IFERROR(PagosV2[[#This Row],[Ganancia (N)]]-PagosV2[[#This Row],[Ganancia (UV)]],0)</f>
        <v>95.060047499999996</v>
      </c>
      <c r="Q433" s="1">
        <f>IFERROR(PagosV2[[#This Row],[Ganancia individual (Tienda)]]*PagosV2[[#This Row],[Cantidad vendida]],0)</f>
        <v>95.060047499999996</v>
      </c>
      <c r="R433" s="1">
        <f>IFERROR((PagosV2[[#This Row],[Precio de venta]]-PagosV2[[#This Row],[Ganancia (UB)]])*PagosV2[[#This Row],[Cantidad vendida]],0)</f>
        <v>146.66300000000001</v>
      </c>
      <c r="S433" s="21" t="s">
        <v>312</v>
      </c>
      <c r="T433" s="21"/>
    </row>
    <row r="434" spans="1:20" ht="16.5" hidden="1" x14ac:dyDescent="0.3">
      <c r="A434" s="9" t="s">
        <v>327</v>
      </c>
      <c r="B434" s="75">
        <v>46129</v>
      </c>
      <c r="C434" s="9" t="s">
        <v>148</v>
      </c>
      <c r="D434" s="9" t="str">
        <f>IFERROR(VLOOKUP(PagosV2[[#This Row],[Codigo del producto]],Entradas[],3,FALSE),"No existe")</f>
        <v>KZ castor Pro</v>
      </c>
      <c r="E434" s="9">
        <v>1</v>
      </c>
      <c r="F434" s="11">
        <v>1000</v>
      </c>
      <c r="G434" s="11">
        <f>IFERROR(PagosV2[[#This Row],[Cantidad vendida]]*PagosV2[[#This Row],[Precio de venta]],"-")</f>
        <v>1000</v>
      </c>
      <c r="H434" s="11">
        <f>IFERROR(PagosV2[[#This Row],[Precio de venta]]-VLOOKUP(PagosV2[[#This Row],[Codigo del producto]],Stock[],13,FALSE),"-")</f>
        <v>335.59449999999993</v>
      </c>
      <c r="I434" s="11">
        <f>IFERROR(PagosV2[[#This Row],[Ganancia (UB)]]*$B$357,0)</f>
        <v>10.067834999999997</v>
      </c>
      <c r="J434" s="11">
        <f>IFERROR(PagosV2[[#This Row],[Ganancia (UB)]]*$B$358,0)</f>
        <v>20.135669999999994</v>
      </c>
      <c r="K434" s="11">
        <f>IFERROR(PagosV2[[#This Row],[Ganancia (UB)]]*$B$359,0)</f>
        <v>10.067834999999997</v>
      </c>
      <c r="L434" s="11">
        <f>IFERROR(PagosV2[[#This Row],[Ganancia (UB)]]*$B$360,0)</f>
        <v>10.067834999999997</v>
      </c>
      <c r="M434" s="11">
        <f>IFERROR(PagosV2[[#This Row],[Ganancia (UB)]]-PagosV2[[#This Row],[PM]]-PagosV2[[#This Row],[GC]]-PagosV2[[#This Row],[PC]]-PagosV2[[#This Row],[U]],0)</f>
        <v>285.25532499999991</v>
      </c>
      <c r="N434" s="11">
        <f t="shared" si="7"/>
        <v>128.36489624999996</v>
      </c>
      <c r="O434" s="11">
        <f>IFERROR(PagosV2[[#This Row],[Ganancia (UV)]]*PagosV2[[#This Row],[Cantidad vendida]],0)</f>
        <v>128.36489624999996</v>
      </c>
      <c r="P434" s="1">
        <f>IFERROR(PagosV2[[#This Row],[Ganancia (N)]]-PagosV2[[#This Row],[Ganancia (UV)]],0)</f>
        <v>156.89042874999996</v>
      </c>
      <c r="Q434" s="1">
        <f>IFERROR(PagosV2[[#This Row],[Ganancia individual (Tienda)]]*PagosV2[[#This Row],[Cantidad vendida]],0)</f>
        <v>156.89042874999996</v>
      </c>
      <c r="R434" s="1">
        <f>IFERROR((PagosV2[[#This Row],[Precio de venta]]-PagosV2[[#This Row],[Ganancia (UB)]])*PagosV2[[#This Row],[Cantidad vendida]],0)</f>
        <v>664.40550000000007</v>
      </c>
      <c r="S434" s="21" t="s">
        <v>312</v>
      </c>
      <c r="T434" s="21"/>
    </row>
    <row r="435" spans="1:20" ht="16.5" hidden="1" x14ac:dyDescent="0.3">
      <c r="A435" s="9" t="s">
        <v>311</v>
      </c>
      <c r="B435" s="75">
        <v>46129</v>
      </c>
      <c r="C435" s="9" t="s">
        <v>150</v>
      </c>
      <c r="D435" s="9" t="str">
        <f>IFERROR(VLOOKUP(PagosV2[[#This Row],[Codigo del producto]],Entradas[],3,FALSE),"No existe")</f>
        <v>KZ EDX Pro X</v>
      </c>
      <c r="E435" s="9">
        <v>1</v>
      </c>
      <c r="F435" s="11">
        <v>450</v>
      </c>
      <c r="G435" s="11">
        <f>IFERROR(PagosV2[[#This Row],[Cantidad vendida]]*PagosV2[[#This Row],[Precio de venta]],"-")</f>
        <v>450</v>
      </c>
      <c r="H435" s="11">
        <f>IFERROR(PagosV2[[#This Row],[Precio de venta]]-VLOOKUP(PagosV2[[#This Row],[Codigo del producto]],Stock[],13,FALSE),"-")</f>
        <v>231.11099999999999</v>
      </c>
      <c r="I435" s="11">
        <f>IFERROR(PagosV2[[#This Row],[Ganancia (UB)]]*$B$357,0)</f>
        <v>6.9333299999999998</v>
      </c>
      <c r="J435" s="11">
        <f>IFERROR(PagosV2[[#This Row],[Ganancia (UB)]]*$B$358,0)</f>
        <v>13.86666</v>
      </c>
      <c r="K435" s="11">
        <f>IFERROR(PagosV2[[#This Row],[Ganancia (UB)]]*$B$359,0)</f>
        <v>6.9333299999999998</v>
      </c>
      <c r="L435" s="11">
        <f>IFERROR(PagosV2[[#This Row],[Ganancia (UB)]]*$B$360,0)</f>
        <v>6.9333299999999998</v>
      </c>
      <c r="M435" s="11">
        <f>IFERROR(PagosV2[[#This Row],[Ganancia (UB)]]-PagosV2[[#This Row],[PM]]-PagosV2[[#This Row],[GC]]-PagosV2[[#This Row],[PC]]-PagosV2[[#This Row],[U]],0)</f>
        <v>196.44434999999996</v>
      </c>
      <c r="N435" s="11">
        <f t="shared" si="7"/>
        <v>88.399957499999985</v>
      </c>
      <c r="O435" s="11">
        <f>IFERROR(PagosV2[[#This Row],[Ganancia (UV)]]*PagosV2[[#This Row],[Cantidad vendida]],0)</f>
        <v>88.399957499999985</v>
      </c>
      <c r="P435" s="1">
        <f>IFERROR(PagosV2[[#This Row],[Ganancia (N)]]-PagosV2[[#This Row],[Ganancia (UV)]],0)</f>
        <v>108.04439249999997</v>
      </c>
      <c r="Q435" s="1">
        <f>IFERROR(PagosV2[[#This Row],[Ganancia individual (Tienda)]]*PagosV2[[#This Row],[Cantidad vendida]],0)</f>
        <v>108.04439249999997</v>
      </c>
      <c r="R435" s="1">
        <f>IFERROR((PagosV2[[#This Row],[Precio de venta]]-PagosV2[[#This Row],[Ganancia (UB)]])*PagosV2[[#This Row],[Cantidad vendida]],0)</f>
        <v>218.88900000000001</v>
      </c>
      <c r="S435" s="21" t="s">
        <v>312</v>
      </c>
      <c r="T435" s="21"/>
    </row>
    <row r="436" spans="1:20" ht="16.5" hidden="1" x14ac:dyDescent="0.3">
      <c r="A436" s="9" t="s">
        <v>313</v>
      </c>
      <c r="B436" s="75">
        <v>46129</v>
      </c>
      <c r="C436" s="9" t="s">
        <v>155</v>
      </c>
      <c r="D436" s="9" t="str">
        <f>IFERROR(VLOOKUP(PagosV2[[#This Row],[Codigo del producto]],Entradas[],3,FALSE),"No existe")</f>
        <v>Attack Shark Mouse X11 Rojo</v>
      </c>
      <c r="E436" s="9">
        <v>1</v>
      </c>
      <c r="F436" s="11">
        <v>1300</v>
      </c>
      <c r="G436" s="11">
        <f>IFERROR(PagosV2[[#This Row],[Cantidad vendida]]*PagosV2[[#This Row],[Precio de venta]],"-")</f>
        <v>1300</v>
      </c>
      <c r="H436" s="11">
        <f>IFERROR(PagosV2[[#This Row],[Precio de venta]]-VLOOKUP(PagosV2[[#This Row],[Codigo del producto]],Stock[],13,FALSE),"-")</f>
        <v>373.95950000000005</v>
      </c>
      <c r="I436" s="11">
        <f>IFERROR(PagosV2[[#This Row],[Ganancia (UB)]]*$B$357,0)</f>
        <v>11.218785</v>
      </c>
      <c r="J436" s="11">
        <f>IFERROR(PagosV2[[#This Row],[Ganancia (UB)]]*$B$358,0)</f>
        <v>22.437570000000001</v>
      </c>
      <c r="K436" s="11">
        <f>IFERROR(PagosV2[[#This Row],[Ganancia (UB)]]*$B$359,0)</f>
        <v>11.218785</v>
      </c>
      <c r="L436" s="11">
        <f>IFERROR(PagosV2[[#This Row],[Ganancia (UB)]]*$B$360,0)</f>
        <v>11.218785</v>
      </c>
      <c r="M436" s="11">
        <f>IFERROR(PagosV2[[#This Row],[Ganancia (UB)]]-PagosV2[[#This Row],[PM]]-PagosV2[[#This Row],[GC]]-PagosV2[[#This Row],[PC]]-PagosV2[[#This Row],[U]],0)</f>
        <v>317.86557499999998</v>
      </c>
      <c r="N436" s="11">
        <f t="shared" si="7"/>
        <v>127.14623</v>
      </c>
      <c r="O436" s="11">
        <f>IFERROR(PagosV2[[#This Row],[Ganancia (UV)]]*PagosV2[[#This Row],[Cantidad vendida]],0)</f>
        <v>127.14623</v>
      </c>
      <c r="P436" s="1">
        <f>IFERROR(PagosV2[[#This Row],[Ganancia (N)]]-PagosV2[[#This Row],[Ganancia (UV)]],0)</f>
        <v>190.71934499999998</v>
      </c>
      <c r="Q436" s="1">
        <f>IFERROR(PagosV2[[#This Row],[Ganancia individual (Tienda)]]*PagosV2[[#This Row],[Cantidad vendida]],0)</f>
        <v>190.71934499999998</v>
      </c>
      <c r="R436" s="1">
        <f>IFERROR((PagosV2[[#This Row],[Precio de venta]]-PagosV2[[#This Row],[Ganancia (UB)]])*PagosV2[[#This Row],[Cantidad vendida]],0)</f>
        <v>926.04049999999995</v>
      </c>
      <c r="S436" s="21" t="s">
        <v>312</v>
      </c>
      <c r="T436" s="21"/>
    </row>
    <row r="437" spans="1:20" ht="16.5" hidden="1" x14ac:dyDescent="0.3">
      <c r="A437" s="9" t="s">
        <v>315</v>
      </c>
      <c r="B437" s="75">
        <v>46129</v>
      </c>
      <c r="C437" s="9" t="s">
        <v>128</v>
      </c>
      <c r="D437" s="9" t="str">
        <f>IFERROR(VLOOKUP(PagosV2[[#This Row],[Codigo del producto]],Entradas[],3,FALSE),"No existe")</f>
        <v>FIFINE Headset PC</v>
      </c>
      <c r="E437" s="9">
        <v>1</v>
      </c>
      <c r="F437" s="11">
        <v>1800</v>
      </c>
      <c r="G437" s="11">
        <f>IFERROR(PagosV2[[#This Row],[Cantidad vendida]]*PagosV2[[#This Row],[Precio de venta]],"-")</f>
        <v>1800</v>
      </c>
      <c r="H437" s="11">
        <f>IFERROR(PagosV2[[#This Row],[Precio de venta]]-VLOOKUP(PagosV2[[#This Row],[Codigo del producto]],Stock[],13,FALSE),"-")</f>
        <v>377.58999999999992</v>
      </c>
      <c r="I437" s="11">
        <f>IFERROR(PagosV2[[#This Row],[Ganancia (UB)]]*$B$357,0)</f>
        <v>11.327699999999997</v>
      </c>
      <c r="J437" s="11">
        <f>IFERROR(PagosV2[[#This Row],[Ganancia (UB)]]*$B$358,0)</f>
        <v>22.655399999999993</v>
      </c>
      <c r="K437" s="11">
        <f>IFERROR(PagosV2[[#This Row],[Ganancia (UB)]]*$B$359,0)</f>
        <v>11.327699999999997</v>
      </c>
      <c r="L437" s="11">
        <f>IFERROR(PagosV2[[#This Row],[Ganancia (UB)]]*$B$360,0)</f>
        <v>11.327699999999997</v>
      </c>
      <c r="M437" s="11">
        <f>IFERROR(PagosV2[[#This Row],[Ganancia (UB)]]-PagosV2[[#This Row],[PM]]-PagosV2[[#This Row],[GC]]-PagosV2[[#This Row],[PC]]-PagosV2[[#This Row],[U]],0)</f>
        <v>320.95149999999995</v>
      </c>
      <c r="N437" s="11">
        <f t="shared" si="7"/>
        <v>128.38059999999999</v>
      </c>
      <c r="O437" s="11">
        <f>IFERROR(PagosV2[[#This Row],[Ganancia (UV)]]*PagosV2[[#This Row],[Cantidad vendida]],0)</f>
        <v>128.38059999999999</v>
      </c>
      <c r="P437" s="1">
        <f>IFERROR(PagosV2[[#This Row],[Ganancia (N)]]-PagosV2[[#This Row],[Ganancia (UV)]],0)</f>
        <v>192.57089999999997</v>
      </c>
      <c r="Q437" s="1">
        <f>IFERROR(PagosV2[[#This Row],[Ganancia individual (Tienda)]]*PagosV2[[#This Row],[Cantidad vendida]],0)</f>
        <v>192.57089999999997</v>
      </c>
      <c r="R437" s="1">
        <f>IFERROR((PagosV2[[#This Row],[Precio de venta]]-PagosV2[[#This Row],[Ganancia (UB)]])*PagosV2[[#This Row],[Cantidad vendida]],0)</f>
        <v>1422.41</v>
      </c>
      <c r="S437" s="21" t="s">
        <v>312</v>
      </c>
      <c r="T437" s="21" t="s">
        <v>360</v>
      </c>
    </row>
    <row r="438" spans="1:20" ht="16.5" hidden="1" x14ac:dyDescent="0.3">
      <c r="A438" s="9" t="s">
        <v>311</v>
      </c>
      <c r="B438" s="75">
        <v>46131</v>
      </c>
      <c r="C438" s="9" t="s">
        <v>154</v>
      </c>
      <c r="D438" s="9" t="str">
        <f>IFERROR(VLOOKUP(PagosV2[[#This Row],[Codigo del producto]],Entradas[],3,FALSE),"No existe")</f>
        <v xml:space="preserve">Attack Shark Mouse X11 negro </v>
      </c>
      <c r="E438" s="9">
        <v>1</v>
      </c>
      <c r="F438" s="11">
        <v>1300</v>
      </c>
      <c r="G438" s="11">
        <f>IFERROR(PagosV2[[#This Row],[Cantidad vendida]]*PagosV2[[#This Row],[Precio de venta]],"-")</f>
        <v>1300</v>
      </c>
      <c r="H438" s="11">
        <f>IFERROR(PagosV2[[#This Row],[Precio de venta]]-VLOOKUP(PagosV2[[#This Row],[Codigo del producto]],Stock[],13,FALSE),"-")</f>
        <v>377.64449999999988</v>
      </c>
      <c r="I438" s="11">
        <f>IFERROR(PagosV2[[#This Row],[Ganancia (UB)]]*$B$357,0)</f>
        <v>11.329334999999997</v>
      </c>
      <c r="J438" s="11">
        <f>IFERROR(PagosV2[[#This Row],[Ganancia (UB)]]*$B$358,0)</f>
        <v>22.658669999999994</v>
      </c>
      <c r="K438" s="11">
        <f>IFERROR(PagosV2[[#This Row],[Ganancia (UB)]]*$B$359,0)</f>
        <v>11.329334999999997</v>
      </c>
      <c r="L438" s="11">
        <f>IFERROR(PagosV2[[#This Row],[Ganancia (UB)]]*$B$360,0)</f>
        <v>11.329334999999997</v>
      </c>
      <c r="M438" s="11">
        <f>IFERROR(PagosV2[[#This Row],[Ganancia (UB)]]-PagosV2[[#This Row],[PM]]-PagosV2[[#This Row],[GC]]-PagosV2[[#This Row],[PC]]-PagosV2[[#This Row],[U]],0)</f>
        <v>320.99782499999986</v>
      </c>
      <c r="N438" s="11">
        <f t="shared" si="7"/>
        <v>128.39912999999996</v>
      </c>
      <c r="O438" s="11">
        <f>IFERROR(PagosV2[[#This Row],[Ganancia (UV)]]*PagosV2[[#This Row],[Cantidad vendida]],0)</f>
        <v>128.39912999999996</v>
      </c>
      <c r="P438" s="1">
        <f>IFERROR(PagosV2[[#This Row],[Ganancia (N)]]-PagosV2[[#This Row],[Ganancia (UV)]],0)</f>
        <v>192.59869499999991</v>
      </c>
      <c r="Q438" s="1">
        <f>IFERROR(PagosV2[[#This Row],[Ganancia individual (Tienda)]]*PagosV2[[#This Row],[Cantidad vendida]],0)</f>
        <v>192.59869499999991</v>
      </c>
      <c r="R438" s="1">
        <f>IFERROR((PagosV2[[#This Row],[Precio de venta]]-PagosV2[[#This Row],[Ganancia (UB)]])*PagosV2[[#This Row],[Cantidad vendida]],0)</f>
        <v>922.35550000000012</v>
      </c>
      <c r="S438" s="21" t="s">
        <v>312</v>
      </c>
      <c r="T438" s="21"/>
    </row>
    <row r="439" spans="1:20" ht="16.5" hidden="1" x14ac:dyDescent="0.3">
      <c r="A439" s="9" t="s">
        <v>311</v>
      </c>
      <c r="B439" s="75">
        <v>46131</v>
      </c>
      <c r="C439" s="9" t="s">
        <v>113</v>
      </c>
      <c r="D439" s="9" t="str">
        <f>IFERROR(VLOOKUP(PagosV2[[#This Row],[Codigo del producto]],Entradas[],3,FALSE),"No existe")</f>
        <v>Cargadores USB para moto</v>
      </c>
      <c r="E439" s="9">
        <v>1</v>
      </c>
      <c r="F439" s="11">
        <v>600</v>
      </c>
      <c r="G439" s="11">
        <f>IFERROR(PagosV2[[#This Row],[Cantidad vendida]]*PagosV2[[#This Row],[Precio de venta]],"-")</f>
        <v>600</v>
      </c>
      <c r="H439" s="11">
        <f>IFERROR(PagosV2[[#This Row],[Precio de venta]]-VLOOKUP(PagosV2[[#This Row],[Codigo del producto]],Stock[],13,FALSE),"-")</f>
        <v>286.77499999999998</v>
      </c>
      <c r="I439" s="11">
        <f>IFERROR(PagosV2[[#This Row],[Ganancia (UB)]]*$B$357,0)</f>
        <v>8.6032499999999992</v>
      </c>
      <c r="J439" s="11">
        <f>IFERROR(PagosV2[[#This Row],[Ganancia (UB)]]*$B$358,0)</f>
        <v>17.206499999999998</v>
      </c>
      <c r="K439" s="11">
        <f>IFERROR(PagosV2[[#This Row],[Ganancia (UB)]]*$B$359,0)</f>
        <v>8.6032499999999992</v>
      </c>
      <c r="L439" s="11">
        <f>IFERROR(PagosV2[[#This Row],[Ganancia (UB)]]*$B$360,0)</f>
        <v>8.6032499999999992</v>
      </c>
      <c r="M439" s="11">
        <f>IFERROR(PagosV2[[#This Row],[Ganancia (UB)]]-PagosV2[[#This Row],[PM]]-PagosV2[[#This Row],[GC]]-PagosV2[[#This Row],[PC]]-PagosV2[[#This Row],[U]],0)</f>
        <v>243.75874999999996</v>
      </c>
      <c r="N439" s="11">
        <f t="shared" si="7"/>
        <v>109.69143749999999</v>
      </c>
      <c r="O439" s="11">
        <f>IFERROR(PagosV2[[#This Row],[Ganancia (UV)]]*PagosV2[[#This Row],[Cantidad vendida]],0)</f>
        <v>109.69143749999999</v>
      </c>
      <c r="P439" s="1">
        <f>IFERROR(PagosV2[[#This Row],[Ganancia (N)]]-PagosV2[[#This Row],[Ganancia (UV)]],0)</f>
        <v>134.06731249999996</v>
      </c>
      <c r="Q439" s="1">
        <f>IFERROR(PagosV2[[#This Row],[Ganancia individual (Tienda)]]*PagosV2[[#This Row],[Cantidad vendida]],0)</f>
        <v>134.06731249999996</v>
      </c>
      <c r="R439" s="1">
        <f>IFERROR((PagosV2[[#This Row],[Precio de venta]]-PagosV2[[#This Row],[Ganancia (UB)]])*PagosV2[[#This Row],[Cantidad vendida]],0)</f>
        <v>313.22500000000002</v>
      </c>
      <c r="S439" s="21" t="s">
        <v>312</v>
      </c>
      <c r="T439" s="21"/>
    </row>
    <row r="440" spans="1:20" ht="16.5" hidden="1" x14ac:dyDescent="0.3">
      <c r="A440" s="9" t="s">
        <v>311</v>
      </c>
      <c r="B440" s="75">
        <v>46131</v>
      </c>
      <c r="C440" s="9" t="s">
        <v>157</v>
      </c>
      <c r="D440" s="9" t="str">
        <f>IFERROR(VLOOKUP(PagosV2[[#This Row],[Codigo del producto]],Entradas[],3,FALSE),"No existe")</f>
        <v>KZ AZ09</v>
      </c>
      <c r="E440" s="9">
        <v>1</v>
      </c>
      <c r="F440" s="11">
        <v>1000</v>
      </c>
      <c r="G440" s="11">
        <f>IFERROR(PagosV2[[#This Row],[Cantidad vendida]]*PagosV2[[#This Row],[Precio de venta]],"-")</f>
        <v>1000</v>
      </c>
      <c r="H440" s="11">
        <f>IFERROR(PagosV2[[#This Row],[Precio de venta]]-VLOOKUP(PagosV2[[#This Row],[Codigo del producto]],Stock[],13,FALSE),"-")</f>
        <v>347.38649999999996</v>
      </c>
      <c r="I440" s="11">
        <f>IFERROR(PagosV2[[#This Row],[Ganancia (UB)]]*$B$357,0)</f>
        <v>10.421594999999998</v>
      </c>
      <c r="J440" s="11">
        <f>IFERROR(PagosV2[[#This Row],[Ganancia (UB)]]*$B$358,0)</f>
        <v>20.843189999999996</v>
      </c>
      <c r="K440" s="11">
        <f>IFERROR(PagosV2[[#This Row],[Ganancia (UB)]]*$B$359,0)</f>
        <v>10.421594999999998</v>
      </c>
      <c r="L440" s="11">
        <f>IFERROR(PagosV2[[#This Row],[Ganancia (UB)]]*$B$360,0)</f>
        <v>10.421594999999998</v>
      </c>
      <c r="M440" s="11">
        <f>IFERROR(PagosV2[[#This Row],[Ganancia (UB)]]-PagosV2[[#This Row],[PM]]-PagosV2[[#This Row],[GC]]-PagosV2[[#This Row],[PC]]-PagosV2[[#This Row],[U]],0)</f>
        <v>295.27852499999989</v>
      </c>
      <c r="N440" s="11">
        <f t="shared" si="7"/>
        <v>132.87533624999995</v>
      </c>
      <c r="O440" s="11">
        <f>IFERROR(PagosV2[[#This Row],[Ganancia (UV)]]*PagosV2[[#This Row],[Cantidad vendida]],0)</f>
        <v>132.87533624999995</v>
      </c>
      <c r="P440" s="1">
        <f>IFERROR(PagosV2[[#This Row],[Ganancia (N)]]-PagosV2[[#This Row],[Ganancia (UV)]],0)</f>
        <v>162.40318874999994</v>
      </c>
      <c r="Q440" s="1">
        <f>IFERROR(PagosV2[[#This Row],[Ganancia individual (Tienda)]]*PagosV2[[#This Row],[Cantidad vendida]],0)</f>
        <v>162.40318874999994</v>
      </c>
      <c r="R440" s="1">
        <f>IFERROR((PagosV2[[#This Row],[Precio de venta]]-PagosV2[[#This Row],[Ganancia (UB)]])*PagosV2[[#This Row],[Cantidad vendida]],0)</f>
        <v>652.61350000000004</v>
      </c>
      <c r="S440" s="21" t="s">
        <v>312</v>
      </c>
      <c r="T440" s="21"/>
    </row>
    <row r="441" spans="1:20" ht="16.5" hidden="1" x14ac:dyDescent="0.3">
      <c r="A441" s="9" t="s">
        <v>311</v>
      </c>
      <c r="B441" s="75">
        <v>46131</v>
      </c>
      <c r="C441" s="9" t="s">
        <v>150</v>
      </c>
      <c r="D441" s="9" t="str">
        <f>IFERROR(VLOOKUP(PagosV2[[#This Row],[Codigo del producto]],Entradas[],3,FALSE),"No existe")</f>
        <v>KZ EDX Pro X</v>
      </c>
      <c r="E441" s="9">
        <v>1</v>
      </c>
      <c r="F441" s="11">
        <v>400</v>
      </c>
      <c r="G441" s="11">
        <f>IFERROR(PagosV2[[#This Row],[Cantidad vendida]]*PagosV2[[#This Row],[Precio de venta]],"-")</f>
        <v>400</v>
      </c>
      <c r="H441" s="11">
        <f>IFERROR(PagosV2[[#This Row],[Precio de venta]]-VLOOKUP(PagosV2[[#This Row],[Codigo del producto]],Stock[],13,FALSE),"-")</f>
        <v>181.11099999999999</v>
      </c>
      <c r="I441" s="11">
        <f>IFERROR(PagosV2[[#This Row],[Ganancia (UB)]]*$B$357,0)</f>
        <v>5.4333299999999998</v>
      </c>
      <c r="J441" s="11">
        <f>IFERROR(PagosV2[[#This Row],[Ganancia (UB)]]*$B$358,0)</f>
        <v>10.86666</v>
      </c>
      <c r="K441" s="11">
        <f>IFERROR(PagosV2[[#This Row],[Ganancia (UB)]]*$B$359,0)</f>
        <v>5.4333299999999998</v>
      </c>
      <c r="L441" s="11">
        <f>IFERROR(PagosV2[[#This Row],[Ganancia (UB)]]*$B$360,0)</f>
        <v>5.4333299999999998</v>
      </c>
      <c r="M441" s="11">
        <f>IFERROR(PagosV2[[#This Row],[Ganancia (UB)]]-PagosV2[[#This Row],[PM]]-PagosV2[[#This Row],[GC]]-PagosV2[[#This Row],[PC]]-PagosV2[[#This Row],[U]],0)</f>
        <v>153.94434999999996</v>
      </c>
      <c r="N441" s="11">
        <f t="shared" si="7"/>
        <v>69.274957499999985</v>
      </c>
      <c r="O441" s="11">
        <f>IFERROR(PagosV2[[#This Row],[Ganancia (UV)]]*PagosV2[[#This Row],[Cantidad vendida]],0)</f>
        <v>69.274957499999985</v>
      </c>
      <c r="P441" s="1">
        <f>IFERROR(PagosV2[[#This Row],[Ganancia (N)]]-PagosV2[[#This Row],[Ganancia (UV)]],0)</f>
        <v>84.669392499999972</v>
      </c>
      <c r="Q441" s="1">
        <f>IFERROR(PagosV2[[#This Row],[Ganancia individual (Tienda)]]*PagosV2[[#This Row],[Cantidad vendida]],0)</f>
        <v>84.669392499999972</v>
      </c>
      <c r="R441" s="1">
        <f>IFERROR((PagosV2[[#This Row],[Precio de venta]]-PagosV2[[#This Row],[Ganancia (UB)]])*PagosV2[[#This Row],[Cantidad vendida]],0)</f>
        <v>218.88900000000001</v>
      </c>
      <c r="S441" s="21" t="s">
        <v>312</v>
      </c>
      <c r="T441" s="21"/>
    </row>
    <row r="442" spans="1:20" ht="16.5" hidden="1" x14ac:dyDescent="0.3">
      <c r="A442" s="9" t="s">
        <v>311</v>
      </c>
      <c r="B442" s="75">
        <v>46131</v>
      </c>
      <c r="C442" s="9" t="s">
        <v>157</v>
      </c>
      <c r="D442" s="9" t="str">
        <f>IFERROR(VLOOKUP(PagosV2[[#This Row],[Codigo del producto]],Entradas[],3,FALSE),"No existe")</f>
        <v>KZ AZ09</v>
      </c>
      <c r="E442" s="9">
        <v>1</v>
      </c>
      <c r="F442" s="11">
        <v>1000</v>
      </c>
      <c r="G442" s="11">
        <f>IFERROR(PagosV2[[#This Row],[Cantidad vendida]]*PagosV2[[#This Row],[Precio de venta]],"-")</f>
        <v>1000</v>
      </c>
      <c r="H442" s="11">
        <f>IFERROR(PagosV2[[#This Row],[Precio de venta]]-VLOOKUP(PagosV2[[#This Row],[Codigo del producto]],Stock[],13,FALSE),"-")</f>
        <v>347.38649999999996</v>
      </c>
      <c r="I442" s="11">
        <f>IFERROR(PagosV2[[#This Row],[Ganancia (UB)]]*$B$357,0)</f>
        <v>10.421594999999998</v>
      </c>
      <c r="J442" s="11">
        <f>IFERROR(PagosV2[[#This Row],[Ganancia (UB)]]*$B$358,0)</f>
        <v>20.843189999999996</v>
      </c>
      <c r="K442" s="11">
        <f>IFERROR(PagosV2[[#This Row],[Ganancia (UB)]]*$B$359,0)</f>
        <v>10.421594999999998</v>
      </c>
      <c r="L442" s="11">
        <f>IFERROR(PagosV2[[#This Row],[Ganancia (UB)]]*$B$360,0)</f>
        <v>10.421594999999998</v>
      </c>
      <c r="M442" s="11">
        <f>IFERROR(PagosV2[[#This Row],[Ganancia (UB)]]-PagosV2[[#This Row],[PM]]-PagosV2[[#This Row],[GC]]-PagosV2[[#This Row],[PC]]-PagosV2[[#This Row],[U]],0)</f>
        <v>295.27852499999989</v>
      </c>
      <c r="N442" s="11">
        <f t="shared" si="7"/>
        <v>132.87533624999995</v>
      </c>
      <c r="O442" s="11">
        <f>IFERROR(PagosV2[[#This Row],[Ganancia (UV)]]*PagosV2[[#This Row],[Cantidad vendida]],0)</f>
        <v>132.87533624999995</v>
      </c>
      <c r="P442" s="1">
        <f>IFERROR(PagosV2[[#This Row],[Ganancia (N)]]-PagosV2[[#This Row],[Ganancia (UV)]],0)</f>
        <v>162.40318874999994</v>
      </c>
      <c r="Q442" s="1">
        <f>IFERROR(PagosV2[[#This Row],[Ganancia individual (Tienda)]]*PagosV2[[#This Row],[Cantidad vendida]],0)</f>
        <v>162.40318874999994</v>
      </c>
      <c r="R442" s="1">
        <f>IFERROR((PagosV2[[#This Row],[Precio de venta]]-PagosV2[[#This Row],[Ganancia (UB)]])*PagosV2[[#This Row],[Cantidad vendida]],0)</f>
        <v>652.61350000000004</v>
      </c>
      <c r="S442" s="21" t="s">
        <v>312</v>
      </c>
      <c r="T442" s="21"/>
    </row>
    <row r="443" spans="1:20" ht="16.5" hidden="1" x14ac:dyDescent="0.3">
      <c r="A443" s="9" t="s">
        <v>311</v>
      </c>
      <c r="B443" s="75">
        <v>46131</v>
      </c>
      <c r="C443" s="9" t="s">
        <v>152</v>
      </c>
      <c r="D443" s="9" t="str">
        <f>IFERROR(VLOOKUP(PagosV2[[#This Row],[Codigo del producto]],Entradas[],3,FALSE),"No existe")</f>
        <v>Kit Estuche para Nintendo Switch</v>
      </c>
      <c r="E443" s="9">
        <v>1</v>
      </c>
      <c r="F443" s="11">
        <v>750</v>
      </c>
      <c r="G443" s="11">
        <f>IFERROR(PagosV2[[#This Row],[Cantidad vendida]]*PagosV2[[#This Row],[Precio de venta]],"-")</f>
        <v>750</v>
      </c>
      <c r="H443" s="11">
        <f>IFERROR(PagosV2[[#This Row],[Precio de venta]]-VLOOKUP(PagosV2[[#This Row],[Codigo del producto]],Stock[],13,FALSE),"-")</f>
        <v>318.11799999999994</v>
      </c>
      <c r="I443" s="11">
        <f>IFERROR(PagosV2[[#This Row],[Ganancia (UB)]]*$B$357,0)</f>
        <v>9.5435399999999984</v>
      </c>
      <c r="J443" s="11">
        <f>IFERROR(PagosV2[[#This Row],[Ganancia (UB)]]*$B$358,0)</f>
        <v>19.087079999999997</v>
      </c>
      <c r="K443" s="11">
        <f>IFERROR(PagosV2[[#This Row],[Ganancia (UB)]]*$B$359,0)</f>
        <v>9.5435399999999984</v>
      </c>
      <c r="L443" s="11">
        <f>IFERROR(PagosV2[[#This Row],[Ganancia (UB)]]*$B$360,0)</f>
        <v>9.5435399999999984</v>
      </c>
      <c r="M443" s="11">
        <f>IFERROR(PagosV2[[#This Row],[Ganancia (UB)]]-PagosV2[[#This Row],[PM]]-PagosV2[[#This Row],[GC]]-PagosV2[[#This Row],[PC]]-PagosV2[[#This Row],[U]],0)</f>
        <v>270.4002999999999</v>
      </c>
      <c r="N443" s="11">
        <f t="shared" si="7"/>
        <v>121.68013499999996</v>
      </c>
      <c r="O443" s="11">
        <f>IFERROR(PagosV2[[#This Row],[Ganancia (UV)]]*PagosV2[[#This Row],[Cantidad vendida]],0)</f>
        <v>121.68013499999996</v>
      </c>
      <c r="P443" s="1">
        <f>IFERROR(PagosV2[[#This Row],[Ganancia (N)]]-PagosV2[[#This Row],[Ganancia (UV)]],0)</f>
        <v>148.72016499999995</v>
      </c>
      <c r="Q443" s="1">
        <f>IFERROR(PagosV2[[#This Row],[Ganancia individual (Tienda)]]*PagosV2[[#This Row],[Cantidad vendida]],0)</f>
        <v>148.72016499999995</v>
      </c>
      <c r="R443" s="1">
        <f>IFERROR((PagosV2[[#This Row],[Precio de venta]]-PagosV2[[#This Row],[Ganancia (UB)]])*PagosV2[[#This Row],[Cantidad vendida]],0)</f>
        <v>431.88200000000006</v>
      </c>
      <c r="S443" s="21" t="s">
        <v>312</v>
      </c>
      <c r="T443" s="21"/>
    </row>
    <row r="444" spans="1:20" ht="16.5" hidden="1" x14ac:dyDescent="0.3">
      <c r="A444" s="9" t="s">
        <v>311</v>
      </c>
      <c r="B444" s="75">
        <v>46131</v>
      </c>
      <c r="C444" s="9" t="s">
        <v>41</v>
      </c>
      <c r="D444" s="9" t="str">
        <f>IFERROR(VLOOKUP(PagosV2[[#This Row],[Codigo del producto]],Entradas[],3,FALSE),"No existe")</f>
        <v>Halogenos para moto</v>
      </c>
      <c r="E444" s="9">
        <v>1</v>
      </c>
      <c r="F444" s="11">
        <v>350</v>
      </c>
      <c r="G444" s="11">
        <f>IFERROR(PagosV2[[#This Row],[Cantidad vendida]]*PagosV2[[#This Row],[Precio de venta]],"-")</f>
        <v>350</v>
      </c>
      <c r="H444" s="11">
        <f>IFERROR(PagosV2[[#This Row],[Precio de venta]]-VLOOKUP(PagosV2[[#This Row],[Codigo del producto]],Stock[],13,FALSE),"-")</f>
        <v>203.33699999999999</v>
      </c>
      <c r="I444" s="11">
        <f>IFERROR(PagosV2[[#This Row],[Ganancia (UB)]]*$B$357,0)</f>
        <v>6.100109999999999</v>
      </c>
      <c r="J444" s="11">
        <f>IFERROR(PagosV2[[#This Row],[Ganancia (UB)]]*$B$358,0)</f>
        <v>12.200219999999998</v>
      </c>
      <c r="K444" s="11">
        <f>IFERROR(PagosV2[[#This Row],[Ganancia (UB)]]*$B$359,0)</f>
        <v>6.100109999999999</v>
      </c>
      <c r="L444" s="11">
        <f>IFERROR(PagosV2[[#This Row],[Ganancia (UB)]]*$B$360,0)</f>
        <v>6.100109999999999</v>
      </c>
      <c r="M444" s="11">
        <f>IFERROR(PagosV2[[#This Row],[Ganancia (UB)]]-PagosV2[[#This Row],[PM]]-PagosV2[[#This Row],[GC]]-PagosV2[[#This Row],[PC]]-PagosV2[[#This Row],[U]],0)</f>
        <v>172.83644999999999</v>
      </c>
      <c r="N444" s="11">
        <f t="shared" si="7"/>
        <v>77.776402499999989</v>
      </c>
      <c r="O444" s="11">
        <f>IFERROR(PagosV2[[#This Row],[Ganancia (UV)]]*PagosV2[[#This Row],[Cantidad vendida]],0)</f>
        <v>77.776402499999989</v>
      </c>
      <c r="P444" s="1">
        <f>IFERROR(PagosV2[[#This Row],[Ganancia (N)]]-PagosV2[[#This Row],[Ganancia (UV)]],0)</f>
        <v>95.060047499999996</v>
      </c>
      <c r="Q444" s="1">
        <f>IFERROR(PagosV2[[#This Row],[Ganancia individual (Tienda)]]*PagosV2[[#This Row],[Cantidad vendida]],0)</f>
        <v>95.060047499999996</v>
      </c>
      <c r="R444" s="1">
        <f>IFERROR((PagosV2[[#This Row],[Precio de venta]]-PagosV2[[#This Row],[Ganancia (UB)]])*PagosV2[[#This Row],[Cantidad vendida]],0)</f>
        <v>146.66300000000001</v>
      </c>
      <c r="S444" s="21" t="s">
        <v>312</v>
      </c>
      <c r="T444" s="21"/>
    </row>
    <row r="445" spans="1:20" ht="16.5" hidden="1" x14ac:dyDescent="0.3">
      <c r="A445" s="9" t="s">
        <v>313</v>
      </c>
      <c r="B445" s="75">
        <v>46131</v>
      </c>
      <c r="C445" s="9" t="s">
        <v>41</v>
      </c>
      <c r="D445" s="9" t="str">
        <f>IFERROR(VLOOKUP(PagosV2[[#This Row],[Codigo del producto]],Entradas[],3,FALSE),"No existe")</f>
        <v>Halogenos para moto</v>
      </c>
      <c r="E445" s="9">
        <v>1</v>
      </c>
      <c r="F445" s="11">
        <v>300</v>
      </c>
      <c r="G445" s="11">
        <f>IFERROR(PagosV2[[#This Row],[Cantidad vendida]]*PagosV2[[#This Row],[Precio de venta]],"-")</f>
        <v>300</v>
      </c>
      <c r="H445" s="11">
        <f>IFERROR(PagosV2[[#This Row],[Precio de venta]]-VLOOKUP(PagosV2[[#This Row],[Codigo del producto]],Stock[],13,FALSE),"-")</f>
        <v>153.33699999999999</v>
      </c>
      <c r="I445" s="11">
        <f>IFERROR(PagosV2[[#This Row],[Ganancia (UB)]]*$B$357,0)</f>
        <v>4.6001099999999999</v>
      </c>
      <c r="J445" s="11">
        <f>IFERROR(PagosV2[[#This Row],[Ganancia (UB)]]*$B$358,0)</f>
        <v>9.2002199999999998</v>
      </c>
      <c r="K445" s="11">
        <f>IFERROR(PagosV2[[#This Row],[Ganancia (UB)]]*$B$359,0)</f>
        <v>4.6001099999999999</v>
      </c>
      <c r="L445" s="11">
        <f>IFERROR(PagosV2[[#This Row],[Ganancia (UB)]]*$B$360,0)</f>
        <v>4.6001099999999999</v>
      </c>
      <c r="M445" s="11">
        <f>IFERROR(PagosV2[[#This Row],[Ganancia (UB)]]-PagosV2[[#This Row],[PM]]-PagosV2[[#This Row],[GC]]-PagosV2[[#This Row],[PC]]-PagosV2[[#This Row],[U]],0)</f>
        <v>130.33644999999999</v>
      </c>
      <c r="N445" s="11">
        <f t="shared" si="7"/>
        <v>58.651402499999996</v>
      </c>
      <c r="O445" s="11">
        <f>IFERROR(PagosV2[[#This Row],[Ganancia (UV)]]*PagosV2[[#This Row],[Cantidad vendida]],0)</f>
        <v>58.651402499999996</v>
      </c>
      <c r="P445" s="1">
        <f>IFERROR(PagosV2[[#This Row],[Ganancia (N)]]-PagosV2[[#This Row],[Ganancia (UV)]],0)</f>
        <v>71.685047499999996</v>
      </c>
      <c r="Q445" s="1">
        <f>IFERROR(PagosV2[[#This Row],[Ganancia individual (Tienda)]]*PagosV2[[#This Row],[Cantidad vendida]],0)</f>
        <v>71.685047499999996</v>
      </c>
      <c r="R445" s="1">
        <f>IFERROR((PagosV2[[#This Row],[Precio de venta]]-PagosV2[[#This Row],[Ganancia (UB)]])*PagosV2[[#This Row],[Cantidad vendida]],0)</f>
        <v>146.66300000000001</v>
      </c>
      <c r="S445" s="21" t="s">
        <v>312</v>
      </c>
      <c r="T445" s="21"/>
    </row>
    <row r="446" spans="1:20" ht="16.5" hidden="1" x14ac:dyDescent="0.3">
      <c r="A446" s="9" t="s">
        <v>327</v>
      </c>
      <c r="B446" s="75">
        <v>46131</v>
      </c>
      <c r="C446" s="9" t="s">
        <v>129</v>
      </c>
      <c r="D446" s="9" t="str">
        <f>IFERROR(VLOOKUP(PagosV2[[#This Row],[Codigo del producto]],Entradas[],3,FALSE),"No existe")</f>
        <v>Cargadores USB para moto</v>
      </c>
      <c r="E446" s="9">
        <v>1</v>
      </c>
      <c r="F446" s="11">
        <v>600</v>
      </c>
      <c r="G446" s="11">
        <f>IFERROR(PagosV2[[#This Row],[Cantidad vendida]]*PagosV2[[#This Row],[Precio de venta]],"-")</f>
        <v>600</v>
      </c>
      <c r="H446" s="11">
        <f>IFERROR(PagosV2[[#This Row],[Precio de venta]]-VLOOKUP(PagosV2[[#This Row],[Codigo del producto]],Stock[],13,FALSE),"-")</f>
        <v>281.2475</v>
      </c>
      <c r="I446" s="11">
        <f>IFERROR(PagosV2[[#This Row],[Ganancia (UB)]]*$B$357,0)</f>
        <v>8.4374249999999993</v>
      </c>
      <c r="J446" s="11">
        <f>IFERROR(PagosV2[[#This Row],[Ganancia (UB)]]*$B$358,0)</f>
        <v>16.874849999999999</v>
      </c>
      <c r="K446" s="11">
        <f>IFERROR(PagosV2[[#This Row],[Ganancia (UB)]]*$B$359,0)</f>
        <v>8.4374249999999993</v>
      </c>
      <c r="L446" s="11">
        <f>IFERROR(PagosV2[[#This Row],[Ganancia (UB)]]*$B$360,0)</f>
        <v>8.4374249999999993</v>
      </c>
      <c r="M446" s="11">
        <f>IFERROR(PagosV2[[#This Row],[Ganancia (UB)]]-PagosV2[[#This Row],[PM]]-PagosV2[[#This Row],[GC]]-PagosV2[[#This Row],[PC]]-PagosV2[[#This Row],[U]],0)</f>
        <v>239.06037499999999</v>
      </c>
      <c r="N446" s="11">
        <f t="shared" si="7"/>
        <v>107.57716875</v>
      </c>
      <c r="O446" s="11">
        <f>IFERROR(PagosV2[[#This Row],[Ganancia (UV)]]*PagosV2[[#This Row],[Cantidad vendida]],0)</f>
        <v>107.57716875</v>
      </c>
      <c r="P446" s="1">
        <f>IFERROR(PagosV2[[#This Row],[Ganancia (N)]]-PagosV2[[#This Row],[Ganancia (UV)]],0)</f>
        <v>131.48320624999999</v>
      </c>
      <c r="Q446" s="1">
        <f>IFERROR(PagosV2[[#This Row],[Ganancia individual (Tienda)]]*PagosV2[[#This Row],[Cantidad vendida]],0)</f>
        <v>131.48320624999999</v>
      </c>
      <c r="R446" s="1">
        <f>IFERROR((PagosV2[[#This Row],[Precio de venta]]-PagosV2[[#This Row],[Ganancia (UB)]])*PagosV2[[#This Row],[Cantidad vendida]],0)</f>
        <v>318.7525</v>
      </c>
      <c r="S446" s="21" t="s">
        <v>312</v>
      </c>
      <c r="T446" s="21"/>
    </row>
    <row r="447" spans="1:20" ht="16.5" hidden="1" x14ac:dyDescent="0.3">
      <c r="A447" s="9" t="s">
        <v>327</v>
      </c>
      <c r="B447" s="75">
        <v>46131</v>
      </c>
      <c r="C447" s="9" t="s">
        <v>121</v>
      </c>
      <c r="D447" s="9" t="str">
        <f>IFERROR(VLOOKUP(PagosV2[[#This Row],[Codigo del producto]],Entradas[],3,FALSE),"No existe")</f>
        <v>Nubwo G06</v>
      </c>
      <c r="E447" s="9">
        <v>1</v>
      </c>
      <c r="F447" s="11">
        <v>1450</v>
      </c>
      <c r="G447" s="11">
        <f>IFERROR(PagosV2[[#This Row],[Cantidad vendida]]*PagosV2[[#This Row],[Precio de venta]],"-")</f>
        <v>1450</v>
      </c>
      <c r="H447" s="11">
        <f>IFERROR(PagosV2[[#This Row],[Precio de venta]]-VLOOKUP(PagosV2[[#This Row],[Codigo del producto]],Stock[],13,FALSE),"-")</f>
        <v>489.68899999999985</v>
      </c>
      <c r="I447" s="11">
        <f>IFERROR(PagosV2[[#This Row],[Ganancia (UB)]]*$B$357,0)</f>
        <v>14.690669999999995</v>
      </c>
      <c r="J447" s="11">
        <f>IFERROR(PagosV2[[#This Row],[Ganancia (UB)]]*$B$358,0)</f>
        <v>29.381339999999991</v>
      </c>
      <c r="K447" s="11">
        <f>IFERROR(PagosV2[[#This Row],[Ganancia (UB)]]*$B$359,0)</f>
        <v>14.690669999999995</v>
      </c>
      <c r="L447" s="11">
        <f>IFERROR(PagosV2[[#This Row],[Ganancia (UB)]]*$B$360,0)</f>
        <v>14.690669999999995</v>
      </c>
      <c r="M447" s="11">
        <f>IFERROR(PagosV2[[#This Row],[Ganancia (UB)]]-PagosV2[[#This Row],[PM]]-PagosV2[[#This Row],[GC]]-PagosV2[[#This Row],[PC]]-PagosV2[[#This Row],[U]],0)</f>
        <v>416.23564999999985</v>
      </c>
      <c r="N447" s="11">
        <f t="shared" ref="N447:N509" si="8">IFERROR(
  IF(M447&lt;=0,"-",
    IF(M447&lt;=300, M447*0.45,
      IF(M447&lt;=600, M447*0.4,
        IF(M447&lt;=900, M447*0.38,
          IF(M447&lt;=1000, M447*0.35,
            IF(M447&lt;=1400, M447*0.32,
              IF(M447&lt;=1800, HM447*0.3,
                IF(M447&gt;=2000, M447*0.28,
                  "-"
                )
              )
            )
          )
        )
      )
    )
  ),
  "-"
)</f>
        <v>166.49425999999994</v>
      </c>
      <c r="O447" s="11">
        <f>IFERROR(PagosV2[[#This Row],[Ganancia (UV)]]*PagosV2[[#This Row],[Cantidad vendida]],0)</f>
        <v>166.49425999999994</v>
      </c>
      <c r="P447" s="1">
        <f>IFERROR(PagosV2[[#This Row],[Ganancia (N)]]-PagosV2[[#This Row],[Ganancia (UV)]],0)</f>
        <v>249.74138999999991</v>
      </c>
      <c r="Q447" s="1">
        <f>IFERROR(PagosV2[[#This Row],[Ganancia individual (Tienda)]]*PagosV2[[#This Row],[Cantidad vendida]],0)</f>
        <v>249.74138999999991</v>
      </c>
      <c r="R447" s="1">
        <f>IFERROR((PagosV2[[#This Row],[Precio de venta]]-PagosV2[[#This Row],[Ganancia (UB)]])*PagosV2[[#This Row],[Cantidad vendida]],0)</f>
        <v>960.31100000000015</v>
      </c>
      <c r="S447" s="21" t="s">
        <v>312</v>
      </c>
      <c r="T447" s="21"/>
    </row>
    <row r="448" spans="1:20" ht="16.5" hidden="1" x14ac:dyDescent="0.3">
      <c r="A448" s="9" t="s">
        <v>327</v>
      </c>
      <c r="B448" s="75">
        <v>46131</v>
      </c>
      <c r="C448" s="9" t="s">
        <v>157</v>
      </c>
      <c r="D448" s="9" t="str">
        <f>IFERROR(VLOOKUP(PagosV2[[#This Row],[Codigo del producto]],Entradas[],3,FALSE),"No existe")</f>
        <v>KZ AZ09</v>
      </c>
      <c r="E448" s="9">
        <v>1</v>
      </c>
      <c r="F448" s="11">
        <v>1000</v>
      </c>
      <c r="G448" s="11">
        <f>IFERROR(PagosV2[[#This Row],[Cantidad vendida]]*PagosV2[[#This Row],[Precio de venta]],"-")</f>
        <v>1000</v>
      </c>
      <c r="H448" s="11">
        <f>IFERROR(PagosV2[[#This Row],[Precio de venta]]-VLOOKUP(PagosV2[[#This Row],[Codigo del producto]],Stock[],13,FALSE),"-")</f>
        <v>347.38649999999996</v>
      </c>
      <c r="I448" s="11">
        <f>IFERROR(PagosV2[[#This Row],[Ganancia (UB)]]*$B$357,0)</f>
        <v>10.421594999999998</v>
      </c>
      <c r="J448" s="11">
        <f>IFERROR(PagosV2[[#This Row],[Ganancia (UB)]]*$B$358,0)</f>
        <v>20.843189999999996</v>
      </c>
      <c r="K448" s="11">
        <f>IFERROR(PagosV2[[#This Row],[Ganancia (UB)]]*$B$359,0)</f>
        <v>10.421594999999998</v>
      </c>
      <c r="L448" s="11">
        <f>IFERROR(PagosV2[[#This Row],[Ganancia (UB)]]*$B$360,0)</f>
        <v>10.421594999999998</v>
      </c>
      <c r="M448" s="11">
        <f>IFERROR(PagosV2[[#This Row],[Ganancia (UB)]]-PagosV2[[#This Row],[PM]]-PagosV2[[#This Row],[GC]]-PagosV2[[#This Row],[PC]]-PagosV2[[#This Row],[U]],0)</f>
        <v>295.27852499999989</v>
      </c>
      <c r="N448" s="11">
        <f t="shared" si="8"/>
        <v>132.87533624999995</v>
      </c>
      <c r="O448" s="11">
        <f>IFERROR(PagosV2[[#This Row],[Ganancia (UV)]]*PagosV2[[#This Row],[Cantidad vendida]],0)</f>
        <v>132.87533624999995</v>
      </c>
      <c r="P448" s="1">
        <f>IFERROR(PagosV2[[#This Row],[Ganancia (N)]]-PagosV2[[#This Row],[Ganancia (UV)]],0)</f>
        <v>162.40318874999994</v>
      </c>
      <c r="Q448" s="1">
        <f>IFERROR(PagosV2[[#This Row],[Ganancia individual (Tienda)]]*PagosV2[[#This Row],[Cantidad vendida]],0)</f>
        <v>162.40318874999994</v>
      </c>
      <c r="R448" s="1">
        <f>IFERROR((PagosV2[[#This Row],[Precio de venta]]-PagosV2[[#This Row],[Ganancia (UB)]])*PagosV2[[#This Row],[Cantidad vendida]],0)</f>
        <v>652.61350000000004</v>
      </c>
      <c r="S448" s="21" t="s">
        <v>312</v>
      </c>
      <c r="T448" s="21"/>
    </row>
    <row r="449" spans="1:20" ht="16.5" hidden="1" x14ac:dyDescent="0.3">
      <c r="A449" s="9" t="s">
        <v>327</v>
      </c>
      <c r="B449" s="75">
        <v>46133</v>
      </c>
      <c r="C449" s="9" t="s">
        <v>150</v>
      </c>
      <c r="D449" s="9" t="str">
        <f>IFERROR(VLOOKUP(PagosV2[[#This Row],[Codigo del producto]],Entradas[],3,FALSE),"No existe")</f>
        <v>KZ EDX Pro X</v>
      </c>
      <c r="E449" s="9">
        <v>1</v>
      </c>
      <c r="F449" s="11">
        <v>450</v>
      </c>
      <c r="G449" s="11">
        <f>IFERROR(PagosV2[[#This Row],[Cantidad vendida]]*PagosV2[[#This Row],[Precio de venta]],"-")</f>
        <v>450</v>
      </c>
      <c r="H449" s="11">
        <f>IFERROR(PagosV2[[#This Row],[Precio de venta]]-VLOOKUP(PagosV2[[#This Row],[Codigo del producto]],Stock[],13,FALSE),"-")</f>
        <v>231.11099999999999</v>
      </c>
      <c r="I449" s="11">
        <f>IFERROR(PagosV2[[#This Row],[Ganancia (UB)]]*$B$357,0)</f>
        <v>6.9333299999999998</v>
      </c>
      <c r="J449" s="11">
        <f>IFERROR(PagosV2[[#This Row],[Ganancia (UB)]]*$B$358,0)</f>
        <v>13.86666</v>
      </c>
      <c r="K449" s="11">
        <f>IFERROR(PagosV2[[#This Row],[Ganancia (UB)]]*$B$359,0)</f>
        <v>6.9333299999999998</v>
      </c>
      <c r="L449" s="11">
        <f>IFERROR(PagosV2[[#This Row],[Ganancia (UB)]]*$B$360,0)</f>
        <v>6.9333299999999998</v>
      </c>
      <c r="M449" s="11">
        <f>IFERROR(PagosV2[[#This Row],[Ganancia (UB)]]-PagosV2[[#This Row],[PM]]-PagosV2[[#This Row],[GC]]-PagosV2[[#This Row],[PC]]-PagosV2[[#This Row],[U]],0)</f>
        <v>196.44434999999996</v>
      </c>
      <c r="N449" s="11">
        <f t="shared" si="8"/>
        <v>88.399957499999985</v>
      </c>
      <c r="O449" s="11">
        <f>IFERROR(PagosV2[[#This Row],[Ganancia (UV)]]*PagosV2[[#This Row],[Cantidad vendida]],0)</f>
        <v>88.399957499999985</v>
      </c>
      <c r="P449" s="1">
        <f>IFERROR(PagosV2[[#This Row],[Ganancia (N)]]-PagosV2[[#This Row],[Ganancia (UV)]],0)</f>
        <v>108.04439249999997</v>
      </c>
      <c r="Q449" s="1">
        <f>IFERROR(PagosV2[[#This Row],[Ganancia individual (Tienda)]]*PagosV2[[#This Row],[Cantidad vendida]],0)</f>
        <v>108.04439249999997</v>
      </c>
      <c r="R449" s="1">
        <f>IFERROR((PagosV2[[#This Row],[Precio de venta]]-PagosV2[[#This Row],[Ganancia (UB)]])*PagosV2[[#This Row],[Cantidad vendida]],0)</f>
        <v>218.88900000000001</v>
      </c>
      <c r="S449" s="21" t="s">
        <v>312</v>
      </c>
      <c r="T449" s="21"/>
    </row>
    <row r="450" spans="1:20" ht="16.5" hidden="1" x14ac:dyDescent="0.3">
      <c r="A450" s="9" t="s">
        <v>327</v>
      </c>
      <c r="B450" s="75">
        <v>46133</v>
      </c>
      <c r="C450" s="9" t="s">
        <v>74</v>
      </c>
      <c r="D450" s="9" t="str">
        <f>IFERROR(VLOOKUP(PagosV2[[#This Row],[Codigo del producto]],Entradas[],3,FALSE),"No existe")</f>
        <v>Pro Controller Switch</v>
      </c>
      <c r="E450" s="9">
        <v>1</v>
      </c>
      <c r="F450" s="11">
        <v>1000</v>
      </c>
      <c r="G450" s="11">
        <f>IFERROR(PagosV2[[#This Row],[Cantidad vendida]]*PagosV2[[#This Row],[Precio de venta]],"-")</f>
        <v>1000</v>
      </c>
      <c r="H450" s="11">
        <f>IFERROR(PagosV2[[#This Row],[Precio de venta]]-VLOOKUP(PagosV2[[#This Row],[Codigo del producto]],Stock[],13,FALSE),"-")</f>
        <v>355.125</v>
      </c>
      <c r="I450" s="11">
        <f>IFERROR(PagosV2[[#This Row],[Ganancia (UB)]]*$B$357,0)</f>
        <v>10.653749999999999</v>
      </c>
      <c r="J450" s="11">
        <f>IFERROR(PagosV2[[#This Row],[Ganancia (UB)]]*$B$358,0)</f>
        <v>21.307499999999997</v>
      </c>
      <c r="K450" s="11">
        <f>IFERROR(PagosV2[[#This Row],[Ganancia (UB)]]*$B$359,0)</f>
        <v>10.653749999999999</v>
      </c>
      <c r="L450" s="11">
        <f>IFERROR(PagosV2[[#This Row],[Ganancia (UB)]]*$B$360,0)</f>
        <v>10.653749999999999</v>
      </c>
      <c r="M450" s="11">
        <f>IFERROR(PagosV2[[#This Row],[Ganancia (UB)]]-PagosV2[[#This Row],[PM]]-PagosV2[[#This Row],[GC]]-PagosV2[[#This Row],[PC]]-PagosV2[[#This Row],[U]],0)</f>
        <v>301.85624999999999</v>
      </c>
      <c r="N450" s="11">
        <f t="shared" si="8"/>
        <v>120.74250000000001</v>
      </c>
      <c r="O450" s="11">
        <f>IFERROR(PagosV2[[#This Row],[Ganancia (UV)]]*PagosV2[[#This Row],[Cantidad vendida]],0)</f>
        <v>120.74250000000001</v>
      </c>
      <c r="P450" s="1">
        <f>IFERROR(PagosV2[[#This Row],[Ganancia (N)]]-PagosV2[[#This Row],[Ganancia (UV)]],0)</f>
        <v>181.11374999999998</v>
      </c>
      <c r="Q450" s="1">
        <f>IFERROR(PagosV2[[#This Row],[Ganancia individual (Tienda)]]*PagosV2[[#This Row],[Cantidad vendida]],0)</f>
        <v>181.11374999999998</v>
      </c>
      <c r="R450" s="1">
        <f>IFERROR((PagosV2[[#This Row],[Precio de venta]]-PagosV2[[#This Row],[Ganancia (UB)]])*PagosV2[[#This Row],[Cantidad vendida]],0)</f>
        <v>644.875</v>
      </c>
      <c r="S450" s="21" t="s">
        <v>312</v>
      </c>
      <c r="T450" s="21"/>
    </row>
    <row r="451" spans="1:20" ht="16.5" hidden="1" x14ac:dyDescent="0.3">
      <c r="A451" s="9" t="s">
        <v>327</v>
      </c>
      <c r="B451" s="75">
        <v>46133</v>
      </c>
      <c r="C451" s="9" t="s">
        <v>67</v>
      </c>
      <c r="D451" s="9" t="str">
        <f>IFERROR(VLOOKUP(PagosV2[[#This Row],[Codigo del producto]],Entradas[],3,FALSE),"No existe")</f>
        <v>Cable de Repuesto KZ Tipo C</v>
      </c>
      <c r="E451" s="9">
        <v>1</v>
      </c>
      <c r="F451" s="11">
        <v>400</v>
      </c>
      <c r="G451" s="11">
        <f>IFERROR(PagosV2[[#This Row],[Cantidad vendida]]*PagosV2[[#This Row],[Precio de venta]],"-")</f>
        <v>400</v>
      </c>
      <c r="H451" s="11">
        <f>IFERROR(PagosV2[[#This Row],[Precio de venta]]-VLOOKUP(PagosV2[[#This Row],[Codigo del producto]],Stock[],13,FALSE),"-")</f>
        <v>205.0635</v>
      </c>
      <c r="I451" s="11">
        <f>IFERROR(PagosV2[[#This Row],[Ganancia (UB)]]*$B$357,0)</f>
        <v>6.1519050000000002</v>
      </c>
      <c r="J451" s="11">
        <f>IFERROR(PagosV2[[#This Row],[Ganancia (UB)]]*$B$358,0)</f>
        <v>12.30381</v>
      </c>
      <c r="K451" s="11">
        <f>IFERROR(PagosV2[[#This Row],[Ganancia (UB)]]*$B$359,0)</f>
        <v>6.1519050000000002</v>
      </c>
      <c r="L451" s="11">
        <f>IFERROR(PagosV2[[#This Row],[Ganancia (UB)]]*$B$360,0)</f>
        <v>6.1519050000000002</v>
      </c>
      <c r="M451" s="11">
        <f>IFERROR(PagosV2[[#This Row],[Ganancia (UB)]]-PagosV2[[#This Row],[PM]]-PagosV2[[#This Row],[GC]]-PagosV2[[#This Row],[PC]]-PagosV2[[#This Row],[U]],0)</f>
        <v>174.30397500000001</v>
      </c>
      <c r="N451" s="11">
        <f t="shared" si="8"/>
        <v>78.436788750000005</v>
      </c>
      <c r="O451" s="11">
        <f>IFERROR(PagosV2[[#This Row],[Ganancia (UV)]]*PagosV2[[#This Row],[Cantidad vendida]],0)</f>
        <v>78.436788750000005</v>
      </c>
      <c r="P451" s="1">
        <f>IFERROR(PagosV2[[#This Row],[Ganancia (N)]]-PagosV2[[#This Row],[Ganancia (UV)]],0)</f>
        <v>95.867186250000003</v>
      </c>
      <c r="Q451" s="1">
        <f>IFERROR(PagosV2[[#This Row],[Ganancia individual (Tienda)]]*PagosV2[[#This Row],[Cantidad vendida]],0)</f>
        <v>95.867186250000003</v>
      </c>
      <c r="R451" s="1">
        <f>IFERROR((PagosV2[[#This Row],[Precio de venta]]-PagosV2[[#This Row],[Ganancia (UB)]])*PagosV2[[#This Row],[Cantidad vendida]],0)</f>
        <v>194.9365</v>
      </c>
      <c r="S451" s="21" t="s">
        <v>312</v>
      </c>
      <c r="T451" s="21"/>
    </row>
    <row r="452" spans="1:20" ht="16.5" hidden="1" x14ac:dyDescent="0.3">
      <c r="A452" s="9" t="s">
        <v>327</v>
      </c>
      <c r="B452" s="75">
        <v>46133</v>
      </c>
      <c r="C452" s="9" t="s">
        <v>157</v>
      </c>
      <c r="D452" s="9" t="str">
        <f>IFERROR(VLOOKUP(PagosV2[[#This Row],[Codigo del producto]],Entradas[],3,FALSE),"No existe")</f>
        <v>KZ AZ09</v>
      </c>
      <c r="E452" s="9">
        <v>1</v>
      </c>
      <c r="F452" s="11">
        <v>900</v>
      </c>
      <c r="G452" s="11">
        <f>IFERROR(PagosV2[[#This Row],[Cantidad vendida]]*PagosV2[[#This Row],[Precio de venta]],"-")</f>
        <v>900</v>
      </c>
      <c r="H452" s="11">
        <f>IFERROR(PagosV2[[#This Row],[Precio de venta]]-VLOOKUP(PagosV2[[#This Row],[Codigo del producto]],Stock[],13,FALSE),"-")</f>
        <v>247.38649999999996</v>
      </c>
      <c r="I452" s="11">
        <f>IFERROR(PagosV2[[#This Row],[Ganancia (UB)]]*$B$357,0)</f>
        <v>7.4215949999999982</v>
      </c>
      <c r="J452" s="11">
        <f>IFERROR(PagosV2[[#This Row],[Ganancia (UB)]]*$B$358,0)</f>
        <v>14.843189999999996</v>
      </c>
      <c r="K452" s="11">
        <f>IFERROR(PagosV2[[#This Row],[Ganancia (UB)]]*$B$359,0)</f>
        <v>7.4215949999999982</v>
      </c>
      <c r="L452" s="11">
        <f>IFERROR(PagosV2[[#This Row],[Ganancia (UB)]]*$B$360,0)</f>
        <v>7.4215949999999982</v>
      </c>
      <c r="M452" s="11">
        <f>IFERROR(PagosV2[[#This Row],[Ganancia (UB)]]-PagosV2[[#This Row],[PM]]-PagosV2[[#This Row],[GC]]-PagosV2[[#This Row],[PC]]-PagosV2[[#This Row],[U]],0)</f>
        <v>210.27852499999997</v>
      </c>
      <c r="N452" s="11">
        <f t="shared" si="8"/>
        <v>94.625336249999989</v>
      </c>
      <c r="O452" s="11">
        <f>IFERROR(PagosV2[[#This Row],[Ganancia (UV)]]*PagosV2[[#This Row],[Cantidad vendida]],0)</f>
        <v>94.625336249999989</v>
      </c>
      <c r="P452" s="1">
        <f>IFERROR(PagosV2[[#This Row],[Ganancia (N)]]-PagosV2[[#This Row],[Ganancia (UV)]],0)</f>
        <v>115.65318874999998</v>
      </c>
      <c r="Q452" s="1">
        <f>IFERROR(PagosV2[[#This Row],[Ganancia individual (Tienda)]]*PagosV2[[#This Row],[Cantidad vendida]],0)</f>
        <v>115.65318874999998</v>
      </c>
      <c r="R452" s="1">
        <f>IFERROR((PagosV2[[#This Row],[Precio de venta]]-PagosV2[[#This Row],[Ganancia (UB)]])*PagosV2[[#This Row],[Cantidad vendida]],0)</f>
        <v>652.61350000000004</v>
      </c>
      <c r="S452" s="21" t="s">
        <v>312</v>
      </c>
      <c r="T452" s="21"/>
    </row>
    <row r="453" spans="1:20" ht="16.5" hidden="1" x14ac:dyDescent="0.3">
      <c r="A453" s="9" t="s">
        <v>327</v>
      </c>
      <c r="B453" s="75">
        <v>46133</v>
      </c>
      <c r="C453" s="9" t="s">
        <v>148</v>
      </c>
      <c r="D453" s="9" t="str">
        <f>IFERROR(VLOOKUP(PagosV2[[#This Row],[Codigo del producto]],Entradas[],3,FALSE),"No existe")</f>
        <v>KZ castor Pro</v>
      </c>
      <c r="E453" s="9">
        <v>1</v>
      </c>
      <c r="F453" s="11">
        <v>900</v>
      </c>
      <c r="G453" s="11">
        <f>IFERROR(PagosV2[[#This Row],[Cantidad vendida]]*PagosV2[[#This Row],[Precio de venta]],"-")</f>
        <v>900</v>
      </c>
      <c r="H453" s="11">
        <f>IFERROR(PagosV2[[#This Row],[Precio de venta]]-VLOOKUP(PagosV2[[#This Row],[Codigo del producto]],Stock[],13,FALSE),"-")</f>
        <v>235.59449999999993</v>
      </c>
      <c r="I453" s="11">
        <f>IFERROR(PagosV2[[#This Row],[Ganancia (UB)]]*$B$357,0)</f>
        <v>7.0678349999999979</v>
      </c>
      <c r="J453" s="11">
        <f>IFERROR(PagosV2[[#This Row],[Ganancia (UB)]]*$B$358,0)</f>
        <v>14.135669999999996</v>
      </c>
      <c r="K453" s="11">
        <f>IFERROR(PagosV2[[#This Row],[Ganancia (UB)]]*$B$359,0)</f>
        <v>7.0678349999999979</v>
      </c>
      <c r="L453" s="11">
        <f>IFERROR(PagosV2[[#This Row],[Ganancia (UB)]]*$B$360,0)</f>
        <v>7.0678349999999979</v>
      </c>
      <c r="M453" s="11">
        <f>IFERROR(PagosV2[[#This Row],[Ganancia (UB)]]-PagosV2[[#This Row],[PM]]-PagosV2[[#This Row],[GC]]-PagosV2[[#This Row],[PC]]-PagosV2[[#This Row],[U]],0)</f>
        <v>200.25532499999991</v>
      </c>
      <c r="N453" s="11">
        <f t="shared" si="8"/>
        <v>90.114896249999958</v>
      </c>
      <c r="O453" s="11">
        <f>IFERROR(PagosV2[[#This Row],[Ganancia (UV)]]*PagosV2[[#This Row],[Cantidad vendida]],0)</f>
        <v>90.114896249999958</v>
      </c>
      <c r="P453" s="1">
        <f>IFERROR(PagosV2[[#This Row],[Ganancia (N)]]-PagosV2[[#This Row],[Ganancia (UV)]],0)</f>
        <v>110.14042874999996</v>
      </c>
      <c r="Q453" s="1">
        <f>IFERROR(PagosV2[[#This Row],[Ganancia individual (Tienda)]]*PagosV2[[#This Row],[Cantidad vendida]],0)</f>
        <v>110.14042874999996</v>
      </c>
      <c r="R453" s="1">
        <f>IFERROR((PagosV2[[#This Row],[Precio de venta]]-PagosV2[[#This Row],[Ganancia (UB)]])*PagosV2[[#This Row],[Cantidad vendida]],0)</f>
        <v>664.40550000000007</v>
      </c>
      <c r="S453" s="21" t="s">
        <v>312</v>
      </c>
      <c r="T453" s="21"/>
    </row>
    <row r="454" spans="1:20" ht="16.5" hidden="1" x14ac:dyDescent="0.3">
      <c r="A454" s="9" t="s">
        <v>327</v>
      </c>
      <c r="B454" s="75">
        <v>46133</v>
      </c>
      <c r="C454" s="9" t="s">
        <v>121</v>
      </c>
      <c r="D454" s="9" t="str">
        <f>IFERROR(VLOOKUP(PagosV2[[#This Row],[Codigo del producto]],Entradas[],3,FALSE),"No existe")</f>
        <v>Nubwo G06</v>
      </c>
      <c r="E454" s="9">
        <v>1</v>
      </c>
      <c r="F454" s="11">
        <v>1500</v>
      </c>
      <c r="G454" s="11">
        <f>IFERROR(PagosV2[[#This Row],[Cantidad vendida]]*PagosV2[[#This Row],[Precio de venta]],"-")</f>
        <v>1500</v>
      </c>
      <c r="H454" s="11">
        <f>IFERROR(PagosV2[[#This Row],[Precio de venta]]-VLOOKUP(PagosV2[[#This Row],[Codigo del producto]],Stock[],13,FALSE),"-")</f>
        <v>539.68899999999985</v>
      </c>
      <c r="I454" s="11">
        <f>IFERROR(PagosV2[[#This Row],[Ganancia (UB)]]*$B$357,0)</f>
        <v>16.190669999999994</v>
      </c>
      <c r="J454" s="11">
        <f>IFERROR(PagosV2[[#This Row],[Ganancia (UB)]]*$B$358,0)</f>
        <v>32.381339999999987</v>
      </c>
      <c r="K454" s="11">
        <f>IFERROR(PagosV2[[#This Row],[Ganancia (UB)]]*$B$359,0)</f>
        <v>16.190669999999994</v>
      </c>
      <c r="L454" s="11">
        <f>IFERROR(PagosV2[[#This Row],[Ganancia (UB)]]*$B$360,0)</f>
        <v>16.190669999999994</v>
      </c>
      <c r="M454" s="11">
        <f>IFERROR(PagosV2[[#This Row],[Ganancia (UB)]]-PagosV2[[#This Row],[PM]]-PagosV2[[#This Row],[GC]]-PagosV2[[#This Row],[PC]]-PagosV2[[#This Row],[U]],0)</f>
        <v>458.73564999999991</v>
      </c>
      <c r="N454" s="11">
        <f t="shared" si="8"/>
        <v>183.49425999999997</v>
      </c>
      <c r="O454" s="11">
        <f>IFERROR(PagosV2[[#This Row],[Ganancia (UV)]]*PagosV2[[#This Row],[Cantidad vendida]],0)</f>
        <v>183.49425999999997</v>
      </c>
      <c r="P454" s="1">
        <f>IFERROR(PagosV2[[#This Row],[Ganancia (N)]]-PagosV2[[#This Row],[Ganancia (UV)]],0)</f>
        <v>275.24138999999991</v>
      </c>
      <c r="Q454" s="1">
        <f>IFERROR(PagosV2[[#This Row],[Ganancia individual (Tienda)]]*PagosV2[[#This Row],[Cantidad vendida]],0)</f>
        <v>275.24138999999991</v>
      </c>
      <c r="R454" s="1">
        <f>IFERROR((PagosV2[[#This Row],[Precio de venta]]-PagosV2[[#This Row],[Ganancia (UB)]])*PagosV2[[#This Row],[Cantidad vendida]],0)</f>
        <v>960.31100000000015</v>
      </c>
      <c r="S454" s="21" t="s">
        <v>312</v>
      </c>
      <c r="T454" s="21"/>
    </row>
    <row r="455" spans="1:20" ht="16.5" hidden="1" x14ac:dyDescent="0.3">
      <c r="A455" s="9" t="s">
        <v>359</v>
      </c>
      <c r="B455" s="75">
        <v>46133</v>
      </c>
      <c r="C455" s="9" t="s">
        <v>157</v>
      </c>
      <c r="D455" s="9" t="str">
        <f>IFERROR(VLOOKUP(PagosV2[[#This Row],[Codigo del producto]],Entradas[],3,FALSE),"No existe")</f>
        <v>KZ AZ09</v>
      </c>
      <c r="E455" s="9">
        <v>1</v>
      </c>
      <c r="F455" s="11">
        <v>1000</v>
      </c>
      <c r="G455" s="11">
        <f>IFERROR(PagosV2[[#This Row],[Cantidad vendida]]*PagosV2[[#This Row],[Precio de venta]],"-")</f>
        <v>1000</v>
      </c>
      <c r="H455" s="11">
        <f>IFERROR(PagosV2[[#This Row],[Precio de venta]]-VLOOKUP(PagosV2[[#This Row],[Codigo del producto]],Stock[],13,FALSE),"-")</f>
        <v>347.38649999999996</v>
      </c>
      <c r="I455" s="11">
        <f>IFERROR(PagosV2[[#This Row],[Ganancia (UB)]]*$B$357,0)</f>
        <v>10.421594999999998</v>
      </c>
      <c r="J455" s="11">
        <f>IFERROR(PagosV2[[#This Row],[Ganancia (UB)]]*$B$358,0)</f>
        <v>20.843189999999996</v>
      </c>
      <c r="K455" s="11">
        <f>IFERROR(PagosV2[[#This Row],[Ganancia (UB)]]*$B$359,0)</f>
        <v>10.421594999999998</v>
      </c>
      <c r="L455" s="11">
        <f>IFERROR(PagosV2[[#This Row],[Ganancia (UB)]]*$B$360,0)</f>
        <v>10.421594999999998</v>
      </c>
      <c r="M455" s="11">
        <f>IFERROR(PagosV2[[#This Row],[Ganancia (UB)]]-PagosV2[[#This Row],[PM]]-PagosV2[[#This Row],[GC]]-PagosV2[[#This Row],[PC]]-PagosV2[[#This Row],[U]],0)</f>
        <v>295.27852499999989</v>
      </c>
      <c r="N455" s="11">
        <f t="shared" si="8"/>
        <v>132.87533624999995</v>
      </c>
      <c r="O455" s="11">
        <f>IFERROR(PagosV2[[#This Row],[Ganancia (UV)]]*PagosV2[[#This Row],[Cantidad vendida]],0)</f>
        <v>132.87533624999995</v>
      </c>
      <c r="P455" s="1">
        <f>IFERROR(PagosV2[[#This Row],[Ganancia (N)]]-PagosV2[[#This Row],[Ganancia (UV)]],0)</f>
        <v>162.40318874999994</v>
      </c>
      <c r="Q455" s="1">
        <f>IFERROR(PagosV2[[#This Row],[Ganancia individual (Tienda)]]*PagosV2[[#This Row],[Cantidad vendida]],0)</f>
        <v>162.40318874999994</v>
      </c>
      <c r="R455" s="1">
        <f>IFERROR((PagosV2[[#This Row],[Precio de venta]]-PagosV2[[#This Row],[Ganancia (UB)]])*PagosV2[[#This Row],[Cantidad vendida]],0)</f>
        <v>652.61350000000004</v>
      </c>
      <c r="S455" s="21" t="s">
        <v>312</v>
      </c>
      <c r="T455" s="21"/>
    </row>
    <row r="456" spans="1:20" ht="16.5" hidden="1" x14ac:dyDescent="0.3">
      <c r="A456" s="9" t="s">
        <v>327</v>
      </c>
      <c r="B456" s="75">
        <v>46133</v>
      </c>
      <c r="C456" s="9" t="s">
        <v>106</v>
      </c>
      <c r="D456" s="9" t="str">
        <f>IFERROR(VLOOKUP(PagosV2[[#This Row],[Codigo del producto]],Entradas[],3,FALSE),"No existe")</f>
        <v>Shark Attack Mouse X11 white</v>
      </c>
      <c r="E456" s="9">
        <v>1</v>
      </c>
      <c r="F456" s="11">
        <v>1300</v>
      </c>
      <c r="G456" s="11">
        <f>IFERROR(PagosV2[[#This Row],[Cantidad vendida]]*PagosV2[[#This Row],[Precio de venta]],"-")</f>
        <v>1300</v>
      </c>
      <c r="H456" s="11">
        <f>IFERROR(PagosV2[[#This Row],[Precio de venta]]-VLOOKUP(PagosV2[[#This Row],[Codigo del producto]],Stock[],13,FALSE),"-")</f>
        <v>477.50799999999992</v>
      </c>
      <c r="I456" s="11">
        <f>IFERROR(PagosV2[[#This Row],[Ganancia (UB)]]*$B$357,0)</f>
        <v>14.325239999999997</v>
      </c>
      <c r="J456" s="11">
        <f>IFERROR(PagosV2[[#This Row],[Ganancia (UB)]]*$B$358,0)</f>
        <v>28.650479999999995</v>
      </c>
      <c r="K456" s="11">
        <f>IFERROR(PagosV2[[#This Row],[Ganancia (UB)]]*$B$359,0)</f>
        <v>14.325239999999997</v>
      </c>
      <c r="L456" s="11">
        <f>IFERROR(PagosV2[[#This Row],[Ganancia (UB)]]*$B$360,0)</f>
        <v>14.325239999999997</v>
      </c>
      <c r="M456" s="11">
        <f>IFERROR(PagosV2[[#This Row],[Ganancia (UB)]]-PagosV2[[#This Row],[PM]]-PagosV2[[#This Row],[GC]]-PagosV2[[#This Row],[PC]]-PagosV2[[#This Row],[U]],0)</f>
        <v>405.88179999999988</v>
      </c>
      <c r="N456" s="11">
        <f t="shared" si="8"/>
        <v>162.35271999999998</v>
      </c>
      <c r="O456" s="11">
        <f>IFERROR(PagosV2[[#This Row],[Ganancia (UV)]]*PagosV2[[#This Row],[Cantidad vendida]],0)</f>
        <v>162.35271999999998</v>
      </c>
      <c r="P456" s="1">
        <f>IFERROR(PagosV2[[#This Row],[Ganancia (N)]]-PagosV2[[#This Row],[Ganancia (UV)]],0)</f>
        <v>243.52907999999991</v>
      </c>
      <c r="Q456" s="1">
        <f>IFERROR(PagosV2[[#This Row],[Ganancia individual (Tienda)]]*PagosV2[[#This Row],[Cantidad vendida]],0)</f>
        <v>243.52907999999991</v>
      </c>
      <c r="R456" s="1">
        <f>IFERROR((PagosV2[[#This Row],[Precio de venta]]-PagosV2[[#This Row],[Ganancia (UB)]])*PagosV2[[#This Row],[Cantidad vendida]],0)</f>
        <v>822.49200000000008</v>
      </c>
      <c r="S456" s="21" t="s">
        <v>312</v>
      </c>
      <c r="T456" s="21"/>
    </row>
    <row r="457" spans="1:20" ht="16.5" hidden="1" x14ac:dyDescent="0.3">
      <c r="A457" s="9" t="s">
        <v>327</v>
      </c>
      <c r="B457" s="75">
        <v>46133</v>
      </c>
      <c r="C457" s="9" t="s">
        <v>157</v>
      </c>
      <c r="D457" s="9" t="str">
        <f>IFERROR(VLOOKUP(PagosV2[[#This Row],[Codigo del producto]],Entradas[],3,FALSE),"No existe")</f>
        <v>KZ AZ09</v>
      </c>
      <c r="E457" s="9">
        <v>1</v>
      </c>
      <c r="F457" s="11">
        <v>1000</v>
      </c>
      <c r="G457" s="11">
        <f>IFERROR(PagosV2[[#This Row],[Cantidad vendida]]*PagosV2[[#This Row],[Precio de venta]],"-")</f>
        <v>1000</v>
      </c>
      <c r="H457" s="11">
        <f>IFERROR(PagosV2[[#This Row],[Precio de venta]]-VLOOKUP(PagosV2[[#This Row],[Codigo del producto]],Stock[],13,FALSE),"-")</f>
        <v>347.38649999999996</v>
      </c>
      <c r="I457" s="11">
        <f>IFERROR(PagosV2[[#This Row],[Ganancia (UB)]]*$B$357,0)</f>
        <v>10.421594999999998</v>
      </c>
      <c r="J457" s="11">
        <f>IFERROR(PagosV2[[#This Row],[Ganancia (UB)]]*$B$358,0)</f>
        <v>20.843189999999996</v>
      </c>
      <c r="K457" s="11">
        <f>IFERROR(PagosV2[[#This Row],[Ganancia (UB)]]*$B$359,0)</f>
        <v>10.421594999999998</v>
      </c>
      <c r="L457" s="11">
        <f>IFERROR(PagosV2[[#This Row],[Ganancia (UB)]]*$B$360,0)</f>
        <v>10.421594999999998</v>
      </c>
      <c r="M457" s="11">
        <f>IFERROR(PagosV2[[#This Row],[Ganancia (UB)]]-PagosV2[[#This Row],[PM]]-PagosV2[[#This Row],[GC]]-PagosV2[[#This Row],[PC]]-PagosV2[[#This Row],[U]],0)</f>
        <v>295.27852499999989</v>
      </c>
      <c r="N457" s="11">
        <f t="shared" si="8"/>
        <v>132.87533624999995</v>
      </c>
      <c r="O457" s="11">
        <f>IFERROR(PagosV2[[#This Row],[Ganancia (UV)]]*PagosV2[[#This Row],[Cantidad vendida]],0)</f>
        <v>132.87533624999995</v>
      </c>
      <c r="P457" s="1">
        <f>IFERROR(PagosV2[[#This Row],[Ganancia (N)]]-PagosV2[[#This Row],[Ganancia (UV)]],0)</f>
        <v>162.40318874999994</v>
      </c>
      <c r="Q457" s="1">
        <f>IFERROR(PagosV2[[#This Row],[Ganancia individual (Tienda)]]*PagosV2[[#This Row],[Cantidad vendida]],0)</f>
        <v>162.40318874999994</v>
      </c>
      <c r="R457" s="1">
        <f>IFERROR((PagosV2[[#This Row],[Precio de venta]]-PagosV2[[#This Row],[Ganancia (UB)]])*PagosV2[[#This Row],[Cantidad vendida]],0)</f>
        <v>652.61350000000004</v>
      </c>
      <c r="S457" s="21" t="s">
        <v>312</v>
      </c>
      <c r="T457" s="21"/>
    </row>
    <row r="458" spans="1:20" ht="16.5" hidden="1" x14ac:dyDescent="0.3">
      <c r="A458" s="9" t="s">
        <v>315</v>
      </c>
      <c r="B458" s="75">
        <v>46133</v>
      </c>
      <c r="C458" s="9" t="s">
        <v>150</v>
      </c>
      <c r="D458" s="9" t="str">
        <f>IFERROR(VLOOKUP(PagosV2[[#This Row],[Codigo del producto]],Entradas[],3,FALSE),"No existe")</f>
        <v>KZ EDX Pro X</v>
      </c>
      <c r="E458" s="9">
        <v>1</v>
      </c>
      <c r="F458" s="11">
        <v>450</v>
      </c>
      <c r="G458" s="11">
        <f>IFERROR(PagosV2[[#This Row],[Cantidad vendida]]*PagosV2[[#This Row],[Precio de venta]],"-")</f>
        <v>450</v>
      </c>
      <c r="H458" s="11">
        <f>IFERROR(PagosV2[[#This Row],[Precio de venta]]-VLOOKUP(PagosV2[[#This Row],[Codigo del producto]],Stock[],13,FALSE),"-")</f>
        <v>231.11099999999999</v>
      </c>
      <c r="I458" s="11">
        <f>IFERROR(PagosV2[[#This Row],[Ganancia (UB)]]*$B$357,0)</f>
        <v>6.9333299999999998</v>
      </c>
      <c r="J458" s="11">
        <f>IFERROR(PagosV2[[#This Row],[Ganancia (UB)]]*$B$358,0)</f>
        <v>13.86666</v>
      </c>
      <c r="K458" s="11">
        <f>IFERROR(PagosV2[[#This Row],[Ganancia (UB)]]*$B$359,0)</f>
        <v>6.9333299999999998</v>
      </c>
      <c r="L458" s="11">
        <f>IFERROR(PagosV2[[#This Row],[Ganancia (UB)]]*$B$360,0)</f>
        <v>6.9333299999999998</v>
      </c>
      <c r="M458" s="11">
        <f>IFERROR(PagosV2[[#This Row],[Ganancia (UB)]]-PagosV2[[#This Row],[PM]]-PagosV2[[#This Row],[GC]]-PagosV2[[#This Row],[PC]]-PagosV2[[#This Row],[U]],0)</f>
        <v>196.44434999999996</v>
      </c>
      <c r="N458" s="11">
        <f t="shared" si="8"/>
        <v>88.399957499999985</v>
      </c>
      <c r="O458" s="11">
        <f>IFERROR(PagosV2[[#This Row],[Ganancia (UV)]]*PagosV2[[#This Row],[Cantidad vendida]],0)</f>
        <v>88.399957499999985</v>
      </c>
      <c r="P458" s="1">
        <f>IFERROR(PagosV2[[#This Row],[Ganancia (N)]]-PagosV2[[#This Row],[Ganancia (UV)]],0)</f>
        <v>108.04439249999997</v>
      </c>
      <c r="Q458" s="1">
        <f>IFERROR(PagosV2[[#This Row],[Ganancia individual (Tienda)]]*PagosV2[[#This Row],[Cantidad vendida]],0)</f>
        <v>108.04439249999997</v>
      </c>
      <c r="R458" s="1">
        <f>IFERROR((PagosV2[[#This Row],[Precio de venta]]-PagosV2[[#This Row],[Ganancia (UB)]])*PagosV2[[#This Row],[Cantidad vendida]],0)</f>
        <v>218.88900000000001</v>
      </c>
      <c r="S458" s="21" t="s">
        <v>312</v>
      </c>
      <c r="T458" s="21"/>
    </row>
    <row r="459" spans="1:20" ht="16.5" hidden="1" x14ac:dyDescent="0.3">
      <c r="A459" s="9" t="s">
        <v>311</v>
      </c>
      <c r="B459" s="75">
        <v>46133</v>
      </c>
      <c r="C459" s="9" t="s">
        <v>114</v>
      </c>
      <c r="D459" s="9" t="str">
        <f>IFERROR(VLOOKUP(PagosV2[[#This Row],[Codigo del producto]],Entradas[],3,FALSE),"No existe")</f>
        <v>Teclado Mecanico Machenike K500</v>
      </c>
      <c r="E459" s="9">
        <v>1</v>
      </c>
      <c r="F459" s="11">
        <v>2000</v>
      </c>
      <c r="G459" s="11">
        <f>IFERROR(PagosV2[[#This Row],[Cantidad vendida]]*PagosV2[[#This Row],[Precio de venta]],"-")</f>
        <v>2000</v>
      </c>
      <c r="H459" s="11">
        <f>IFERROR(PagosV2[[#This Row],[Precio de venta]]-VLOOKUP(PagosV2[[#This Row],[Codigo del producto]],Stock[],13,FALSE),"-")</f>
        <v>452.29999999999995</v>
      </c>
      <c r="I459" s="11">
        <f>IFERROR(PagosV2[[#This Row],[Ganancia (UB)]]*$B$357,0)</f>
        <v>13.568999999999997</v>
      </c>
      <c r="J459" s="11">
        <f>IFERROR(PagosV2[[#This Row],[Ganancia (UB)]]*$B$358,0)</f>
        <v>27.137999999999995</v>
      </c>
      <c r="K459" s="11">
        <f>IFERROR(PagosV2[[#This Row],[Ganancia (UB)]]*$B$359,0)</f>
        <v>13.568999999999997</v>
      </c>
      <c r="L459" s="11">
        <f>IFERROR(PagosV2[[#This Row],[Ganancia (UB)]]*$B$360,0)</f>
        <v>13.568999999999997</v>
      </c>
      <c r="M459" s="11">
        <f>IFERROR(PagosV2[[#This Row],[Ganancia (UB)]]-PagosV2[[#This Row],[PM]]-PagosV2[[#This Row],[GC]]-PagosV2[[#This Row],[PC]]-PagosV2[[#This Row],[U]],0)</f>
        <v>384.45499999999993</v>
      </c>
      <c r="N459" s="11">
        <f t="shared" si="8"/>
        <v>153.78199999999998</v>
      </c>
      <c r="O459" s="11">
        <f>IFERROR(PagosV2[[#This Row],[Ganancia (UV)]]*PagosV2[[#This Row],[Cantidad vendida]],0)</f>
        <v>153.78199999999998</v>
      </c>
      <c r="P459" s="1">
        <f>IFERROR(PagosV2[[#This Row],[Ganancia (N)]]-PagosV2[[#This Row],[Ganancia (UV)]],0)</f>
        <v>230.67299999999994</v>
      </c>
      <c r="Q459" s="1">
        <f>IFERROR(PagosV2[[#This Row],[Ganancia individual (Tienda)]]*PagosV2[[#This Row],[Cantidad vendida]],0)</f>
        <v>230.67299999999994</v>
      </c>
      <c r="R459" s="1">
        <f>IFERROR((PagosV2[[#This Row],[Precio de venta]]-PagosV2[[#This Row],[Ganancia (UB)]])*PagosV2[[#This Row],[Cantidad vendida]],0)</f>
        <v>1547.7</v>
      </c>
      <c r="S459" s="21" t="s">
        <v>312</v>
      </c>
      <c r="T459" s="21"/>
    </row>
    <row r="460" spans="1:20" ht="16.5" hidden="1" x14ac:dyDescent="0.3">
      <c r="A460" s="9" t="s">
        <v>311</v>
      </c>
      <c r="B460" s="75">
        <v>46133</v>
      </c>
      <c r="C460" s="9" t="s">
        <v>124</v>
      </c>
      <c r="D460" s="9" t="str">
        <f>IFERROR(VLOOKUP(PagosV2[[#This Row],[Codigo del producto]],Entradas[],3,FALSE),"No existe")</f>
        <v xml:space="preserve">LinYubo Switch controller </v>
      </c>
      <c r="E460" s="9">
        <v>1</v>
      </c>
      <c r="F460" s="11">
        <v>1500</v>
      </c>
      <c r="G460" s="11">
        <f>IFERROR(PagosV2[[#This Row],[Cantidad vendida]]*PagosV2[[#This Row],[Precio de venta]],"-")</f>
        <v>1500</v>
      </c>
      <c r="H460" s="11">
        <f>IFERROR(PagosV2[[#This Row],[Precio de venta]]-VLOOKUP(PagosV2[[#This Row],[Codigo del producto]],Stock[],13,FALSE),"-")</f>
        <v>499.154</v>
      </c>
      <c r="I460" s="11">
        <f>IFERROR(PagosV2[[#This Row],[Ganancia (UB)]]*$B$357,0)</f>
        <v>14.97462</v>
      </c>
      <c r="J460" s="11">
        <f>IFERROR(PagosV2[[#This Row],[Ganancia (UB)]]*$B$358,0)</f>
        <v>29.94924</v>
      </c>
      <c r="K460" s="11">
        <f>IFERROR(PagosV2[[#This Row],[Ganancia (UB)]]*$B$359,0)</f>
        <v>14.97462</v>
      </c>
      <c r="L460" s="11">
        <f>IFERROR(PagosV2[[#This Row],[Ganancia (UB)]]*$B$360,0)</f>
        <v>14.97462</v>
      </c>
      <c r="M460" s="11">
        <f>IFERROR(PagosV2[[#This Row],[Ganancia (UB)]]-PagosV2[[#This Row],[PM]]-PagosV2[[#This Row],[GC]]-PagosV2[[#This Row],[PC]]-PagosV2[[#This Row],[U]],0)</f>
        <v>424.28089999999997</v>
      </c>
      <c r="N460" s="11">
        <f t="shared" si="8"/>
        <v>169.71235999999999</v>
      </c>
      <c r="O460" s="11">
        <f>IFERROR(PagosV2[[#This Row],[Ganancia (UV)]]*PagosV2[[#This Row],[Cantidad vendida]],0)</f>
        <v>169.71235999999999</v>
      </c>
      <c r="P460" s="1">
        <f>IFERROR(PagosV2[[#This Row],[Ganancia (N)]]-PagosV2[[#This Row],[Ganancia (UV)]],0)</f>
        <v>254.56853999999998</v>
      </c>
      <c r="Q460" s="1">
        <f>IFERROR(PagosV2[[#This Row],[Ganancia individual (Tienda)]]*PagosV2[[#This Row],[Cantidad vendida]],0)</f>
        <v>254.56853999999998</v>
      </c>
      <c r="R460" s="1">
        <f>IFERROR((PagosV2[[#This Row],[Precio de venta]]-PagosV2[[#This Row],[Ganancia (UB)]])*PagosV2[[#This Row],[Cantidad vendida]],0)</f>
        <v>1000.846</v>
      </c>
      <c r="S460" s="21" t="s">
        <v>312</v>
      </c>
      <c r="T460" s="21"/>
    </row>
    <row r="461" spans="1:20" ht="16.5" hidden="1" x14ac:dyDescent="0.3">
      <c r="A461" s="9" t="s">
        <v>354</v>
      </c>
      <c r="B461" s="75">
        <v>46133</v>
      </c>
      <c r="C461" s="9" t="s">
        <v>129</v>
      </c>
      <c r="D461" s="9" t="str">
        <f>IFERROR(VLOOKUP(PagosV2[[#This Row],[Codigo del producto]],Entradas[],3,FALSE),"No existe")</f>
        <v>Cargadores USB para moto</v>
      </c>
      <c r="E461" s="9">
        <v>1</v>
      </c>
      <c r="F461" s="11">
        <v>600</v>
      </c>
      <c r="G461" s="11">
        <f>IFERROR(PagosV2[[#This Row],[Cantidad vendida]]*PagosV2[[#This Row],[Precio de venta]],"-")</f>
        <v>600</v>
      </c>
      <c r="H461" s="11">
        <f>IFERROR(PagosV2[[#This Row],[Precio de venta]]-VLOOKUP(PagosV2[[#This Row],[Codigo del producto]],Stock[],13,FALSE),"-")</f>
        <v>281.2475</v>
      </c>
      <c r="I461" s="11">
        <f>IFERROR(PagosV2[[#This Row],[Ganancia (UB)]]*$B$357,0)</f>
        <v>8.4374249999999993</v>
      </c>
      <c r="J461" s="11">
        <f>IFERROR(PagosV2[[#This Row],[Ganancia (UB)]]*$B$358,0)</f>
        <v>16.874849999999999</v>
      </c>
      <c r="K461" s="11">
        <f>IFERROR(PagosV2[[#This Row],[Ganancia (UB)]]*$B$359,0)</f>
        <v>8.4374249999999993</v>
      </c>
      <c r="L461" s="11">
        <f>IFERROR(PagosV2[[#This Row],[Ganancia (UB)]]*$B$360,0)</f>
        <v>8.4374249999999993</v>
      </c>
      <c r="M461" s="11">
        <f>IFERROR(PagosV2[[#This Row],[Ganancia (UB)]]-PagosV2[[#This Row],[PM]]-PagosV2[[#This Row],[GC]]-PagosV2[[#This Row],[PC]]-PagosV2[[#This Row],[U]],0)</f>
        <v>239.06037499999999</v>
      </c>
      <c r="N461" s="11">
        <f t="shared" si="8"/>
        <v>107.57716875</v>
      </c>
      <c r="O461" s="11">
        <f>IFERROR(PagosV2[[#This Row],[Ganancia (UV)]]*PagosV2[[#This Row],[Cantidad vendida]],0)</f>
        <v>107.57716875</v>
      </c>
      <c r="P461" s="1">
        <f>IFERROR(PagosV2[[#This Row],[Ganancia (N)]]-PagosV2[[#This Row],[Ganancia (UV)]],0)</f>
        <v>131.48320624999999</v>
      </c>
      <c r="Q461" s="1">
        <f>IFERROR(PagosV2[[#This Row],[Ganancia individual (Tienda)]]*PagosV2[[#This Row],[Cantidad vendida]],0)</f>
        <v>131.48320624999999</v>
      </c>
      <c r="R461" s="1">
        <f>IFERROR((PagosV2[[#This Row],[Precio de venta]]-PagosV2[[#This Row],[Ganancia (UB)]])*PagosV2[[#This Row],[Cantidad vendida]],0)</f>
        <v>318.7525</v>
      </c>
      <c r="S461" s="21" t="s">
        <v>312</v>
      </c>
      <c r="T461" s="21"/>
    </row>
    <row r="462" spans="1:20" ht="16.5" hidden="1" x14ac:dyDescent="0.3">
      <c r="A462" s="9" t="s">
        <v>313</v>
      </c>
      <c r="B462" s="75">
        <v>46133</v>
      </c>
      <c r="C462" s="9" t="s">
        <v>152</v>
      </c>
      <c r="D462" s="9" t="str">
        <f>IFERROR(VLOOKUP(PagosV2[[#This Row],[Codigo del producto]],Entradas[],3,FALSE),"No existe")</f>
        <v>Kit Estuche para Nintendo Switch</v>
      </c>
      <c r="E462" s="9">
        <v>1</v>
      </c>
      <c r="F462" s="11">
        <v>750</v>
      </c>
      <c r="G462" s="11">
        <f>IFERROR(PagosV2[[#This Row],[Cantidad vendida]]*PagosV2[[#This Row],[Precio de venta]],"-")</f>
        <v>750</v>
      </c>
      <c r="H462" s="11">
        <f>IFERROR(PagosV2[[#This Row],[Precio de venta]]-VLOOKUP(PagosV2[[#This Row],[Codigo del producto]],Stock[],13,FALSE),"-")</f>
        <v>318.11799999999994</v>
      </c>
      <c r="I462" s="11">
        <f>IFERROR(PagosV2[[#This Row],[Ganancia (UB)]]*$B$357,0)</f>
        <v>9.5435399999999984</v>
      </c>
      <c r="J462" s="11">
        <f>IFERROR(PagosV2[[#This Row],[Ganancia (UB)]]*$B$358,0)</f>
        <v>19.087079999999997</v>
      </c>
      <c r="K462" s="11">
        <f>IFERROR(PagosV2[[#This Row],[Ganancia (UB)]]*$B$359,0)</f>
        <v>9.5435399999999984</v>
      </c>
      <c r="L462" s="11">
        <f>IFERROR(PagosV2[[#This Row],[Ganancia (UB)]]*$B$360,0)</f>
        <v>9.5435399999999984</v>
      </c>
      <c r="M462" s="11">
        <f>IFERROR(PagosV2[[#This Row],[Ganancia (UB)]]-PagosV2[[#This Row],[PM]]-PagosV2[[#This Row],[GC]]-PagosV2[[#This Row],[PC]]-PagosV2[[#This Row],[U]],0)</f>
        <v>270.4002999999999</v>
      </c>
      <c r="N462" s="11">
        <f t="shared" si="8"/>
        <v>121.68013499999996</v>
      </c>
      <c r="O462" s="11">
        <f>IFERROR(PagosV2[[#This Row],[Ganancia (UV)]]*PagosV2[[#This Row],[Cantidad vendida]],0)</f>
        <v>121.68013499999996</v>
      </c>
      <c r="P462" s="1">
        <f>IFERROR(PagosV2[[#This Row],[Ganancia (N)]]-PagosV2[[#This Row],[Ganancia (UV)]],0)</f>
        <v>148.72016499999995</v>
      </c>
      <c r="Q462" s="1">
        <f>IFERROR(PagosV2[[#This Row],[Ganancia individual (Tienda)]]*PagosV2[[#This Row],[Cantidad vendida]],0)</f>
        <v>148.72016499999995</v>
      </c>
      <c r="R462" s="1">
        <f>IFERROR((PagosV2[[#This Row],[Precio de venta]]-PagosV2[[#This Row],[Ganancia (UB)]])*PagosV2[[#This Row],[Cantidad vendida]],0)</f>
        <v>431.88200000000006</v>
      </c>
      <c r="S462" s="21" t="s">
        <v>312</v>
      </c>
      <c r="T462" s="21"/>
    </row>
    <row r="463" spans="1:20" ht="16.5" hidden="1" x14ac:dyDescent="0.3">
      <c r="A463" s="9" t="s">
        <v>313</v>
      </c>
      <c r="B463" s="75">
        <v>46133</v>
      </c>
      <c r="C463" s="9" t="s">
        <v>150</v>
      </c>
      <c r="D463" s="9" t="str">
        <f>IFERROR(VLOOKUP(PagosV2[[#This Row],[Codigo del producto]],Entradas[],3,FALSE),"No existe")</f>
        <v>KZ EDX Pro X</v>
      </c>
      <c r="E463" s="9">
        <v>1</v>
      </c>
      <c r="F463" s="11">
        <v>400</v>
      </c>
      <c r="G463" s="11">
        <f>IFERROR(PagosV2[[#This Row],[Cantidad vendida]]*PagosV2[[#This Row],[Precio de venta]],"-")</f>
        <v>400</v>
      </c>
      <c r="H463" s="11">
        <f>IFERROR(PagosV2[[#This Row],[Precio de venta]]-VLOOKUP(PagosV2[[#This Row],[Codigo del producto]],Stock[],13,FALSE),"-")</f>
        <v>181.11099999999999</v>
      </c>
      <c r="I463" s="11">
        <f>IFERROR(PagosV2[[#This Row],[Ganancia (UB)]]*$B$357,0)</f>
        <v>5.4333299999999998</v>
      </c>
      <c r="J463" s="11">
        <f>IFERROR(PagosV2[[#This Row],[Ganancia (UB)]]*$B$358,0)</f>
        <v>10.86666</v>
      </c>
      <c r="K463" s="11">
        <f>IFERROR(PagosV2[[#This Row],[Ganancia (UB)]]*$B$359,0)</f>
        <v>5.4333299999999998</v>
      </c>
      <c r="L463" s="11">
        <f>IFERROR(PagosV2[[#This Row],[Ganancia (UB)]]*$B$360,0)</f>
        <v>5.4333299999999998</v>
      </c>
      <c r="M463" s="11">
        <f>IFERROR(PagosV2[[#This Row],[Ganancia (UB)]]-PagosV2[[#This Row],[PM]]-PagosV2[[#This Row],[GC]]-PagosV2[[#This Row],[PC]]-PagosV2[[#This Row],[U]],0)</f>
        <v>153.94434999999996</v>
      </c>
      <c r="N463" s="11">
        <f t="shared" si="8"/>
        <v>69.274957499999985</v>
      </c>
      <c r="O463" s="11">
        <f>IFERROR(PagosV2[[#This Row],[Ganancia (UV)]]*PagosV2[[#This Row],[Cantidad vendida]],0)</f>
        <v>69.274957499999985</v>
      </c>
      <c r="P463" s="1">
        <f>IFERROR(PagosV2[[#This Row],[Ganancia (N)]]-PagosV2[[#This Row],[Ganancia (UV)]],0)</f>
        <v>84.669392499999972</v>
      </c>
      <c r="Q463" s="1">
        <f>IFERROR(PagosV2[[#This Row],[Ganancia individual (Tienda)]]*PagosV2[[#This Row],[Cantidad vendida]],0)</f>
        <v>84.669392499999972</v>
      </c>
      <c r="R463" s="1">
        <f>IFERROR((PagosV2[[#This Row],[Precio de venta]]-PagosV2[[#This Row],[Ganancia (UB)]])*PagosV2[[#This Row],[Cantidad vendida]],0)</f>
        <v>218.88900000000001</v>
      </c>
      <c r="S463" s="21" t="s">
        <v>312</v>
      </c>
      <c r="T463" s="21"/>
    </row>
    <row r="464" spans="1:20" ht="16.5" hidden="1" x14ac:dyDescent="0.3">
      <c r="A464" s="9" t="s">
        <v>313</v>
      </c>
      <c r="B464" s="75">
        <v>46133</v>
      </c>
      <c r="C464" s="9" t="s">
        <v>66</v>
      </c>
      <c r="D464" s="9" t="str">
        <f>IFERROR(VLOOKUP(PagosV2[[#This Row],[Codigo del producto]],Entradas[],3,FALSE),"No existe")</f>
        <v xml:space="preserve">Adaptador DAC </v>
      </c>
      <c r="E464" s="9">
        <v>1</v>
      </c>
      <c r="F464" s="11">
        <v>300</v>
      </c>
      <c r="G464" s="11">
        <f>IFERROR(PagosV2[[#This Row],[Cantidad vendida]]*PagosV2[[#This Row],[Precio de venta]],"-")</f>
        <v>300</v>
      </c>
      <c r="H464" s="11">
        <f>IFERROR(PagosV2[[#This Row],[Precio de venta]]-VLOOKUP(PagosV2[[#This Row],[Codigo del producto]],Stock[],13,FALSE),"-")</f>
        <v>123.48849999999999</v>
      </c>
      <c r="I464" s="11">
        <f>IFERROR(PagosV2[[#This Row],[Ganancia (UB)]]*$B$357,0)</f>
        <v>3.7046549999999994</v>
      </c>
      <c r="J464" s="11">
        <f>IFERROR(PagosV2[[#This Row],[Ganancia (UB)]]*$B$358,0)</f>
        <v>7.4093099999999987</v>
      </c>
      <c r="K464" s="11">
        <f>IFERROR(PagosV2[[#This Row],[Ganancia (UB)]]*$B$359,0)</f>
        <v>3.7046549999999994</v>
      </c>
      <c r="L464" s="11">
        <f>IFERROR(PagosV2[[#This Row],[Ganancia (UB)]]*$B$360,0)</f>
        <v>3.7046549999999994</v>
      </c>
      <c r="M464" s="11">
        <f>IFERROR(PagosV2[[#This Row],[Ganancia (UB)]]-PagosV2[[#This Row],[PM]]-PagosV2[[#This Row],[GC]]-PagosV2[[#This Row],[PC]]-PagosV2[[#This Row],[U]],0)</f>
        <v>104.96522499999998</v>
      </c>
      <c r="N464" s="11">
        <f t="shared" si="8"/>
        <v>47.234351249999989</v>
      </c>
      <c r="O464" s="11">
        <f>IFERROR(PagosV2[[#This Row],[Ganancia (UV)]]*PagosV2[[#This Row],[Cantidad vendida]],0)</f>
        <v>47.234351249999989</v>
      </c>
      <c r="P464" s="1">
        <f>IFERROR(PagosV2[[#This Row],[Ganancia (N)]]-PagosV2[[#This Row],[Ganancia (UV)]],0)</f>
        <v>57.730873749999986</v>
      </c>
      <c r="Q464" s="1">
        <f>IFERROR(PagosV2[[#This Row],[Ganancia individual (Tienda)]]*PagosV2[[#This Row],[Cantidad vendida]],0)</f>
        <v>57.730873749999986</v>
      </c>
      <c r="R464" s="1">
        <f>IFERROR((PagosV2[[#This Row],[Precio de venta]]-PagosV2[[#This Row],[Ganancia (UB)]])*PagosV2[[#This Row],[Cantidad vendida]],0)</f>
        <v>176.51150000000001</v>
      </c>
      <c r="S464" s="21" t="s">
        <v>312</v>
      </c>
      <c r="T464" s="21"/>
    </row>
    <row r="465" spans="1:20" ht="16.5" hidden="1" x14ac:dyDescent="0.3">
      <c r="A465" s="9" t="s">
        <v>327</v>
      </c>
      <c r="B465" s="75">
        <v>46133</v>
      </c>
      <c r="C465" s="9" t="s">
        <v>168</v>
      </c>
      <c r="D465" s="9" t="str">
        <f>IFERROR(VLOOKUP(PagosV2[[#This Row],[Codigo del producto]],Entradas[],3,FALSE),"No existe")</f>
        <v>Cable de Repuesto KZ Tipo C</v>
      </c>
      <c r="E465" s="9">
        <v>1</v>
      </c>
      <c r="F465" s="11">
        <v>400</v>
      </c>
      <c r="G465" s="11">
        <f>IFERROR(PagosV2[[#This Row],[Cantidad vendida]]*PagosV2[[#This Row],[Precio de venta]],"-")</f>
        <v>400</v>
      </c>
      <c r="H465" s="11">
        <f>IFERROR(PagosV2[[#This Row],[Precio de venta]]-VLOOKUP(PagosV2[[#This Row],[Codigo del producto]],Stock[],13,FALSE),"-")</f>
        <v>125.09899999999993</v>
      </c>
      <c r="I465" s="11">
        <f>IFERROR(PagosV2[[#This Row],[Ganancia (UB)]]*$B$357,0)</f>
        <v>3.7529699999999977</v>
      </c>
      <c r="J465" s="11">
        <f>IFERROR(PagosV2[[#This Row],[Ganancia (UB)]]*$B$358,0)</f>
        <v>7.5059399999999954</v>
      </c>
      <c r="K465" s="11">
        <f>IFERROR(PagosV2[[#This Row],[Ganancia (UB)]]*$B$359,0)</f>
        <v>3.7529699999999977</v>
      </c>
      <c r="L465" s="11">
        <f>IFERROR(PagosV2[[#This Row],[Ganancia (UB)]]*$B$360,0)</f>
        <v>3.7529699999999977</v>
      </c>
      <c r="M465" s="11">
        <f>IFERROR(PagosV2[[#This Row],[Ganancia (UB)]]-PagosV2[[#This Row],[PM]]-PagosV2[[#This Row],[GC]]-PagosV2[[#This Row],[PC]]-PagosV2[[#This Row],[U]],0)</f>
        <v>106.33414999999994</v>
      </c>
      <c r="N465" s="11">
        <f t="shared" si="8"/>
        <v>47.850367499999976</v>
      </c>
      <c r="O465" s="11">
        <f>IFERROR(PagosV2[[#This Row],[Ganancia (UV)]]*PagosV2[[#This Row],[Cantidad vendida]],0)</f>
        <v>47.850367499999976</v>
      </c>
      <c r="P465" s="1">
        <f>IFERROR(PagosV2[[#This Row],[Ganancia (N)]]-PagosV2[[#This Row],[Ganancia (UV)]],0)</f>
        <v>58.483782499999961</v>
      </c>
      <c r="Q465" s="1">
        <f>IFERROR(PagosV2[[#This Row],[Ganancia individual (Tienda)]]*PagosV2[[#This Row],[Cantidad vendida]],0)</f>
        <v>58.483782499999961</v>
      </c>
      <c r="R465" s="1">
        <f>IFERROR((PagosV2[[#This Row],[Precio de venta]]-PagosV2[[#This Row],[Ganancia (UB)]])*PagosV2[[#This Row],[Cantidad vendida]],0)</f>
        <v>274.90100000000007</v>
      </c>
      <c r="S465" s="21" t="s">
        <v>312</v>
      </c>
      <c r="T465" s="21"/>
    </row>
    <row r="466" spans="1:20" ht="16.5" hidden="1" x14ac:dyDescent="0.3">
      <c r="A466" s="9" t="s">
        <v>327</v>
      </c>
      <c r="B466" s="75">
        <v>46133</v>
      </c>
      <c r="C466" s="9" t="s">
        <v>150</v>
      </c>
      <c r="D466" s="9" t="str">
        <f>IFERROR(VLOOKUP(PagosV2[[#This Row],[Codigo del producto]],Entradas[],3,FALSE),"No existe")</f>
        <v>KZ EDX Pro X</v>
      </c>
      <c r="E466" s="9">
        <v>1</v>
      </c>
      <c r="F466" s="11">
        <v>450</v>
      </c>
      <c r="G466" s="11">
        <f>IFERROR(PagosV2[[#This Row],[Cantidad vendida]]*PagosV2[[#This Row],[Precio de venta]],"-")</f>
        <v>450</v>
      </c>
      <c r="H466" s="11">
        <f>IFERROR(PagosV2[[#This Row],[Precio de venta]]-VLOOKUP(PagosV2[[#This Row],[Codigo del producto]],Stock[],13,FALSE),"-")</f>
        <v>231.11099999999999</v>
      </c>
      <c r="I466" s="11">
        <f>IFERROR(PagosV2[[#This Row],[Ganancia (UB)]]*$B$357,0)</f>
        <v>6.9333299999999998</v>
      </c>
      <c r="J466" s="11">
        <f>IFERROR(PagosV2[[#This Row],[Ganancia (UB)]]*$B$358,0)</f>
        <v>13.86666</v>
      </c>
      <c r="K466" s="11">
        <f>IFERROR(PagosV2[[#This Row],[Ganancia (UB)]]*$B$359,0)</f>
        <v>6.9333299999999998</v>
      </c>
      <c r="L466" s="11">
        <f>IFERROR(PagosV2[[#This Row],[Ganancia (UB)]]*$B$360,0)</f>
        <v>6.9333299999999998</v>
      </c>
      <c r="M466" s="11">
        <f>IFERROR(PagosV2[[#This Row],[Ganancia (UB)]]-PagosV2[[#This Row],[PM]]-PagosV2[[#This Row],[GC]]-PagosV2[[#This Row],[PC]]-PagosV2[[#This Row],[U]],0)</f>
        <v>196.44434999999996</v>
      </c>
      <c r="N466" s="11">
        <f t="shared" si="8"/>
        <v>88.399957499999985</v>
      </c>
      <c r="O466" s="11">
        <f>IFERROR(PagosV2[[#This Row],[Ganancia (UV)]]*PagosV2[[#This Row],[Cantidad vendida]],0)</f>
        <v>88.399957499999985</v>
      </c>
      <c r="P466" s="1">
        <f>IFERROR(PagosV2[[#This Row],[Ganancia (N)]]-PagosV2[[#This Row],[Ganancia (UV)]],0)</f>
        <v>108.04439249999997</v>
      </c>
      <c r="Q466" s="1">
        <f>IFERROR(PagosV2[[#This Row],[Ganancia individual (Tienda)]]*PagosV2[[#This Row],[Cantidad vendida]],0)</f>
        <v>108.04439249999997</v>
      </c>
      <c r="R466" s="1">
        <f>IFERROR((PagosV2[[#This Row],[Precio de venta]]-PagosV2[[#This Row],[Ganancia (UB)]])*PagosV2[[#This Row],[Cantidad vendida]],0)</f>
        <v>218.88900000000001</v>
      </c>
      <c r="S466" s="21" t="s">
        <v>312</v>
      </c>
      <c r="T466" s="21"/>
    </row>
    <row r="467" spans="1:20" ht="16.5" hidden="1" x14ac:dyDescent="0.3">
      <c r="A467" s="9" t="s">
        <v>327</v>
      </c>
      <c r="B467" s="75">
        <v>46133</v>
      </c>
      <c r="C467" s="9" t="s">
        <v>180</v>
      </c>
      <c r="D467" s="9" t="str">
        <f>IFERROR(VLOOKUP(PagosV2[[#This Row],[Codigo del producto]],Entradas[],3,FALSE),"No existe")</f>
        <v>KZ Castor Pro</v>
      </c>
      <c r="E467" s="9">
        <v>1</v>
      </c>
      <c r="F467" s="11">
        <v>950</v>
      </c>
      <c r="G467" s="11">
        <f>IFERROR(PagosV2[[#This Row],[Cantidad vendida]]*PagosV2[[#This Row],[Precio de venta]],"-")</f>
        <v>950</v>
      </c>
      <c r="H467" s="11">
        <f>IFERROR(PagosV2[[#This Row],[Precio de venta]]-VLOOKUP(PagosV2[[#This Row],[Codigo del producto]],Stock[],13,FALSE),"-")</f>
        <v>304.38799999999981</v>
      </c>
      <c r="I467" s="11">
        <f>IFERROR(PagosV2[[#This Row],[Ganancia (UB)]]*$B$357,0)</f>
        <v>9.1316399999999938</v>
      </c>
      <c r="J467" s="11">
        <f>IFERROR(PagosV2[[#This Row],[Ganancia (UB)]]*$B$358,0)</f>
        <v>18.263279999999988</v>
      </c>
      <c r="K467" s="11">
        <f>IFERROR(PagosV2[[#This Row],[Ganancia (UB)]]*$B$359,0)</f>
        <v>9.1316399999999938</v>
      </c>
      <c r="L467" s="11">
        <f>IFERROR(PagosV2[[#This Row],[Ganancia (UB)]]*$B$360,0)</f>
        <v>9.1316399999999938</v>
      </c>
      <c r="M467" s="11">
        <f>IFERROR(PagosV2[[#This Row],[Ganancia (UB)]]-PagosV2[[#This Row],[PM]]-PagosV2[[#This Row],[GC]]-PagosV2[[#This Row],[PC]]-PagosV2[[#This Row],[U]],0)</f>
        <v>258.72979999999978</v>
      </c>
      <c r="N467" s="11">
        <f t="shared" si="8"/>
        <v>116.4284099999999</v>
      </c>
      <c r="O467" s="11">
        <f>IFERROR(PagosV2[[#This Row],[Ganancia (UV)]]*PagosV2[[#This Row],[Cantidad vendida]],0)</f>
        <v>116.4284099999999</v>
      </c>
      <c r="P467" s="1">
        <f>IFERROR(PagosV2[[#This Row],[Ganancia (N)]]-PagosV2[[#This Row],[Ganancia (UV)]],0)</f>
        <v>142.30138999999988</v>
      </c>
      <c r="Q467" s="1">
        <f>IFERROR(PagosV2[[#This Row],[Ganancia individual (Tienda)]]*PagosV2[[#This Row],[Cantidad vendida]],0)</f>
        <v>142.30138999999988</v>
      </c>
      <c r="R467" s="1">
        <f>IFERROR((PagosV2[[#This Row],[Precio de venta]]-PagosV2[[#This Row],[Ganancia (UB)]])*PagosV2[[#This Row],[Cantidad vendida]],0)</f>
        <v>645.61200000000019</v>
      </c>
      <c r="S467" s="21" t="s">
        <v>312</v>
      </c>
      <c r="T467" s="21"/>
    </row>
    <row r="468" spans="1:20" ht="16.5" hidden="1" x14ac:dyDescent="0.3">
      <c r="A468" s="9" t="s">
        <v>327</v>
      </c>
      <c r="B468" s="75">
        <v>46133</v>
      </c>
      <c r="C468" s="9" t="s">
        <v>157</v>
      </c>
      <c r="D468" s="9" t="str">
        <f>IFERROR(VLOOKUP(PagosV2[[#This Row],[Codigo del producto]],Entradas[],3,FALSE),"No existe")</f>
        <v>KZ AZ09</v>
      </c>
      <c r="E468" s="9">
        <v>1</v>
      </c>
      <c r="F468" s="11">
        <v>950</v>
      </c>
      <c r="G468" s="11">
        <f>IFERROR(PagosV2[[#This Row],[Cantidad vendida]]*PagosV2[[#This Row],[Precio de venta]],"-")</f>
        <v>950</v>
      </c>
      <c r="H468" s="11">
        <f>IFERROR(PagosV2[[#This Row],[Precio de venta]]-VLOOKUP(PagosV2[[#This Row],[Codigo del producto]],Stock[],13,FALSE),"-")</f>
        <v>297.38649999999996</v>
      </c>
      <c r="I468" s="11">
        <f>IFERROR(PagosV2[[#This Row],[Ganancia (UB)]]*$B$357,0)</f>
        <v>8.9215949999999982</v>
      </c>
      <c r="J468" s="11">
        <f>IFERROR(PagosV2[[#This Row],[Ganancia (UB)]]*$B$358,0)</f>
        <v>17.843189999999996</v>
      </c>
      <c r="K468" s="11">
        <f>IFERROR(PagosV2[[#This Row],[Ganancia (UB)]]*$B$359,0)</f>
        <v>8.9215949999999982</v>
      </c>
      <c r="L468" s="11">
        <f>IFERROR(PagosV2[[#This Row],[Ganancia (UB)]]*$B$360,0)</f>
        <v>8.9215949999999982</v>
      </c>
      <c r="M468" s="11">
        <f>IFERROR(PagosV2[[#This Row],[Ganancia (UB)]]-PagosV2[[#This Row],[PM]]-PagosV2[[#This Row],[GC]]-PagosV2[[#This Row],[PC]]-PagosV2[[#This Row],[U]],0)</f>
        <v>252.77852499999992</v>
      </c>
      <c r="N468" s="11">
        <f t="shared" si="8"/>
        <v>113.75033624999996</v>
      </c>
      <c r="O468" s="11">
        <f>IFERROR(PagosV2[[#This Row],[Ganancia (UV)]]*PagosV2[[#This Row],[Cantidad vendida]],0)</f>
        <v>113.75033624999996</v>
      </c>
      <c r="P468" s="1">
        <f>IFERROR(PagosV2[[#This Row],[Ganancia (N)]]-PagosV2[[#This Row],[Ganancia (UV)]],0)</f>
        <v>139.02818874999997</v>
      </c>
      <c r="Q468" s="1">
        <f>IFERROR(PagosV2[[#This Row],[Ganancia individual (Tienda)]]*PagosV2[[#This Row],[Cantidad vendida]],0)</f>
        <v>139.02818874999997</v>
      </c>
      <c r="R468" s="1">
        <f>IFERROR((PagosV2[[#This Row],[Precio de venta]]-PagosV2[[#This Row],[Ganancia (UB)]])*PagosV2[[#This Row],[Cantidad vendida]],0)</f>
        <v>652.61350000000004</v>
      </c>
      <c r="S468" s="21" t="s">
        <v>312</v>
      </c>
      <c r="T468" s="21"/>
    </row>
    <row r="469" spans="1:20" ht="16.5" hidden="1" x14ac:dyDescent="0.3">
      <c r="A469" s="9" t="s">
        <v>327</v>
      </c>
      <c r="B469" s="75">
        <v>46133</v>
      </c>
      <c r="C469" s="9" t="s">
        <v>180</v>
      </c>
      <c r="D469" s="9" t="str">
        <f>IFERROR(VLOOKUP(PagosV2[[#This Row],[Codigo del producto]],Entradas[],3,FALSE),"No existe")</f>
        <v>KZ Castor Pro</v>
      </c>
      <c r="E469" s="9">
        <v>1</v>
      </c>
      <c r="F469" s="11">
        <v>950</v>
      </c>
      <c r="G469" s="11">
        <f>IFERROR(PagosV2[[#This Row],[Cantidad vendida]]*PagosV2[[#This Row],[Precio de venta]],"-")</f>
        <v>950</v>
      </c>
      <c r="H469" s="11">
        <f>IFERROR(PagosV2[[#This Row],[Precio de venta]]-VLOOKUP(PagosV2[[#This Row],[Codigo del producto]],Stock[],13,FALSE),"-")</f>
        <v>304.38799999999981</v>
      </c>
      <c r="I469" s="11">
        <f>IFERROR(PagosV2[[#This Row],[Ganancia (UB)]]*$B$357,0)</f>
        <v>9.1316399999999938</v>
      </c>
      <c r="J469" s="11">
        <f>IFERROR(PagosV2[[#This Row],[Ganancia (UB)]]*$B$358,0)</f>
        <v>18.263279999999988</v>
      </c>
      <c r="K469" s="11">
        <f>IFERROR(PagosV2[[#This Row],[Ganancia (UB)]]*$B$359,0)</f>
        <v>9.1316399999999938</v>
      </c>
      <c r="L469" s="11">
        <f>IFERROR(PagosV2[[#This Row],[Ganancia (UB)]]*$B$360,0)</f>
        <v>9.1316399999999938</v>
      </c>
      <c r="M469" s="11">
        <f>IFERROR(PagosV2[[#This Row],[Ganancia (UB)]]-PagosV2[[#This Row],[PM]]-PagosV2[[#This Row],[GC]]-PagosV2[[#This Row],[PC]]-PagosV2[[#This Row],[U]],0)</f>
        <v>258.72979999999978</v>
      </c>
      <c r="N469" s="11">
        <f t="shared" si="8"/>
        <v>116.4284099999999</v>
      </c>
      <c r="O469" s="11">
        <f>IFERROR(PagosV2[[#This Row],[Ganancia (UV)]]*PagosV2[[#This Row],[Cantidad vendida]],0)</f>
        <v>116.4284099999999</v>
      </c>
      <c r="P469" s="1">
        <f>IFERROR(PagosV2[[#This Row],[Ganancia (N)]]-PagosV2[[#This Row],[Ganancia (UV)]],0)</f>
        <v>142.30138999999988</v>
      </c>
      <c r="Q469" s="1">
        <f>IFERROR(PagosV2[[#This Row],[Ganancia individual (Tienda)]]*PagosV2[[#This Row],[Cantidad vendida]],0)</f>
        <v>142.30138999999988</v>
      </c>
      <c r="R469" s="1">
        <f>IFERROR((PagosV2[[#This Row],[Precio de venta]]-PagosV2[[#This Row],[Ganancia (UB)]])*PagosV2[[#This Row],[Cantidad vendida]],0)</f>
        <v>645.61200000000019</v>
      </c>
      <c r="S469" s="21" t="s">
        <v>312</v>
      </c>
      <c r="T469" s="21"/>
    </row>
    <row r="470" spans="1:20" ht="16.5" hidden="1" x14ac:dyDescent="0.3">
      <c r="A470" s="9" t="s">
        <v>327</v>
      </c>
      <c r="B470" s="75">
        <v>46133</v>
      </c>
      <c r="C470" s="9" t="s">
        <v>157</v>
      </c>
      <c r="D470" s="9" t="str">
        <f>IFERROR(VLOOKUP(PagosV2[[#This Row],[Codigo del producto]],Entradas[],3,FALSE),"No existe")</f>
        <v>KZ AZ09</v>
      </c>
      <c r="E470" s="9">
        <v>1</v>
      </c>
      <c r="F470" s="11">
        <v>950</v>
      </c>
      <c r="G470" s="11">
        <f>IFERROR(PagosV2[[#This Row],[Cantidad vendida]]*PagosV2[[#This Row],[Precio de venta]],"-")</f>
        <v>950</v>
      </c>
      <c r="H470" s="11">
        <f>IFERROR(PagosV2[[#This Row],[Precio de venta]]-VLOOKUP(PagosV2[[#This Row],[Codigo del producto]],Stock[],13,FALSE),"-")</f>
        <v>297.38649999999996</v>
      </c>
      <c r="I470" s="11">
        <f>IFERROR(PagosV2[[#This Row],[Ganancia (UB)]]*$B$357,0)</f>
        <v>8.9215949999999982</v>
      </c>
      <c r="J470" s="11">
        <f>IFERROR(PagosV2[[#This Row],[Ganancia (UB)]]*$B$358,0)</f>
        <v>17.843189999999996</v>
      </c>
      <c r="K470" s="11">
        <f>IFERROR(PagosV2[[#This Row],[Ganancia (UB)]]*$B$359,0)</f>
        <v>8.9215949999999982</v>
      </c>
      <c r="L470" s="11">
        <f>IFERROR(PagosV2[[#This Row],[Ganancia (UB)]]*$B$360,0)</f>
        <v>8.9215949999999982</v>
      </c>
      <c r="M470" s="11">
        <f>IFERROR(PagosV2[[#This Row],[Ganancia (UB)]]-PagosV2[[#This Row],[PM]]-PagosV2[[#This Row],[GC]]-PagosV2[[#This Row],[PC]]-PagosV2[[#This Row],[U]],0)</f>
        <v>252.77852499999992</v>
      </c>
      <c r="N470" s="11">
        <f t="shared" si="8"/>
        <v>113.75033624999996</v>
      </c>
      <c r="O470" s="11">
        <f>IFERROR(PagosV2[[#This Row],[Ganancia (UV)]]*PagosV2[[#This Row],[Cantidad vendida]],0)</f>
        <v>113.75033624999996</v>
      </c>
      <c r="P470" s="1">
        <f>IFERROR(PagosV2[[#This Row],[Ganancia (N)]]-PagosV2[[#This Row],[Ganancia (UV)]],0)</f>
        <v>139.02818874999997</v>
      </c>
      <c r="Q470" s="1">
        <f>IFERROR(PagosV2[[#This Row],[Ganancia individual (Tienda)]]*PagosV2[[#This Row],[Cantidad vendida]],0)</f>
        <v>139.02818874999997</v>
      </c>
      <c r="R470" s="1">
        <f>IFERROR((PagosV2[[#This Row],[Precio de venta]]-PagosV2[[#This Row],[Ganancia (UB)]])*PagosV2[[#This Row],[Cantidad vendida]],0)</f>
        <v>652.61350000000004</v>
      </c>
      <c r="S470" s="21" t="s">
        <v>312</v>
      </c>
      <c r="T470" s="21"/>
    </row>
    <row r="471" spans="1:20" ht="16.5" hidden="1" x14ac:dyDescent="0.3">
      <c r="A471" s="9" t="s">
        <v>327</v>
      </c>
      <c r="B471" s="75">
        <v>46133</v>
      </c>
      <c r="C471" s="9" t="s">
        <v>150</v>
      </c>
      <c r="D471" s="9" t="str">
        <f>IFERROR(VLOOKUP(PagosV2[[#This Row],[Codigo del producto]],Entradas[],3,FALSE),"No existe")</f>
        <v>KZ EDX Pro X</v>
      </c>
      <c r="E471" s="9">
        <v>1</v>
      </c>
      <c r="F471" s="11">
        <v>400</v>
      </c>
      <c r="G471" s="11">
        <f>IFERROR(PagosV2[[#This Row],[Cantidad vendida]]*PagosV2[[#This Row],[Precio de venta]],"-")</f>
        <v>400</v>
      </c>
      <c r="H471" s="11">
        <f>IFERROR(PagosV2[[#This Row],[Precio de venta]]-VLOOKUP(PagosV2[[#This Row],[Codigo del producto]],Stock[],13,FALSE),"-")</f>
        <v>181.11099999999999</v>
      </c>
      <c r="I471" s="11">
        <f>IFERROR(PagosV2[[#This Row],[Ganancia (UB)]]*$B$357,0)</f>
        <v>5.4333299999999998</v>
      </c>
      <c r="J471" s="11">
        <f>IFERROR(PagosV2[[#This Row],[Ganancia (UB)]]*$B$358,0)</f>
        <v>10.86666</v>
      </c>
      <c r="K471" s="11">
        <f>IFERROR(PagosV2[[#This Row],[Ganancia (UB)]]*$B$359,0)</f>
        <v>5.4333299999999998</v>
      </c>
      <c r="L471" s="11">
        <f>IFERROR(PagosV2[[#This Row],[Ganancia (UB)]]*$B$360,0)</f>
        <v>5.4333299999999998</v>
      </c>
      <c r="M471" s="11">
        <f>IFERROR(PagosV2[[#This Row],[Ganancia (UB)]]-PagosV2[[#This Row],[PM]]-PagosV2[[#This Row],[GC]]-PagosV2[[#This Row],[PC]]-PagosV2[[#This Row],[U]],0)</f>
        <v>153.94434999999996</v>
      </c>
      <c r="N471" s="11">
        <f t="shared" si="8"/>
        <v>69.274957499999985</v>
      </c>
      <c r="O471" s="11">
        <f>IFERROR(PagosV2[[#This Row],[Ganancia (UV)]]*PagosV2[[#This Row],[Cantidad vendida]],0)</f>
        <v>69.274957499999985</v>
      </c>
      <c r="P471" s="1">
        <f>IFERROR(PagosV2[[#This Row],[Ganancia (N)]]-PagosV2[[#This Row],[Ganancia (UV)]],0)</f>
        <v>84.669392499999972</v>
      </c>
      <c r="Q471" s="1">
        <f>IFERROR(PagosV2[[#This Row],[Ganancia individual (Tienda)]]*PagosV2[[#This Row],[Cantidad vendida]],0)</f>
        <v>84.669392499999972</v>
      </c>
      <c r="R471" s="1">
        <f>IFERROR((PagosV2[[#This Row],[Precio de venta]]-PagosV2[[#This Row],[Ganancia (UB)]])*PagosV2[[#This Row],[Cantidad vendida]],0)</f>
        <v>218.88900000000001</v>
      </c>
      <c r="S471" s="21" t="s">
        <v>312</v>
      </c>
      <c r="T471" s="21"/>
    </row>
    <row r="472" spans="1:20" ht="16.5" hidden="1" x14ac:dyDescent="0.3">
      <c r="A472" s="9" t="s">
        <v>327</v>
      </c>
      <c r="B472" s="75">
        <v>46133</v>
      </c>
      <c r="C472" s="9" t="s">
        <v>168</v>
      </c>
      <c r="D472" s="9" t="str">
        <f>IFERROR(VLOOKUP(PagosV2[[#This Row],[Codigo del producto]],Entradas[],3,FALSE),"No existe")</f>
        <v>Cable de Repuesto KZ Tipo C</v>
      </c>
      <c r="E472" s="9">
        <v>1</v>
      </c>
      <c r="F472" s="11">
        <v>400</v>
      </c>
      <c r="G472" s="11">
        <f>IFERROR(PagosV2[[#This Row],[Cantidad vendida]]*PagosV2[[#This Row],[Precio de venta]],"-")</f>
        <v>400</v>
      </c>
      <c r="H472" s="11">
        <f>IFERROR(PagosV2[[#This Row],[Precio de venta]]-VLOOKUP(PagosV2[[#This Row],[Codigo del producto]],Stock[],13,FALSE),"-")</f>
        <v>125.09899999999993</v>
      </c>
      <c r="I472" s="11">
        <f>IFERROR(PagosV2[[#This Row],[Ganancia (UB)]]*$B$357,0)</f>
        <v>3.7529699999999977</v>
      </c>
      <c r="J472" s="11">
        <f>IFERROR(PagosV2[[#This Row],[Ganancia (UB)]]*$B$358,0)</f>
        <v>7.5059399999999954</v>
      </c>
      <c r="K472" s="11">
        <f>IFERROR(PagosV2[[#This Row],[Ganancia (UB)]]*$B$359,0)</f>
        <v>3.7529699999999977</v>
      </c>
      <c r="L472" s="11">
        <f>IFERROR(PagosV2[[#This Row],[Ganancia (UB)]]*$B$360,0)</f>
        <v>3.7529699999999977</v>
      </c>
      <c r="M472" s="11">
        <f>IFERROR(PagosV2[[#This Row],[Ganancia (UB)]]-PagosV2[[#This Row],[PM]]-PagosV2[[#This Row],[GC]]-PagosV2[[#This Row],[PC]]-PagosV2[[#This Row],[U]],0)</f>
        <v>106.33414999999994</v>
      </c>
      <c r="N472" s="11">
        <f t="shared" si="8"/>
        <v>47.850367499999976</v>
      </c>
      <c r="O472" s="11">
        <f>IFERROR(PagosV2[[#This Row],[Ganancia (UV)]]*PagosV2[[#This Row],[Cantidad vendida]],0)</f>
        <v>47.850367499999976</v>
      </c>
      <c r="P472" s="1">
        <f>IFERROR(PagosV2[[#This Row],[Ganancia (N)]]-PagosV2[[#This Row],[Ganancia (UV)]],0)</f>
        <v>58.483782499999961</v>
      </c>
      <c r="Q472" s="1">
        <f>IFERROR(PagosV2[[#This Row],[Ganancia individual (Tienda)]]*PagosV2[[#This Row],[Cantidad vendida]],0)</f>
        <v>58.483782499999961</v>
      </c>
      <c r="R472" s="1">
        <f>IFERROR((PagosV2[[#This Row],[Precio de venta]]-PagosV2[[#This Row],[Ganancia (UB)]])*PagosV2[[#This Row],[Cantidad vendida]],0)</f>
        <v>274.90100000000007</v>
      </c>
      <c r="S472" s="21" t="s">
        <v>312</v>
      </c>
      <c r="T472" s="21"/>
    </row>
    <row r="473" spans="1:20" ht="16.5" hidden="1" x14ac:dyDescent="0.3">
      <c r="A473" s="9" t="s">
        <v>315</v>
      </c>
      <c r="B473" s="75">
        <v>46133</v>
      </c>
      <c r="C473" s="9" t="s">
        <v>167</v>
      </c>
      <c r="D473" s="9" t="str">
        <f>IFERROR(VLOOKUP(PagosV2[[#This Row],[Codigo del producto]],Entradas[],3,FALSE),"No existe")</f>
        <v>KZ Castor Improved Bass</v>
      </c>
      <c r="E473" s="9">
        <v>1</v>
      </c>
      <c r="F473" s="11">
        <v>700</v>
      </c>
      <c r="G473" s="11">
        <f>IFERROR(PagosV2[[#This Row],[Cantidad vendida]]*PagosV2[[#This Row],[Precio de venta]],"-")</f>
        <v>700</v>
      </c>
      <c r="H473" s="11">
        <f>IFERROR(PagosV2[[#This Row],[Precio de venta]]-VLOOKUP(PagosV2[[#This Row],[Codigo del producto]],Stock[],13,FALSE),"-")</f>
        <v>266.27550000000002</v>
      </c>
      <c r="I473" s="11">
        <f>IFERROR(PagosV2[[#This Row],[Ganancia (UB)]]*$B$357,0)</f>
        <v>7.9882650000000002</v>
      </c>
      <c r="J473" s="11">
        <f>IFERROR(PagosV2[[#This Row],[Ganancia (UB)]]*$B$358,0)</f>
        <v>15.97653</v>
      </c>
      <c r="K473" s="11">
        <f>IFERROR(PagosV2[[#This Row],[Ganancia (UB)]]*$B$359,0)</f>
        <v>7.9882650000000002</v>
      </c>
      <c r="L473" s="11">
        <f>IFERROR(PagosV2[[#This Row],[Ganancia (UB)]]*$B$360,0)</f>
        <v>7.9882650000000002</v>
      </c>
      <c r="M473" s="11">
        <f>IFERROR(PagosV2[[#This Row],[Ganancia (UB)]]-PagosV2[[#This Row],[PM]]-PagosV2[[#This Row],[GC]]-PagosV2[[#This Row],[PC]]-PagosV2[[#This Row],[U]],0)</f>
        <v>226.33417499999999</v>
      </c>
      <c r="N473" s="11">
        <f t="shared" si="8"/>
        <v>101.85037874999999</v>
      </c>
      <c r="O473" s="11">
        <f>IFERROR(PagosV2[[#This Row],[Ganancia (UV)]]*PagosV2[[#This Row],[Cantidad vendida]],0)</f>
        <v>101.85037874999999</v>
      </c>
      <c r="P473" s="1">
        <f>IFERROR(PagosV2[[#This Row],[Ganancia (N)]]-PagosV2[[#This Row],[Ganancia (UV)]],0)</f>
        <v>124.48379625</v>
      </c>
      <c r="Q473" s="1">
        <f>IFERROR(PagosV2[[#This Row],[Ganancia individual (Tienda)]]*PagosV2[[#This Row],[Cantidad vendida]],0)</f>
        <v>124.48379625</v>
      </c>
      <c r="R473" s="1">
        <f>IFERROR((PagosV2[[#This Row],[Precio de venta]]-PagosV2[[#This Row],[Ganancia (UB)]])*PagosV2[[#This Row],[Cantidad vendida]],0)</f>
        <v>433.72449999999998</v>
      </c>
      <c r="S473" s="21" t="s">
        <v>312</v>
      </c>
      <c r="T473" s="21"/>
    </row>
    <row r="474" spans="1:20" s="88" customFormat="1" ht="16.5" hidden="1" x14ac:dyDescent="0.3">
      <c r="A474" s="83" t="s">
        <v>315</v>
      </c>
      <c r="B474" s="84">
        <v>46138</v>
      </c>
      <c r="C474" s="83" t="s">
        <v>152</v>
      </c>
      <c r="D474" s="83" t="str">
        <f>IFERROR(VLOOKUP(PagosV2[[#This Row],[Codigo del producto]],Entradas[],3,FALSE),"No existe")</f>
        <v>Kit Estuche para Nintendo Switch</v>
      </c>
      <c r="E474" s="83">
        <v>1</v>
      </c>
      <c r="F474" s="85">
        <v>700</v>
      </c>
      <c r="G474" s="85">
        <f>IFERROR(PagosV2[[#This Row],[Cantidad vendida]]*PagosV2[[#This Row],[Precio de venta]],"-")</f>
        <v>700</v>
      </c>
      <c r="H474" s="85">
        <f>IFERROR(PagosV2[[#This Row],[Precio de venta]]-VLOOKUP(PagosV2[[#This Row],[Codigo del producto]],Stock[],13,FALSE),"-")</f>
        <v>268.11799999999994</v>
      </c>
      <c r="I474" s="85">
        <f>IFERROR(PagosV2[[#This Row],[Ganancia (UB)]]*$B$357,0)</f>
        <v>8.0435399999999984</v>
      </c>
      <c r="J474" s="85">
        <f>IFERROR(PagosV2[[#This Row],[Ganancia (UB)]]*$B$358,0)</f>
        <v>16.087079999999997</v>
      </c>
      <c r="K474" s="85">
        <f>IFERROR(PagosV2[[#This Row],[Ganancia (UB)]]*$B$359,0)</f>
        <v>8.0435399999999984</v>
      </c>
      <c r="L474" s="85">
        <f>IFERROR(PagosV2[[#This Row],[Ganancia (UB)]]*$B$360,0)</f>
        <v>8.0435399999999984</v>
      </c>
      <c r="M474" s="85">
        <f>IFERROR(PagosV2[[#This Row],[Ganancia (UB)]]-PagosV2[[#This Row],[PM]]-PagosV2[[#This Row],[GC]]-PagosV2[[#This Row],[PC]]-PagosV2[[#This Row],[U]],0)</f>
        <v>227.90029999999993</v>
      </c>
      <c r="N474" s="85">
        <f t="shared" si="8"/>
        <v>102.55513499999996</v>
      </c>
      <c r="O474" s="85">
        <f>IFERROR(PagosV2[[#This Row],[Ganancia (UV)]]*PagosV2[[#This Row],[Cantidad vendida]],0)</f>
        <v>102.55513499999996</v>
      </c>
      <c r="P474" s="86">
        <f>IFERROR(PagosV2[[#This Row],[Ganancia (N)]]-PagosV2[[#This Row],[Ganancia (UV)]],0)</f>
        <v>125.34516499999997</v>
      </c>
      <c r="Q474" s="86">
        <f>IFERROR(PagosV2[[#This Row],[Ganancia individual (Tienda)]]*PagosV2[[#This Row],[Cantidad vendida]],0)</f>
        <v>125.34516499999997</v>
      </c>
      <c r="R474" s="86">
        <f>IFERROR((PagosV2[[#This Row],[Precio de venta]]-PagosV2[[#This Row],[Ganancia (UB)]])*PagosV2[[#This Row],[Cantidad vendida]],0)</f>
        <v>431.88200000000006</v>
      </c>
      <c r="S474" s="21" t="s">
        <v>312</v>
      </c>
      <c r="T474" s="87" t="s">
        <v>390</v>
      </c>
    </row>
    <row r="475" spans="1:20" ht="16.5" hidden="1" x14ac:dyDescent="0.3">
      <c r="A475" s="9" t="s">
        <v>313</v>
      </c>
      <c r="B475" s="75">
        <v>46138</v>
      </c>
      <c r="C475" s="9" t="s">
        <v>103</v>
      </c>
      <c r="D475" s="9" t="str">
        <f>IFERROR(VLOOKUP(PagosV2[[#This Row],[Codigo del producto]],Entradas[],3,FALSE),"No existe")</f>
        <v>NYXI Pro controller (Black)</v>
      </c>
      <c r="E475" s="9">
        <v>1</v>
      </c>
      <c r="F475" s="11">
        <v>2100</v>
      </c>
      <c r="G475" s="11">
        <f>IFERROR(PagosV2[[#This Row],[Cantidad vendida]]*PagosV2[[#This Row],[Precio de venta]],"-")</f>
        <v>2100</v>
      </c>
      <c r="H475" s="11">
        <f>IFERROR(PagosV2[[#This Row],[Precio de venta]]-VLOOKUP(PagosV2[[#This Row],[Codigo del producto]],Stock[],13,FALSE),"-")</f>
        <v>653.63750000000005</v>
      </c>
      <c r="I475" s="11">
        <f>IFERROR(PagosV2[[#This Row],[Ganancia (UB)]]*$B$357,0)</f>
        <v>19.609125000000002</v>
      </c>
      <c r="J475" s="11">
        <f>IFERROR(PagosV2[[#This Row],[Ganancia (UB)]]*$B$358,0)</f>
        <v>39.218250000000005</v>
      </c>
      <c r="K475" s="11">
        <f>IFERROR(PagosV2[[#This Row],[Ganancia (UB)]]*$B$359,0)</f>
        <v>19.609125000000002</v>
      </c>
      <c r="L475" s="11">
        <f>IFERROR(PagosV2[[#This Row],[Ganancia (UB)]]*$B$360,0)</f>
        <v>19.609125000000002</v>
      </c>
      <c r="M475" s="11">
        <f>IFERROR(PagosV2[[#This Row],[Ganancia (UB)]]-PagosV2[[#This Row],[PM]]-PagosV2[[#This Row],[GC]]-PagosV2[[#This Row],[PC]]-PagosV2[[#This Row],[U]],0)</f>
        <v>555.59187500000019</v>
      </c>
      <c r="N475" s="11">
        <f t="shared" si="8"/>
        <v>222.23675000000009</v>
      </c>
      <c r="O475" s="11">
        <f>IFERROR(PagosV2[[#This Row],[Ganancia (UV)]]*PagosV2[[#This Row],[Cantidad vendida]],0)</f>
        <v>222.23675000000009</v>
      </c>
      <c r="P475" s="1">
        <f>IFERROR(PagosV2[[#This Row],[Ganancia (N)]]-PagosV2[[#This Row],[Ganancia (UV)]],0)</f>
        <v>333.3551250000001</v>
      </c>
      <c r="Q475" s="1">
        <f>IFERROR(PagosV2[[#This Row],[Ganancia individual (Tienda)]]*PagosV2[[#This Row],[Cantidad vendida]],0)</f>
        <v>333.3551250000001</v>
      </c>
      <c r="R475" s="1">
        <f>IFERROR((PagosV2[[#This Row],[Precio de venta]]-PagosV2[[#This Row],[Ganancia (UB)]])*PagosV2[[#This Row],[Cantidad vendida]],0)</f>
        <v>1446.3625</v>
      </c>
      <c r="S475" s="21" t="s">
        <v>312</v>
      </c>
      <c r="T475" s="21"/>
    </row>
    <row r="476" spans="1:20" ht="16.5" hidden="1" x14ac:dyDescent="0.3">
      <c r="A476" s="9" t="s">
        <v>313</v>
      </c>
      <c r="B476" s="75">
        <v>46138</v>
      </c>
      <c r="C476" s="9" t="s">
        <v>152</v>
      </c>
      <c r="D476" s="9" t="str">
        <f>IFERROR(VLOOKUP(PagosV2[[#This Row],[Codigo del producto]],Entradas[],3,FALSE),"No existe")</f>
        <v>Kit Estuche para Nintendo Switch</v>
      </c>
      <c r="E476" s="9">
        <v>1</v>
      </c>
      <c r="F476" s="11">
        <v>750</v>
      </c>
      <c r="G476" s="11">
        <f>IFERROR(PagosV2[[#This Row],[Cantidad vendida]]*PagosV2[[#This Row],[Precio de venta]],"-")</f>
        <v>750</v>
      </c>
      <c r="H476" s="11">
        <f>IFERROR(PagosV2[[#This Row],[Precio de venta]]-VLOOKUP(PagosV2[[#This Row],[Codigo del producto]],Stock[],13,FALSE),"-")</f>
        <v>318.11799999999994</v>
      </c>
      <c r="I476" s="11">
        <f>IFERROR(PagosV2[[#This Row],[Ganancia (UB)]]*$B$357,0)</f>
        <v>9.5435399999999984</v>
      </c>
      <c r="J476" s="11">
        <f>IFERROR(PagosV2[[#This Row],[Ganancia (UB)]]*$B$358,0)</f>
        <v>19.087079999999997</v>
      </c>
      <c r="K476" s="11">
        <f>IFERROR(PagosV2[[#This Row],[Ganancia (UB)]]*$B$359,0)</f>
        <v>9.5435399999999984</v>
      </c>
      <c r="L476" s="11">
        <f>IFERROR(PagosV2[[#This Row],[Ganancia (UB)]]*$B$360,0)</f>
        <v>9.5435399999999984</v>
      </c>
      <c r="M476" s="11">
        <f>IFERROR(PagosV2[[#This Row],[Ganancia (UB)]]-PagosV2[[#This Row],[PM]]-PagosV2[[#This Row],[GC]]-PagosV2[[#This Row],[PC]]-PagosV2[[#This Row],[U]],0)</f>
        <v>270.4002999999999</v>
      </c>
      <c r="N476" s="11">
        <f>IFERROR(
  IF(M476&lt;=0,"-",
    IF(M476&lt;=300, M476*0.45,
      IF(M476&lt;=600, M476*0.4,
        IF(M476&lt;=900, M476*0.38,
          IF(M476&lt;=1000, M476*0.35,
            IF(M476&lt;=1400, M476*0.32,
              IF(M476&lt;=1800, HM476*0.3,
                IF(M476&gt;=2000, M476*0.28,
                  "-"
                )
              )
            )
          )
        )
      )
    )
  ),
  "-"
)</f>
        <v>121.68013499999996</v>
      </c>
      <c r="O476" s="11">
        <f>IFERROR(PagosV2[[#This Row],[Ganancia (UV)]]*PagosV2[[#This Row],[Cantidad vendida]],0)</f>
        <v>121.68013499999996</v>
      </c>
      <c r="P476" s="1">
        <f>IFERROR(PagosV2[[#This Row],[Ganancia (N)]]-PagosV2[[#This Row],[Ganancia (UV)]],0)</f>
        <v>148.72016499999995</v>
      </c>
      <c r="Q476" s="1">
        <f>IFERROR(PagosV2[[#This Row],[Ganancia individual (Tienda)]]*PagosV2[[#This Row],[Cantidad vendida]],0)</f>
        <v>148.72016499999995</v>
      </c>
      <c r="R476" s="1">
        <f>IFERROR((PagosV2[[#This Row],[Precio de venta]]-PagosV2[[#This Row],[Ganancia (UB)]])*PagosV2[[#This Row],[Cantidad vendida]],0)</f>
        <v>431.88200000000006</v>
      </c>
      <c r="S476" s="21" t="s">
        <v>312</v>
      </c>
      <c r="T476" s="21"/>
    </row>
    <row r="477" spans="1:20" ht="16.5" hidden="1" x14ac:dyDescent="0.3">
      <c r="A477" s="9" t="s">
        <v>327</v>
      </c>
      <c r="B477" s="75">
        <v>46138</v>
      </c>
      <c r="C477" s="9" t="s">
        <v>106</v>
      </c>
      <c r="D477" s="9" t="str">
        <f>IFERROR(VLOOKUP(PagosV2[[#This Row],[Codigo del producto]],Entradas[],3,FALSE),"No existe")</f>
        <v>Shark Attack Mouse X11 white</v>
      </c>
      <c r="E477" s="9">
        <v>1</v>
      </c>
      <c r="F477" s="11">
        <v>1300</v>
      </c>
      <c r="G477" s="11">
        <f>IFERROR(PagosV2[[#This Row],[Cantidad vendida]]*PagosV2[[#This Row],[Precio de venta]],"-")</f>
        <v>1300</v>
      </c>
      <c r="H477" s="11">
        <f>IFERROR(PagosV2[[#This Row],[Precio de venta]]-VLOOKUP(PagosV2[[#This Row],[Codigo del producto]],Stock[],13,FALSE),"-")</f>
        <v>477.50799999999992</v>
      </c>
      <c r="I477" s="11">
        <f>IFERROR(PagosV2[[#This Row],[Ganancia (UB)]]*$B$357,0)</f>
        <v>14.325239999999997</v>
      </c>
      <c r="J477" s="11">
        <f>IFERROR(PagosV2[[#This Row],[Ganancia (UB)]]*$B$358,0)</f>
        <v>28.650479999999995</v>
      </c>
      <c r="K477" s="11">
        <f>IFERROR(PagosV2[[#This Row],[Ganancia (UB)]]*$B$359,0)</f>
        <v>14.325239999999997</v>
      </c>
      <c r="L477" s="11">
        <f>IFERROR(PagosV2[[#This Row],[Ganancia (UB)]]*$B$360,0)</f>
        <v>14.325239999999997</v>
      </c>
      <c r="M477" s="11">
        <f>IFERROR(PagosV2[[#This Row],[Ganancia (UB)]]-PagosV2[[#This Row],[PM]]-PagosV2[[#This Row],[GC]]-PagosV2[[#This Row],[PC]]-PagosV2[[#This Row],[U]],0)</f>
        <v>405.88179999999988</v>
      </c>
      <c r="N477" s="11">
        <f t="shared" si="8"/>
        <v>162.35271999999998</v>
      </c>
      <c r="O477" s="11">
        <f>IFERROR(PagosV2[[#This Row],[Ganancia (UV)]]*PagosV2[[#This Row],[Cantidad vendida]],0)</f>
        <v>162.35271999999998</v>
      </c>
      <c r="P477" s="1">
        <f>IFERROR(PagosV2[[#This Row],[Ganancia (N)]]-PagosV2[[#This Row],[Ganancia (UV)]],0)</f>
        <v>243.52907999999991</v>
      </c>
      <c r="Q477" s="1">
        <f>IFERROR(PagosV2[[#This Row],[Ganancia individual (Tienda)]]*PagosV2[[#This Row],[Cantidad vendida]],0)</f>
        <v>243.52907999999991</v>
      </c>
      <c r="R477" s="1">
        <f>IFERROR((PagosV2[[#This Row],[Precio de venta]]-PagosV2[[#This Row],[Ganancia (UB)]])*PagosV2[[#This Row],[Cantidad vendida]],0)</f>
        <v>822.49200000000008</v>
      </c>
      <c r="S477" s="21" t="s">
        <v>312</v>
      </c>
      <c r="T477" s="21"/>
    </row>
    <row r="478" spans="1:20" ht="16.5" hidden="1" x14ac:dyDescent="0.3">
      <c r="A478" s="9" t="s">
        <v>315</v>
      </c>
      <c r="B478" s="75">
        <v>46138</v>
      </c>
      <c r="C478" s="9" t="s">
        <v>167</v>
      </c>
      <c r="D478" s="9" t="str">
        <f>IFERROR(VLOOKUP(PagosV2[[#This Row],[Codigo del producto]],Entradas[],3,FALSE),"No existe")</f>
        <v>KZ Castor Improved Bass</v>
      </c>
      <c r="E478" s="9">
        <v>1</v>
      </c>
      <c r="F478" s="11">
        <v>650</v>
      </c>
      <c r="G478" s="11">
        <f>IFERROR(PagosV2[[#This Row],[Cantidad vendida]]*PagosV2[[#This Row],[Precio de venta]],"-")</f>
        <v>650</v>
      </c>
      <c r="H478" s="11">
        <f>IFERROR(PagosV2[[#This Row],[Precio de venta]]-VLOOKUP(PagosV2[[#This Row],[Codigo del producto]],Stock[],13,FALSE),"-")</f>
        <v>216.27550000000002</v>
      </c>
      <c r="I478" s="11">
        <f>IFERROR(PagosV2[[#This Row],[Ganancia (UB)]]*$B$357,0)</f>
        <v>6.4882650000000002</v>
      </c>
      <c r="J478" s="11">
        <f>IFERROR(PagosV2[[#This Row],[Ganancia (UB)]]*$B$358,0)</f>
        <v>12.97653</v>
      </c>
      <c r="K478" s="11">
        <f>IFERROR(PagosV2[[#This Row],[Ganancia (UB)]]*$B$359,0)</f>
        <v>6.4882650000000002</v>
      </c>
      <c r="L478" s="11">
        <f>IFERROR(PagosV2[[#This Row],[Ganancia (UB)]]*$B$360,0)</f>
        <v>6.4882650000000002</v>
      </c>
      <c r="M478" s="11">
        <f>IFERROR(PagosV2[[#This Row],[Ganancia (UB)]]-PagosV2[[#This Row],[PM]]-PagosV2[[#This Row],[GC]]-PagosV2[[#This Row],[PC]]-PagosV2[[#This Row],[U]],0)</f>
        <v>183.83417499999999</v>
      </c>
      <c r="N478" s="11">
        <f t="shared" si="8"/>
        <v>82.72537874999999</v>
      </c>
      <c r="O478" s="11">
        <f>IFERROR(PagosV2[[#This Row],[Ganancia (UV)]]*PagosV2[[#This Row],[Cantidad vendida]],0)</f>
        <v>82.72537874999999</v>
      </c>
      <c r="P478" s="1">
        <f>IFERROR(PagosV2[[#This Row],[Ganancia (N)]]-PagosV2[[#This Row],[Ganancia (UV)]],0)</f>
        <v>101.10879625</v>
      </c>
      <c r="Q478" s="1">
        <f>IFERROR(PagosV2[[#This Row],[Ganancia individual (Tienda)]]*PagosV2[[#This Row],[Cantidad vendida]],0)</f>
        <v>101.10879625</v>
      </c>
      <c r="R478" s="1">
        <f>IFERROR((PagosV2[[#This Row],[Precio de venta]]-PagosV2[[#This Row],[Ganancia (UB)]])*PagosV2[[#This Row],[Cantidad vendida]],0)</f>
        <v>433.72449999999998</v>
      </c>
      <c r="S478" s="21" t="s">
        <v>312</v>
      </c>
      <c r="T478" s="21"/>
    </row>
    <row r="479" spans="1:20" ht="16.5" hidden="1" x14ac:dyDescent="0.3">
      <c r="A479" s="9" t="s">
        <v>315</v>
      </c>
      <c r="B479" s="75">
        <v>46138</v>
      </c>
      <c r="C479" s="9" t="s">
        <v>168</v>
      </c>
      <c r="D479" s="9" t="str">
        <f>IFERROR(VLOOKUP(PagosV2[[#This Row],[Codigo del producto]],Entradas[],3,FALSE),"No existe")</f>
        <v>Cable de Repuesto KZ Tipo C</v>
      </c>
      <c r="E479" s="9">
        <v>1</v>
      </c>
      <c r="F479" s="11">
        <v>400</v>
      </c>
      <c r="G479" s="11">
        <f>IFERROR(PagosV2[[#This Row],[Cantidad vendida]]*PagosV2[[#This Row],[Precio de venta]],"-")</f>
        <v>400</v>
      </c>
      <c r="H479" s="11">
        <f>IFERROR(PagosV2[[#This Row],[Precio de venta]]-VLOOKUP(PagosV2[[#This Row],[Codigo del producto]],Stock[],13,FALSE),"-")</f>
        <v>125.09899999999993</v>
      </c>
      <c r="I479" s="11">
        <f>IFERROR(PagosV2[[#This Row],[Ganancia (UB)]]*$B$357,0)</f>
        <v>3.7529699999999977</v>
      </c>
      <c r="J479" s="11">
        <f>IFERROR(PagosV2[[#This Row],[Ganancia (UB)]]*$B$358,0)</f>
        <v>7.5059399999999954</v>
      </c>
      <c r="K479" s="11">
        <f>IFERROR(PagosV2[[#This Row],[Ganancia (UB)]]*$B$359,0)</f>
        <v>3.7529699999999977</v>
      </c>
      <c r="L479" s="11">
        <f>IFERROR(PagosV2[[#This Row],[Ganancia (UB)]]*$B$360,0)</f>
        <v>3.7529699999999977</v>
      </c>
      <c r="M479" s="11">
        <f>IFERROR(PagosV2[[#This Row],[Ganancia (UB)]]-PagosV2[[#This Row],[PM]]-PagosV2[[#This Row],[GC]]-PagosV2[[#This Row],[PC]]-PagosV2[[#This Row],[U]],0)</f>
        <v>106.33414999999994</v>
      </c>
      <c r="N479" s="11">
        <f t="shared" si="8"/>
        <v>47.850367499999976</v>
      </c>
      <c r="O479" s="11">
        <f>IFERROR(PagosV2[[#This Row],[Ganancia (UV)]]*PagosV2[[#This Row],[Cantidad vendida]],0)</f>
        <v>47.850367499999976</v>
      </c>
      <c r="P479" s="1">
        <f>IFERROR(PagosV2[[#This Row],[Ganancia (N)]]-PagosV2[[#This Row],[Ganancia (UV)]],0)</f>
        <v>58.483782499999961</v>
      </c>
      <c r="Q479" s="1">
        <f>IFERROR(PagosV2[[#This Row],[Ganancia individual (Tienda)]]*PagosV2[[#This Row],[Cantidad vendida]],0)</f>
        <v>58.483782499999961</v>
      </c>
      <c r="R479" s="1">
        <f>IFERROR((PagosV2[[#This Row],[Precio de venta]]-PagosV2[[#This Row],[Ganancia (UB)]])*PagosV2[[#This Row],[Cantidad vendida]],0)</f>
        <v>274.90100000000007</v>
      </c>
      <c r="S479" s="21" t="s">
        <v>312</v>
      </c>
      <c r="T479" s="21"/>
    </row>
    <row r="480" spans="1:20" ht="16.5" hidden="1" x14ac:dyDescent="0.3">
      <c r="A480" s="9" t="s">
        <v>311</v>
      </c>
      <c r="B480" s="75">
        <v>46138</v>
      </c>
      <c r="C480" s="9" t="s">
        <v>129</v>
      </c>
      <c r="D480" s="9" t="str">
        <f>IFERROR(VLOOKUP(PagosV2[[#This Row],[Codigo del producto]],Entradas[],3,FALSE),"No existe")</f>
        <v>Cargadores USB para moto</v>
      </c>
      <c r="E480" s="9">
        <v>1</v>
      </c>
      <c r="F480" s="11">
        <v>600</v>
      </c>
      <c r="G480" s="11">
        <f>IFERROR(PagosV2[[#This Row],[Cantidad vendida]]*PagosV2[[#This Row],[Precio de venta]],"-")</f>
        <v>600</v>
      </c>
      <c r="H480" s="11">
        <f>IFERROR(PagosV2[[#This Row],[Precio de venta]]-VLOOKUP(PagosV2[[#This Row],[Codigo del producto]],Stock[],13,FALSE),"-")</f>
        <v>281.2475</v>
      </c>
      <c r="I480" s="11">
        <f>IFERROR(PagosV2[[#This Row],[Ganancia (UB)]]*$B$357,0)</f>
        <v>8.4374249999999993</v>
      </c>
      <c r="J480" s="11">
        <f>IFERROR(PagosV2[[#This Row],[Ganancia (UB)]]*$B$358,0)</f>
        <v>16.874849999999999</v>
      </c>
      <c r="K480" s="11">
        <f>IFERROR(PagosV2[[#This Row],[Ganancia (UB)]]*$B$359,0)</f>
        <v>8.4374249999999993</v>
      </c>
      <c r="L480" s="11">
        <f>IFERROR(PagosV2[[#This Row],[Ganancia (UB)]]*$B$360,0)</f>
        <v>8.4374249999999993</v>
      </c>
      <c r="M480" s="11">
        <f>IFERROR(PagosV2[[#This Row],[Ganancia (UB)]]-PagosV2[[#This Row],[PM]]-PagosV2[[#This Row],[GC]]-PagosV2[[#This Row],[PC]]-PagosV2[[#This Row],[U]],0)</f>
        <v>239.06037499999999</v>
      </c>
      <c r="N480" s="11">
        <f t="shared" si="8"/>
        <v>107.57716875</v>
      </c>
      <c r="O480" s="11">
        <f>IFERROR(PagosV2[[#This Row],[Ganancia (UV)]]*PagosV2[[#This Row],[Cantidad vendida]],0)</f>
        <v>107.57716875</v>
      </c>
      <c r="P480" s="1">
        <f>IFERROR(PagosV2[[#This Row],[Ganancia (N)]]-PagosV2[[#This Row],[Ganancia (UV)]],0)</f>
        <v>131.48320624999999</v>
      </c>
      <c r="Q480" s="1">
        <f>IFERROR(PagosV2[[#This Row],[Ganancia individual (Tienda)]]*PagosV2[[#This Row],[Cantidad vendida]],0)</f>
        <v>131.48320624999999</v>
      </c>
      <c r="R480" s="1">
        <f>IFERROR((PagosV2[[#This Row],[Precio de venta]]-PagosV2[[#This Row],[Ganancia (UB)]])*PagosV2[[#This Row],[Cantidad vendida]],0)</f>
        <v>318.7525</v>
      </c>
      <c r="S480" s="21" t="s">
        <v>312</v>
      </c>
      <c r="T480" s="21"/>
    </row>
    <row r="481" spans="1:20" ht="16.5" hidden="1" x14ac:dyDescent="0.3">
      <c r="A481" s="9" t="s">
        <v>313</v>
      </c>
      <c r="B481" s="75">
        <v>46138</v>
      </c>
      <c r="C481" s="9" t="s">
        <v>129</v>
      </c>
      <c r="D481" s="9" t="str">
        <f>IFERROR(VLOOKUP(PagosV2[[#This Row],[Codigo del producto]],Entradas[],3,FALSE),"No existe")</f>
        <v>Cargadores USB para moto</v>
      </c>
      <c r="E481" s="9">
        <v>1</v>
      </c>
      <c r="F481" s="11">
        <v>600</v>
      </c>
      <c r="G481" s="11">
        <f>IFERROR(PagosV2[[#This Row],[Cantidad vendida]]*PagosV2[[#This Row],[Precio de venta]],"-")</f>
        <v>600</v>
      </c>
      <c r="H481" s="11">
        <f>IFERROR(PagosV2[[#This Row],[Precio de venta]]-VLOOKUP(PagosV2[[#This Row],[Codigo del producto]],Stock[],13,FALSE),"-")</f>
        <v>281.2475</v>
      </c>
      <c r="I481" s="11">
        <f>IFERROR(PagosV2[[#This Row],[Ganancia (UB)]]*$B$357,0)</f>
        <v>8.4374249999999993</v>
      </c>
      <c r="J481" s="11">
        <f>IFERROR(PagosV2[[#This Row],[Ganancia (UB)]]*$B$358,0)</f>
        <v>16.874849999999999</v>
      </c>
      <c r="K481" s="11">
        <f>IFERROR(PagosV2[[#This Row],[Ganancia (UB)]]*$B$359,0)</f>
        <v>8.4374249999999993</v>
      </c>
      <c r="L481" s="11">
        <f>IFERROR(PagosV2[[#This Row],[Ganancia (UB)]]*$B$360,0)</f>
        <v>8.4374249999999993</v>
      </c>
      <c r="M481" s="11">
        <f>IFERROR(PagosV2[[#This Row],[Ganancia (UB)]]-PagosV2[[#This Row],[PM]]-PagosV2[[#This Row],[GC]]-PagosV2[[#This Row],[PC]]-PagosV2[[#This Row],[U]],0)</f>
        <v>239.06037499999999</v>
      </c>
      <c r="N481" s="11">
        <f t="shared" si="8"/>
        <v>107.57716875</v>
      </c>
      <c r="O481" s="11">
        <f>IFERROR(PagosV2[[#This Row],[Ganancia (UV)]]*PagosV2[[#This Row],[Cantidad vendida]],0)</f>
        <v>107.57716875</v>
      </c>
      <c r="P481" s="1">
        <f>IFERROR(PagosV2[[#This Row],[Ganancia (N)]]-PagosV2[[#This Row],[Ganancia (UV)]],0)</f>
        <v>131.48320624999999</v>
      </c>
      <c r="Q481" s="1">
        <f>IFERROR(PagosV2[[#This Row],[Ganancia individual (Tienda)]]*PagosV2[[#This Row],[Cantidad vendida]],0)</f>
        <v>131.48320624999999</v>
      </c>
      <c r="R481" s="1">
        <f>IFERROR((PagosV2[[#This Row],[Precio de venta]]-PagosV2[[#This Row],[Ganancia (UB)]])*PagosV2[[#This Row],[Cantidad vendida]],0)</f>
        <v>318.7525</v>
      </c>
      <c r="S481" s="21" t="s">
        <v>312</v>
      </c>
      <c r="T481" s="21"/>
    </row>
    <row r="482" spans="1:20" ht="16.5" hidden="1" x14ac:dyDescent="0.3">
      <c r="A482" s="9" t="s">
        <v>327</v>
      </c>
      <c r="B482" s="75">
        <v>46138</v>
      </c>
      <c r="C482" s="9" t="s">
        <v>91</v>
      </c>
      <c r="D482" s="9" t="str">
        <f>IFERROR(VLOOKUP(PagosV2[[#This Row],[Codigo del producto]],Entradas[],3,FALSE),"No existe")</f>
        <v>NYXI Pro controller (Orange)</v>
      </c>
      <c r="E482" s="9">
        <v>1</v>
      </c>
      <c r="F482" s="11">
        <v>2000</v>
      </c>
      <c r="G482" s="11">
        <f>IFERROR(PagosV2[[#This Row],[Cantidad vendida]]*PagosV2[[#This Row],[Precio de venta]],"-")</f>
        <v>2000</v>
      </c>
      <c r="H482" s="11">
        <f>IFERROR(PagosV2[[#This Row],[Precio de venta]]-VLOOKUP(PagosV2[[#This Row],[Codigo del producto]],Stock[],13,FALSE),"-")</f>
        <v>636.54999999999995</v>
      </c>
      <c r="I482" s="11">
        <f>IFERROR(PagosV2[[#This Row],[Ganancia (UB)]]*$B$357,0)</f>
        <v>19.096499999999999</v>
      </c>
      <c r="J482" s="11">
        <f>IFERROR(PagosV2[[#This Row],[Ganancia (UB)]]*$B$358,0)</f>
        <v>38.192999999999998</v>
      </c>
      <c r="K482" s="11">
        <f>IFERROR(PagosV2[[#This Row],[Ganancia (UB)]]*$B$359,0)</f>
        <v>19.096499999999999</v>
      </c>
      <c r="L482" s="11">
        <f>IFERROR(PagosV2[[#This Row],[Ganancia (UB)]]*$B$360,0)</f>
        <v>19.096499999999999</v>
      </c>
      <c r="M482" s="11">
        <f>IFERROR(PagosV2[[#This Row],[Ganancia (UB)]]-PagosV2[[#This Row],[PM]]-PagosV2[[#This Row],[GC]]-PagosV2[[#This Row],[PC]]-PagosV2[[#This Row],[U]],0)</f>
        <v>541.0675</v>
      </c>
      <c r="N482" s="11">
        <f t="shared" si="8"/>
        <v>216.42700000000002</v>
      </c>
      <c r="O482" s="11">
        <f>IFERROR(PagosV2[[#This Row],[Ganancia (UV)]]*PagosV2[[#This Row],[Cantidad vendida]],0)</f>
        <v>216.42700000000002</v>
      </c>
      <c r="P482" s="1">
        <f>IFERROR(PagosV2[[#This Row],[Ganancia (N)]]-PagosV2[[#This Row],[Ganancia (UV)]],0)</f>
        <v>324.64049999999997</v>
      </c>
      <c r="Q482" s="1">
        <f>IFERROR(PagosV2[[#This Row],[Ganancia individual (Tienda)]]*PagosV2[[#This Row],[Cantidad vendida]],0)</f>
        <v>324.64049999999997</v>
      </c>
      <c r="R482" s="1">
        <f>IFERROR((PagosV2[[#This Row],[Precio de venta]]-PagosV2[[#This Row],[Ganancia (UB)]])*PagosV2[[#This Row],[Cantidad vendida]],0)</f>
        <v>1363.45</v>
      </c>
      <c r="S482" s="21" t="s">
        <v>312</v>
      </c>
      <c r="T482" s="21"/>
    </row>
    <row r="483" spans="1:20" ht="16.5" hidden="1" x14ac:dyDescent="0.3">
      <c r="A483" s="9" t="s">
        <v>311</v>
      </c>
      <c r="B483" s="75">
        <v>46138</v>
      </c>
      <c r="C483" s="9" t="s">
        <v>180</v>
      </c>
      <c r="D483" s="9" t="str">
        <f>IFERROR(VLOOKUP(PagosV2[[#This Row],[Codigo del producto]],Entradas[],3,FALSE),"No existe")</f>
        <v>KZ Castor Pro</v>
      </c>
      <c r="E483" s="9">
        <v>1</v>
      </c>
      <c r="F483" s="11">
        <v>1000</v>
      </c>
      <c r="G483" s="11">
        <f>IFERROR(PagosV2[[#This Row],[Cantidad vendida]]*PagosV2[[#This Row],[Precio de venta]],"-")</f>
        <v>1000</v>
      </c>
      <c r="H483" s="11">
        <f>IFERROR(PagosV2[[#This Row],[Precio de venta]]-VLOOKUP(PagosV2[[#This Row],[Codigo del producto]],Stock[],13,FALSE),"-")</f>
        <v>354.38799999999981</v>
      </c>
      <c r="I483" s="11">
        <f>IFERROR(PagosV2[[#This Row],[Ganancia (UB)]]*$B$357,0)</f>
        <v>10.631639999999994</v>
      </c>
      <c r="J483" s="11">
        <f>IFERROR(PagosV2[[#This Row],[Ganancia (UB)]]*$B$358,0)</f>
        <v>21.263279999999988</v>
      </c>
      <c r="K483" s="11">
        <f>IFERROR(PagosV2[[#This Row],[Ganancia (UB)]]*$B$359,0)</f>
        <v>10.631639999999994</v>
      </c>
      <c r="L483" s="11">
        <f>IFERROR(PagosV2[[#This Row],[Ganancia (UB)]]*$B$360,0)</f>
        <v>10.631639999999994</v>
      </c>
      <c r="M483" s="11">
        <f>IFERROR(PagosV2[[#This Row],[Ganancia (UB)]]-PagosV2[[#This Row],[PM]]-PagosV2[[#This Row],[GC]]-PagosV2[[#This Row],[PC]]-PagosV2[[#This Row],[U]],0)</f>
        <v>301.22979999999978</v>
      </c>
      <c r="N483" s="11">
        <f t="shared" si="8"/>
        <v>120.49191999999992</v>
      </c>
      <c r="O483" s="11">
        <f>IFERROR(PagosV2[[#This Row],[Ganancia (UV)]]*PagosV2[[#This Row],[Cantidad vendida]],0)</f>
        <v>120.49191999999992</v>
      </c>
      <c r="P483" s="1">
        <f>IFERROR(PagosV2[[#This Row],[Ganancia (N)]]-PagosV2[[#This Row],[Ganancia (UV)]],0)</f>
        <v>180.73787999999985</v>
      </c>
      <c r="Q483" s="1">
        <f>IFERROR(PagosV2[[#This Row],[Ganancia individual (Tienda)]]*PagosV2[[#This Row],[Cantidad vendida]],0)</f>
        <v>180.73787999999985</v>
      </c>
      <c r="R483" s="1">
        <f>IFERROR((PagosV2[[#This Row],[Precio de venta]]-PagosV2[[#This Row],[Ganancia (UB)]])*PagosV2[[#This Row],[Cantidad vendida]],0)</f>
        <v>645.61200000000019</v>
      </c>
      <c r="S483" s="21" t="s">
        <v>312</v>
      </c>
      <c r="T483" s="21"/>
    </row>
    <row r="484" spans="1:20" ht="16.5" hidden="1" x14ac:dyDescent="0.3">
      <c r="A484" s="9" t="s">
        <v>315</v>
      </c>
      <c r="B484" s="75">
        <v>46138</v>
      </c>
      <c r="C484" s="9" t="s">
        <v>129</v>
      </c>
      <c r="D484" s="9" t="str">
        <f>IFERROR(VLOOKUP(PagosV2[[#This Row],[Codigo del producto]],Entradas[],3,FALSE),"No existe")</f>
        <v>Cargadores USB para moto</v>
      </c>
      <c r="E484" s="9">
        <v>1</v>
      </c>
      <c r="F484" s="11">
        <v>600</v>
      </c>
      <c r="G484" s="11">
        <f>IFERROR(PagosV2[[#This Row],[Cantidad vendida]]*PagosV2[[#This Row],[Precio de venta]],"-")</f>
        <v>600</v>
      </c>
      <c r="H484" s="11">
        <f>IFERROR(PagosV2[[#This Row],[Precio de venta]]-VLOOKUP(PagosV2[[#This Row],[Codigo del producto]],Stock[],13,FALSE),"-")</f>
        <v>281.2475</v>
      </c>
      <c r="I484" s="11">
        <f>IFERROR(PagosV2[[#This Row],[Ganancia (UB)]]*$B$357,0)</f>
        <v>8.4374249999999993</v>
      </c>
      <c r="J484" s="11">
        <f>IFERROR(PagosV2[[#This Row],[Ganancia (UB)]]*$B$358,0)</f>
        <v>16.874849999999999</v>
      </c>
      <c r="K484" s="11">
        <f>IFERROR(PagosV2[[#This Row],[Ganancia (UB)]]*$B$359,0)</f>
        <v>8.4374249999999993</v>
      </c>
      <c r="L484" s="11">
        <f>IFERROR(PagosV2[[#This Row],[Ganancia (UB)]]*$B$360,0)</f>
        <v>8.4374249999999993</v>
      </c>
      <c r="M484" s="11">
        <f>IFERROR(PagosV2[[#This Row],[Ganancia (UB)]]-PagosV2[[#This Row],[PM]]-PagosV2[[#This Row],[GC]]-PagosV2[[#This Row],[PC]]-PagosV2[[#This Row],[U]],0)</f>
        <v>239.06037499999999</v>
      </c>
      <c r="N484" s="11">
        <f t="shared" si="8"/>
        <v>107.57716875</v>
      </c>
      <c r="O484" s="11">
        <f>IFERROR(PagosV2[[#This Row],[Ganancia (UV)]]*PagosV2[[#This Row],[Cantidad vendida]],0)</f>
        <v>107.57716875</v>
      </c>
      <c r="P484" s="1">
        <f>IFERROR(PagosV2[[#This Row],[Ganancia (N)]]-PagosV2[[#This Row],[Ganancia (UV)]],0)</f>
        <v>131.48320624999999</v>
      </c>
      <c r="Q484" s="1">
        <f>IFERROR(PagosV2[[#This Row],[Ganancia individual (Tienda)]]*PagosV2[[#This Row],[Cantidad vendida]],0)</f>
        <v>131.48320624999999</v>
      </c>
      <c r="R484" s="1">
        <f>IFERROR((PagosV2[[#This Row],[Precio de venta]]-PagosV2[[#This Row],[Ganancia (UB)]])*PagosV2[[#This Row],[Cantidad vendida]],0)</f>
        <v>318.7525</v>
      </c>
      <c r="S484" s="21" t="s">
        <v>312</v>
      </c>
      <c r="T484" s="21"/>
    </row>
    <row r="485" spans="1:20" ht="16.5" hidden="1" x14ac:dyDescent="0.3">
      <c r="A485" s="9" t="s">
        <v>315</v>
      </c>
      <c r="B485" s="75">
        <v>46138</v>
      </c>
      <c r="C485" s="9" t="s">
        <v>152</v>
      </c>
      <c r="D485" s="9" t="str">
        <f>IFERROR(VLOOKUP(PagosV2[[#This Row],[Codigo del producto]],Entradas[],3,FALSE),"No existe")</f>
        <v>Kit Estuche para Nintendo Switch</v>
      </c>
      <c r="E485" s="9">
        <v>1</v>
      </c>
      <c r="F485" s="11">
        <v>750</v>
      </c>
      <c r="G485" s="11">
        <f>IFERROR(PagosV2[[#This Row],[Cantidad vendida]]*PagosV2[[#This Row],[Precio de venta]],"-")</f>
        <v>750</v>
      </c>
      <c r="H485" s="11">
        <f>IFERROR(PagosV2[[#This Row],[Precio de venta]]-VLOOKUP(PagosV2[[#This Row],[Codigo del producto]],Stock[],13,FALSE),"-")</f>
        <v>318.11799999999994</v>
      </c>
      <c r="I485" s="11">
        <f>IFERROR(PagosV2[[#This Row],[Ganancia (UB)]]*$B$357,0)</f>
        <v>9.5435399999999984</v>
      </c>
      <c r="J485" s="11">
        <f>IFERROR(PagosV2[[#This Row],[Ganancia (UB)]]*$B$358,0)</f>
        <v>19.087079999999997</v>
      </c>
      <c r="K485" s="11">
        <f>IFERROR(PagosV2[[#This Row],[Ganancia (UB)]]*$B$359,0)</f>
        <v>9.5435399999999984</v>
      </c>
      <c r="L485" s="11">
        <f>IFERROR(PagosV2[[#This Row],[Ganancia (UB)]]*$B$360,0)</f>
        <v>9.5435399999999984</v>
      </c>
      <c r="M485" s="11">
        <f>IFERROR(PagosV2[[#This Row],[Ganancia (UB)]]-PagosV2[[#This Row],[PM]]-PagosV2[[#This Row],[GC]]-PagosV2[[#This Row],[PC]]-PagosV2[[#This Row],[U]],0)</f>
        <v>270.4002999999999</v>
      </c>
      <c r="N485" s="11">
        <f t="shared" si="8"/>
        <v>121.68013499999996</v>
      </c>
      <c r="O485" s="11">
        <f>IFERROR(PagosV2[[#This Row],[Ganancia (UV)]]*PagosV2[[#This Row],[Cantidad vendida]],0)</f>
        <v>121.68013499999996</v>
      </c>
      <c r="P485" s="1">
        <f>IFERROR(PagosV2[[#This Row],[Ganancia (N)]]-PagosV2[[#This Row],[Ganancia (UV)]],0)</f>
        <v>148.72016499999995</v>
      </c>
      <c r="Q485" s="1">
        <f>IFERROR(PagosV2[[#This Row],[Ganancia individual (Tienda)]]*PagosV2[[#This Row],[Cantidad vendida]],0)</f>
        <v>148.72016499999995</v>
      </c>
      <c r="R485" s="1">
        <f>IFERROR((PagosV2[[#This Row],[Precio de venta]]-PagosV2[[#This Row],[Ganancia (UB)]])*PagosV2[[#This Row],[Cantidad vendida]],0)</f>
        <v>431.88200000000006</v>
      </c>
      <c r="S485" s="21" t="s">
        <v>312</v>
      </c>
      <c r="T485" s="21"/>
    </row>
    <row r="486" spans="1:20" ht="16.5" hidden="1" x14ac:dyDescent="0.3">
      <c r="A486" s="9" t="s">
        <v>311</v>
      </c>
      <c r="B486" s="75">
        <v>46138</v>
      </c>
      <c r="C486" s="9" t="s">
        <v>75</v>
      </c>
      <c r="D486" s="9" t="str">
        <f>IFERROR(VLOOKUP(PagosV2[[#This Row],[Codigo del producto]],Entradas[],3,FALSE),"No existe")</f>
        <v>Pro Controller Switch</v>
      </c>
      <c r="E486" s="9">
        <v>1</v>
      </c>
      <c r="F486" s="11">
        <v>1000</v>
      </c>
      <c r="G486" s="11">
        <f>IFERROR(PagosV2[[#This Row],[Cantidad vendida]]*PagosV2[[#This Row],[Precio de venta]],"-")</f>
        <v>1000</v>
      </c>
      <c r="H486" s="11">
        <f>IFERROR(PagosV2[[#This Row],[Precio de venta]]-VLOOKUP(PagosV2[[#This Row],[Codigo del producto]],Stock[],13,FALSE),"-")</f>
        <v>318.27499999999998</v>
      </c>
      <c r="I486" s="11">
        <f>IFERROR(PagosV2[[#This Row],[Ganancia (UB)]]*$B$357,0)</f>
        <v>9.5482499999999995</v>
      </c>
      <c r="J486" s="11">
        <f>IFERROR(PagosV2[[#This Row],[Ganancia (UB)]]*$B$358,0)</f>
        <v>19.096499999999999</v>
      </c>
      <c r="K486" s="11">
        <f>IFERROR(PagosV2[[#This Row],[Ganancia (UB)]]*$B$359,0)</f>
        <v>9.5482499999999995</v>
      </c>
      <c r="L486" s="11">
        <f>IFERROR(PagosV2[[#This Row],[Ganancia (UB)]]*$B$360,0)</f>
        <v>9.5482499999999995</v>
      </c>
      <c r="M486" s="11">
        <f>IFERROR(PagosV2[[#This Row],[Ganancia (UB)]]-PagosV2[[#This Row],[PM]]-PagosV2[[#This Row],[GC]]-PagosV2[[#This Row],[PC]]-PagosV2[[#This Row],[U]],0)</f>
        <v>270.53375</v>
      </c>
      <c r="N486" s="11">
        <f t="shared" si="8"/>
        <v>121.7401875</v>
      </c>
      <c r="O486" s="11">
        <f>IFERROR(PagosV2[[#This Row],[Ganancia (UV)]]*PagosV2[[#This Row],[Cantidad vendida]],0)</f>
        <v>121.7401875</v>
      </c>
      <c r="P486" s="1">
        <f>IFERROR(PagosV2[[#This Row],[Ganancia (N)]]-PagosV2[[#This Row],[Ganancia (UV)]],0)</f>
        <v>148.79356250000001</v>
      </c>
      <c r="Q486" s="1">
        <f>IFERROR(PagosV2[[#This Row],[Ganancia individual (Tienda)]]*PagosV2[[#This Row],[Cantidad vendida]],0)</f>
        <v>148.79356250000001</v>
      </c>
      <c r="R486" s="1">
        <f>IFERROR((PagosV2[[#This Row],[Precio de venta]]-PagosV2[[#This Row],[Ganancia (UB)]])*PagosV2[[#This Row],[Cantidad vendida]],0)</f>
        <v>681.72500000000002</v>
      </c>
      <c r="S486" s="21" t="s">
        <v>312</v>
      </c>
      <c r="T486" s="21"/>
    </row>
    <row r="487" spans="1:20" ht="16.5" hidden="1" x14ac:dyDescent="0.3">
      <c r="A487" s="9" t="s">
        <v>315</v>
      </c>
      <c r="B487" s="75">
        <v>46138</v>
      </c>
      <c r="C487" s="9" t="s">
        <v>150</v>
      </c>
      <c r="D487" s="9" t="str">
        <f>IFERROR(VLOOKUP(PagosV2[[#This Row],[Codigo del producto]],Entradas[],3,FALSE),"No existe")</f>
        <v>KZ EDX Pro X</v>
      </c>
      <c r="E487" s="9">
        <v>1</v>
      </c>
      <c r="F487" s="11">
        <v>400</v>
      </c>
      <c r="G487" s="11">
        <f>IFERROR(PagosV2[[#This Row],[Cantidad vendida]]*PagosV2[[#This Row],[Precio de venta]],"-")</f>
        <v>400</v>
      </c>
      <c r="H487" s="11">
        <f>IFERROR(PagosV2[[#This Row],[Precio de venta]]-VLOOKUP(PagosV2[[#This Row],[Codigo del producto]],Stock[],13,FALSE),"-")</f>
        <v>181.11099999999999</v>
      </c>
      <c r="I487" s="11">
        <f>IFERROR(PagosV2[[#This Row],[Ganancia (UB)]]*$B$357,0)</f>
        <v>5.4333299999999998</v>
      </c>
      <c r="J487" s="11">
        <f>IFERROR(PagosV2[[#This Row],[Ganancia (UB)]]*$B$358,0)</f>
        <v>10.86666</v>
      </c>
      <c r="K487" s="11">
        <f>IFERROR(PagosV2[[#This Row],[Ganancia (UB)]]*$B$359,0)</f>
        <v>5.4333299999999998</v>
      </c>
      <c r="L487" s="11">
        <f>IFERROR(PagosV2[[#This Row],[Ganancia (UB)]]*$B$360,0)</f>
        <v>5.4333299999999998</v>
      </c>
      <c r="M487" s="11">
        <f>IFERROR(PagosV2[[#This Row],[Ganancia (UB)]]-PagosV2[[#This Row],[PM]]-PagosV2[[#This Row],[GC]]-PagosV2[[#This Row],[PC]]-PagosV2[[#This Row],[U]],0)</f>
        <v>153.94434999999996</v>
      </c>
      <c r="N487" s="11">
        <f t="shared" si="8"/>
        <v>69.274957499999985</v>
      </c>
      <c r="O487" s="11">
        <f>IFERROR(PagosV2[[#This Row],[Ganancia (UV)]]*PagosV2[[#This Row],[Cantidad vendida]],0)</f>
        <v>69.274957499999985</v>
      </c>
      <c r="P487" s="1">
        <f>IFERROR(PagosV2[[#This Row],[Ganancia (N)]]-PagosV2[[#This Row],[Ganancia (UV)]],0)</f>
        <v>84.669392499999972</v>
      </c>
      <c r="Q487" s="1">
        <f>IFERROR(PagosV2[[#This Row],[Ganancia individual (Tienda)]]*PagosV2[[#This Row],[Cantidad vendida]],0)</f>
        <v>84.669392499999972</v>
      </c>
      <c r="R487" s="1">
        <f>IFERROR((PagosV2[[#This Row],[Precio de venta]]-PagosV2[[#This Row],[Ganancia (UB)]])*PagosV2[[#This Row],[Cantidad vendida]],0)</f>
        <v>218.88900000000001</v>
      </c>
      <c r="S487" s="21" t="s">
        <v>312</v>
      </c>
      <c r="T487" s="21"/>
    </row>
    <row r="488" spans="1:20" ht="16.5" hidden="1" x14ac:dyDescent="0.3">
      <c r="A488" s="9" t="s">
        <v>315</v>
      </c>
      <c r="B488" s="75">
        <v>46138</v>
      </c>
      <c r="C488" s="9" t="s">
        <v>66</v>
      </c>
      <c r="D488" s="9" t="str">
        <f>IFERROR(VLOOKUP(PagosV2[[#This Row],[Codigo del producto]],Entradas[],3,FALSE),"No existe")</f>
        <v xml:space="preserve">Adaptador DAC </v>
      </c>
      <c r="E488" s="9">
        <v>1</v>
      </c>
      <c r="F488" s="11">
        <v>350</v>
      </c>
      <c r="G488" s="11">
        <f>IFERROR(PagosV2[[#This Row],[Cantidad vendida]]*PagosV2[[#This Row],[Precio de venta]],"-")</f>
        <v>350</v>
      </c>
      <c r="H488" s="11">
        <f>IFERROR(PagosV2[[#This Row],[Precio de venta]]-VLOOKUP(PagosV2[[#This Row],[Codigo del producto]],Stock[],13,FALSE),"-")</f>
        <v>173.48849999999999</v>
      </c>
      <c r="I488" s="11">
        <f>IFERROR(PagosV2[[#This Row],[Ganancia (UB)]]*$B$357,0)</f>
        <v>5.2046549999999998</v>
      </c>
      <c r="J488" s="11">
        <f>IFERROR(PagosV2[[#This Row],[Ganancia (UB)]]*$B$358,0)</f>
        <v>10.40931</v>
      </c>
      <c r="K488" s="11">
        <f>IFERROR(PagosV2[[#This Row],[Ganancia (UB)]]*$B$359,0)</f>
        <v>5.2046549999999998</v>
      </c>
      <c r="L488" s="11">
        <f>IFERROR(PagosV2[[#This Row],[Ganancia (UB)]]*$B$360,0)</f>
        <v>5.2046549999999998</v>
      </c>
      <c r="M488" s="11">
        <f>IFERROR(PagosV2[[#This Row],[Ganancia (UB)]]-PagosV2[[#This Row],[PM]]-PagosV2[[#This Row],[GC]]-PagosV2[[#This Row],[PC]]-PagosV2[[#This Row],[U]],0)</f>
        <v>147.46522499999998</v>
      </c>
      <c r="N488" s="11">
        <f t="shared" si="8"/>
        <v>66.359351249999989</v>
      </c>
      <c r="O488" s="11">
        <f>IFERROR(PagosV2[[#This Row],[Ganancia (UV)]]*PagosV2[[#This Row],[Cantidad vendida]],0)</f>
        <v>66.359351249999989</v>
      </c>
      <c r="P488" s="1">
        <f>IFERROR(PagosV2[[#This Row],[Ganancia (N)]]-PagosV2[[#This Row],[Ganancia (UV)]],0)</f>
        <v>81.105873749999986</v>
      </c>
      <c r="Q488" s="1">
        <f>IFERROR(PagosV2[[#This Row],[Ganancia individual (Tienda)]]*PagosV2[[#This Row],[Cantidad vendida]],0)</f>
        <v>81.105873749999986</v>
      </c>
      <c r="R488" s="1">
        <f>IFERROR((PagosV2[[#This Row],[Precio de venta]]-PagosV2[[#This Row],[Ganancia (UB)]])*PagosV2[[#This Row],[Cantidad vendida]],0)</f>
        <v>176.51150000000001</v>
      </c>
      <c r="S488" s="21" t="s">
        <v>312</v>
      </c>
      <c r="T488" s="21"/>
    </row>
    <row r="489" spans="1:20" ht="16.5" hidden="1" x14ac:dyDescent="0.3">
      <c r="A489" s="9" t="s">
        <v>327</v>
      </c>
      <c r="B489" s="75">
        <v>46138</v>
      </c>
      <c r="C489" s="9" t="s">
        <v>149</v>
      </c>
      <c r="D489" s="9" t="str">
        <f>IFERROR(VLOOKUP(PagosV2[[#This Row],[Codigo del producto]],Entradas[],3,FALSE),"No existe")</f>
        <v>KZ EDX Pro X</v>
      </c>
      <c r="E489" s="9">
        <v>1</v>
      </c>
      <c r="F489" s="11">
        <v>400</v>
      </c>
      <c r="G489" s="11">
        <f>IFERROR(PagosV2[[#This Row],[Cantidad vendida]]*PagosV2[[#This Row],[Precio de venta]],"-")</f>
        <v>400</v>
      </c>
      <c r="H489" s="11">
        <f>IFERROR(PagosV2[[#This Row],[Precio de venta]]-VLOOKUP(PagosV2[[#This Row],[Codigo del producto]],Stock[],13,FALSE),"-")</f>
        <v>167.845</v>
      </c>
      <c r="I489" s="11">
        <f>IFERROR(PagosV2[[#This Row],[Ganancia (UB)]]*$B$357,0)</f>
        <v>5.0353500000000002</v>
      </c>
      <c r="J489" s="11">
        <f>IFERROR(PagosV2[[#This Row],[Ganancia (UB)]]*$B$358,0)</f>
        <v>10.0707</v>
      </c>
      <c r="K489" s="11">
        <f>IFERROR(PagosV2[[#This Row],[Ganancia (UB)]]*$B$359,0)</f>
        <v>5.0353500000000002</v>
      </c>
      <c r="L489" s="11">
        <f>IFERROR(PagosV2[[#This Row],[Ganancia (UB)]]*$B$360,0)</f>
        <v>5.0353500000000002</v>
      </c>
      <c r="M489" s="11">
        <f>IFERROR(PagosV2[[#This Row],[Ganancia (UB)]]-PagosV2[[#This Row],[PM]]-PagosV2[[#This Row],[GC]]-PagosV2[[#This Row],[PC]]-PagosV2[[#This Row],[U]],0)</f>
        <v>142.66825000000003</v>
      </c>
      <c r="N489" s="11">
        <f t="shared" si="8"/>
        <v>64.200712500000009</v>
      </c>
      <c r="O489" s="11">
        <f>IFERROR(PagosV2[[#This Row],[Ganancia (UV)]]*PagosV2[[#This Row],[Cantidad vendida]],0)</f>
        <v>64.200712500000009</v>
      </c>
      <c r="P489" s="1">
        <f>IFERROR(PagosV2[[#This Row],[Ganancia (N)]]-PagosV2[[#This Row],[Ganancia (UV)]],0)</f>
        <v>78.46753750000002</v>
      </c>
      <c r="Q489" s="1">
        <f>IFERROR(PagosV2[[#This Row],[Ganancia individual (Tienda)]]*PagosV2[[#This Row],[Cantidad vendida]],0)</f>
        <v>78.46753750000002</v>
      </c>
      <c r="R489" s="1">
        <f>IFERROR((PagosV2[[#This Row],[Precio de venta]]-PagosV2[[#This Row],[Ganancia (UB)]])*PagosV2[[#This Row],[Cantidad vendida]],0)</f>
        <v>232.155</v>
      </c>
      <c r="S489" s="21" t="s">
        <v>312</v>
      </c>
      <c r="T489" s="21"/>
    </row>
    <row r="490" spans="1:20" ht="16.5" hidden="1" x14ac:dyDescent="0.3">
      <c r="A490" s="9" t="s">
        <v>327</v>
      </c>
      <c r="B490" s="75">
        <v>46138</v>
      </c>
      <c r="C490" s="9" t="s">
        <v>66</v>
      </c>
      <c r="D490" s="9" t="str">
        <f>IFERROR(VLOOKUP(PagosV2[[#This Row],[Codigo del producto]],Entradas[],3,FALSE),"No existe")</f>
        <v xml:space="preserve">Adaptador DAC </v>
      </c>
      <c r="E490" s="9">
        <v>1</v>
      </c>
      <c r="F490" s="11">
        <v>350</v>
      </c>
      <c r="G490" s="11">
        <f>IFERROR(PagosV2[[#This Row],[Cantidad vendida]]*PagosV2[[#This Row],[Precio de venta]],"-")</f>
        <v>350</v>
      </c>
      <c r="H490" s="11">
        <f>IFERROR(PagosV2[[#This Row],[Precio de venta]]-VLOOKUP(PagosV2[[#This Row],[Codigo del producto]],Stock[],13,FALSE),"-")</f>
        <v>173.48849999999999</v>
      </c>
      <c r="I490" s="11">
        <f>IFERROR(PagosV2[[#This Row],[Ganancia (UB)]]*$B$357,0)</f>
        <v>5.2046549999999998</v>
      </c>
      <c r="J490" s="11">
        <f>IFERROR(PagosV2[[#This Row],[Ganancia (UB)]]*$B$358,0)</f>
        <v>10.40931</v>
      </c>
      <c r="K490" s="11">
        <f>IFERROR(PagosV2[[#This Row],[Ganancia (UB)]]*$B$359,0)</f>
        <v>5.2046549999999998</v>
      </c>
      <c r="L490" s="11">
        <f>IFERROR(PagosV2[[#This Row],[Ganancia (UB)]]*$B$360,0)</f>
        <v>5.2046549999999998</v>
      </c>
      <c r="M490" s="11">
        <f>IFERROR(PagosV2[[#This Row],[Ganancia (UB)]]-PagosV2[[#This Row],[PM]]-PagosV2[[#This Row],[GC]]-PagosV2[[#This Row],[PC]]-PagosV2[[#This Row],[U]],0)</f>
        <v>147.46522499999998</v>
      </c>
      <c r="N490" s="11">
        <f t="shared" si="8"/>
        <v>66.359351249999989</v>
      </c>
      <c r="O490" s="11">
        <f>IFERROR(PagosV2[[#This Row],[Ganancia (UV)]]*PagosV2[[#This Row],[Cantidad vendida]],0)</f>
        <v>66.359351249999989</v>
      </c>
      <c r="P490" s="1">
        <f>IFERROR(PagosV2[[#This Row],[Ganancia (N)]]-PagosV2[[#This Row],[Ganancia (UV)]],0)</f>
        <v>81.105873749999986</v>
      </c>
      <c r="Q490" s="1">
        <f>IFERROR(PagosV2[[#This Row],[Ganancia individual (Tienda)]]*PagosV2[[#This Row],[Cantidad vendida]],0)</f>
        <v>81.105873749999986</v>
      </c>
      <c r="R490" s="1">
        <f>IFERROR((PagosV2[[#This Row],[Precio de venta]]-PagosV2[[#This Row],[Ganancia (UB)]])*PagosV2[[#This Row],[Cantidad vendida]],0)</f>
        <v>176.51150000000001</v>
      </c>
      <c r="S490" s="21" t="s">
        <v>312</v>
      </c>
      <c r="T490" s="21"/>
    </row>
    <row r="491" spans="1:20" ht="16.5" hidden="1" x14ac:dyDescent="0.3">
      <c r="A491" s="9" t="s">
        <v>327</v>
      </c>
      <c r="B491" s="75">
        <v>46138</v>
      </c>
      <c r="C491" s="9" t="s">
        <v>129</v>
      </c>
      <c r="D491" s="9" t="str">
        <f>IFERROR(VLOOKUP(PagosV2[[#This Row],[Codigo del producto]],Entradas[],3,FALSE),"No existe")</f>
        <v>Cargadores USB para moto</v>
      </c>
      <c r="E491" s="9">
        <v>1</v>
      </c>
      <c r="F491" s="11">
        <v>600</v>
      </c>
      <c r="G491" s="11">
        <f>IFERROR(PagosV2[[#This Row],[Cantidad vendida]]*PagosV2[[#This Row],[Precio de venta]],"-")</f>
        <v>600</v>
      </c>
      <c r="H491" s="11">
        <f>IFERROR(PagosV2[[#This Row],[Precio de venta]]-VLOOKUP(PagosV2[[#This Row],[Codigo del producto]],Stock[],13,FALSE),"-")</f>
        <v>281.2475</v>
      </c>
      <c r="I491" s="11">
        <f>IFERROR(PagosV2[[#This Row],[Ganancia (UB)]]*$B$357,0)</f>
        <v>8.4374249999999993</v>
      </c>
      <c r="J491" s="11">
        <f>IFERROR(PagosV2[[#This Row],[Ganancia (UB)]]*$B$358,0)</f>
        <v>16.874849999999999</v>
      </c>
      <c r="K491" s="11">
        <f>IFERROR(PagosV2[[#This Row],[Ganancia (UB)]]*$B$359,0)</f>
        <v>8.4374249999999993</v>
      </c>
      <c r="L491" s="11">
        <f>IFERROR(PagosV2[[#This Row],[Ganancia (UB)]]*$B$360,0)</f>
        <v>8.4374249999999993</v>
      </c>
      <c r="M491" s="11">
        <f>IFERROR(PagosV2[[#This Row],[Ganancia (UB)]]-PagosV2[[#This Row],[PM]]-PagosV2[[#This Row],[GC]]-PagosV2[[#This Row],[PC]]-PagosV2[[#This Row],[U]],0)</f>
        <v>239.06037499999999</v>
      </c>
      <c r="N491" s="11">
        <f t="shared" si="8"/>
        <v>107.57716875</v>
      </c>
      <c r="O491" s="11">
        <f>IFERROR(PagosV2[[#This Row],[Ganancia (UV)]]*PagosV2[[#This Row],[Cantidad vendida]],0)</f>
        <v>107.57716875</v>
      </c>
      <c r="P491" s="1">
        <f>IFERROR(PagosV2[[#This Row],[Ganancia (N)]]-PagosV2[[#This Row],[Ganancia (UV)]],0)</f>
        <v>131.48320624999999</v>
      </c>
      <c r="Q491" s="1">
        <f>IFERROR(PagosV2[[#This Row],[Ganancia individual (Tienda)]]*PagosV2[[#This Row],[Cantidad vendida]],0)</f>
        <v>131.48320624999999</v>
      </c>
      <c r="R491" s="1">
        <f>IFERROR((PagosV2[[#This Row],[Precio de venta]]-PagosV2[[#This Row],[Ganancia (UB)]])*PagosV2[[#This Row],[Cantidad vendida]],0)</f>
        <v>318.7525</v>
      </c>
      <c r="S491" s="21" t="s">
        <v>312</v>
      </c>
      <c r="T491" s="21"/>
    </row>
    <row r="492" spans="1:20" ht="16.5" hidden="1" x14ac:dyDescent="0.3">
      <c r="A492" s="9" t="s">
        <v>327</v>
      </c>
      <c r="B492" s="75">
        <v>46138</v>
      </c>
      <c r="C492" s="9" t="s">
        <v>127</v>
      </c>
      <c r="D492" s="9" t="str">
        <f>IFERROR(VLOOKUP(PagosV2[[#This Row],[Codigo del producto]],Entradas[],3,FALSE),"No existe")</f>
        <v>Cable USB 45W</v>
      </c>
      <c r="E492" s="9">
        <v>1</v>
      </c>
      <c r="F492" s="11">
        <v>350</v>
      </c>
      <c r="G492" s="11">
        <f>IFERROR(PagosV2[[#This Row],[Cantidad vendida]]*PagosV2[[#This Row],[Precio de venta]],"-")</f>
        <v>350</v>
      </c>
      <c r="H492" s="11">
        <f>IFERROR(PagosV2[[#This Row],[Precio de venta]]-VLOOKUP(PagosV2[[#This Row],[Codigo del producto]],Stock[],13,FALSE),"-")</f>
        <v>159.4855</v>
      </c>
      <c r="I492" s="11">
        <f>IFERROR(PagosV2[[#This Row],[Ganancia (UB)]]*$B$357,0)</f>
        <v>4.7845649999999997</v>
      </c>
      <c r="J492" s="11">
        <f>IFERROR(PagosV2[[#This Row],[Ganancia (UB)]]*$B$358,0)</f>
        <v>9.5691299999999995</v>
      </c>
      <c r="K492" s="11">
        <f>IFERROR(PagosV2[[#This Row],[Ganancia (UB)]]*$B$359,0)</f>
        <v>4.7845649999999997</v>
      </c>
      <c r="L492" s="11">
        <f>IFERROR(PagosV2[[#This Row],[Ganancia (UB)]]*$B$360,0)</f>
        <v>4.7845649999999997</v>
      </c>
      <c r="M492" s="11">
        <f>IFERROR(PagosV2[[#This Row],[Ganancia (UB)]]-PagosV2[[#This Row],[PM]]-PagosV2[[#This Row],[GC]]-PagosV2[[#This Row],[PC]]-PagosV2[[#This Row],[U]],0)</f>
        <v>135.56267500000004</v>
      </c>
      <c r="N492" s="11">
        <f t="shared" si="8"/>
        <v>61.003203750000019</v>
      </c>
      <c r="O492" s="11">
        <f>IFERROR(PagosV2[[#This Row],[Ganancia (UV)]]*PagosV2[[#This Row],[Cantidad vendida]],0)</f>
        <v>61.003203750000019</v>
      </c>
      <c r="P492" s="1">
        <f>IFERROR(PagosV2[[#This Row],[Ganancia (N)]]-PagosV2[[#This Row],[Ganancia (UV)]],0)</f>
        <v>74.55947125000003</v>
      </c>
      <c r="Q492" s="1">
        <f>IFERROR(PagosV2[[#This Row],[Ganancia individual (Tienda)]]*PagosV2[[#This Row],[Cantidad vendida]],0)</f>
        <v>74.55947125000003</v>
      </c>
      <c r="R492" s="1">
        <f>IFERROR((PagosV2[[#This Row],[Precio de venta]]-PagosV2[[#This Row],[Ganancia (UB)]])*PagosV2[[#This Row],[Cantidad vendida]],0)</f>
        <v>190.5145</v>
      </c>
      <c r="S492" s="21" t="s">
        <v>312</v>
      </c>
      <c r="T492" s="21"/>
    </row>
    <row r="493" spans="1:20" ht="16.5" hidden="1" x14ac:dyDescent="0.3">
      <c r="A493" s="9" t="s">
        <v>313</v>
      </c>
      <c r="B493" s="75">
        <v>46139</v>
      </c>
      <c r="C493" s="9" t="s">
        <v>106</v>
      </c>
      <c r="D493" s="9" t="str">
        <f>IFERROR(VLOOKUP(PagosV2[[#This Row],[Codigo del producto]],Entradas[],3,FALSE),"No existe")</f>
        <v>Shark Attack Mouse X11 white</v>
      </c>
      <c r="E493" s="9">
        <v>1</v>
      </c>
      <c r="F493" s="11">
        <v>1300</v>
      </c>
      <c r="G493" s="11">
        <f>IFERROR(PagosV2[[#This Row],[Cantidad vendida]]*PagosV2[[#This Row],[Precio de venta]],"-")</f>
        <v>1300</v>
      </c>
      <c r="H493" s="11">
        <f>IFERROR(PagosV2[[#This Row],[Precio de venta]]-VLOOKUP(PagosV2[[#This Row],[Codigo del producto]],Stock[],13,FALSE),"-")</f>
        <v>477.50799999999992</v>
      </c>
      <c r="I493" s="11">
        <f>IFERROR(PagosV2[[#This Row],[Ganancia (UB)]]*$B$357,0)</f>
        <v>14.325239999999997</v>
      </c>
      <c r="J493" s="11">
        <f>IFERROR(PagosV2[[#This Row],[Ganancia (UB)]]*$B$358,0)</f>
        <v>28.650479999999995</v>
      </c>
      <c r="K493" s="11">
        <f>IFERROR(PagosV2[[#This Row],[Ganancia (UB)]]*$B$359,0)</f>
        <v>14.325239999999997</v>
      </c>
      <c r="L493" s="11">
        <f>IFERROR(PagosV2[[#This Row],[Ganancia (UB)]]*$B$360,0)</f>
        <v>14.325239999999997</v>
      </c>
      <c r="M493" s="11">
        <f>IFERROR(PagosV2[[#This Row],[Ganancia (UB)]]-PagosV2[[#This Row],[PM]]-PagosV2[[#This Row],[GC]]-PagosV2[[#This Row],[PC]]-PagosV2[[#This Row],[U]],0)</f>
        <v>405.88179999999988</v>
      </c>
      <c r="N493" s="11">
        <f t="shared" si="8"/>
        <v>162.35271999999998</v>
      </c>
      <c r="O493" s="11">
        <f>IFERROR(PagosV2[[#This Row],[Ganancia (UV)]]*PagosV2[[#This Row],[Cantidad vendida]],0)</f>
        <v>162.35271999999998</v>
      </c>
      <c r="P493" s="1">
        <f>IFERROR(PagosV2[[#This Row],[Ganancia (N)]]-PagosV2[[#This Row],[Ganancia (UV)]],0)</f>
        <v>243.52907999999991</v>
      </c>
      <c r="Q493" s="1">
        <f>IFERROR(PagosV2[[#This Row],[Ganancia individual (Tienda)]]*PagosV2[[#This Row],[Cantidad vendida]],0)</f>
        <v>243.52907999999991</v>
      </c>
      <c r="R493" s="1">
        <f>IFERROR((PagosV2[[#This Row],[Precio de venta]]-PagosV2[[#This Row],[Ganancia (UB)]])*PagosV2[[#This Row],[Cantidad vendida]],0)</f>
        <v>822.49200000000008</v>
      </c>
      <c r="S493" s="21" t="s">
        <v>312</v>
      </c>
      <c r="T493" s="21"/>
    </row>
    <row r="494" spans="1:20" ht="16.5" hidden="1" x14ac:dyDescent="0.3">
      <c r="A494" s="9" t="s">
        <v>313</v>
      </c>
      <c r="B494" s="75">
        <v>46139</v>
      </c>
      <c r="C494" s="9" t="s">
        <v>151</v>
      </c>
      <c r="D494" s="9" t="str">
        <f>IFERROR(VLOOKUP(PagosV2[[#This Row],[Codigo del producto]],Entradas[],3,FALSE),"No existe")</f>
        <v>KZ Castor Pro</v>
      </c>
      <c r="E494" s="9">
        <v>1</v>
      </c>
      <c r="F494" s="11">
        <v>950</v>
      </c>
      <c r="G494" s="11">
        <f>IFERROR(PagosV2[[#This Row],[Cantidad vendida]]*PagosV2[[#This Row],[Precio de venta]],"-")</f>
        <v>950</v>
      </c>
      <c r="H494" s="11">
        <f>IFERROR(PagosV2[[#This Row],[Precio de venta]]-VLOOKUP(PagosV2[[#This Row],[Codigo del producto]],Stock[],13,FALSE),"-")</f>
        <v>298.8605</v>
      </c>
      <c r="I494" s="11">
        <f>IFERROR(PagosV2[[#This Row],[Ganancia (UB)]]*$B$357,0)</f>
        <v>8.9658149999999992</v>
      </c>
      <c r="J494" s="11">
        <f>IFERROR(PagosV2[[#This Row],[Ganancia (UB)]]*$B$358,0)</f>
        <v>17.931629999999998</v>
      </c>
      <c r="K494" s="11">
        <f>IFERROR(PagosV2[[#This Row],[Ganancia (UB)]]*$B$359,0)</f>
        <v>8.9658149999999992</v>
      </c>
      <c r="L494" s="11">
        <f>IFERROR(PagosV2[[#This Row],[Ganancia (UB)]]*$B$360,0)</f>
        <v>8.9658149999999992</v>
      </c>
      <c r="M494" s="11">
        <f>IFERROR(PagosV2[[#This Row],[Ganancia (UB)]]-PagosV2[[#This Row],[PM]]-PagosV2[[#This Row],[GC]]-PagosV2[[#This Row],[PC]]-PagosV2[[#This Row],[U]],0)</f>
        <v>254.03142499999998</v>
      </c>
      <c r="N494" s="11">
        <f t="shared" si="8"/>
        <v>114.31414124999999</v>
      </c>
      <c r="O494" s="11">
        <f>IFERROR(PagosV2[[#This Row],[Ganancia (UV)]]*PagosV2[[#This Row],[Cantidad vendida]],0)</f>
        <v>114.31414124999999</v>
      </c>
      <c r="P494" s="1">
        <f>IFERROR(PagosV2[[#This Row],[Ganancia (N)]]-PagosV2[[#This Row],[Ganancia (UV)]],0)</f>
        <v>139.71728374999998</v>
      </c>
      <c r="Q494" s="1">
        <f>IFERROR(PagosV2[[#This Row],[Ganancia individual (Tienda)]]*PagosV2[[#This Row],[Cantidad vendida]],0)</f>
        <v>139.71728374999998</v>
      </c>
      <c r="R494" s="1">
        <f>IFERROR((PagosV2[[#This Row],[Precio de venta]]-PagosV2[[#This Row],[Ganancia (UB)]])*PagosV2[[#This Row],[Cantidad vendida]],0)</f>
        <v>651.1395</v>
      </c>
      <c r="S494" s="21" t="s">
        <v>312</v>
      </c>
      <c r="T494" s="21"/>
    </row>
    <row r="495" spans="1:20" ht="16.5" hidden="1" x14ac:dyDescent="0.3">
      <c r="A495" s="9" t="s">
        <v>313</v>
      </c>
      <c r="B495" s="75">
        <v>46139</v>
      </c>
      <c r="C495" s="9" t="s">
        <v>157</v>
      </c>
      <c r="D495" s="9" t="str">
        <f>IFERROR(VLOOKUP(PagosV2[[#This Row],[Codigo del producto]],Entradas[],3,FALSE),"No existe")</f>
        <v>KZ AZ09</v>
      </c>
      <c r="E495" s="9">
        <v>1</v>
      </c>
      <c r="F495" s="11">
        <v>950</v>
      </c>
      <c r="G495" s="11">
        <f>IFERROR(PagosV2[[#This Row],[Cantidad vendida]]*PagosV2[[#This Row],[Precio de venta]],"-")</f>
        <v>950</v>
      </c>
      <c r="H495" s="11">
        <f>IFERROR(PagosV2[[#This Row],[Precio de venta]]-VLOOKUP(PagosV2[[#This Row],[Codigo del producto]],Stock[],13,FALSE),"-")</f>
        <v>297.38649999999996</v>
      </c>
      <c r="I495" s="11">
        <f>IFERROR(PagosV2[[#This Row],[Ganancia (UB)]]*$B$357,0)</f>
        <v>8.9215949999999982</v>
      </c>
      <c r="J495" s="11">
        <f>IFERROR(PagosV2[[#This Row],[Ganancia (UB)]]*$B$358,0)</f>
        <v>17.843189999999996</v>
      </c>
      <c r="K495" s="11">
        <f>IFERROR(PagosV2[[#This Row],[Ganancia (UB)]]*$B$359,0)</f>
        <v>8.9215949999999982</v>
      </c>
      <c r="L495" s="11">
        <f>IFERROR(PagosV2[[#This Row],[Ganancia (UB)]]*$B$360,0)</f>
        <v>8.9215949999999982</v>
      </c>
      <c r="M495" s="11">
        <f>IFERROR(PagosV2[[#This Row],[Ganancia (UB)]]-PagosV2[[#This Row],[PM]]-PagosV2[[#This Row],[GC]]-PagosV2[[#This Row],[PC]]-PagosV2[[#This Row],[U]],0)</f>
        <v>252.77852499999992</v>
      </c>
      <c r="N495" s="11">
        <f t="shared" si="8"/>
        <v>113.75033624999996</v>
      </c>
      <c r="O495" s="11">
        <f>IFERROR(PagosV2[[#This Row],[Ganancia (UV)]]*PagosV2[[#This Row],[Cantidad vendida]],0)</f>
        <v>113.75033624999996</v>
      </c>
      <c r="P495" s="1">
        <f>IFERROR(PagosV2[[#This Row],[Ganancia (N)]]-PagosV2[[#This Row],[Ganancia (UV)]],0)</f>
        <v>139.02818874999997</v>
      </c>
      <c r="Q495" s="1">
        <f>IFERROR(PagosV2[[#This Row],[Ganancia individual (Tienda)]]*PagosV2[[#This Row],[Cantidad vendida]],0)</f>
        <v>139.02818874999997</v>
      </c>
      <c r="R495" s="1">
        <f>IFERROR((PagosV2[[#This Row],[Precio de venta]]-PagosV2[[#This Row],[Ganancia (UB)]])*PagosV2[[#This Row],[Cantidad vendida]],0)</f>
        <v>652.61350000000004</v>
      </c>
      <c r="S495" s="21" t="s">
        <v>312</v>
      </c>
      <c r="T495" s="21"/>
    </row>
    <row r="496" spans="1:20" ht="16.5" hidden="1" x14ac:dyDescent="0.3">
      <c r="A496" s="9" t="s">
        <v>313</v>
      </c>
      <c r="B496" s="75">
        <v>46139</v>
      </c>
      <c r="C496" s="9" t="s">
        <v>106</v>
      </c>
      <c r="D496" s="9" t="str">
        <f>IFERROR(VLOOKUP(PagosV2[[#This Row],[Codigo del producto]],Entradas[],3,FALSE),"No existe")</f>
        <v>Shark Attack Mouse X11 white</v>
      </c>
      <c r="E496" s="9">
        <v>1</v>
      </c>
      <c r="F496" s="11">
        <v>1300</v>
      </c>
      <c r="G496" s="11">
        <f>IFERROR(PagosV2[[#This Row],[Cantidad vendida]]*PagosV2[[#This Row],[Precio de venta]],"-")</f>
        <v>1300</v>
      </c>
      <c r="H496" s="11">
        <f>IFERROR(PagosV2[[#This Row],[Precio de venta]]-VLOOKUP(PagosV2[[#This Row],[Codigo del producto]],Stock[],13,FALSE),"-")</f>
        <v>477.50799999999992</v>
      </c>
      <c r="I496" s="11">
        <f>IFERROR(PagosV2[[#This Row],[Ganancia (UB)]]*$B$357,0)</f>
        <v>14.325239999999997</v>
      </c>
      <c r="J496" s="11">
        <f>IFERROR(PagosV2[[#This Row],[Ganancia (UB)]]*$B$358,0)</f>
        <v>28.650479999999995</v>
      </c>
      <c r="K496" s="11">
        <f>IFERROR(PagosV2[[#This Row],[Ganancia (UB)]]*$B$359,0)</f>
        <v>14.325239999999997</v>
      </c>
      <c r="L496" s="11">
        <f>IFERROR(PagosV2[[#This Row],[Ganancia (UB)]]*$B$360,0)</f>
        <v>14.325239999999997</v>
      </c>
      <c r="M496" s="11">
        <f>IFERROR(PagosV2[[#This Row],[Ganancia (UB)]]-PagosV2[[#This Row],[PM]]-PagosV2[[#This Row],[GC]]-PagosV2[[#This Row],[PC]]-PagosV2[[#This Row],[U]],0)</f>
        <v>405.88179999999988</v>
      </c>
      <c r="N496" s="11">
        <f t="shared" si="8"/>
        <v>162.35271999999998</v>
      </c>
      <c r="O496" s="11">
        <f>IFERROR(PagosV2[[#This Row],[Ganancia (UV)]]*PagosV2[[#This Row],[Cantidad vendida]],0)</f>
        <v>162.35271999999998</v>
      </c>
      <c r="P496" s="1">
        <f>IFERROR(PagosV2[[#This Row],[Ganancia (N)]]-PagosV2[[#This Row],[Ganancia (UV)]],0)</f>
        <v>243.52907999999991</v>
      </c>
      <c r="Q496" s="1">
        <f>IFERROR(PagosV2[[#This Row],[Ganancia individual (Tienda)]]*PagosV2[[#This Row],[Cantidad vendida]],0)</f>
        <v>243.52907999999991</v>
      </c>
      <c r="R496" s="1">
        <f>IFERROR((PagosV2[[#This Row],[Precio de venta]]-PagosV2[[#This Row],[Ganancia (UB)]])*PagosV2[[#This Row],[Cantidad vendida]],0)</f>
        <v>822.49200000000008</v>
      </c>
      <c r="S496" s="21" t="s">
        <v>312</v>
      </c>
      <c r="T496" s="21"/>
    </row>
    <row r="497" spans="1:20" ht="16.5" hidden="1" x14ac:dyDescent="0.3">
      <c r="A497" s="9" t="s">
        <v>313</v>
      </c>
      <c r="B497" s="75">
        <v>46139</v>
      </c>
      <c r="C497" s="9" t="s">
        <v>106</v>
      </c>
      <c r="D497" s="9" t="str">
        <f>IFERROR(VLOOKUP(PagosV2[[#This Row],[Codigo del producto]],Entradas[],3,FALSE),"No existe")</f>
        <v>Shark Attack Mouse X11 white</v>
      </c>
      <c r="E497" s="9">
        <v>1</v>
      </c>
      <c r="F497" s="11">
        <v>1200</v>
      </c>
      <c r="G497" s="11">
        <f>IFERROR(PagosV2[[#This Row],[Cantidad vendida]]*PagosV2[[#This Row],[Precio de venta]],"-")</f>
        <v>1200</v>
      </c>
      <c r="H497" s="11">
        <f>IFERROR(PagosV2[[#This Row],[Precio de venta]]-VLOOKUP(PagosV2[[#This Row],[Codigo del producto]],Stock[],13,FALSE),"-")</f>
        <v>377.50799999999992</v>
      </c>
      <c r="I497" s="11">
        <f>IFERROR(PagosV2[[#This Row],[Ganancia (UB)]]*$B$357,0)</f>
        <v>11.325239999999997</v>
      </c>
      <c r="J497" s="11">
        <f>IFERROR(PagosV2[[#This Row],[Ganancia (UB)]]*$B$358,0)</f>
        <v>22.650479999999995</v>
      </c>
      <c r="K497" s="11">
        <f>IFERROR(PagosV2[[#This Row],[Ganancia (UB)]]*$B$359,0)</f>
        <v>11.325239999999997</v>
      </c>
      <c r="L497" s="11">
        <f>IFERROR(PagosV2[[#This Row],[Ganancia (UB)]]*$B$360,0)</f>
        <v>11.325239999999997</v>
      </c>
      <c r="M497" s="11">
        <f>IFERROR(PagosV2[[#This Row],[Ganancia (UB)]]-PagosV2[[#This Row],[PM]]-PagosV2[[#This Row],[GC]]-PagosV2[[#This Row],[PC]]-PagosV2[[#This Row],[U]],0)</f>
        <v>320.88179999999988</v>
      </c>
      <c r="N497" s="11">
        <f t="shared" si="8"/>
        <v>128.35271999999995</v>
      </c>
      <c r="O497" s="11">
        <f>IFERROR(PagosV2[[#This Row],[Ganancia (UV)]]*PagosV2[[#This Row],[Cantidad vendida]],0)</f>
        <v>128.35271999999995</v>
      </c>
      <c r="P497" s="1">
        <f>IFERROR(PagosV2[[#This Row],[Ganancia (N)]]-PagosV2[[#This Row],[Ganancia (UV)]],0)</f>
        <v>192.52907999999994</v>
      </c>
      <c r="Q497" s="1">
        <f>IFERROR(PagosV2[[#This Row],[Ganancia individual (Tienda)]]*PagosV2[[#This Row],[Cantidad vendida]],0)</f>
        <v>192.52907999999994</v>
      </c>
      <c r="R497" s="1">
        <f>IFERROR((PagosV2[[#This Row],[Precio de venta]]-PagosV2[[#This Row],[Ganancia (UB)]])*PagosV2[[#This Row],[Cantidad vendida]],0)</f>
        <v>822.49200000000008</v>
      </c>
      <c r="S497" s="21" t="s">
        <v>312</v>
      </c>
      <c r="T497" s="21"/>
    </row>
    <row r="498" spans="1:20" ht="16.5" hidden="1" x14ac:dyDescent="0.3">
      <c r="A498" s="9" t="s">
        <v>311</v>
      </c>
      <c r="B498" s="75">
        <v>46139</v>
      </c>
      <c r="C498" s="9" t="s">
        <v>151</v>
      </c>
      <c r="D498" s="9" t="str">
        <f>IFERROR(VLOOKUP(PagosV2[[#This Row],[Codigo del producto]],Entradas[],3,FALSE),"No existe")</f>
        <v>KZ Castor Pro</v>
      </c>
      <c r="E498" s="9">
        <v>1</v>
      </c>
      <c r="F498" s="11">
        <v>900</v>
      </c>
      <c r="G498" s="11">
        <f>IFERROR(PagosV2[[#This Row],[Cantidad vendida]]*PagosV2[[#This Row],[Precio de venta]],"-")</f>
        <v>900</v>
      </c>
      <c r="H498" s="11">
        <f>IFERROR(PagosV2[[#This Row],[Precio de venta]]-VLOOKUP(PagosV2[[#This Row],[Codigo del producto]],Stock[],13,FALSE),"-")</f>
        <v>248.8605</v>
      </c>
      <c r="I498" s="11">
        <f>IFERROR(PagosV2[[#This Row],[Ganancia (UB)]]*$B$357,0)</f>
        <v>7.4658150000000001</v>
      </c>
      <c r="J498" s="11">
        <f>IFERROR(PagosV2[[#This Row],[Ganancia (UB)]]*$B$358,0)</f>
        <v>14.93163</v>
      </c>
      <c r="K498" s="11">
        <f>IFERROR(PagosV2[[#This Row],[Ganancia (UB)]]*$B$359,0)</f>
        <v>7.4658150000000001</v>
      </c>
      <c r="L498" s="11">
        <f>IFERROR(PagosV2[[#This Row],[Ganancia (UB)]]*$B$360,0)</f>
        <v>7.4658150000000001</v>
      </c>
      <c r="M498" s="11">
        <f>IFERROR(PagosV2[[#This Row],[Ganancia (UB)]]-PagosV2[[#This Row],[PM]]-PagosV2[[#This Row],[GC]]-PagosV2[[#This Row],[PC]]-PagosV2[[#This Row],[U]],0)</f>
        <v>211.53142500000001</v>
      </c>
      <c r="N498" s="11">
        <f t="shared" si="8"/>
        <v>95.189141250000006</v>
      </c>
      <c r="O498" s="11">
        <f>IFERROR(PagosV2[[#This Row],[Ganancia (UV)]]*PagosV2[[#This Row],[Cantidad vendida]],0)</f>
        <v>95.189141250000006</v>
      </c>
      <c r="P498" s="1">
        <f>IFERROR(PagosV2[[#This Row],[Ganancia (N)]]-PagosV2[[#This Row],[Ganancia (UV)]],0)</f>
        <v>116.34228375000001</v>
      </c>
      <c r="Q498" s="1">
        <f>IFERROR(PagosV2[[#This Row],[Ganancia individual (Tienda)]]*PagosV2[[#This Row],[Cantidad vendida]],0)</f>
        <v>116.34228375000001</v>
      </c>
      <c r="R498" s="1">
        <f>IFERROR((PagosV2[[#This Row],[Precio de venta]]-PagosV2[[#This Row],[Ganancia (UB)]])*PagosV2[[#This Row],[Cantidad vendida]],0)</f>
        <v>651.1395</v>
      </c>
      <c r="S498" s="21" t="s">
        <v>312</v>
      </c>
      <c r="T498" s="21"/>
    </row>
    <row r="499" spans="1:20" ht="16.5" hidden="1" x14ac:dyDescent="0.3">
      <c r="A499" s="9" t="s">
        <v>311</v>
      </c>
      <c r="B499" s="75">
        <v>46139</v>
      </c>
      <c r="C499" s="9" t="s">
        <v>168</v>
      </c>
      <c r="D499" s="9" t="str">
        <f>IFERROR(VLOOKUP(PagosV2[[#This Row],[Codigo del producto]],Entradas[],3,FALSE),"No existe")</f>
        <v>Cable de Repuesto KZ Tipo C</v>
      </c>
      <c r="E499" s="9">
        <v>1</v>
      </c>
      <c r="F499" s="11">
        <v>400</v>
      </c>
      <c r="G499" s="11">
        <f>IFERROR(PagosV2[[#This Row],[Cantidad vendida]]*PagosV2[[#This Row],[Precio de venta]],"-")</f>
        <v>400</v>
      </c>
      <c r="H499" s="11">
        <f>IFERROR(PagosV2[[#This Row],[Precio de venta]]-VLOOKUP(PagosV2[[#This Row],[Codigo del producto]],Stock[],13,FALSE),"-")</f>
        <v>125.09899999999993</v>
      </c>
      <c r="I499" s="11">
        <f>IFERROR(PagosV2[[#This Row],[Ganancia (UB)]]*$B$357,0)</f>
        <v>3.7529699999999977</v>
      </c>
      <c r="J499" s="11">
        <f>IFERROR(PagosV2[[#This Row],[Ganancia (UB)]]*$B$358,0)</f>
        <v>7.5059399999999954</v>
      </c>
      <c r="K499" s="11">
        <f>IFERROR(PagosV2[[#This Row],[Ganancia (UB)]]*$B$359,0)</f>
        <v>3.7529699999999977</v>
      </c>
      <c r="L499" s="11">
        <f>IFERROR(PagosV2[[#This Row],[Ganancia (UB)]]*$B$360,0)</f>
        <v>3.7529699999999977</v>
      </c>
      <c r="M499" s="11">
        <f>IFERROR(PagosV2[[#This Row],[Ganancia (UB)]]-PagosV2[[#This Row],[PM]]-PagosV2[[#This Row],[GC]]-PagosV2[[#This Row],[PC]]-PagosV2[[#This Row],[U]],0)</f>
        <v>106.33414999999994</v>
      </c>
      <c r="N499" s="11">
        <f t="shared" si="8"/>
        <v>47.850367499999976</v>
      </c>
      <c r="O499" s="11">
        <f>IFERROR(PagosV2[[#This Row],[Ganancia (UV)]]*PagosV2[[#This Row],[Cantidad vendida]],0)</f>
        <v>47.850367499999976</v>
      </c>
      <c r="P499" s="1">
        <f>IFERROR(PagosV2[[#This Row],[Ganancia (N)]]-PagosV2[[#This Row],[Ganancia (UV)]],0)</f>
        <v>58.483782499999961</v>
      </c>
      <c r="Q499" s="1">
        <f>IFERROR(PagosV2[[#This Row],[Ganancia individual (Tienda)]]*PagosV2[[#This Row],[Cantidad vendida]],0)</f>
        <v>58.483782499999961</v>
      </c>
      <c r="R499" s="1">
        <f>IFERROR((PagosV2[[#This Row],[Precio de venta]]-PagosV2[[#This Row],[Ganancia (UB)]])*PagosV2[[#This Row],[Cantidad vendida]],0)</f>
        <v>274.90100000000007</v>
      </c>
      <c r="S499" s="21" t="s">
        <v>312</v>
      </c>
      <c r="T499" s="21"/>
    </row>
    <row r="500" spans="1:20" ht="16.5" hidden="1" x14ac:dyDescent="0.3">
      <c r="A500" s="9" t="s">
        <v>311</v>
      </c>
      <c r="B500" s="75">
        <v>46139</v>
      </c>
      <c r="C500" s="9" t="s">
        <v>167</v>
      </c>
      <c r="D500" s="9" t="str">
        <f>IFERROR(VLOOKUP(PagosV2[[#This Row],[Codigo del producto]],Entradas[],3,FALSE),"No existe")</f>
        <v>KZ Castor Improved Bass</v>
      </c>
      <c r="E500" s="9">
        <v>1</v>
      </c>
      <c r="F500" s="11">
        <v>600</v>
      </c>
      <c r="G500" s="11">
        <f>IFERROR(PagosV2[[#This Row],[Cantidad vendida]]*PagosV2[[#This Row],[Precio de venta]],"-")</f>
        <v>600</v>
      </c>
      <c r="H500" s="11">
        <f>IFERROR(PagosV2[[#This Row],[Precio de venta]]-VLOOKUP(PagosV2[[#This Row],[Codigo del producto]],Stock[],13,FALSE),"-")</f>
        <v>166.27550000000002</v>
      </c>
      <c r="I500" s="11">
        <f>IFERROR(PagosV2[[#This Row],[Ganancia (UB)]]*$B$357,0)</f>
        <v>4.9882650000000002</v>
      </c>
      <c r="J500" s="11">
        <f>IFERROR(PagosV2[[#This Row],[Ganancia (UB)]]*$B$358,0)</f>
        <v>9.9765300000000003</v>
      </c>
      <c r="K500" s="11">
        <f>IFERROR(PagosV2[[#This Row],[Ganancia (UB)]]*$B$359,0)</f>
        <v>4.9882650000000002</v>
      </c>
      <c r="L500" s="11">
        <f>IFERROR(PagosV2[[#This Row],[Ganancia (UB)]]*$B$360,0)</f>
        <v>4.9882650000000002</v>
      </c>
      <c r="M500" s="11">
        <f>IFERROR(PagosV2[[#This Row],[Ganancia (UB)]]-PagosV2[[#This Row],[PM]]-PagosV2[[#This Row],[GC]]-PagosV2[[#This Row],[PC]]-PagosV2[[#This Row],[U]],0)</f>
        <v>141.33417499999999</v>
      </c>
      <c r="N500" s="11">
        <f t="shared" si="8"/>
        <v>63.600378749999997</v>
      </c>
      <c r="O500" s="11">
        <f>IFERROR(PagosV2[[#This Row],[Ganancia (UV)]]*PagosV2[[#This Row],[Cantidad vendida]],0)</f>
        <v>63.600378749999997</v>
      </c>
      <c r="P500" s="1">
        <f>IFERROR(PagosV2[[#This Row],[Ganancia (N)]]-PagosV2[[#This Row],[Ganancia (UV)]],0)</f>
        <v>77.733796249999983</v>
      </c>
      <c r="Q500" s="1">
        <f>IFERROR(PagosV2[[#This Row],[Ganancia individual (Tienda)]]*PagosV2[[#This Row],[Cantidad vendida]],0)</f>
        <v>77.733796249999983</v>
      </c>
      <c r="R500" s="1">
        <f>IFERROR((PagosV2[[#This Row],[Precio de venta]]-PagosV2[[#This Row],[Ganancia (UB)]])*PagosV2[[#This Row],[Cantidad vendida]],0)</f>
        <v>433.72449999999998</v>
      </c>
      <c r="S500" s="21" t="s">
        <v>312</v>
      </c>
      <c r="T500" s="21"/>
    </row>
    <row r="501" spans="1:20" ht="16.5" hidden="1" x14ac:dyDescent="0.3">
      <c r="A501" s="9" t="s">
        <v>311</v>
      </c>
      <c r="B501" s="75">
        <v>46139</v>
      </c>
      <c r="C501" s="9" t="s">
        <v>157</v>
      </c>
      <c r="D501" s="9" t="str">
        <f>IFERROR(VLOOKUP(PagosV2[[#This Row],[Codigo del producto]],Entradas[],3,FALSE),"No existe")</f>
        <v>KZ AZ09</v>
      </c>
      <c r="E501" s="9">
        <v>1</v>
      </c>
      <c r="F501" s="11">
        <v>900</v>
      </c>
      <c r="G501" s="11">
        <f>IFERROR(PagosV2[[#This Row],[Cantidad vendida]]*PagosV2[[#This Row],[Precio de venta]],"-")</f>
        <v>900</v>
      </c>
      <c r="H501" s="11">
        <f>IFERROR(PagosV2[[#This Row],[Precio de venta]]-VLOOKUP(PagosV2[[#This Row],[Codigo del producto]],Stock[],13,FALSE),"-")</f>
        <v>247.38649999999996</v>
      </c>
      <c r="I501" s="11">
        <f>IFERROR(PagosV2[[#This Row],[Ganancia (UB)]]*$B$357,0)</f>
        <v>7.4215949999999982</v>
      </c>
      <c r="J501" s="11">
        <f>IFERROR(PagosV2[[#This Row],[Ganancia (UB)]]*$B$358,0)</f>
        <v>14.843189999999996</v>
      </c>
      <c r="K501" s="11">
        <f>IFERROR(PagosV2[[#This Row],[Ganancia (UB)]]*$B$359,0)</f>
        <v>7.4215949999999982</v>
      </c>
      <c r="L501" s="11">
        <f>IFERROR(PagosV2[[#This Row],[Ganancia (UB)]]*$B$360,0)</f>
        <v>7.4215949999999982</v>
      </c>
      <c r="M501" s="11">
        <f>IFERROR(PagosV2[[#This Row],[Ganancia (UB)]]-PagosV2[[#This Row],[PM]]-PagosV2[[#This Row],[GC]]-PagosV2[[#This Row],[PC]]-PagosV2[[#This Row],[U]],0)</f>
        <v>210.27852499999997</v>
      </c>
      <c r="N501" s="11">
        <f t="shared" si="8"/>
        <v>94.625336249999989</v>
      </c>
      <c r="O501" s="11">
        <f>IFERROR(PagosV2[[#This Row],[Ganancia (UV)]]*PagosV2[[#This Row],[Cantidad vendida]],0)</f>
        <v>94.625336249999989</v>
      </c>
      <c r="P501" s="1">
        <f>IFERROR(PagosV2[[#This Row],[Ganancia (N)]]-PagosV2[[#This Row],[Ganancia (UV)]],0)</f>
        <v>115.65318874999998</v>
      </c>
      <c r="Q501" s="1">
        <f>IFERROR(PagosV2[[#This Row],[Ganancia individual (Tienda)]]*PagosV2[[#This Row],[Cantidad vendida]],0)</f>
        <v>115.65318874999998</v>
      </c>
      <c r="R501" s="1">
        <f>IFERROR((PagosV2[[#This Row],[Precio de venta]]-PagosV2[[#This Row],[Ganancia (UB)]])*PagosV2[[#This Row],[Cantidad vendida]],0)</f>
        <v>652.61350000000004</v>
      </c>
      <c r="S501" s="21" t="s">
        <v>312</v>
      </c>
      <c r="T501" s="21"/>
    </row>
    <row r="502" spans="1:20" ht="16.5" hidden="1" x14ac:dyDescent="0.3">
      <c r="A502" s="9" t="s">
        <v>327</v>
      </c>
      <c r="B502" s="75">
        <v>46140</v>
      </c>
      <c r="C502" s="9" t="s">
        <v>130</v>
      </c>
      <c r="D502" s="9" t="str">
        <f>IFERROR(VLOOKUP(PagosV2[[#This Row],[Codigo del producto]],Entradas[],3,FALSE),"No existe")</f>
        <v>Cargadores USB para moto (Sin pantalla)</v>
      </c>
      <c r="E502" s="9">
        <v>1</v>
      </c>
      <c r="F502" s="11">
        <v>500</v>
      </c>
      <c r="G502" s="11">
        <f>IFERROR(PagosV2[[#This Row],[Cantidad vendida]]*PagosV2[[#This Row],[Precio de venta]],"-")</f>
        <v>500</v>
      </c>
      <c r="H502" s="11">
        <f>IFERROR(PagosV2[[#This Row],[Precio de venta]]-VLOOKUP(PagosV2[[#This Row],[Codigo del producto]],Stock[],13,FALSE),"-")</f>
        <v>255.68449999999996</v>
      </c>
      <c r="I502" s="11">
        <f>IFERROR(PagosV2[[#This Row],[Ganancia (UB)]]*$B$357,0)</f>
        <v>7.6705349999999983</v>
      </c>
      <c r="J502" s="11">
        <f>IFERROR(PagosV2[[#This Row],[Ganancia (UB)]]*$B$358,0)</f>
        <v>15.341069999999997</v>
      </c>
      <c r="K502" s="11">
        <f>IFERROR(PagosV2[[#This Row],[Ganancia (UB)]]*$B$359,0)</f>
        <v>7.6705349999999983</v>
      </c>
      <c r="L502" s="11">
        <f>IFERROR(PagosV2[[#This Row],[Ganancia (UB)]]*$B$360,0)</f>
        <v>7.6705349999999983</v>
      </c>
      <c r="M502" s="11">
        <f>IFERROR(PagosV2[[#This Row],[Ganancia (UB)]]-PagosV2[[#This Row],[PM]]-PagosV2[[#This Row],[GC]]-PagosV2[[#This Row],[PC]]-PagosV2[[#This Row],[U]],0)</f>
        <v>217.33182499999995</v>
      </c>
      <c r="N502" s="11">
        <f t="shared" si="8"/>
        <v>97.799321249999977</v>
      </c>
      <c r="O502" s="11">
        <f>IFERROR(PagosV2[[#This Row],[Ganancia (UV)]]*PagosV2[[#This Row],[Cantidad vendida]],0)</f>
        <v>97.799321249999977</v>
      </c>
      <c r="P502" s="1">
        <f>IFERROR(PagosV2[[#This Row],[Ganancia (N)]]-PagosV2[[#This Row],[Ganancia (UV)]],0)</f>
        <v>119.53250374999998</v>
      </c>
      <c r="Q502" s="1">
        <f>IFERROR(PagosV2[[#This Row],[Ganancia individual (Tienda)]]*PagosV2[[#This Row],[Cantidad vendida]],0)</f>
        <v>119.53250374999998</v>
      </c>
      <c r="R502" s="1">
        <f>IFERROR((PagosV2[[#This Row],[Precio de venta]]-PagosV2[[#This Row],[Ganancia (UB)]])*PagosV2[[#This Row],[Cantidad vendida]],0)</f>
        <v>244.31550000000004</v>
      </c>
      <c r="S502" s="21" t="s">
        <v>312</v>
      </c>
      <c r="T502" s="21"/>
    </row>
    <row r="503" spans="1:20" ht="16.5" hidden="1" x14ac:dyDescent="0.3">
      <c r="A503" s="9" t="s">
        <v>327</v>
      </c>
      <c r="B503" s="75">
        <v>46140</v>
      </c>
      <c r="C503" s="9" t="s">
        <v>152</v>
      </c>
      <c r="D503" s="9" t="str">
        <f>IFERROR(VLOOKUP(PagosV2[[#This Row],[Codigo del producto]],Entradas[],3,FALSE),"No existe")</f>
        <v>Kit Estuche para Nintendo Switch</v>
      </c>
      <c r="E503" s="9">
        <v>1</v>
      </c>
      <c r="F503" s="11">
        <v>750</v>
      </c>
      <c r="G503" s="11">
        <f>IFERROR(PagosV2[[#This Row],[Cantidad vendida]]*PagosV2[[#This Row],[Precio de venta]],"-")</f>
        <v>750</v>
      </c>
      <c r="H503" s="11">
        <f>IFERROR(PagosV2[[#This Row],[Precio de venta]]-VLOOKUP(PagosV2[[#This Row],[Codigo del producto]],Stock[],13,FALSE),"-")</f>
        <v>318.11799999999994</v>
      </c>
      <c r="I503" s="11">
        <f>IFERROR(PagosV2[[#This Row],[Ganancia (UB)]]*$B$357,0)</f>
        <v>9.5435399999999984</v>
      </c>
      <c r="J503" s="11">
        <f>IFERROR(PagosV2[[#This Row],[Ganancia (UB)]]*$B$358,0)</f>
        <v>19.087079999999997</v>
      </c>
      <c r="K503" s="11">
        <f>IFERROR(PagosV2[[#This Row],[Ganancia (UB)]]*$B$359,0)</f>
        <v>9.5435399999999984</v>
      </c>
      <c r="L503" s="11">
        <f>IFERROR(PagosV2[[#This Row],[Ganancia (UB)]]*$B$360,0)</f>
        <v>9.5435399999999984</v>
      </c>
      <c r="M503" s="11">
        <f>IFERROR(PagosV2[[#This Row],[Ganancia (UB)]]-PagosV2[[#This Row],[PM]]-PagosV2[[#This Row],[GC]]-PagosV2[[#This Row],[PC]]-PagosV2[[#This Row],[U]],0)</f>
        <v>270.4002999999999</v>
      </c>
      <c r="N503" s="11">
        <f t="shared" si="8"/>
        <v>121.68013499999996</v>
      </c>
      <c r="O503" s="11">
        <f>IFERROR(PagosV2[[#This Row],[Ganancia (UV)]]*PagosV2[[#This Row],[Cantidad vendida]],0)</f>
        <v>121.68013499999996</v>
      </c>
      <c r="P503" s="1">
        <f>IFERROR(PagosV2[[#This Row],[Ganancia (N)]]-PagosV2[[#This Row],[Ganancia (UV)]],0)</f>
        <v>148.72016499999995</v>
      </c>
      <c r="Q503" s="1">
        <f>IFERROR(PagosV2[[#This Row],[Ganancia individual (Tienda)]]*PagosV2[[#This Row],[Cantidad vendida]],0)</f>
        <v>148.72016499999995</v>
      </c>
      <c r="R503" s="1">
        <f>IFERROR((PagosV2[[#This Row],[Precio de venta]]-PagosV2[[#This Row],[Ganancia (UB)]])*PagosV2[[#This Row],[Cantidad vendida]],0)</f>
        <v>431.88200000000006</v>
      </c>
      <c r="S503" s="21" t="s">
        <v>312</v>
      </c>
      <c r="T503" s="21"/>
    </row>
    <row r="504" spans="1:20" ht="16.5" hidden="1" x14ac:dyDescent="0.3">
      <c r="A504" s="9" t="s">
        <v>327</v>
      </c>
      <c r="B504" s="75">
        <v>46140</v>
      </c>
      <c r="C504" s="9" t="s">
        <v>106</v>
      </c>
      <c r="D504" s="9" t="str">
        <f>IFERROR(VLOOKUP(PagosV2[[#This Row],[Codigo del producto]],Entradas[],3,FALSE),"No existe")</f>
        <v>Shark Attack Mouse X11 white</v>
      </c>
      <c r="E504" s="9">
        <v>1</v>
      </c>
      <c r="F504" s="11">
        <v>1300</v>
      </c>
      <c r="G504" s="11">
        <f>IFERROR(PagosV2[[#This Row],[Cantidad vendida]]*PagosV2[[#This Row],[Precio de venta]],"-")</f>
        <v>1300</v>
      </c>
      <c r="H504" s="11">
        <f>IFERROR(PagosV2[[#This Row],[Precio de venta]]-VLOOKUP(PagosV2[[#This Row],[Codigo del producto]],Stock[],13,FALSE),"-")</f>
        <v>477.50799999999992</v>
      </c>
      <c r="I504" s="11">
        <f>IFERROR(PagosV2[[#This Row],[Ganancia (UB)]]*$B$357,0)</f>
        <v>14.325239999999997</v>
      </c>
      <c r="J504" s="11">
        <f>IFERROR(PagosV2[[#This Row],[Ganancia (UB)]]*$B$358,0)</f>
        <v>28.650479999999995</v>
      </c>
      <c r="K504" s="11">
        <f>IFERROR(PagosV2[[#This Row],[Ganancia (UB)]]*$B$359,0)</f>
        <v>14.325239999999997</v>
      </c>
      <c r="L504" s="11">
        <f>IFERROR(PagosV2[[#This Row],[Ganancia (UB)]]*$B$360,0)</f>
        <v>14.325239999999997</v>
      </c>
      <c r="M504" s="11">
        <f>IFERROR(PagosV2[[#This Row],[Ganancia (UB)]]-PagosV2[[#This Row],[PM]]-PagosV2[[#This Row],[GC]]-PagosV2[[#This Row],[PC]]-PagosV2[[#This Row],[U]],0)</f>
        <v>405.88179999999988</v>
      </c>
      <c r="N504" s="11">
        <f t="shared" si="8"/>
        <v>162.35271999999998</v>
      </c>
      <c r="O504" s="11">
        <f>IFERROR(PagosV2[[#This Row],[Ganancia (UV)]]*PagosV2[[#This Row],[Cantidad vendida]],0)</f>
        <v>162.35271999999998</v>
      </c>
      <c r="P504" s="1">
        <f>IFERROR(PagosV2[[#This Row],[Ganancia (N)]]-PagosV2[[#This Row],[Ganancia (UV)]],0)</f>
        <v>243.52907999999991</v>
      </c>
      <c r="Q504" s="1">
        <f>IFERROR(PagosV2[[#This Row],[Ganancia individual (Tienda)]]*PagosV2[[#This Row],[Cantidad vendida]],0)</f>
        <v>243.52907999999991</v>
      </c>
      <c r="R504" s="1">
        <f>IFERROR((PagosV2[[#This Row],[Precio de venta]]-PagosV2[[#This Row],[Ganancia (UB)]])*PagosV2[[#This Row],[Cantidad vendida]],0)</f>
        <v>822.49200000000008</v>
      </c>
      <c r="S504" s="21" t="s">
        <v>312</v>
      </c>
      <c r="T504" s="21"/>
    </row>
    <row r="505" spans="1:20" ht="16.5" hidden="1" x14ac:dyDescent="0.3">
      <c r="A505" s="9" t="s">
        <v>311</v>
      </c>
      <c r="B505" s="75">
        <v>46140</v>
      </c>
      <c r="C505" s="9" t="s">
        <v>145</v>
      </c>
      <c r="D505" s="9" t="str">
        <f>IFERROR(VLOOKUP(PagosV2[[#This Row],[Codigo del producto]],Entradas[],3,FALSE),"No existe")</f>
        <v>Headset Bluetooth para moto (C50)</v>
      </c>
      <c r="E505" s="9">
        <v>1</v>
      </c>
      <c r="F505" s="11">
        <v>900</v>
      </c>
      <c r="G505" s="11">
        <f>IFERROR(PagosV2[[#This Row],[Cantidad vendida]]*PagosV2[[#This Row],[Precio de venta]],"-")</f>
        <v>900</v>
      </c>
      <c r="H505" s="11">
        <f>IFERROR(PagosV2[[#This Row],[Precio de venta]]-VLOOKUP(PagosV2[[#This Row],[Codigo del producto]],Stock[],13,FALSE),"-")</f>
        <v>310.39999999999998</v>
      </c>
      <c r="I505" s="11">
        <f>IFERROR(PagosV2[[#This Row],[Ganancia (UB)]]*$B$357,0)</f>
        <v>9.3119999999999994</v>
      </c>
      <c r="J505" s="11">
        <f>IFERROR(PagosV2[[#This Row],[Ganancia (UB)]]*$B$358,0)</f>
        <v>18.623999999999999</v>
      </c>
      <c r="K505" s="11">
        <f>IFERROR(PagosV2[[#This Row],[Ganancia (UB)]]*$B$359,0)</f>
        <v>9.3119999999999994</v>
      </c>
      <c r="L505" s="11">
        <f>IFERROR(PagosV2[[#This Row],[Ganancia (UB)]]*$B$360,0)</f>
        <v>9.3119999999999994</v>
      </c>
      <c r="M505" s="11">
        <f>IFERROR(PagosV2[[#This Row],[Ganancia (UB)]]-PagosV2[[#This Row],[PM]]-PagosV2[[#This Row],[GC]]-PagosV2[[#This Row],[PC]]-PagosV2[[#This Row],[U]],0)</f>
        <v>263.83999999999992</v>
      </c>
      <c r="N505" s="11">
        <f t="shared" si="8"/>
        <v>118.72799999999997</v>
      </c>
      <c r="O505" s="11">
        <f>IFERROR(PagosV2[[#This Row],[Ganancia (UV)]]*PagosV2[[#This Row],[Cantidad vendida]],0)</f>
        <v>118.72799999999997</v>
      </c>
      <c r="P505" s="1">
        <f>IFERROR(PagosV2[[#This Row],[Ganancia (N)]]-PagosV2[[#This Row],[Ganancia (UV)]],0)</f>
        <v>145.11199999999997</v>
      </c>
      <c r="Q505" s="1">
        <f>IFERROR(PagosV2[[#This Row],[Ganancia individual (Tienda)]]*PagosV2[[#This Row],[Cantidad vendida]],0)</f>
        <v>145.11199999999997</v>
      </c>
      <c r="R505" s="1">
        <f>IFERROR((PagosV2[[#This Row],[Precio de venta]]-PagosV2[[#This Row],[Ganancia (UB)]])*PagosV2[[#This Row],[Cantidad vendida]],0)</f>
        <v>589.6</v>
      </c>
      <c r="S505" s="21" t="s">
        <v>312</v>
      </c>
      <c r="T505" s="21"/>
    </row>
    <row r="506" spans="1:20" ht="16.5" hidden="1" x14ac:dyDescent="0.3">
      <c r="A506" s="9" t="s">
        <v>313</v>
      </c>
      <c r="B506" s="75">
        <v>46142</v>
      </c>
      <c r="C506" s="9" t="s">
        <v>167</v>
      </c>
      <c r="D506" s="9" t="str">
        <f>IFERROR(VLOOKUP(PagosV2[[#This Row],[Codigo del producto]],Entradas[],3,FALSE),"No existe")</f>
        <v>KZ Castor Improved Bass</v>
      </c>
      <c r="E506" s="9">
        <v>3</v>
      </c>
      <c r="F506" s="11">
        <v>650</v>
      </c>
      <c r="G506" s="11">
        <f>IFERROR(PagosV2[[#This Row],[Cantidad vendida]]*PagosV2[[#This Row],[Precio de venta]],"-")</f>
        <v>1950</v>
      </c>
      <c r="H506" s="11">
        <f>IFERROR(PagosV2[[#This Row],[Precio de venta]]-VLOOKUP(PagosV2[[#This Row],[Codigo del producto]],Stock[],13,FALSE),"-")</f>
        <v>216.27550000000002</v>
      </c>
      <c r="I506" s="11">
        <f>IFERROR(PagosV2[[#This Row],[Ganancia (UB)]]*$B$357,0)</f>
        <v>6.4882650000000002</v>
      </c>
      <c r="J506" s="11">
        <f>IFERROR(PagosV2[[#This Row],[Ganancia (UB)]]*$B$358,0)</f>
        <v>12.97653</v>
      </c>
      <c r="K506" s="11">
        <f>IFERROR(PagosV2[[#This Row],[Ganancia (UB)]]*$B$359,0)</f>
        <v>6.4882650000000002</v>
      </c>
      <c r="L506" s="11">
        <f>IFERROR(PagosV2[[#This Row],[Ganancia (UB)]]*$B$360,0)</f>
        <v>6.4882650000000002</v>
      </c>
      <c r="M506" s="11">
        <f>IFERROR(PagosV2[[#This Row],[Ganancia (UB)]]-PagosV2[[#This Row],[PM]]-PagosV2[[#This Row],[GC]]-PagosV2[[#This Row],[PC]]-PagosV2[[#This Row],[U]],0)</f>
        <v>183.83417499999999</v>
      </c>
      <c r="N506" s="11">
        <f t="shared" si="8"/>
        <v>82.72537874999999</v>
      </c>
      <c r="O506" s="11" t="s">
        <v>391</v>
      </c>
      <c r="P506" s="1">
        <f>IFERROR(PagosV2[[#This Row],[Ganancia (N)]]-PagosV2[[#This Row],[Ganancia (UV)]],0)</f>
        <v>101.10879625</v>
      </c>
      <c r="Q506" s="1">
        <f>IFERROR(PagosV2[[#This Row],[Ganancia individual (Tienda)]]*PagosV2[[#This Row],[Cantidad vendida]],0)</f>
        <v>303.32638874999998</v>
      </c>
      <c r="R506" s="1">
        <f>IFERROR((PagosV2[[#This Row],[Precio de venta]]-PagosV2[[#This Row],[Ganancia (UB)]])*PagosV2[[#This Row],[Cantidad vendida]],0)</f>
        <v>1301.1734999999999</v>
      </c>
      <c r="S506" s="21" t="s">
        <v>312</v>
      </c>
      <c r="T506" s="21"/>
    </row>
    <row r="507" spans="1:20" ht="16.5" hidden="1" x14ac:dyDescent="0.3">
      <c r="A507" s="9" t="s">
        <v>313</v>
      </c>
      <c r="B507" s="75">
        <v>46142</v>
      </c>
      <c r="C507" s="9" t="s">
        <v>164</v>
      </c>
      <c r="D507" s="9" t="str">
        <f>IFERROR(VLOOKUP(PagosV2[[#This Row],[Codigo del producto]],Entradas[],3,FALSE),"No existe")</f>
        <v>Bolso Protector Audifonos KZ</v>
      </c>
      <c r="E507" s="9">
        <v>3</v>
      </c>
      <c r="F507" s="11">
        <v>50</v>
      </c>
      <c r="G507" s="11">
        <f>IFERROR(PagosV2[[#This Row],[Cantidad vendida]]*PagosV2[[#This Row],[Precio de venta]],"-")</f>
        <v>150</v>
      </c>
      <c r="H507" s="11">
        <f>IFERROR(PagosV2[[#This Row],[Precio de venta]]-VLOOKUP(PagosV2[[#This Row],[Codigo del producto]],Stock[],13,FALSE),"-")</f>
        <v>21.625499999999999</v>
      </c>
      <c r="I507" s="11">
        <f>IFERROR(PagosV2[[#This Row],[Ganancia (UB)]]*$B$357,0)</f>
        <v>0.64876499999999993</v>
      </c>
      <c r="J507" s="11">
        <f>IFERROR(PagosV2[[#This Row],[Ganancia (UB)]]*$B$358,0)</f>
        <v>1.2975299999999999</v>
      </c>
      <c r="K507" s="11">
        <f>IFERROR(PagosV2[[#This Row],[Ganancia (UB)]]*$B$359,0)</f>
        <v>0.64876499999999993</v>
      </c>
      <c r="L507" s="11">
        <f>IFERROR(PagosV2[[#This Row],[Ganancia (UB)]]*$B$360,0)</f>
        <v>0.64876499999999993</v>
      </c>
      <c r="M507" s="11">
        <f>IFERROR(PagosV2[[#This Row],[Ganancia (UB)]]-PagosV2[[#This Row],[PM]]-PagosV2[[#This Row],[GC]]-PagosV2[[#This Row],[PC]]-PagosV2[[#This Row],[U]],0)</f>
        <v>18.381674999999998</v>
      </c>
      <c r="N507" s="11">
        <f t="shared" si="8"/>
        <v>8.2717537499999985</v>
      </c>
      <c r="O507" s="11">
        <f>IFERROR(PagosV2[[#This Row],[Ganancia (UV)]]*PagosV2[[#This Row],[Cantidad vendida]],0)</f>
        <v>24.815261249999995</v>
      </c>
      <c r="P507" s="1">
        <f>IFERROR(PagosV2[[#This Row],[Ganancia (N)]]-PagosV2[[#This Row],[Ganancia (UV)]],0)</f>
        <v>10.109921249999999</v>
      </c>
      <c r="Q507" s="1">
        <f>IFERROR(PagosV2[[#This Row],[Ganancia individual (Tienda)]]*PagosV2[[#This Row],[Cantidad vendida]],0)</f>
        <v>30.329763749999998</v>
      </c>
      <c r="R507" s="1">
        <f>IFERROR((PagosV2[[#This Row],[Precio de venta]]-PagosV2[[#This Row],[Ganancia (UB)]])*PagosV2[[#This Row],[Cantidad vendida]],0)</f>
        <v>85.123500000000007</v>
      </c>
      <c r="S507" s="21" t="s">
        <v>312</v>
      </c>
      <c r="T507" s="21"/>
    </row>
    <row r="508" spans="1:20" ht="16.5" hidden="1" x14ac:dyDescent="0.3">
      <c r="A508" s="9" t="s">
        <v>313</v>
      </c>
      <c r="B508" s="75">
        <v>46142</v>
      </c>
      <c r="C508" s="9" t="s">
        <v>124</v>
      </c>
      <c r="D508" s="9" t="str">
        <f>IFERROR(VLOOKUP(PagosV2[[#This Row],[Codigo del producto]],Entradas[],3,FALSE),"No existe")</f>
        <v xml:space="preserve">LinYubo Switch controller </v>
      </c>
      <c r="E508" s="9">
        <v>1</v>
      </c>
      <c r="F508" s="11">
        <v>1500</v>
      </c>
      <c r="G508" s="11">
        <f>IFERROR(PagosV2[[#This Row],[Cantidad vendida]]*PagosV2[[#This Row],[Precio de venta]],"-")</f>
        <v>1500</v>
      </c>
      <c r="H508" s="11">
        <f>IFERROR(PagosV2[[#This Row],[Precio de venta]]-VLOOKUP(PagosV2[[#This Row],[Codigo del producto]],Stock[],13,FALSE),"-")</f>
        <v>499.154</v>
      </c>
      <c r="I508" s="11">
        <f>IFERROR(PagosV2[[#This Row],[Ganancia (UB)]]*$B$357,0)</f>
        <v>14.97462</v>
      </c>
      <c r="J508" s="11">
        <f>IFERROR(PagosV2[[#This Row],[Ganancia (UB)]]*$B$358,0)</f>
        <v>29.94924</v>
      </c>
      <c r="K508" s="11">
        <f>IFERROR(PagosV2[[#This Row],[Ganancia (UB)]]*$B$359,0)</f>
        <v>14.97462</v>
      </c>
      <c r="L508" s="11">
        <f>IFERROR(PagosV2[[#This Row],[Ganancia (UB)]]*$B$360,0)</f>
        <v>14.97462</v>
      </c>
      <c r="M508" s="11">
        <f>IFERROR(PagosV2[[#This Row],[Ganancia (UB)]]-PagosV2[[#This Row],[PM]]-PagosV2[[#This Row],[GC]]-PagosV2[[#This Row],[PC]]-PagosV2[[#This Row],[U]],0)</f>
        <v>424.28089999999997</v>
      </c>
      <c r="N508" s="11">
        <f t="shared" si="8"/>
        <v>169.71235999999999</v>
      </c>
      <c r="O508" s="11">
        <f>IFERROR(PagosV2[[#This Row],[Ganancia (UV)]]*PagosV2[[#This Row],[Cantidad vendida]],0)</f>
        <v>169.71235999999999</v>
      </c>
      <c r="P508" s="1">
        <f>IFERROR(PagosV2[[#This Row],[Ganancia (N)]]-PagosV2[[#This Row],[Ganancia (UV)]],0)</f>
        <v>254.56853999999998</v>
      </c>
      <c r="Q508" s="1">
        <f>IFERROR(PagosV2[[#This Row],[Ganancia individual (Tienda)]]*PagosV2[[#This Row],[Cantidad vendida]],0)</f>
        <v>254.56853999999998</v>
      </c>
      <c r="R508" s="1">
        <f>IFERROR((PagosV2[[#This Row],[Precio de venta]]-PagosV2[[#This Row],[Ganancia (UB)]])*PagosV2[[#This Row],[Cantidad vendida]],0)</f>
        <v>1000.846</v>
      </c>
      <c r="S508" s="21" t="s">
        <v>312</v>
      </c>
      <c r="T508" s="21"/>
    </row>
    <row r="509" spans="1:20" ht="16.5" hidden="1" x14ac:dyDescent="0.3">
      <c r="A509" s="9" t="s">
        <v>313</v>
      </c>
      <c r="B509" s="75">
        <v>46142</v>
      </c>
      <c r="C509" s="9" t="s">
        <v>173</v>
      </c>
      <c r="D509" s="9" t="str">
        <f>IFERROR(VLOOKUP(PagosV2[[#This Row],[Codigo del producto]],Entradas[],3,FALSE),"No existe")</f>
        <v>KZ ZSN PRO 2</v>
      </c>
      <c r="E509" s="9">
        <v>1</v>
      </c>
      <c r="F509" s="11">
        <v>850</v>
      </c>
      <c r="G509" s="11">
        <f>IFERROR(PagosV2[[#This Row],[Cantidad vendida]]*PagosV2[[#This Row],[Precio de venta]],"-")</f>
        <v>850</v>
      </c>
      <c r="H509" s="11">
        <f>IFERROR(PagosV2[[#This Row],[Precio de venta]]-VLOOKUP(PagosV2[[#This Row],[Codigo del producto]],Stock[],13,FALSE),"-")</f>
        <v>331.15199999999993</v>
      </c>
      <c r="I509" s="11">
        <f>IFERROR(PagosV2[[#This Row],[Ganancia (UB)]]*$B$357,0)</f>
        <v>9.9345599999999976</v>
      </c>
      <c r="J509" s="11">
        <f>IFERROR(PagosV2[[#This Row],[Ganancia (UB)]]*$B$358,0)</f>
        <v>19.869119999999995</v>
      </c>
      <c r="K509" s="11">
        <f>IFERROR(PagosV2[[#This Row],[Ganancia (UB)]]*$B$359,0)</f>
        <v>9.9345599999999976</v>
      </c>
      <c r="L509" s="11">
        <f>IFERROR(PagosV2[[#This Row],[Ganancia (UB)]]*$B$360,0)</f>
        <v>9.9345599999999976</v>
      </c>
      <c r="M509" s="11">
        <f>IFERROR(PagosV2[[#This Row],[Ganancia (UB)]]-PagosV2[[#This Row],[PM]]-PagosV2[[#This Row],[GC]]-PagosV2[[#This Row],[PC]]-PagosV2[[#This Row],[U]],0)</f>
        <v>281.47919999999999</v>
      </c>
      <c r="N509" s="11">
        <f t="shared" si="8"/>
        <v>126.66564</v>
      </c>
      <c r="O509" s="11">
        <f>IFERROR(PagosV2[[#This Row],[Ganancia (UV)]]*PagosV2[[#This Row],[Cantidad vendida]],0)</f>
        <v>126.66564</v>
      </c>
      <c r="P509" s="1">
        <f>IFERROR(PagosV2[[#This Row],[Ganancia (N)]]-PagosV2[[#This Row],[Ganancia (UV)]],0)</f>
        <v>154.81356</v>
      </c>
      <c r="Q509" s="1">
        <f>IFERROR(PagosV2[[#This Row],[Ganancia individual (Tienda)]]*PagosV2[[#This Row],[Cantidad vendida]],0)</f>
        <v>154.81356</v>
      </c>
      <c r="R509" s="1">
        <f>IFERROR((PagosV2[[#This Row],[Precio de venta]]-PagosV2[[#This Row],[Ganancia (UB)]])*PagosV2[[#This Row],[Cantidad vendida]],0)</f>
        <v>518.84800000000007</v>
      </c>
      <c r="S509" s="21" t="s">
        <v>312</v>
      </c>
      <c r="T509" s="21"/>
    </row>
    <row r="510" spans="1:20" ht="16.5" hidden="1" x14ac:dyDescent="0.3">
      <c r="A510" s="9" t="s">
        <v>313</v>
      </c>
      <c r="B510" s="75">
        <v>46142</v>
      </c>
      <c r="C510" s="9" t="s">
        <v>174</v>
      </c>
      <c r="D510" s="9" t="str">
        <f>IFERROR(VLOOKUP(PagosV2[[#This Row],[Codigo del producto]],Entradas[],3,FALSE),"No existe")</f>
        <v>KZ Castor</v>
      </c>
      <c r="E510" s="9">
        <v>1</v>
      </c>
      <c r="F510" s="11">
        <v>650</v>
      </c>
      <c r="G510" s="11">
        <f>IFERROR(PagosV2[[#This Row],[Cantidad vendida]]*PagosV2[[#This Row],[Precio de venta]],"-")</f>
        <v>650</v>
      </c>
      <c r="H510" s="11">
        <f>IFERROR(PagosV2[[#This Row],[Precio de venta]]-VLOOKUP(PagosV2[[#This Row],[Codigo del producto]],Stock[],13,FALSE),"-")</f>
        <v>189.375</v>
      </c>
      <c r="I510" s="11">
        <f>IFERROR(PagosV2[[#This Row],[Ganancia (UB)]]*$B$357,0)</f>
        <v>5.6812499999999995</v>
      </c>
      <c r="J510" s="11">
        <f>IFERROR(PagosV2[[#This Row],[Ganancia (UB)]]*$B$358,0)</f>
        <v>11.362499999999999</v>
      </c>
      <c r="K510" s="11">
        <f>IFERROR(PagosV2[[#This Row],[Ganancia (UB)]]*$B$359,0)</f>
        <v>5.6812499999999995</v>
      </c>
      <c r="L510" s="11">
        <f>IFERROR(PagosV2[[#This Row],[Ganancia (UB)]]*$B$360,0)</f>
        <v>5.6812499999999995</v>
      </c>
      <c r="M510" s="11">
        <f>IFERROR(PagosV2[[#This Row],[Ganancia (UB)]]-PagosV2[[#This Row],[PM]]-PagosV2[[#This Row],[GC]]-PagosV2[[#This Row],[PC]]-PagosV2[[#This Row],[U]],0)</f>
        <v>160.96874999999997</v>
      </c>
      <c r="N510" s="11">
        <f t="shared" ref="N510:N573" si="9">IFERROR(
  IF(M510&lt;=0,"-",
    IF(M510&lt;=300, M510*0.45,
      IF(M510&lt;=600, M510*0.4,
        IF(M510&lt;=900, M510*0.38,
          IF(M510&lt;=1000, M510*0.35,
            IF(M510&lt;=1400, M510*0.32,
              IF(M510&lt;=1800, HM510*0.3,
                IF(M510&gt;=2000, M510*0.28,
                  "-"
                )
              )
            )
          )
        )
      )
    )
  ),
  "-"
)</f>
        <v>72.435937499999994</v>
      </c>
      <c r="O510" s="11">
        <f>IFERROR(PagosV2[[#This Row],[Ganancia (UV)]]*PagosV2[[#This Row],[Cantidad vendida]],0)</f>
        <v>72.435937499999994</v>
      </c>
      <c r="P510" s="1">
        <f>IFERROR(PagosV2[[#This Row],[Ganancia (N)]]-PagosV2[[#This Row],[Ganancia (UV)]],0)</f>
        <v>88.532812499999977</v>
      </c>
      <c r="Q510" s="1">
        <f>IFERROR(PagosV2[[#This Row],[Ganancia individual (Tienda)]]*PagosV2[[#This Row],[Cantidad vendida]],0)</f>
        <v>88.532812499999977</v>
      </c>
      <c r="R510" s="1">
        <f>IFERROR((PagosV2[[#This Row],[Precio de venta]]-PagosV2[[#This Row],[Ganancia (UB)]])*PagosV2[[#This Row],[Cantidad vendida]],0)</f>
        <v>460.625</v>
      </c>
      <c r="S510" s="21" t="s">
        <v>312</v>
      </c>
      <c r="T510" s="21"/>
    </row>
    <row r="511" spans="1:20" ht="16.5" hidden="1" x14ac:dyDescent="0.3">
      <c r="A511" s="9" t="s">
        <v>313</v>
      </c>
      <c r="B511" s="75">
        <v>46142</v>
      </c>
      <c r="C511" s="9" t="s">
        <v>157</v>
      </c>
      <c r="D511" s="9" t="str">
        <f>IFERROR(VLOOKUP(PagosV2[[#This Row],[Codigo del producto]],Entradas[],3,FALSE),"No existe")</f>
        <v>KZ AZ09</v>
      </c>
      <c r="E511" s="9">
        <v>1</v>
      </c>
      <c r="F511" s="11">
        <v>950</v>
      </c>
      <c r="G511" s="11">
        <f>IFERROR(PagosV2[[#This Row],[Cantidad vendida]]*PagosV2[[#This Row],[Precio de venta]],"-")</f>
        <v>950</v>
      </c>
      <c r="H511" s="11">
        <f>IFERROR(PagosV2[[#This Row],[Precio de venta]]-VLOOKUP(PagosV2[[#This Row],[Codigo del producto]],Stock[],13,FALSE),"-")</f>
        <v>297.38649999999996</v>
      </c>
      <c r="I511" s="11">
        <f>IFERROR(PagosV2[[#This Row],[Ganancia (UB)]]*$B$357,0)</f>
        <v>8.9215949999999982</v>
      </c>
      <c r="J511" s="11">
        <f>IFERROR(PagosV2[[#This Row],[Ganancia (UB)]]*$B$358,0)</f>
        <v>17.843189999999996</v>
      </c>
      <c r="K511" s="11">
        <f>IFERROR(PagosV2[[#This Row],[Ganancia (UB)]]*$B$359,0)</f>
        <v>8.9215949999999982</v>
      </c>
      <c r="L511" s="11">
        <f>IFERROR(PagosV2[[#This Row],[Ganancia (UB)]]*$B$360,0)</f>
        <v>8.9215949999999982</v>
      </c>
      <c r="M511" s="11">
        <f>IFERROR(PagosV2[[#This Row],[Ganancia (UB)]]-PagosV2[[#This Row],[PM]]-PagosV2[[#This Row],[GC]]-PagosV2[[#This Row],[PC]]-PagosV2[[#This Row],[U]],0)</f>
        <v>252.77852499999992</v>
      </c>
      <c r="N511" s="11">
        <f t="shared" si="9"/>
        <v>113.75033624999996</v>
      </c>
      <c r="O511" s="11">
        <f>IFERROR(PagosV2[[#This Row],[Ganancia (UV)]]*PagosV2[[#This Row],[Cantidad vendida]],0)</f>
        <v>113.75033624999996</v>
      </c>
      <c r="P511" s="1">
        <f>IFERROR(PagosV2[[#This Row],[Ganancia (N)]]-PagosV2[[#This Row],[Ganancia (UV)]],0)</f>
        <v>139.02818874999997</v>
      </c>
      <c r="Q511" s="1">
        <f>IFERROR(PagosV2[[#This Row],[Ganancia individual (Tienda)]]*PagosV2[[#This Row],[Cantidad vendida]],0)</f>
        <v>139.02818874999997</v>
      </c>
      <c r="R511" s="1">
        <f>IFERROR((PagosV2[[#This Row],[Precio de venta]]-PagosV2[[#This Row],[Ganancia (UB)]])*PagosV2[[#This Row],[Cantidad vendida]],0)</f>
        <v>652.61350000000004</v>
      </c>
      <c r="S511" s="21" t="s">
        <v>312</v>
      </c>
      <c r="T511" s="21"/>
    </row>
    <row r="512" spans="1:20" ht="16.5" hidden="1" x14ac:dyDescent="0.3">
      <c r="A512" s="9" t="s">
        <v>313</v>
      </c>
      <c r="B512" s="75">
        <v>46142</v>
      </c>
      <c r="C512" s="9" t="s">
        <v>167</v>
      </c>
      <c r="D512" s="9" t="str">
        <f>IFERROR(VLOOKUP(PagosV2[[#This Row],[Codigo del producto]],Entradas[],3,FALSE),"No existe")</f>
        <v>KZ Castor Improved Bass</v>
      </c>
      <c r="E512" s="9">
        <v>1</v>
      </c>
      <c r="F512" s="11">
        <v>700</v>
      </c>
      <c r="G512" s="11">
        <f>IFERROR(PagosV2[[#This Row],[Cantidad vendida]]*PagosV2[[#This Row],[Precio de venta]],"-")</f>
        <v>700</v>
      </c>
      <c r="H512" s="11">
        <f>IFERROR(PagosV2[[#This Row],[Precio de venta]]-VLOOKUP(PagosV2[[#This Row],[Codigo del producto]],Stock[],13,FALSE),"-")</f>
        <v>266.27550000000002</v>
      </c>
      <c r="I512" s="11">
        <f>IFERROR(PagosV2[[#This Row],[Ganancia (UB)]]*$B$357,0)</f>
        <v>7.9882650000000002</v>
      </c>
      <c r="J512" s="11">
        <f>IFERROR(PagosV2[[#This Row],[Ganancia (UB)]]*$B$358,0)</f>
        <v>15.97653</v>
      </c>
      <c r="K512" s="11">
        <f>IFERROR(PagosV2[[#This Row],[Ganancia (UB)]]*$B$359,0)</f>
        <v>7.9882650000000002</v>
      </c>
      <c r="L512" s="11">
        <f>IFERROR(PagosV2[[#This Row],[Ganancia (UB)]]*$B$360,0)</f>
        <v>7.9882650000000002</v>
      </c>
      <c r="M512" s="11">
        <f>IFERROR(PagosV2[[#This Row],[Ganancia (UB)]]-PagosV2[[#This Row],[PM]]-PagosV2[[#This Row],[GC]]-PagosV2[[#This Row],[PC]]-PagosV2[[#This Row],[U]],0)</f>
        <v>226.33417499999999</v>
      </c>
      <c r="N512" s="11">
        <f t="shared" si="9"/>
        <v>101.85037874999999</v>
      </c>
      <c r="O512" s="11">
        <f>IFERROR(PagosV2[[#This Row],[Ganancia (UV)]]*PagosV2[[#This Row],[Cantidad vendida]],0)</f>
        <v>101.85037874999999</v>
      </c>
      <c r="P512" s="1">
        <f>IFERROR(PagosV2[[#This Row],[Ganancia (N)]]-PagosV2[[#This Row],[Ganancia (UV)]],0)</f>
        <v>124.48379625</v>
      </c>
      <c r="Q512" s="1">
        <f>IFERROR(PagosV2[[#This Row],[Ganancia individual (Tienda)]]*PagosV2[[#This Row],[Cantidad vendida]],0)</f>
        <v>124.48379625</v>
      </c>
      <c r="R512" s="1">
        <f>IFERROR((PagosV2[[#This Row],[Precio de venta]]-PagosV2[[#This Row],[Ganancia (UB)]])*PagosV2[[#This Row],[Cantidad vendida]],0)</f>
        <v>433.72449999999998</v>
      </c>
      <c r="S512" s="21" t="s">
        <v>312</v>
      </c>
      <c r="T512" s="21"/>
    </row>
    <row r="513" spans="1:20" ht="16.5" hidden="1" x14ac:dyDescent="0.3">
      <c r="A513" s="9" t="s">
        <v>311</v>
      </c>
      <c r="B513" s="75">
        <v>46142</v>
      </c>
      <c r="C513" s="9" t="s">
        <v>168</v>
      </c>
      <c r="D513" s="9" t="str">
        <f>IFERROR(VLOOKUP(PagosV2[[#This Row],[Codigo del producto]],Entradas[],3,FALSE),"No existe")</f>
        <v>Cable de Repuesto KZ Tipo C</v>
      </c>
      <c r="E513" s="9">
        <v>1</v>
      </c>
      <c r="F513" s="11">
        <v>400</v>
      </c>
      <c r="G513" s="11">
        <f>IFERROR(PagosV2[[#This Row],[Cantidad vendida]]*PagosV2[[#This Row],[Precio de venta]],"-")</f>
        <v>400</v>
      </c>
      <c r="H513" s="11">
        <f>IFERROR(PagosV2[[#This Row],[Precio de venta]]-VLOOKUP(PagosV2[[#This Row],[Codigo del producto]],Stock[],13,FALSE),"-")</f>
        <v>125.09899999999993</v>
      </c>
      <c r="I513" s="11">
        <f>IFERROR(PagosV2[[#This Row],[Ganancia (UB)]]*$B$357,0)</f>
        <v>3.7529699999999977</v>
      </c>
      <c r="J513" s="11">
        <f>IFERROR(PagosV2[[#This Row],[Ganancia (UB)]]*$B$358,0)</f>
        <v>7.5059399999999954</v>
      </c>
      <c r="K513" s="11">
        <f>IFERROR(PagosV2[[#This Row],[Ganancia (UB)]]*$B$359,0)</f>
        <v>3.7529699999999977</v>
      </c>
      <c r="L513" s="11">
        <f>IFERROR(PagosV2[[#This Row],[Ganancia (UB)]]*$B$360,0)</f>
        <v>3.7529699999999977</v>
      </c>
      <c r="M513" s="11">
        <f>IFERROR(PagosV2[[#This Row],[Ganancia (UB)]]-PagosV2[[#This Row],[PM]]-PagosV2[[#This Row],[GC]]-PagosV2[[#This Row],[PC]]-PagosV2[[#This Row],[U]],0)</f>
        <v>106.33414999999994</v>
      </c>
      <c r="N513" s="11">
        <f t="shared" si="9"/>
        <v>47.850367499999976</v>
      </c>
      <c r="O513" s="11">
        <f>IFERROR(PagosV2[[#This Row],[Ganancia (UV)]]*PagosV2[[#This Row],[Cantidad vendida]],0)</f>
        <v>47.850367499999976</v>
      </c>
      <c r="P513" s="1">
        <f>IFERROR(PagosV2[[#This Row],[Ganancia (N)]]-PagosV2[[#This Row],[Ganancia (UV)]],0)</f>
        <v>58.483782499999961</v>
      </c>
      <c r="Q513" s="1">
        <f>IFERROR(PagosV2[[#This Row],[Ganancia individual (Tienda)]]*PagosV2[[#This Row],[Cantidad vendida]],0)</f>
        <v>58.483782499999961</v>
      </c>
      <c r="R513" s="1">
        <f>IFERROR((PagosV2[[#This Row],[Precio de venta]]-PagosV2[[#This Row],[Ganancia (UB)]])*PagosV2[[#This Row],[Cantidad vendida]],0)</f>
        <v>274.90100000000007</v>
      </c>
      <c r="S513" s="21" t="s">
        <v>312</v>
      </c>
      <c r="T513" s="21"/>
    </row>
    <row r="514" spans="1:20" ht="16.5" hidden="1" x14ac:dyDescent="0.3">
      <c r="A514" s="9" t="s">
        <v>311</v>
      </c>
      <c r="B514" s="75">
        <v>46142</v>
      </c>
      <c r="C514" s="9" t="s">
        <v>75</v>
      </c>
      <c r="D514" s="9" t="str">
        <f>IFERROR(VLOOKUP(PagosV2[[#This Row],[Codigo del producto]],Entradas[],3,FALSE),"No existe")</f>
        <v>Pro Controller Switch</v>
      </c>
      <c r="E514" s="9">
        <v>1</v>
      </c>
      <c r="F514" s="11">
        <v>1000</v>
      </c>
      <c r="G514" s="11">
        <f>IFERROR(PagosV2[[#This Row],[Cantidad vendida]]*PagosV2[[#This Row],[Precio de venta]],"-")</f>
        <v>1000</v>
      </c>
      <c r="H514" s="11">
        <f>IFERROR(PagosV2[[#This Row],[Precio de venta]]-VLOOKUP(PagosV2[[#This Row],[Codigo del producto]],Stock[],13,FALSE),"-")</f>
        <v>318.27499999999998</v>
      </c>
      <c r="I514" s="11">
        <f>IFERROR(PagosV2[[#This Row],[Ganancia (UB)]]*$B$357,0)</f>
        <v>9.5482499999999995</v>
      </c>
      <c r="J514" s="11">
        <f>IFERROR(PagosV2[[#This Row],[Ganancia (UB)]]*$B$358,0)</f>
        <v>19.096499999999999</v>
      </c>
      <c r="K514" s="11">
        <f>IFERROR(PagosV2[[#This Row],[Ganancia (UB)]]*$B$359,0)</f>
        <v>9.5482499999999995</v>
      </c>
      <c r="L514" s="11">
        <f>IFERROR(PagosV2[[#This Row],[Ganancia (UB)]]*$B$360,0)</f>
        <v>9.5482499999999995</v>
      </c>
      <c r="M514" s="11">
        <f>IFERROR(PagosV2[[#This Row],[Ganancia (UB)]]-PagosV2[[#This Row],[PM]]-PagosV2[[#This Row],[GC]]-PagosV2[[#This Row],[PC]]-PagosV2[[#This Row],[U]],0)</f>
        <v>270.53375</v>
      </c>
      <c r="N514" s="11">
        <f t="shared" si="9"/>
        <v>121.7401875</v>
      </c>
      <c r="O514" s="11">
        <f>IFERROR(PagosV2[[#This Row],[Ganancia (UV)]]*PagosV2[[#This Row],[Cantidad vendida]],0)</f>
        <v>121.7401875</v>
      </c>
      <c r="P514" s="1">
        <f>IFERROR(PagosV2[[#This Row],[Ganancia (N)]]-PagosV2[[#This Row],[Ganancia (UV)]],0)</f>
        <v>148.79356250000001</v>
      </c>
      <c r="Q514" s="1">
        <f>IFERROR(PagosV2[[#This Row],[Ganancia individual (Tienda)]]*PagosV2[[#This Row],[Cantidad vendida]],0)</f>
        <v>148.79356250000001</v>
      </c>
      <c r="R514" s="1">
        <f>IFERROR((PagosV2[[#This Row],[Precio de venta]]-PagosV2[[#This Row],[Ganancia (UB)]])*PagosV2[[#This Row],[Cantidad vendida]],0)</f>
        <v>681.72500000000002</v>
      </c>
      <c r="S514" s="21" t="s">
        <v>312</v>
      </c>
      <c r="T514" s="21"/>
    </row>
    <row r="515" spans="1:20" ht="16.5" hidden="1" x14ac:dyDescent="0.3">
      <c r="A515" s="9" t="s">
        <v>311</v>
      </c>
      <c r="B515" s="75">
        <v>46142</v>
      </c>
      <c r="C515" s="9" t="s">
        <v>100</v>
      </c>
      <c r="D515" s="9" t="str">
        <f>IFERROR(VLOOKUP(PagosV2[[#This Row],[Codigo del producto]],Entradas[],3,FALSE),"No existe")</f>
        <v>NYXI Pro controller (Orange)</v>
      </c>
      <c r="E515" s="9">
        <v>1</v>
      </c>
      <c r="F515" s="11">
        <v>2100</v>
      </c>
      <c r="G515" s="11">
        <f>IFERROR(PagosV2[[#This Row],[Cantidad vendida]]*PagosV2[[#This Row],[Precio de venta]],"-")</f>
        <v>2100</v>
      </c>
      <c r="H515" s="11">
        <f>IFERROR(PagosV2[[#This Row],[Precio de venta]]-VLOOKUP(PagosV2[[#This Row],[Codigo del producto]],Stock[],13,FALSE),"-")</f>
        <v>503.6579999999999</v>
      </c>
      <c r="I515" s="11">
        <f>IFERROR(PagosV2[[#This Row],[Ganancia (UB)]]*$B$357,0)</f>
        <v>15.109739999999997</v>
      </c>
      <c r="J515" s="11">
        <f>IFERROR(PagosV2[[#This Row],[Ganancia (UB)]]*$B$358,0)</f>
        <v>30.219479999999994</v>
      </c>
      <c r="K515" s="11">
        <f>IFERROR(PagosV2[[#This Row],[Ganancia (UB)]]*$B$359,0)</f>
        <v>15.109739999999997</v>
      </c>
      <c r="L515" s="11">
        <f>IFERROR(PagosV2[[#This Row],[Ganancia (UB)]]*$B$360,0)</f>
        <v>15.109739999999997</v>
      </c>
      <c r="M515" s="11">
        <f>IFERROR(PagosV2[[#This Row],[Ganancia (UB)]]-PagosV2[[#This Row],[PM]]-PagosV2[[#This Row],[GC]]-PagosV2[[#This Row],[PC]]-PagosV2[[#This Row],[U]],0)</f>
        <v>428.10929999999996</v>
      </c>
      <c r="N515" s="11">
        <f t="shared" si="9"/>
        <v>171.24372</v>
      </c>
      <c r="O515" s="11">
        <f>IFERROR(PagosV2[[#This Row],[Ganancia (UV)]]*PagosV2[[#This Row],[Cantidad vendida]],0)</f>
        <v>171.24372</v>
      </c>
      <c r="P515" s="1">
        <f>IFERROR(PagosV2[[#This Row],[Ganancia (N)]]-PagosV2[[#This Row],[Ganancia (UV)]],0)</f>
        <v>256.86557999999997</v>
      </c>
      <c r="Q515" s="1">
        <f>IFERROR(PagosV2[[#This Row],[Ganancia individual (Tienda)]]*PagosV2[[#This Row],[Cantidad vendida]],0)</f>
        <v>256.86557999999997</v>
      </c>
      <c r="R515" s="1">
        <f>IFERROR((PagosV2[[#This Row],[Precio de venta]]-PagosV2[[#This Row],[Ganancia (UB)]])*PagosV2[[#This Row],[Cantidad vendida]],0)</f>
        <v>1596.3420000000001</v>
      </c>
      <c r="S515" s="21" t="s">
        <v>312</v>
      </c>
      <c r="T515" s="21"/>
    </row>
    <row r="516" spans="1:20" ht="16.5" hidden="1" x14ac:dyDescent="0.3">
      <c r="A516" s="9" t="s">
        <v>311</v>
      </c>
      <c r="B516" s="75">
        <v>46142</v>
      </c>
      <c r="C516" s="9" t="s">
        <v>159</v>
      </c>
      <c r="D516" s="9" t="str">
        <f>IFERROR(VLOOKUP(PagosV2[[#This Row],[Codigo del producto]],Entradas[],3,FALSE),"No existe")</f>
        <v>Pantalla para moto de 5 pulgadas</v>
      </c>
      <c r="E516" s="9">
        <v>1</v>
      </c>
      <c r="F516" s="11">
        <v>2300</v>
      </c>
      <c r="G516" s="11">
        <f>IFERROR(PagosV2[[#This Row],[Cantidad vendida]]*PagosV2[[#This Row],[Precio de venta]],"-")</f>
        <v>2300</v>
      </c>
      <c r="H516" s="11">
        <f>IFERROR(PagosV2[[#This Row],[Precio de venta]]-VLOOKUP(PagosV2[[#This Row],[Codigo del producto]],Stock[],13,FALSE),"-")</f>
        <v>548.51949999999988</v>
      </c>
      <c r="I516" s="11">
        <f>IFERROR(PagosV2[[#This Row],[Ganancia (UB)]]*$B$357,0)</f>
        <v>16.455584999999996</v>
      </c>
      <c r="J516" s="11">
        <f>IFERROR(PagosV2[[#This Row],[Ganancia (UB)]]*$B$358,0)</f>
        <v>32.911169999999991</v>
      </c>
      <c r="K516" s="11">
        <f>IFERROR(PagosV2[[#This Row],[Ganancia (UB)]]*$B$359,0)</f>
        <v>16.455584999999996</v>
      </c>
      <c r="L516" s="11">
        <f>IFERROR(PagosV2[[#This Row],[Ganancia (UB)]]*$B$360,0)</f>
        <v>16.455584999999996</v>
      </c>
      <c r="M516" s="11">
        <f>IFERROR(PagosV2[[#This Row],[Ganancia (UB)]]-PagosV2[[#This Row],[PM]]-PagosV2[[#This Row],[GC]]-PagosV2[[#This Row],[PC]]-PagosV2[[#This Row],[U]],0)</f>
        <v>466.2415749999999</v>
      </c>
      <c r="N516" s="11">
        <f t="shared" si="9"/>
        <v>186.49662999999998</v>
      </c>
      <c r="O516" s="11">
        <f>IFERROR(PagosV2[[#This Row],[Ganancia (UV)]]*PagosV2[[#This Row],[Cantidad vendida]],0)</f>
        <v>186.49662999999998</v>
      </c>
      <c r="P516" s="1">
        <f>IFERROR(PagosV2[[#This Row],[Ganancia (N)]]-PagosV2[[#This Row],[Ganancia (UV)]],0)</f>
        <v>279.74494499999992</v>
      </c>
      <c r="Q516" s="1">
        <f>IFERROR(PagosV2[[#This Row],[Ganancia individual (Tienda)]]*PagosV2[[#This Row],[Cantidad vendida]],0)</f>
        <v>279.74494499999992</v>
      </c>
      <c r="R516" s="1">
        <f>IFERROR((PagosV2[[#This Row],[Precio de venta]]-PagosV2[[#This Row],[Ganancia (UB)]])*PagosV2[[#This Row],[Cantidad vendida]],0)</f>
        <v>1751.4805000000001</v>
      </c>
      <c r="S516" s="21" t="s">
        <v>312</v>
      </c>
      <c r="T516" s="21"/>
    </row>
    <row r="517" spans="1:20" ht="16.5" hidden="1" x14ac:dyDescent="0.3">
      <c r="A517" s="9" t="s">
        <v>315</v>
      </c>
      <c r="B517" s="75">
        <v>46142</v>
      </c>
      <c r="C517" s="9" t="s">
        <v>121</v>
      </c>
      <c r="D517" s="9" t="str">
        <f>IFERROR(VLOOKUP(PagosV2[[#This Row],[Codigo del producto]],Entradas[],3,FALSE),"No existe")</f>
        <v>Nubwo G06</v>
      </c>
      <c r="E517" s="9">
        <v>1</v>
      </c>
      <c r="F517" s="11">
        <v>1500</v>
      </c>
      <c r="G517" s="11">
        <f>IFERROR(PagosV2[[#This Row],[Cantidad vendida]]*PagosV2[[#This Row],[Precio de venta]],"-")</f>
        <v>1500</v>
      </c>
      <c r="H517" s="11">
        <f>IFERROR(PagosV2[[#This Row],[Precio de venta]]-VLOOKUP(PagosV2[[#This Row],[Codigo del producto]],Stock[],13,FALSE),"-")</f>
        <v>539.68899999999985</v>
      </c>
      <c r="I517" s="11">
        <f>IFERROR(PagosV2[[#This Row],[Ganancia (UB)]]*$B$357,0)</f>
        <v>16.190669999999994</v>
      </c>
      <c r="J517" s="11">
        <f>IFERROR(PagosV2[[#This Row],[Ganancia (UB)]]*$B$358,0)</f>
        <v>32.381339999999987</v>
      </c>
      <c r="K517" s="11">
        <f>IFERROR(PagosV2[[#This Row],[Ganancia (UB)]]*$B$359,0)</f>
        <v>16.190669999999994</v>
      </c>
      <c r="L517" s="11">
        <f>IFERROR(PagosV2[[#This Row],[Ganancia (UB)]]*$B$360,0)</f>
        <v>16.190669999999994</v>
      </c>
      <c r="M517" s="11">
        <f>IFERROR(PagosV2[[#This Row],[Ganancia (UB)]]-PagosV2[[#This Row],[PM]]-PagosV2[[#This Row],[GC]]-PagosV2[[#This Row],[PC]]-PagosV2[[#This Row],[U]],0)</f>
        <v>458.73564999999991</v>
      </c>
      <c r="N517" s="11">
        <f t="shared" si="9"/>
        <v>183.49425999999997</v>
      </c>
      <c r="O517" s="11">
        <f>IFERROR(PagosV2[[#This Row],[Ganancia (UV)]]*PagosV2[[#This Row],[Cantidad vendida]],0)</f>
        <v>183.49425999999997</v>
      </c>
      <c r="P517" s="1">
        <f>IFERROR(PagosV2[[#This Row],[Ganancia (N)]]-PagosV2[[#This Row],[Ganancia (UV)]],0)</f>
        <v>275.24138999999991</v>
      </c>
      <c r="Q517" s="1">
        <f>IFERROR(PagosV2[[#This Row],[Ganancia individual (Tienda)]]*PagosV2[[#This Row],[Cantidad vendida]],0)</f>
        <v>275.24138999999991</v>
      </c>
      <c r="R517" s="1">
        <f>IFERROR((PagosV2[[#This Row],[Precio de venta]]-PagosV2[[#This Row],[Ganancia (UB)]])*PagosV2[[#This Row],[Cantidad vendida]],0)</f>
        <v>960.31100000000015</v>
      </c>
      <c r="S517" s="21" t="s">
        <v>312</v>
      </c>
      <c r="T517" s="21"/>
    </row>
    <row r="518" spans="1:20" ht="16.5" hidden="1" x14ac:dyDescent="0.3">
      <c r="A518" s="9" t="s">
        <v>313</v>
      </c>
      <c r="B518" s="75">
        <v>46143</v>
      </c>
      <c r="C518" s="9" t="s">
        <v>167</v>
      </c>
      <c r="D518" s="9" t="str">
        <f>IFERROR(VLOOKUP(PagosV2[[#This Row],[Codigo del producto]],Entradas[],3,FALSE),"No existe")</f>
        <v>KZ Castor Improved Bass</v>
      </c>
      <c r="E518" s="9">
        <v>1</v>
      </c>
      <c r="F518" s="11">
        <v>700</v>
      </c>
      <c r="G518" s="11">
        <f>IFERROR(PagosV2[[#This Row],[Cantidad vendida]]*PagosV2[[#This Row],[Precio de venta]],"-")</f>
        <v>700</v>
      </c>
      <c r="H518" s="11">
        <f>IFERROR(PagosV2[[#This Row],[Precio de venta]]-VLOOKUP(PagosV2[[#This Row],[Codigo del producto]],Stock[],13,FALSE),"-")</f>
        <v>266.27550000000002</v>
      </c>
      <c r="I518" s="11">
        <f>IFERROR(PagosV2[[#This Row],[Ganancia (UB)]]*$B$357,0)</f>
        <v>7.9882650000000002</v>
      </c>
      <c r="J518" s="11">
        <f>IFERROR(PagosV2[[#This Row],[Ganancia (UB)]]*$B$358,0)</f>
        <v>15.97653</v>
      </c>
      <c r="K518" s="11">
        <f>IFERROR(PagosV2[[#This Row],[Ganancia (UB)]]*$B$359,0)</f>
        <v>7.9882650000000002</v>
      </c>
      <c r="L518" s="11">
        <f>IFERROR(PagosV2[[#This Row],[Ganancia (UB)]]*$B$360,0)</f>
        <v>7.9882650000000002</v>
      </c>
      <c r="M518" s="11">
        <f>IFERROR(PagosV2[[#This Row],[Ganancia (UB)]]-PagosV2[[#This Row],[PM]]-PagosV2[[#This Row],[GC]]-PagosV2[[#This Row],[PC]]-PagosV2[[#This Row],[U]],0)</f>
        <v>226.33417499999999</v>
      </c>
      <c r="N518" s="11">
        <f t="shared" si="9"/>
        <v>101.85037874999999</v>
      </c>
      <c r="O518" s="11">
        <f>IFERROR(PagosV2[[#This Row],[Ganancia (UV)]]*PagosV2[[#This Row],[Cantidad vendida]],0)</f>
        <v>101.85037874999999</v>
      </c>
      <c r="P518" s="1">
        <f>IFERROR(PagosV2[[#This Row],[Ganancia (N)]]-PagosV2[[#This Row],[Ganancia (UV)]],0)</f>
        <v>124.48379625</v>
      </c>
      <c r="Q518" s="1">
        <f>IFERROR(PagosV2[[#This Row],[Ganancia individual (Tienda)]]*PagosV2[[#This Row],[Cantidad vendida]],0)</f>
        <v>124.48379625</v>
      </c>
      <c r="R518" s="1">
        <f>IFERROR((PagosV2[[#This Row],[Precio de venta]]-PagosV2[[#This Row],[Ganancia (UB)]])*PagosV2[[#This Row],[Cantidad vendida]],0)</f>
        <v>433.72449999999998</v>
      </c>
      <c r="S518" s="21" t="s">
        <v>312</v>
      </c>
      <c r="T518" s="21"/>
    </row>
    <row r="519" spans="1:20" ht="16.5" hidden="1" x14ac:dyDescent="0.3">
      <c r="A519" s="9" t="s">
        <v>313</v>
      </c>
      <c r="B519" s="75">
        <v>46143</v>
      </c>
      <c r="C519" s="9" t="s">
        <v>164</v>
      </c>
      <c r="D519" s="9" t="str">
        <f>IFERROR(VLOOKUP(PagosV2[[#This Row],[Codigo del producto]],Entradas[],3,FALSE),"No existe")</f>
        <v>Bolso Protector Audifonos KZ</v>
      </c>
      <c r="E519" s="9">
        <v>1</v>
      </c>
      <c r="F519" s="11">
        <v>50</v>
      </c>
      <c r="G519" s="11">
        <f>IFERROR(PagosV2[[#This Row],[Cantidad vendida]]*PagosV2[[#This Row],[Precio de venta]],"-")</f>
        <v>50</v>
      </c>
      <c r="H519" s="11">
        <f>IFERROR(PagosV2[[#This Row],[Precio de venta]]-VLOOKUP(PagosV2[[#This Row],[Codigo del producto]],Stock[],13,FALSE),"-")</f>
        <v>21.625499999999999</v>
      </c>
      <c r="I519" s="11">
        <f>IFERROR(PagosV2[[#This Row],[Ganancia (UB)]]*$B$357,0)</f>
        <v>0.64876499999999993</v>
      </c>
      <c r="J519" s="11">
        <f>IFERROR(PagosV2[[#This Row],[Ganancia (UB)]]*$B$358,0)</f>
        <v>1.2975299999999999</v>
      </c>
      <c r="K519" s="11">
        <f>IFERROR(PagosV2[[#This Row],[Ganancia (UB)]]*$B$359,0)</f>
        <v>0.64876499999999993</v>
      </c>
      <c r="L519" s="11">
        <f>IFERROR(PagosV2[[#This Row],[Ganancia (UB)]]*$B$360,0)</f>
        <v>0.64876499999999993</v>
      </c>
      <c r="M519" s="11">
        <f>IFERROR(PagosV2[[#This Row],[Ganancia (UB)]]-PagosV2[[#This Row],[PM]]-PagosV2[[#This Row],[GC]]-PagosV2[[#This Row],[PC]]-PagosV2[[#This Row],[U]],0)</f>
        <v>18.381674999999998</v>
      </c>
      <c r="N519" s="11">
        <f t="shared" si="9"/>
        <v>8.2717537499999985</v>
      </c>
      <c r="O519" s="11">
        <f>IFERROR(PagosV2[[#This Row],[Ganancia (UV)]]*PagosV2[[#This Row],[Cantidad vendida]],0)</f>
        <v>8.2717537499999985</v>
      </c>
      <c r="P519" s="1">
        <f>IFERROR(PagosV2[[#This Row],[Ganancia (N)]]-PagosV2[[#This Row],[Ganancia (UV)]],0)</f>
        <v>10.109921249999999</v>
      </c>
      <c r="Q519" s="1">
        <f>IFERROR(PagosV2[[#This Row],[Ganancia individual (Tienda)]]*PagosV2[[#This Row],[Cantidad vendida]],0)</f>
        <v>10.109921249999999</v>
      </c>
      <c r="R519" s="1">
        <f>IFERROR((PagosV2[[#This Row],[Precio de venta]]-PagosV2[[#This Row],[Ganancia (UB)]])*PagosV2[[#This Row],[Cantidad vendida]],0)</f>
        <v>28.374500000000001</v>
      </c>
      <c r="S519" s="21" t="s">
        <v>312</v>
      </c>
      <c r="T519" s="21"/>
    </row>
    <row r="520" spans="1:20" ht="16.5" hidden="1" x14ac:dyDescent="0.3">
      <c r="A520" s="9" t="s">
        <v>313</v>
      </c>
      <c r="B520" s="75">
        <v>46143</v>
      </c>
      <c r="C520" s="9" t="s">
        <v>167</v>
      </c>
      <c r="D520" s="9" t="str">
        <f>IFERROR(VLOOKUP(PagosV2[[#This Row],[Codigo del producto]],Entradas[],3,FALSE),"No existe")</f>
        <v>KZ Castor Improved Bass</v>
      </c>
      <c r="E520" s="9">
        <v>1</v>
      </c>
      <c r="F520" s="11">
        <v>650</v>
      </c>
      <c r="G520" s="11">
        <f>IFERROR(PagosV2[[#This Row],[Cantidad vendida]]*PagosV2[[#This Row],[Precio de venta]],"-")</f>
        <v>650</v>
      </c>
      <c r="H520" s="11">
        <f>IFERROR(PagosV2[[#This Row],[Precio de venta]]-VLOOKUP(PagosV2[[#This Row],[Codigo del producto]],Stock[],13,FALSE),"-")</f>
        <v>216.27550000000002</v>
      </c>
      <c r="I520" s="11">
        <f>IFERROR(PagosV2[[#This Row],[Ganancia (UB)]]*$B$357,0)</f>
        <v>6.4882650000000002</v>
      </c>
      <c r="J520" s="11">
        <f>IFERROR(PagosV2[[#This Row],[Ganancia (UB)]]*$B$358,0)</f>
        <v>12.97653</v>
      </c>
      <c r="K520" s="11">
        <f>IFERROR(PagosV2[[#This Row],[Ganancia (UB)]]*$B$359,0)</f>
        <v>6.4882650000000002</v>
      </c>
      <c r="L520" s="11">
        <f>IFERROR(PagosV2[[#This Row],[Ganancia (UB)]]*$B$360,0)</f>
        <v>6.4882650000000002</v>
      </c>
      <c r="M520" s="11">
        <f>IFERROR(PagosV2[[#This Row],[Ganancia (UB)]]-PagosV2[[#This Row],[PM]]-PagosV2[[#This Row],[GC]]-PagosV2[[#This Row],[PC]]-PagosV2[[#This Row],[U]],0)</f>
        <v>183.83417499999999</v>
      </c>
      <c r="N520" s="11">
        <f t="shared" si="9"/>
        <v>82.72537874999999</v>
      </c>
      <c r="O520" s="11">
        <f>IFERROR(PagosV2[[#This Row],[Ganancia (UV)]]*PagosV2[[#This Row],[Cantidad vendida]],0)</f>
        <v>82.72537874999999</v>
      </c>
      <c r="P520" s="1">
        <f>IFERROR(PagosV2[[#This Row],[Ganancia (N)]]-PagosV2[[#This Row],[Ganancia (UV)]],0)</f>
        <v>101.10879625</v>
      </c>
      <c r="Q520" s="1">
        <f>IFERROR(PagosV2[[#This Row],[Ganancia individual (Tienda)]]*PagosV2[[#This Row],[Cantidad vendida]],0)</f>
        <v>101.10879625</v>
      </c>
      <c r="R520" s="1">
        <f>IFERROR((PagosV2[[#This Row],[Precio de venta]]-PagosV2[[#This Row],[Ganancia (UB)]])*PagosV2[[#This Row],[Cantidad vendida]],0)</f>
        <v>433.72449999999998</v>
      </c>
      <c r="S520" s="21" t="s">
        <v>312</v>
      </c>
      <c r="T520" s="21"/>
    </row>
    <row r="521" spans="1:20" ht="16.5" hidden="1" x14ac:dyDescent="0.3">
      <c r="A521" s="9" t="s">
        <v>313</v>
      </c>
      <c r="B521" s="75">
        <v>46143</v>
      </c>
      <c r="C521" s="9" t="s">
        <v>157</v>
      </c>
      <c r="D521" s="9" t="str">
        <f>IFERROR(VLOOKUP(PagosV2[[#This Row],[Codigo del producto]],Entradas[],3,FALSE),"No existe")</f>
        <v>KZ AZ09</v>
      </c>
      <c r="E521" s="9">
        <v>1</v>
      </c>
      <c r="F521" s="11">
        <v>950</v>
      </c>
      <c r="G521" s="11">
        <f>IFERROR(PagosV2[[#This Row],[Cantidad vendida]]*PagosV2[[#This Row],[Precio de venta]],"-")</f>
        <v>950</v>
      </c>
      <c r="H521" s="11">
        <f>IFERROR(PagosV2[[#This Row],[Precio de venta]]-VLOOKUP(PagosV2[[#This Row],[Codigo del producto]],Stock[],13,FALSE),"-")</f>
        <v>297.38649999999996</v>
      </c>
      <c r="I521" s="11">
        <f>IFERROR(PagosV2[[#This Row],[Ganancia (UB)]]*$B$357,0)</f>
        <v>8.9215949999999982</v>
      </c>
      <c r="J521" s="11">
        <f>IFERROR(PagosV2[[#This Row],[Ganancia (UB)]]*$B$358,0)</f>
        <v>17.843189999999996</v>
      </c>
      <c r="K521" s="11">
        <f>IFERROR(PagosV2[[#This Row],[Ganancia (UB)]]*$B$359,0)</f>
        <v>8.9215949999999982</v>
      </c>
      <c r="L521" s="11">
        <f>IFERROR(PagosV2[[#This Row],[Ganancia (UB)]]*$B$360,0)</f>
        <v>8.9215949999999982</v>
      </c>
      <c r="M521" s="11">
        <f>IFERROR(PagosV2[[#This Row],[Ganancia (UB)]]-PagosV2[[#This Row],[PM]]-PagosV2[[#This Row],[GC]]-PagosV2[[#This Row],[PC]]-PagosV2[[#This Row],[U]],0)</f>
        <v>252.77852499999992</v>
      </c>
      <c r="N521" s="11">
        <f t="shared" si="9"/>
        <v>113.75033624999996</v>
      </c>
      <c r="O521" s="11">
        <f>IFERROR(PagosV2[[#This Row],[Ganancia (UV)]]*PagosV2[[#This Row],[Cantidad vendida]],0)</f>
        <v>113.75033624999996</v>
      </c>
      <c r="P521" s="1">
        <f>IFERROR(PagosV2[[#This Row],[Ganancia (N)]]-PagosV2[[#This Row],[Ganancia (UV)]],0)</f>
        <v>139.02818874999997</v>
      </c>
      <c r="Q521" s="1">
        <f>IFERROR(PagosV2[[#This Row],[Ganancia individual (Tienda)]]*PagosV2[[#This Row],[Cantidad vendida]],0)</f>
        <v>139.02818874999997</v>
      </c>
      <c r="R521" s="1">
        <f>IFERROR((PagosV2[[#This Row],[Precio de venta]]-PagosV2[[#This Row],[Ganancia (UB)]])*PagosV2[[#This Row],[Cantidad vendida]],0)</f>
        <v>652.61350000000004</v>
      </c>
      <c r="S521" s="21" t="s">
        <v>312</v>
      </c>
      <c r="T521" s="21"/>
    </row>
    <row r="522" spans="1:20" ht="16.5" hidden="1" x14ac:dyDescent="0.3">
      <c r="A522" s="9" t="s">
        <v>313</v>
      </c>
      <c r="B522" s="75">
        <v>46143</v>
      </c>
      <c r="C522" s="9" t="s">
        <v>167</v>
      </c>
      <c r="D522" s="9" t="str">
        <f>IFERROR(VLOOKUP(PagosV2[[#This Row],[Codigo del producto]],Entradas[],3,FALSE),"No existe")</f>
        <v>KZ Castor Improved Bass</v>
      </c>
      <c r="E522" s="9">
        <v>1</v>
      </c>
      <c r="F522" s="11">
        <v>700</v>
      </c>
      <c r="G522" s="11">
        <f>IFERROR(PagosV2[[#This Row],[Cantidad vendida]]*PagosV2[[#This Row],[Precio de venta]],"-")</f>
        <v>700</v>
      </c>
      <c r="H522" s="11">
        <f>IFERROR(PagosV2[[#This Row],[Precio de venta]]-VLOOKUP(PagosV2[[#This Row],[Codigo del producto]],Stock[],13,FALSE),"-")</f>
        <v>266.27550000000002</v>
      </c>
      <c r="I522" s="11">
        <f>IFERROR(PagosV2[[#This Row],[Ganancia (UB)]]*$B$357,0)</f>
        <v>7.9882650000000002</v>
      </c>
      <c r="J522" s="11">
        <f>IFERROR(PagosV2[[#This Row],[Ganancia (UB)]]*$B$358,0)</f>
        <v>15.97653</v>
      </c>
      <c r="K522" s="11">
        <f>IFERROR(PagosV2[[#This Row],[Ganancia (UB)]]*$B$359,0)</f>
        <v>7.9882650000000002</v>
      </c>
      <c r="L522" s="11">
        <f>IFERROR(PagosV2[[#This Row],[Ganancia (UB)]]*$B$360,0)</f>
        <v>7.9882650000000002</v>
      </c>
      <c r="M522" s="11">
        <f>IFERROR(PagosV2[[#This Row],[Ganancia (UB)]]-PagosV2[[#This Row],[PM]]-PagosV2[[#This Row],[GC]]-PagosV2[[#This Row],[PC]]-PagosV2[[#This Row],[U]],0)</f>
        <v>226.33417499999999</v>
      </c>
      <c r="N522" s="11">
        <f t="shared" si="9"/>
        <v>101.85037874999999</v>
      </c>
      <c r="O522" s="11">
        <f>IFERROR(PagosV2[[#This Row],[Ganancia (UV)]]*PagosV2[[#This Row],[Cantidad vendida]],0)</f>
        <v>101.85037874999999</v>
      </c>
      <c r="P522" s="1">
        <f>IFERROR(PagosV2[[#This Row],[Ganancia (N)]]-PagosV2[[#This Row],[Ganancia (UV)]],0)</f>
        <v>124.48379625</v>
      </c>
      <c r="Q522" s="1">
        <f>IFERROR(PagosV2[[#This Row],[Ganancia individual (Tienda)]]*PagosV2[[#This Row],[Cantidad vendida]],0)</f>
        <v>124.48379625</v>
      </c>
      <c r="R522" s="1">
        <f>IFERROR((PagosV2[[#This Row],[Precio de venta]]-PagosV2[[#This Row],[Ganancia (UB)]])*PagosV2[[#This Row],[Cantidad vendida]],0)</f>
        <v>433.72449999999998</v>
      </c>
      <c r="S522" s="21" t="s">
        <v>312</v>
      </c>
      <c r="T522" s="21"/>
    </row>
    <row r="523" spans="1:20" ht="16.5" hidden="1" x14ac:dyDescent="0.3">
      <c r="A523" s="9" t="s">
        <v>327</v>
      </c>
      <c r="B523" s="75">
        <v>46143</v>
      </c>
      <c r="C523" s="9" t="s">
        <v>75</v>
      </c>
      <c r="D523" s="9" t="str">
        <f>IFERROR(VLOOKUP(PagosV2[[#This Row],[Codigo del producto]],Entradas[],3,FALSE),"No existe")</f>
        <v>Pro Controller Switch</v>
      </c>
      <c r="E523" s="9">
        <v>1</v>
      </c>
      <c r="F523" s="11">
        <v>1000</v>
      </c>
      <c r="G523" s="11">
        <f>IFERROR(PagosV2[[#This Row],[Cantidad vendida]]*PagosV2[[#This Row],[Precio de venta]],"-")</f>
        <v>1000</v>
      </c>
      <c r="H523" s="11">
        <f>IFERROR(PagosV2[[#This Row],[Precio de venta]]-VLOOKUP(PagosV2[[#This Row],[Codigo del producto]],Stock[],13,FALSE),"-")</f>
        <v>318.27499999999998</v>
      </c>
      <c r="I523" s="11">
        <f>IFERROR(PagosV2[[#This Row],[Ganancia (UB)]]*$B$357,0)</f>
        <v>9.5482499999999995</v>
      </c>
      <c r="J523" s="11">
        <f>IFERROR(PagosV2[[#This Row],[Ganancia (UB)]]*$B$358,0)</f>
        <v>19.096499999999999</v>
      </c>
      <c r="K523" s="11">
        <f>IFERROR(PagosV2[[#This Row],[Ganancia (UB)]]*$B$359,0)</f>
        <v>9.5482499999999995</v>
      </c>
      <c r="L523" s="11">
        <f>IFERROR(PagosV2[[#This Row],[Ganancia (UB)]]*$B$360,0)</f>
        <v>9.5482499999999995</v>
      </c>
      <c r="M523" s="11">
        <f>IFERROR(PagosV2[[#This Row],[Ganancia (UB)]]-PagosV2[[#This Row],[PM]]-PagosV2[[#This Row],[GC]]-PagosV2[[#This Row],[PC]]-PagosV2[[#This Row],[U]],0)</f>
        <v>270.53375</v>
      </c>
      <c r="N523" s="11">
        <f t="shared" si="9"/>
        <v>121.7401875</v>
      </c>
      <c r="O523" s="11">
        <f>IFERROR(PagosV2[[#This Row],[Ganancia (UV)]]*PagosV2[[#This Row],[Cantidad vendida]],0)</f>
        <v>121.7401875</v>
      </c>
      <c r="P523" s="1">
        <f>IFERROR(PagosV2[[#This Row],[Ganancia (N)]]-PagosV2[[#This Row],[Ganancia (UV)]],0)</f>
        <v>148.79356250000001</v>
      </c>
      <c r="Q523" s="1">
        <f>IFERROR(PagosV2[[#This Row],[Ganancia individual (Tienda)]]*PagosV2[[#This Row],[Cantidad vendida]],0)</f>
        <v>148.79356250000001</v>
      </c>
      <c r="R523" s="1">
        <f>IFERROR((PagosV2[[#This Row],[Precio de venta]]-PagosV2[[#This Row],[Ganancia (UB)]])*PagosV2[[#This Row],[Cantidad vendida]],0)</f>
        <v>681.72500000000002</v>
      </c>
      <c r="S523" s="21" t="s">
        <v>312</v>
      </c>
      <c r="T523" s="21"/>
    </row>
    <row r="524" spans="1:20" ht="16.5" hidden="1" x14ac:dyDescent="0.3">
      <c r="A524" s="9" t="s">
        <v>313</v>
      </c>
      <c r="B524" s="75">
        <v>46144</v>
      </c>
      <c r="C524" s="9" t="s">
        <v>167</v>
      </c>
      <c r="D524" s="9" t="str">
        <f>IFERROR(VLOOKUP(PagosV2[[#This Row],[Codigo del producto]],Entradas[],3,FALSE),"No existe")</f>
        <v>KZ Castor Improved Bass</v>
      </c>
      <c r="E524" s="9">
        <v>1</v>
      </c>
      <c r="F524" s="11">
        <v>650</v>
      </c>
      <c r="G524" s="11">
        <f>IFERROR(PagosV2[[#This Row],[Cantidad vendida]]*PagosV2[[#This Row],[Precio de venta]],"-")</f>
        <v>650</v>
      </c>
      <c r="H524" s="11">
        <f>IFERROR(PagosV2[[#This Row],[Precio de venta]]-VLOOKUP(PagosV2[[#This Row],[Codigo del producto]],Stock[],13,FALSE),"-")</f>
        <v>216.27550000000002</v>
      </c>
      <c r="I524" s="11">
        <f>IFERROR(PagosV2[[#This Row],[Ganancia (UB)]]*$B$357,0)</f>
        <v>6.4882650000000002</v>
      </c>
      <c r="J524" s="11">
        <f>IFERROR(PagosV2[[#This Row],[Ganancia (UB)]]*$B$358,0)</f>
        <v>12.97653</v>
      </c>
      <c r="K524" s="11">
        <f>IFERROR(PagosV2[[#This Row],[Ganancia (UB)]]*$B$359,0)</f>
        <v>6.4882650000000002</v>
      </c>
      <c r="L524" s="11">
        <f>IFERROR(PagosV2[[#This Row],[Ganancia (UB)]]*$B$360,0)</f>
        <v>6.4882650000000002</v>
      </c>
      <c r="M524" s="11">
        <f>IFERROR(PagosV2[[#This Row],[Ganancia (UB)]]-PagosV2[[#This Row],[PM]]-PagosV2[[#This Row],[GC]]-PagosV2[[#This Row],[PC]]-PagosV2[[#This Row],[U]],0)</f>
        <v>183.83417499999999</v>
      </c>
      <c r="N524" s="11">
        <f t="shared" si="9"/>
        <v>82.72537874999999</v>
      </c>
      <c r="O524" s="11">
        <f>IFERROR(PagosV2[[#This Row],[Ganancia (UV)]]*PagosV2[[#This Row],[Cantidad vendida]],0)</f>
        <v>82.72537874999999</v>
      </c>
      <c r="P524" s="1">
        <f>IFERROR(PagosV2[[#This Row],[Ganancia (N)]]-PagosV2[[#This Row],[Ganancia (UV)]],0)</f>
        <v>101.10879625</v>
      </c>
      <c r="Q524" s="1">
        <f>IFERROR(PagosV2[[#This Row],[Ganancia individual (Tienda)]]*PagosV2[[#This Row],[Cantidad vendida]],0)</f>
        <v>101.10879625</v>
      </c>
      <c r="R524" s="1">
        <f>IFERROR((PagosV2[[#This Row],[Precio de venta]]-PagosV2[[#This Row],[Ganancia (UB)]])*PagosV2[[#This Row],[Cantidad vendida]],0)</f>
        <v>433.72449999999998</v>
      </c>
      <c r="S524" s="21" t="s">
        <v>312</v>
      </c>
      <c r="T524" s="21"/>
    </row>
    <row r="525" spans="1:20" ht="16.5" hidden="1" x14ac:dyDescent="0.3">
      <c r="A525" s="9" t="s">
        <v>313</v>
      </c>
      <c r="B525" s="75">
        <v>46144</v>
      </c>
      <c r="C525" s="9" t="s">
        <v>170</v>
      </c>
      <c r="D525" s="9" t="str">
        <f>IFERROR(VLOOKUP(PagosV2[[#This Row],[Codigo del producto]],Entradas[],3,FALSE),"No existe")</f>
        <v>KZ AZ09</v>
      </c>
      <c r="E525" s="9">
        <v>1</v>
      </c>
      <c r="F525" s="11">
        <v>950</v>
      </c>
      <c r="G525" s="11">
        <f>IFERROR(PagosV2[[#This Row],[Cantidad vendida]]*PagosV2[[#This Row],[Precio de venta]],"-")</f>
        <v>950</v>
      </c>
      <c r="H525" s="11">
        <f>IFERROR(PagosV2[[#This Row],[Precio de venta]]-VLOOKUP(PagosV2[[#This Row],[Codigo del producto]],Stock[],13,FALSE),"-")</f>
        <v>386.93200000000002</v>
      </c>
      <c r="I525" s="11">
        <f>IFERROR(PagosV2[[#This Row],[Ganancia (UB)]]*$B$357,0)</f>
        <v>11.60796</v>
      </c>
      <c r="J525" s="11">
        <f>IFERROR(PagosV2[[#This Row],[Ganancia (UB)]]*$B$358,0)</f>
        <v>23.215920000000001</v>
      </c>
      <c r="K525" s="11">
        <f>IFERROR(PagosV2[[#This Row],[Ganancia (UB)]]*$B$359,0)</f>
        <v>11.60796</v>
      </c>
      <c r="L525" s="11">
        <f>IFERROR(PagosV2[[#This Row],[Ganancia (UB)]]*$B$360,0)</f>
        <v>11.60796</v>
      </c>
      <c r="M525" s="11">
        <f>IFERROR(PagosV2[[#This Row],[Ganancia (UB)]]-PagosV2[[#This Row],[PM]]-PagosV2[[#This Row],[GC]]-PagosV2[[#This Row],[PC]]-PagosV2[[#This Row],[U]],0)</f>
        <v>328.89220000000006</v>
      </c>
      <c r="N525" s="11">
        <f t="shared" si="9"/>
        <v>131.55688000000004</v>
      </c>
      <c r="O525" s="11">
        <f>IFERROR(PagosV2[[#This Row],[Ganancia (UV)]]*PagosV2[[#This Row],[Cantidad vendida]],0)</f>
        <v>131.55688000000004</v>
      </c>
      <c r="P525" s="1">
        <f>IFERROR(PagosV2[[#This Row],[Ganancia (N)]]-PagosV2[[#This Row],[Ganancia (UV)]],0)</f>
        <v>197.33532000000002</v>
      </c>
      <c r="Q525" s="1">
        <f>IFERROR(PagosV2[[#This Row],[Ganancia individual (Tienda)]]*PagosV2[[#This Row],[Cantidad vendida]],0)</f>
        <v>197.33532000000002</v>
      </c>
      <c r="R525" s="1">
        <f>IFERROR((PagosV2[[#This Row],[Precio de venta]]-PagosV2[[#This Row],[Ganancia (UB)]])*PagosV2[[#This Row],[Cantidad vendida]],0)</f>
        <v>563.06799999999998</v>
      </c>
      <c r="S525" s="21" t="s">
        <v>312</v>
      </c>
      <c r="T525" s="21"/>
    </row>
    <row r="526" spans="1:20" ht="16.5" hidden="1" x14ac:dyDescent="0.3">
      <c r="A526" s="9" t="s">
        <v>313</v>
      </c>
      <c r="B526" s="75">
        <v>46144</v>
      </c>
      <c r="C526" s="9" t="s">
        <v>66</v>
      </c>
      <c r="D526" s="9" t="str">
        <f>IFERROR(VLOOKUP(PagosV2[[#This Row],[Codigo del producto]],Entradas[],3,FALSE),"No existe")</f>
        <v xml:space="preserve">Adaptador DAC </v>
      </c>
      <c r="E526" s="9">
        <v>1</v>
      </c>
      <c r="F526" s="11">
        <v>350</v>
      </c>
      <c r="G526" s="11">
        <f>IFERROR(PagosV2[[#This Row],[Cantidad vendida]]*PagosV2[[#This Row],[Precio de venta]],"-")</f>
        <v>350</v>
      </c>
      <c r="H526" s="11">
        <f>IFERROR(PagosV2[[#This Row],[Precio de venta]]-VLOOKUP(PagosV2[[#This Row],[Codigo del producto]],Stock[],13,FALSE),"-")</f>
        <v>173.48849999999999</v>
      </c>
      <c r="I526" s="11">
        <f>IFERROR(PagosV2[[#This Row],[Ganancia (UB)]]*$B$357,0)</f>
        <v>5.2046549999999998</v>
      </c>
      <c r="J526" s="11">
        <f>IFERROR(PagosV2[[#This Row],[Ganancia (UB)]]*$B$358,0)</f>
        <v>10.40931</v>
      </c>
      <c r="K526" s="11">
        <f>IFERROR(PagosV2[[#This Row],[Ganancia (UB)]]*$B$359,0)</f>
        <v>5.2046549999999998</v>
      </c>
      <c r="L526" s="11">
        <f>IFERROR(PagosV2[[#This Row],[Ganancia (UB)]]*$B$360,0)</f>
        <v>5.2046549999999998</v>
      </c>
      <c r="M526" s="11">
        <f>IFERROR(PagosV2[[#This Row],[Ganancia (UB)]]-PagosV2[[#This Row],[PM]]-PagosV2[[#This Row],[GC]]-PagosV2[[#This Row],[PC]]-PagosV2[[#This Row],[U]],0)</f>
        <v>147.46522499999998</v>
      </c>
      <c r="N526" s="11">
        <f t="shared" si="9"/>
        <v>66.359351249999989</v>
      </c>
      <c r="O526" s="11">
        <f>IFERROR(PagosV2[[#This Row],[Ganancia (UV)]]*PagosV2[[#This Row],[Cantidad vendida]],0)</f>
        <v>66.359351249999989</v>
      </c>
      <c r="P526" s="1">
        <f>IFERROR(PagosV2[[#This Row],[Ganancia (N)]]-PagosV2[[#This Row],[Ganancia (UV)]],0)</f>
        <v>81.105873749999986</v>
      </c>
      <c r="Q526" s="1">
        <f>IFERROR(PagosV2[[#This Row],[Ganancia individual (Tienda)]]*PagosV2[[#This Row],[Cantidad vendida]],0)</f>
        <v>81.105873749999986</v>
      </c>
      <c r="R526" s="1">
        <f>IFERROR((PagosV2[[#This Row],[Precio de venta]]-PagosV2[[#This Row],[Ganancia (UB)]])*PagosV2[[#This Row],[Cantidad vendida]],0)</f>
        <v>176.51150000000001</v>
      </c>
      <c r="S526" s="21" t="s">
        <v>312</v>
      </c>
      <c r="T526" s="21"/>
    </row>
    <row r="527" spans="1:20" ht="16.5" hidden="1" x14ac:dyDescent="0.3">
      <c r="A527" s="9" t="s">
        <v>315</v>
      </c>
      <c r="B527" s="75">
        <v>46144</v>
      </c>
      <c r="C527" s="9" t="s">
        <v>151</v>
      </c>
      <c r="D527" s="9" t="str">
        <f>IFERROR(VLOOKUP(PagosV2[[#This Row],[Codigo del producto]],Entradas[],3,FALSE),"No existe")</f>
        <v>KZ Castor Pro</v>
      </c>
      <c r="E527" s="9">
        <v>1</v>
      </c>
      <c r="F527" s="11">
        <v>1000</v>
      </c>
      <c r="G527" s="11">
        <f>IFERROR(PagosV2[[#This Row],[Cantidad vendida]]*PagosV2[[#This Row],[Precio de venta]],"-")</f>
        <v>1000</v>
      </c>
      <c r="H527" s="11">
        <f>IFERROR(PagosV2[[#This Row],[Precio de venta]]-VLOOKUP(PagosV2[[#This Row],[Codigo del producto]],Stock[],13,FALSE),"-")</f>
        <v>348.8605</v>
      </c>
      <c r="I527" s="11">
        <f>IFERROR(PagosV2[[#This Row],[Ganancia (UB)]]*$B$357,0)</f>
        <v>10.465814999999999</v>
      </c>
      <c r="J527" s="11">
        <f>IFERROR(PagosV2[[#This Row],[Ganancia (UB)]]*$B$358,0)</f>
        <v>20.931629999999998</v>
      </c>
      <c r="K527" s="11">
        <f>IFERROR(PagosV2[[#This Row],[Ganancia (UB)]]*$B$359,0)</f>
        <v>10.465814999999999</v>
      </c>
      <c r="L527" s="11">
        <f>IFERROR(PagosV2[[#This Row],[Ganancia (UB)]]*$B$360,0)</f>
        <v>10.465814999999999</v>
      </c>
      <c r="M527" s="11">
        <f>IFERROR(PagosV2[[#This Row],[Ganancia (UB)]]-PagosV2[[#This Row],[PM]]-PagosV2[[#This Row],[GC]]-PagosV2[[#This Row],[PC]]-PagosV2[[#This Row],[U]],0)</f>
        <v>296.53142499999996</v>
      </c>
      <c r="N527" s="11">
        <f t="shared" si="9"/>
        <v>133.43914124999998</v>
      </c>
      <c r="O527" s="11">
        <f>IFERROR(PagosV2[[#This Row],[Ganancia (UV)]]*PagosV2[[#This Row],[Cantidad vendida]],0)</f>
        <v>133.43914124999998</v>
      </c>
      <c r="P527" s="1">
        <f>IFERROR(PagosV2[[#This Row],[Ganancia (N)]]-PagosV2[[#This Row],[Ganancia (UV)]],0)</f>
        <v>163.09228374999998</v>
      </c>
      <c r="Q527" s="1">
        <f>IFERROR(PagosV2[[#This Row],[Ganancia individual (Tienda)]]*PagosV2[[#This Row],[Cantidad vendida]],0)</f>
        <v>163.09228374999998</v>
      </c>
      <c r="R527" s="1">
        <f>IFERROR((PagosV2[[#This Row],[Precio de venta]]-PagosV2[[#This Row],[Ganancia (UB)]])*PagosV2[[#This Row],[Cantidad vendida]],0)</f>
        <v>651.1395</v>
      </c>
      <c r="S527" s="21" t="s">
        <v>312</v>
      </c>
      <c r="T527" s="21"/>
    </row>
    <row r="528" spans="1:20" ht="16.5" hidden="1" x14ac:dyDescent="0.3">
      <c r="A528" s="9" t="s">
        <v>315</v>
      </c>
      <c r="B528" s="75">
        <v>46144</v>
      </c>
      <c r="C528" s="9" t="s">
        <v>151</v>
      </c>
      <c r="D528" s="9" t="str">
        <f>IFERROR(VLOOKUP(PagosV2[[#This Row],[Codigo del producto]],Entradas[],3,FALSE),"No existe")</f>
        <v>KZ Castor Pro</v>
      </c>
      <c r="E528" s="9">
        <v>1</v>
      </c>
      <c r="F528" s="11">
        <v>950</v>
      </c>
      <c r="G528" s="11">
        <f>IFERROR(PagosV2[[#This Row],[Cantidad vendida]]*PagosV2[[#This Row],[Precio de venta]],"-")</f>
        <v>950</v>
      </c>
      <c r="H528" s="11">
        <f>IFERROR(PagosV2[[#This Row],[Precio de venta]]-VLOOKUP(PagosV2[[#This Row],[Codigo del producto]],Stock[],13,FALSE),"-")</f>
        <v>298.8605</v>
      </c>
      <c r="I528" s="11">
        <f>IFERROR(PagosV2[[#This Row],[Ganancia (UB)]]*$B$357,0)</f>
        <v>8.9658149999999992</v>
      </c>
      <c r="J528" s="11">
        <f>IFERROR(PagosV2[[#This Row],[Ganancia (UB)]]*$B$358,0)</f>
        <v>17.931629999999998</v>
      </c>
      <c r="K528" s="11">
        <f>IFERROR(PagosV2[[#This Row],[Ganancia (UB)]]*$B$359,0)</f>
        <v>8.9658149999999992</v>
      </c>
      <c r="L528" s="11">
        <f>IFERROR(PagosV2[[#This Row],[Ganancia (UB)]]*$B$360,0)</f>
        <v>8.9658149999999992</v>
      </c>
      <c r="M528" s="11">
        <f>IFERROR(PagosV2[[#This Row],[Ganancia (UB)]]-PagosV2[[#This Row],[PM]]-PagosV2[[#This Row],[GC]]-PagosV2[[#This Row],[PC]]-PagosV2[[#This Row],[U]],0)</f>
        <v>254.03142499999998</v>
      </c>
      <c r="N528" s="11">
        <f t="shared" si="9"/>
        <v>114.31414124999999</v>
      </c>
      <c r="O528" s="11">
        <f>IFERROR(PagosV2[[#This Row],[Ganancia (UV)]]*PagosV2[[#This Row],[Cantidad vendida]],0)</f>
        <v>114.31414124999999</v>
      </c>
      <c r="P528" s="1">
        <f>IFERROR(PagosV2[[#This Row],[Ganancia (N)]]-PagosV2[[#This Row],[Ganancia (UV)]],0)</f>
        <v>139.71728374999998</v>
      </c>
      <c r="Q528" s="1">
        <f>IFERROR(PagosV2[[#This Row],[Ganancia individual (Tienda)]]*PagosV2[[#This Row],[Cantidad vendida]],0)</f>
        <v>139.71728374999998</v>
      </c>
      <c r="R528" s="1">
        <f>IFERROR((PagosV2[[#This Row],[Precio de venta]]-PagosV2[[#This Row],[Ganancia (UB)]])*PagosV2[[#This Row],[Cantidad vendida]],0)</f>
        <v>651.1395</v>
      </c>
      <c r="S528" s="21" t="s">
        <v>312</v>
      </c>
      <c r="T528" s="21"/>
    </row>
    <row r="529" spans="1:20" ht="16.5" hidden="1" x14ac:dyDescent="0.3">
      <c r="A529" s="9" t="s">
        <v>315</v>
      </c>
      <c r="B529" s="75">
        <v>46144</v>
      </c>
      <c r="C529" s="9" t="s">
        <v>66</v>
      </c>
      <c r="D529" s="9" t="str">
        <f>IFERROR(VLOOKUP(PagosV2[[#This Row],[Codigo del producto]],Entradas[],3,FALSE),"No existe")</f>
        <v xml:space="preserve">Adaptador DAC </v>
      </c>
      <c r="E529" s="9">
        <v>1</v>
      </c>
      <c r="F529" s="11">
        <v>350</v>
      </c>
      <c r="G529" s="11">
        <f>IFERROR(PagosV2[[#This Row],[Cantidad vendida]]*PagosV2[[#This Row],[Precio de venta]],"-")</f>
        <v>350</v>
      </c>
      <c r="H529" s="11">
        <f>IFERROR(PagosV2[[#This Row],[Precio de venta]]-VLOOKUP(PagosV2[[#This Row],[Codigo del producto]],Stock[],13,FALSE),"-")</f>
        <v>173.48849999999999</v>
      </c>
      <c r="I529" s="11">
        <f>IFERROR(PagosV2[[#This Row],[Ganancia (UB)]]*$B$357,0)</f>
        <v>5.2046549999999998</v>
      </c>
      <c r="J529" s="11">
        <f>IFERROR(PagosV2[[#This Row],[Ganancia (UB)]]*$B$358,0)</f>
        <v>10.40931</v>
      </c>
      <c r="K529" s="11">
        <f>IFERROR(PagosV2[[#This Row],[Ganancia (UB)]]*$B$359,0)</f>
        <v>5.2046549999999998</v>
      </c>
      <c r="L529" s="11">
        <f>IFERROR(PagosV2[[#This Row],[Ganancia (UB)]]*$B$360,0)</f>
        <v>5.2046549999999998</v>
      </c>
      <c r="M529" s="11">
        <f>IFERROR(PagosV2[[#This Row],[Ganancia (UB)]]-PagosV2[[#This Row],[PM]]-PagosV2[[#This Row],[GC]]-PagosV2[[#This Row],[PC]]-PagosV2[[#This Row],[U]],0)</f>
        <v>147.46522499999998</v>
      </c>
      <c r="N529" s="11">
        <f t="shared" si="9"/>
        <v>66.359351249999989</v>
      </c>
      <c r="O529" s="11">
        <f>IFERROR(PagosV2[[#This Row],[Ganancia (UV)]]*PagosV2[[#This Row],[Cantidad vendida]],0)</f>
        <v>66.359351249999989</v>
      </c>
      <c r="P529" s="1">
        <f>IFERROR(PagosV2[[#This Row],[Ganancia (N)]]-PagosV2[[#This Row],[Ganancia (UV)]],0)</f>
        <v>81.105873749999986</v>
      </c>
      <c r="Q529" s="1">
        <f>IFERROR(PagosV2[[#This Row],[Ganancia individual (Tienda)]]*PagosV2[[#This Row],[Cantidad vendida]],0)</f>
        <v>81.105873749999986</v>
      </c>
      <c r="R529" s="1">
        <f>IFERROR((PagosV2[[#This Row],[Precio de venta]]-PagosV2[[#This Row],[Ganancia (UB)]])*PagosV2[[#This Row],[Cantidad vendida]],0)</f>
        <v>176.51150000000001</v>
      </c>
      <c r="S529" s="21" t="s">
        <v>312</v>
      </c>
      <c r="T529" s="21"/>
    </row>
    <row r="530" spans="1:20" ht="16.5" hidden="1" x14ac:dyDescent="0.3">
      <c r="A530" s="9" t="s">
        <v>315</v>
      </c>
      <c r="B530" s="75">
        <v>46145</v>
      </c>
      <c r="C530" s="9" t="s">
        <v>75</v>
      </c>
      <c r="D530" s="9" t="str">
        <f>IFERROR(VLOOKUP(PagosV2[[#This Row],[Codigo del producto]],Entradas[],3,FALSE),"No existe")</f>
        <v>Pro Controller Switch</v>
      </c>
      <c r="E530" s="9">
        <v>1</v>
      </c>
      <c r="F530" s="11">
        <v>1000</v>
      </c>
      <c r="G530" s="11">
        <f>IFERROR(PagosV2[[#This Row],[Cantidad vendida]]*PagosV2[[#This Row],[Precio de venta]],"-")</f>
        <v>1000</v>
      </c>
      <c r="H530" s="11">
        <f>IFERROR(PagosV2[[#This Row],[Precio de venta]]-VLOOKUP(PagosV2[[#This Row],[Codigo del producto]],Stock[],13,FALSE),"-")</f>
        <v>318.27499999999998</v>
      </c>
      <c r="I530" s="11">
        <f>IFERROR(PagosV2[[#This Row],[Ganancia (UB)]]*$B$357,0)</f>
        <v>9.5482499999999995</v>
      </c>
      <c r="J530" s="11">
        <f>IFERROR(PagosV2[[#This Row],[Ganancia (UB)]]*$B$358,0)</f>
        <v>19.096499999999999</v>
      </c>
      <c r="K530" s="11">
        <f>IFERROR(PagosV2[[#This Row],[Ganancia (UB)]]*$B$359,0)</f>
        <v>9.5482499999999995</v>
      </c>
      <c r="L530" s="11">
        <f>IFERROR(PagosV2[[#This Row],[Ganancia (UB)]]*$B$360,0)</f>
        <v>9.5482499999999995</v>
      </c>
      <c r="M530" s="11">
        <f>IFERROR(PagosV2[[#This Row],[Ganancia (UB)]]-PagosV2[[#This Row],[PM]]-PagosV2[[#This Row],[GC]]-PagosV2[[#This Row],[PC]]-PagosV2[[#This Row],[U]],0)</f>
        <v>270.53375</v>
      </c>
      <c r="N530" s="11">
        <f t="shared" si="9"/>
        <v>121.7401875</v>
      </c>
      <c r="O530" s="11">
        <f>IFERROR(PagosV2[[#This Row],[Ganancia (UV)]]*PagosV2[[#This Row],[Cantidad vendida]],0)</f>
        <v>121.7401875</v>
      </c>
      <c r="P530" s="1">
        <f>IFERROR(PagosV2[[#This Row],[Ganancia (N)]]-PagosV2[[#This Row],[Ganancia (UV)]],0)</f>
        <v>148.79356250000001</v>
      </c>
      <c r="Q530" s="1">
        <f>IFERROR(PagosV2[[#This Row],[Ganancia individual (Tienda)]]*PagosV2[[#This Row],[Cantidad vendida]],0)</f>
        <v>148.79356250000001</v>
      </c>
      <c r="R530" s="1">
        <f>IFERROR((PagosV2[[#This Row],[Precio de venta]]-PagosV2[[#This Row],[Ganancia (UB)]])*PagosV2[[#This Row],[Cantidad vendida]],0)</f>
        <v>681.72500000000002</v>
      </c>
      <c r="S530" s="21" t="s">
        <v>312</v>
      </c>
      <c r="T530" s="21"/>
    </row>
    <row r="531" spans="1:20" ht="16.5" hidden="1" x14ac:dyDescent="0.3">
      <c r="A531" s="9" t="s">
        <v>311</v>
      </c>
      <c r="B531" s="75">
        <v>46146</v>
      </c>
      <c r="C531" s="9" t="s">
        <v>166</v>
      </c>
      <c r="D531" s="9" t="str">
        <f>IFERROR(VLOOKUP(PagosV2[[#This Row],[Codigo del producto]],Entradas[],3,FALSE),"No existe")</f>
        <v>Pantalla para moto C5000 con camaras</v>
      </c>
      <c r="E531" s="9">
        <v>1</v>
      </c>
      <c r="F531" s="11">
        <v>3800</v>
      </c>
      <c r="G531" s="11">
        <f>IFERROR(PagosV2[[#This Row],[Cantidad vendida]]*PagosV2[[#This Row],[Precio de venta]],"-")</f>
        <v>3800</v>
      </c>
      <c r="H531" s="11">
        <f>IFERROR(PagosV2[[#This Row],[Precio de venta]]-VLOOKUP(PagosV2[[#This Row],[Codigo del producto]],Stock[],13,FALSE),"-")</f>
        <v>470.23399999999992</v>
      </c>
      <c r="I531" s="11">
        <f>IFERROR(PagosV2[[#This Row],[Ganancia (UB)]]*$B$357,0)</f>
        <v>14.107019999999997</v>
      </c>
      <c r="J531" s="11">
        <f>IFERROR(PagosV2[[#This Row],[Ganancia (UB)]]*$B$358,0)</f>
        <v>28.214039999999994</v>
      </c>
      <c r="K531" s="11">
        <f>IFERROR(PagosV2[[#This Row],[Ganancia (UB)]]*$B$359,0)</f>
        <v>14.107019999999997</v>
      </c>
      <c r="L531" s="11">
        <f>IFERROR(PagosV2[[#This Row],[Ganancia (UB)]]*$B$360,0)</f>
        <v>14.107019999999997</v>
      </c>
      <c r="M531" s="11">
        <f>IFERROR(PagosV2[[#This Row],[Ganancia (UB)]]-PagosV2[[#This Row],[PM]]-PagosV2[[#This Row],[GC]]-PagosV2[[#This Row],[PC]]-PagosV2[[#This Row],[U]],0)</f>
        <v>399.69889999999998</v>
      </c>
      <c r="N531" s="11">
        <f t="shared" si="9"/>
        <v>159.87956</v>
      </c>
      <c r="O531" s="11">
        <f>IFERROR(PagosV2[[#This Row],[Ganancia (UV)]]*PagosV2[[#This Row],[Cantidad vendida]],0)</f>
        <v>159.87956</v>
      </c>
      <c r="P531" s="1">
        <f>IFERROR(PagosV2[[#This Row],[Ganancia (N)]]-PagosV2[[#This Row],[Ganancia (UV)]],0)</f>
        <v>239.81933999999998</v>
      </c>
      <c r="Q531" s="1">
        <f>IFERROR(PagosV2[[#This Row],[Ganancia individual (Tienda)]]*PagosV2[[#This Row],[Cantidad vendida]],0)</f>
        <v>239.81933999999998</v>
      </c>
      <c r="R531" s="1">
        <f>IFERROR((PagosV2[[#This Row],[Precio de venta]]-PagosV2[[#This Row],[Ganancia (UB)]])*PagosV2[[#This Row],[Cantidad vendida]],0)</f>
        <v>3329.7660000000001</v>
      </c>
      <c r="S531" s="21" t="s">
        <v>312</v>
      </c>
      <c r="T531" s="21"/>
    </row>
    <row r="532" spans="1:20" ht="16.5" hidden="1" x14ac:dyDescent="0.3">
      <c r="A532" s="9" t="s">
        <v>313</v>
      </c>
      <c r="B532" s="75">
        <v>46146</v>
      </c>
      <c r="C532" s="9" t="s">
        <v>121</v>
      </c>
      <c r="D532" s="9" t="str">
        <f>IFERROR(VLOOKUP(PagosV2[[#This Row],[Codigo del producto]],Entradas[],3,FALSE),"No existe")</f>
        <v>Nubwo G06</v>
      </c>
      <c r="E532" s="9">
        <v>1</v>
      </c>
      <c r="F532" s="11">
        <v>1400</v>
      </c>
      <c r="G532" s="11">
        <f>IFERROR(PagosV2[[#This Row],[Cantidad vendida]]*PagosV2[[#This Row],[Precio de venta]],"-")</f>
        <v>1400</v>
      </c>
      <c r="H532" s="11">
        <f>IFERROR(PagosV2[[#This Row],[Precio de venta]]-VLOOKUP(PagosV2[[#This Row],[Codigo del producto]],Stock[],13,FALSE),"-")</f>
        <v>439.68899999999985</v>
      </c>
      <c r="I532" s="11">
        <f>IFERROR(PagosV2[[#This Row],[Ganancia (UB)]]*$B$357,0)</f>
        <v>13.190669999999995</v>
      </c>
      <c r="J532" s="11">
        <f>IFERROR(PagosV2[[#This Row],[Ganancia (UB)]]*$B$358,0)</f>
        <v>26.381339999999991</v>
      </c>
      <c r="K532" s="11">
        <f>IFERROR(PagosV2[[#This Row],[Ganancia (UB)]]*$B$359,0)</f>
        <v>13.190669999999995</v>
      </c>
      <c r="L532" s="11">
        <f>IFERROR(PagosV2[[#This Row],[Ganancia (UB)]]*$B$360,0)</f>
        <v>13.190669999999995</v>
      </c>
      <c r="M532" s="11">
        <f>IFERROR(PagosV2[[#This Row],[Ganancia (UB)]]-PagosV2[[#This Row],[PM]]-PagosV2[[#This Row],[GC]]-PagosV2[[#This Row],[PC]]-PagosV2[[#This Row],[U]],0)</f>
        <v>373.73564999999985</v>
      </c>
      <c r="N532" s="11">
        <f t="shared" si="9"/>
        <v>149.49425999999994</v>
      </c>
      <c r="O532" s="11">
        <f>IFERROR(PagosV2[[#This Row],[Ganancia (UV)]]*PagosV2[[#This Row],[Cantidad vendida]],0)</f>
        <v>149.49425999999994</v>
      </c>
      <c r="P532" s="1">
        <f>IFERROR(PagosV2[[#This Row],[Ganancia (N)]]-PagosV2[[#This Row],[Ganancia (UV)]],0)</f>
        <v>224.24138999999991</v>
      </c>
      <c r="Q532" s="1">
        <f>IFERROR(PagosV2[[#This Row],[Ganancia individual (Tienda)]]*PagosV2[[#This Row],[Cantidad vendida]],0)</f>
        <v>224.24138999999991</v>
      </c>
      <c r="R532" s="1">
        <f>IFERROR((PagosV2[[#This Row],[Precio de venta]]-PagosV2[[#This Row],[Ganancia (UB)]])*PagosV2[[#This Row],[Cantidad vendida]],0)</f>
        <v>960.31100000000015</v>
      </c>
      <c r="S532" s="21" t="s">
        <v>312</v>
      </c>
      <c r="T532" s="21"/>
    </row>
    <row r="533" spans="1:20" ht="16.5" hidden="1" x14ac:dyDescent="0.3">
      <c r="A533" s="9" t="s">
        <v>313</v>
      </c>
      <c r="B533" s="75">
        <v>46146</v>
      </c>
      <c r="C533" s="9" t="s">
        <v>151</v>
      </c>
      <c r="D533" s="9" t="str">
        <f>IFERROR(VLOOKUP(PagosV2[[#This Row],[Codigo del producto]],Entradas[],3,FALSE),"No existe")</f>
        <v>KZ Castor Pro</v>
      </c>
      <c r="E533" s="9">
        <v>1</v>
      </c>
      <c r="F533" s="11">
        <v>900</v>
      </c>
      <c r="G533" s="11">
        <f>IFERROR(PagosV2[[#This Row],[Cantidad vendida]]*PagosV2[[#This Row],[Precio de venta]],"-")</f>
        <v>900</v>
      </c>
      <c r="H533" s="11">
        <f>IFERROR(PagosV2[[#This Row],[Precio de venta]]-VLOOKUP(PagosV2[[#This Row],[Codigo del producto]],Stock[],13,FALSE),"-")</f>
        <v>248.8605</v>
      </c>
      <c r="I533" s="11">
        <f>IFERROR(PagosV2[[#This Row],[Ganancia (UB)]]*$B$357,0)</f>
        <v>7.4658150000000001</v>
      </c>
      <c r="J533" s="11">
        <f>IFERROR(PagosV2[[#This Row],[Ganancia (UB)]]*$B$358,0)</f>
        <v>14.93163</v>
      </c>
      <c r="K533" s="11">
        <f>IFERROR(PagosV2[[#This Row],[Ganancia (UB)]]*$B$359,0)</f>
        <v>7.4658150000000001</v>
      </c>
      <c r="L533" s="11">
        <f>IFERROR(PagosV2[[#This Row],[Ganancia (UB)]]*$B$360,0)</f>
        <v>7.4658150000000001</v>
      </c>
      <c r="M533" s="11">
        <f>IFERROR(PagosV2[[#This Row],[Ganancia (UB)]]-PagosV2[[#This Row],[PM]]-PagosV2[[#This Row],[GC]]-PagosV2[[#This Row],[PC]]-PagosV2[[#This Row],[U]],0)</f>
        <v>211.53142500000001</v>
      </c>
      <c r="N533" s="11">
        <f t="shared" si="9"/>
        <v>95.189141250000006</v>
      </c>
      <c r="O533" s="11">
        <f>IFERROR(PagosV2[[#This Row],[Ganancia (UV)]]*PagosV2[[#This Row],[Cantidad vendida]],0)</f>
        <v>95.189141250000006</v>
      </c>
      <c r="P533" s="1">
        <f>IFERROR(PagosV2[[#This Row],[Ganancia (N)]]-PagosV2[[#This Row],[Ganancia (UV)]],0)</f>
        <v>116.34228375000001</v>
      </c>
      <c r="Q533" s="1">
        <f>IFERROR(PagosV2[[#This Row],[Ganancia individual (Tienda)]]*PagosV2[[#This Row],[Cantidad vendida]],0)</f>
        <v>116.34228375000001</v>
      </c>
      <c r="R533" s="1">
        <f>IFERROR((PagosV2[[#This Row],[Precio de venta]]-PagosV2[[#This Row],[Ganancia (UB)]])*PagosV2[[#This Row],[Cantidad vendida]],0)</f>
        <v>651.1395</v>
      </c>
      <c r="S533" s="21" t="s">
        <v>312</v>
      </c>
      <c r="T533" s="21"/>
    </row>
    <row r="534" spans="1:20" ht="16.5" hidden="1" x14ac:dyDescent="0.3">
      <c r="A534" s="9" t="s">
        <v>313</v>
      </c>
      <c r="B534" s="75">
        <v>46146</v>
      </c>
      <c r="C534" s="9" t="s">
        <v>181</v>
      </c>
      <c r="D534" s="9" t="str">
        <f>IFERROR(VLOOKUP(PagosV2[[#This Row],[Codigo del producto]],Entradas[],3,FALSE),"No existe")</f>
        <v>KZ AZ15</v>
      </c>
      <c r="E534" s="9">
        <v>1</v>
      </c>
      <c r="F534" s="11">
        <v>1100</v>
      </c>
      <c r="G534" s="11">
        <f>IFERROR(PagosV2[[#This Row],[Cantidad vendida]]*PagosV2[[#This Row],[Precio de venta]],"-")</f>
        <v>1100</v>
      </c>
      <c r="H534" s="11">
        <f>IFERROR(PagosV2[[#This Row],[Precio de venta]]-VLOOKUP(PagosV2[[#This Row],[Codigo del producto]],Stock[],13,FALSE),"-")</f>
        <v>267.55849999999998</v>
      </c>
      <c r="I534" s="11">
        <f>IFERROR(PagosV2[[#This Row],[Ganancia (UB)]]*$B$357,0)</f>
        <v>8.0267549999999996</v>
      </c>
      <c r="J534" s="11">
        <f>IFERROR(PagosV2[[#This Row],[Ganancia (UB)]]*$B$358,0)</f>
        <v>16.053509999999999</v>
      </c>
      <c r="K534" s="11">
        <f>IFERROR(PagosV2[[#This Row],[Ganancia (UB)]]*$B$359,0)</f>
        <v>8.0267549999999996</v>
      </c>
      <c r="L534" s="11">
        <f>IFERROR(PagosV2[[#This Row],[Ganancia (UB)]]*$B$360,0)</f>
        <v>8.0267549999999996</v>
      </c>
      <c r="M534" s="11">
        <f>IFERROR(PagosV2[[#This Row],[Ganancia (UB)]]-PagosV2[[#This Row],[PM]]-PagosV2[[#This Row],[GC]]-PagosV2[[#This Row],[PC]]-PagosV2[[#This Row],[U]],0)</f>
        <v>227.424725</v>
      </c>
      <c r="N534" s="11">
        <f t="shared" si="9"/>
        <v>102.34112625</v>
      </c>
      <c r="O534" s="11">
        <f>IFERROR(PagosV2[[#This Row],[Ganancia (UV)]]*PagosV2[[#This Row],[Cantidad vendida]],0)</f>
        <v>102.34112625</v>
      </c>
      <c r="P534" s="1">
        <f>IFERROR(PagosV2[[#This Row],[Ganancia (N)]]-PagosV2[[#This Row],[Ganancia (UV)]],0)</f>
        <v>125.08359874999999</v>
      </c>
      <c r="Q534" s="1">
        <f>IFERROR(PagosV2[[#This Row],[Ganancia individual (Tienda)]]*PagosV2[[#This Row],[Cantidad vendida]],0)</f>
        <v>125.08359874999999</v>
      </c>
      <c r="R534" s="1">
        <f>IFERROR((PagosV2[[#This Row],[Precio de venta]]-PagosV2[[#This Row],[Ganancia (UB)]])*PagosV2[[#This Row],[Cantidad vendida]],0)</f>
        <v>832.44150000000002</v>
      </c>
      <c r="S534" s="21" t="s">
        <v>312</v>
      </c>
      <c r="T534" s="21"/>
    </row>
    <row r="535" spans="1:20" ht="16.5" hidden="1" x14ac:dyDescent="0.3">
      <c r="A535" s="9" t="s">
        <v>313</v>
      </c>
      <c r="B535" s="75">
        <v>46146</v>
      </c>
      <c r="C535" s="9" t="s">
        <v>175</v>
      </c>
      <c r="D535" s="9" t="str">
        <f>IFERROR(VLOOKUP(PagosV2[[#This Row],[Codigo del producto]],Entradas[],3,FALSE),"No existe")</f>
        <v>KZ AE01</v>
      </c>
      <c r="E535" s="9">
        <v>1</v>
      </c>
      <c r="F535" s="11">
        <v>1000</v>
      </c>
      <c r="G535" s="11">
        <f>IFERROR(PagosV2[[#This Row],[Cantidad vendida]]*PagosV2[[#This Row],[Precio de venta]],"-")</f>
        <v>1000</v>
      </c>
      <c r="H535" s="11">
        <f>IFERROR(PagosV2[[#This Row],[Precio de venta]]-VLOOKUP(PagosV2[[#This Row],[Codigo del producto]],Stock[],13,FALSE),"-")</f>
        <v>342.96450000000004</v>
      </c>
      <c r="I535" s="11">
        <f>IFERROR(PagosV2[[#This Row],[Ganancia (UB)]]*$B$357,0)</f>
        <v>10.288935</v>
      </c>
      <c r="J535" s="11">
        <f>IFERROR(PagosV2[[#This Row],[Ganancia (UB)]]*$B$358,0)</f>
        <v>20.577870000000001</v>
      </c>
      <c r="K535" s="11">
        <f>IFERROR(PagosV2[[#This Row],[Ganancia (UB)]]*$B$359,0)</f>
        <v>10.288935</v>
      </c>
      <c r="L535" s="11">
        <f>IFERROR(PagosV2[[#This Row],[Ganancia (UB)]]*$B$360,0)</f>
        <v>10.288935</v>
      </c>
      <c r="M535" s="11">
        <f>IFERROR(PagosV2[[#This Row],[Ganancia (UB)]]-PagosV2[[#This Row],[PM]]-PagosV2[[#This Row],[GC]]-PagosV2[[#This Row],[PC]]-PagosV2[[#This Row],[U]],0)</f>
        <v>291.51982500000008</v>
      </c>
      <c r="N535" s="11">
        <f t="shared" si="9"/>
        <v>131.18392125000005</v>
      </c>
      <c r="O535" s="11">
        <f>IFERROR(PagosV2[[#This Row],[Ganancia (UV)]]*PagosV2[[#This Row],[Cantidad vendida]],0)</f>
        <v>131.18392125000005</v>
      </c>
      <c r="P535" s="1">
        <f>IFERROR(PagosV2[[#This Row],[Ganancia (N)]]-PagosV2[[#This Row],[Ganancia (UV)]],0)</f>
        <v>160.33590375000003</v>
      </c>
      <c r="Q535" s="1">
        <f>IFERROR(PagosV2[[#This Row],[Ganancia individual (Tienda)]]*PagosV2[[#This Row],[Cantidad vendida]],0)</f>
        <v>160.33590375000003</v>
      </c>
      <c r="R535" s="1">
        <f>IFERROR((PagosV2[[#This Row],[Precio de venta]]-PagosV2[[#This Row],[Ganancia (UB)]])*PagosV2[[#This Row],[Cantidad vendida]],0)</f>
        <v>657.03549999999996</v>
      </c>
      <c r="S535" s="21" t="s">
        <v>312</v>
      </c>
      <c r="T535" s="21"/>
    </row>
    <row r="536" spans="1:20" ht="16.5" hidden="1" x14ac:dyDescent="0.3">
      <c r="A536" s="9" t="s">
        <v>354</v>
      </c>
      <c r="B536" s="75">
        <v>46147</v>
      </c>
      <c r="C536" s="9" t="s">
        <v>84</v>
      </c>
      <c r="D536" s="9" t="str">
        <f>IFERROR(VLOOKUP(PagosV2[[#This Row],[Codigo del producto]],Entradas[],3,FALSE),"No existe")</f>
        <v>NYXI Pro controller (Black)</v>
      </c>
      <c r="E536" s="9">
        <v>1</v>
      </c>
      <c r="F536" s="11">
        <v>2000</v>
      </c>
      <c r="G536" s="11">
        <f>IFERROR(PagosV2[[#This Row],[Cantidad vendida]]*PagosV2[[#This Row],[Precio de venta]],"-")</f>
        <v>2000</v>
      </c>
      <c r="H536" s="11">
        <f>IFERROR(PagosV2[[#This Row],[Precio de venta]]-VLOOKUP(PagosV2[[#This Row],[Codigo del producto]],Stock[],13,FALSE),"-")</f>
        <v>467.77700000000004</v>
      </c>
      <c r="I536" s="11">
        <f>IFERROR(PagosV2[[#This Row],[Ganancia (UB)]]*$B$357,0)</f>
        <v>14.03331</v>
      </c>
      <c r="J536" s="11">
        <f>IFERROR(PagosV2[[#This Row],[Ganancia (UB)]]*$B$358,0)</f>
        <v>28.06662</v>
      </c>
      <c r="K536" s="11">
        <f>IFERROR(PagosV2[[#This Row],[Ganancia (UB)]]*$B$359,0)</f>
        <v>14.03331</v>
      </c>
      <c r="L536" s="11">
        <f>IFERROR(PagosV2[[#This Row],[Ganancia (UB)]]*$B$360,0)</f>
        <v>14.03331</v>
      </c>
      <c r="M536" s="11">
        <f>IFERROR(PagosV2[[#This Row],[Ganancia (UB)]]-PagosV2[[#This Row],[PM]]-PagosV2[[#This Row],[GC]]-PagosV2[[#This Row],[PC]]-PagosV2[[#This Row],[U]],0)</f>
        <v>397.61045000000001</v>
      </c>
      <c r="N536" s="11">
        <f t="shared" si="9"/>
        <v>159.04418000000001</v>
      </c>
      <c r="O536" s="11">
        <f>IFERROR(PagosV2[[#This Row],[Ganancia (UV)]]*PagosV2[[#This Row],[Cantidad vendida]],0)</f>
        <v>159.04418000000001</v>
      </c>
      <c r="P536" s="1">
        <f>IFERROR(PagosV2[[#This Row],[Ganancia (N)]]-PagosV2[[#This Row],[Ganancia (UV)]],0)</f>
        <v>238.56627</v>
      </c>
      <c r="Q536" s="1">
        <f>IFERROR(PagosV2[[#This Row],[Ganancia individual (Tienda)]]*PagosV2[[#This Row],[Cantidad vendida]],0)</f>
        <v>238.56627</v>
      </c>
      <c r="R536" s="1">
        <f>IFERROR((PagosV2[[#This Row],[Precio de venta]]-PagosV2[[#This Row],[Ganancia (UB)]])*PagosV2[[#This Row],[Cantidad vendida]],0)</f>
        <v>1532.223</v>
      </c>
      <c r="S536" s="21" t="s">
        <v>312</v>
      </c>
      <c r="T536" s="21"/>
    </row>
    <row r="537" spans="1:20" ht="16.5" hidden="1" x14ac:dyDescent="0.3">
      <c r="A537" s="9" t="s">
        <v>354</v>
      </c>
      <c r="B537" s="75">
        <v>46147</v>
      </c>
      <c r="C537" s="9" t="s">
        <v>152</v>
      </c>
      <c r="D537" s="9" t="str">
        <f>IFERROR(VLOOKUP(PagosV2[[#This Row],[Codigo del producto]],Entradas[],3,FALSE),"No existe")</f>
        <v>Kit Estuche para Nintendo Switch</v>
      </c>
      <c r="E537" s="9">
        <v>1</v>
      </c>
      <c r="F537" s="11">
        <v>700</v>
      </c>
      <c r="G537" s="11">
        <f>IFERROR(PagosV2[[#This Row],[Cantidad vendida]]*PagosV2[[#This Row],[Precio de venta]],"-")</f>
        <v>700</v>
      </c>
      <c r="H537" s="11">
        <f>IFERROR(PagosV2[[#This Row],[Precio de venta]]-VLOOKUP(PagosV2[[#This Row],[Codigo del producto]],Stock[],13,FALSE),"-")</f>
        <v>268.11799999999994</v>
      </c>
      <c r="I537" s="11">
        <f>IFERROR(PagosV2[[#This Row],[Ganancia (UB)]]*$B$357,0)</f>
        <v>8.0435399999999984</v>
      </c>
      <c r="J537" s="11">
        <f>IFERROR(PagosV2[[#This Row],[Ganancia (UB)]]*$B$358,0)</f>
        <v>16.087079999999997</v>
      </c>
      <c r="K537" s="11">
        <f>IFERROR(PagosV2[[#This Row],[Ganancia (UB)]]*$B$359,0)</f>
        <v>8.0435399999999984</v>
      </c>
      <c r="L537" s="11">
        <f>IFERROR(PagosV2[[#This Row],[Ganancia (UB)]]*$B$360,0)</f>
        <v>8.0435399999999984</v>
      </c>
      <c r="M537" s="11">
        <f>IFERROR(PagosV2[[#This Row],[Ganancia (UB)]]-PagosV2[[#This Row],[PM]]-PagosV2[[#This Row],[GC]]-PagosV2[[#This Row],[PC]]-PagosV2[[#This Row],[U]],0)</f>
        <v>227.90029999999993</v>
      </c>
      <c r="N537" s="11">
        <f t="shared" si="9"/>
        <v>102.55513499999996</v>
      </c>
      <c r="O537" s="11">
        <f>IFERROR(PagosV2[[#This Row],[Ganancia (UV)]]*PagosV2[[#This Row],[Cantidad vendida]],0)</f>
        <v>102.55513499999996</v>
      </c>
      <c r="P537" s="1">
        <f>IFERROR(PagosV2[[#This Row],[Ganancia (N)]]-PagosV2[[#This Row],[Ganancia (UV)]],0)</f>
        <v>125.34516499999997</v>
      </c>
      <c r="Q537" s="1">
        <f>IFERROR(PagosV2[[#This Row],[Ganancia individual (Tienda)]]*PagosV2[[#This Row],[Cantidad vendida]],0)</f>
        <v>125.34516499999997</v>
      </c>
      <c r="R537" s="1">
        <f>IFERROR((PagosV2[[#This Row],[Precio de venta]]-PagosV2[[#This Row],[Ganancia (UB)]])*PagosV2[[#This Row],[Cantidad vendida]],0)</f>
        <v>431.88200000000006</v>
      </c>
      <c r="S537" s="21" t="s">
        <v>312</v>
      </c>
      <c r="T537" s="21"/>
    </row>
    <row r="538" spans="1:20" ht="16.5" hidden="1" x14ac:dyDescent="0.3">
      <c r="A538" s="9" t="s">
        <v>327</v>
      </c>
      <c r="B538" s="75">
        <v>46147</v>
      </c>
      <c r="C538" s="9" t="s">
        <v>154</v>
      </c>
      <c r="D538" s="9" t="str">
        <f>IFERROR(VLOOKUP(PagosV2[[#This Row],[Codigo del producto]],Entradas[],3,FALSE),"No existe")</f>
        <v xml:space="preserve">Attack Shark Mouse X11 negro </v>
      </c>
      <c r="E538" s="9">
        <v>1</v>
      </c>
      <c r="F538" s="11">
        <v>1275</v>
      </c>
      <c r="G538" s="11">
        <f>IFERROR(PagosV2[[#This Row],[Cantidad vendida]]*PagosV2[[#This Row],[Precio de venta]],"-")</f>
        <v>1275</v>
      </c>
      <c r="H538" s="11">
        <f>IFERROR(PagosV2[[#This Row],[Precio de venta]]-VLOOKUP(PagosV2[[#This Row],[Codigo del producto]],Stock[],13,FALSE),"-")</f>
        <v>352.64449999999988</v>
      </c>
      <c r="I538" s="11">
        <f>IFERROR(PagosV2[[#This Row],[Ganancia (UB)]]*$B$357,0)</f>
        <v>10.579334999999997</v>
      </c>
      <c r="J538" s="11">
        <f>IFERROR(PagosV2[[#This Row],[Ganancia (UB)]]*$B$358,0)</f>
        <v>21.158669999999994</v>
      </c>
      <c r="K538" s="11">
        <f>IFERROR(PagosV2[[#This Row],[Ganancia (UB)]]*$B$359,0)</f>
        <v>10.579334999999997</v>
      </c>
      <c r="L538" s="11">
        <f>IFERROR(PagosV2[[#This Row],[Ganancia (UB)]]*$B$360,0)</f>
        <v>10.579334999999997</v>
      </c>
      <c r="M538" s="11">
        <f>IFERROR(PagosV2[[#This Row],[Ganancia (UB)]]-PagosV2[[#This Row],[PM]]-PagosV2[[#This Row],[GC]]-PagosV2[[#This Row],[PC]]-PagosV2[[#This Row],[U]],0)</f>
        <v>299.74782499999986</v>
      </c>
      <c r="N538" s="11">
        <f t="shared" si="9"/>
        <v>134.88652124999993</v>
      </c>
      <c r="O538" s="11">
        <f>IFERROR(PagosV2[[#This Row],[Ganancia (UV)]]*PagosV2[[#This Row],[Cantidad vendida]],0)</f>
        <v>134.88652124999993</v>
      </c>
      <c r="P538" s="1">
        <f>IFERROR(PagosV2[[#This Row],[Ganancia (N)]]-PagosV2[[#This Row],[Ganancia (UV)]],0)</f>
        <v>164.86130374999993</v>
      </c>
      <c r="Q538" s="1">
        <f>IFERROR(PagosV2[[#This Row],[Ganancia individual (Tienda)]]*PagosV2[[#This Row],[Cantidad vendida]],0)</f>
        <v>164.86130374999993</v>
      </c>
      <c r="R538" s="1">
        <f>IFERROR((PagosV2[[#This Row],[Precio de venta]]-PagosV2[[#This Row],[Ganancia (UB)]])*PagosV2[[#This Row],[Cantidad vendida]],0)</f>
        <v>922.35550000000012</v>
      </c>
      <c r="S538" s="21" t="s">
        <v>312</v>
      </c>
      <c r="T538" s="21"/>
    </row>
    <row r="539" spans="1:20" ht="16.5" hidden="1" x14ac:dyDescent="0.3">
      <c r="A539" s="9" t="s">
        <v>327</v>
      </c>
      <c r="B539" s="75">
        <v>46147</v>
      </c>
      <c r="C539" s="9" t="s">
        <v>158</v>
      </c>
      <c r="D539" s="9" t="str">
        <f>IFERROR(VLOOKUP(PagosV2[[#This Row],[Codigo del producto]],Entradas[],3,FALSE),"No existe")</f>
        <v>KZ EDX lite</v>
      </c>
      <c r="E539" s="9">
        <v>1</v>
      </c>
      <c r="F539" s="11">
        <v>400</v>
      </c>
      <c r="G539" s="11">
        <f>IFERROR(PagosV2[[#This Row],[Cantidad vendida]]*PagosV2[[#This Row],[Precio de venta]],"-")</f>
        <v>400</v>
      </c>
      <c r="H539" s="11">
        <f>IFERROR(PagosV2[[#This Row],[Precio de venta]]-VLOOKUP(PagosV2[[#This Row],[Codigo del producto]],Stock[],13,FALSE),"-")</f>
        <v>205.0635</v>
      </c>
      <c r="I539" s="11">
        <f>IFERROR(PagosV2[[#This Row],[Ganancia (UB)]]*$B$357,0)</f>
        <v>6.1519050000000002</v>
      </c>
      <c r="J539" s="11">
        <f>IFERROR(PagosV2[[#This Row],[Ganancia (UB)]]*$B$358,0)</f>
        <v>12.30381</v>
      </c>
      <c r="K539" s="11">
        <f>IFERROR(PagosV2[[#This Row],[Ganancia (UB)]]*$B$359,0)</f>
        <v>6.1519050000000002</v>
      </c>
      <c r="L539" s="11">
        <f>IFERROR(PagosV2[[#This Row],[Ganancia (UB)]]*$B$360,0)</f>
        <v>6.1519050000000002</v>
      </c>
      <c r="M539" s="11">
        <f>IFERROR(PagosV2[[#This Row],[Ganancia (UB)]]-PagosV2[[#This Row],[PM]]-PagosV2[[#This Row],[GC]]-PagosV2[[#This Row],[PC]]-PagosV2[[#This Row],[U]],0)</f>
        <v>174.30397500000001</v>
      </c>
      <c r="N539" s="11">
        <f t="shared" si="9"/>
        <v>78.436788750000005</v>
      </c>
      <c r="O539" s="11">
        <f>IFERROR(PagosV2[[#This Row],[Ganancia (UV)]]*PagosV2[[#This Row],[Cantidad vendida]],0)</f>
        <v>78.436788750000005</v>
      </c>
      <c r="P539" s="1">
        <f>IFERROR(PagosV2[[#This Row],[Ganancia (N)]]-PagosV2[[#This Row],[Ganancia (UV)]],0)</f>
        <v>95.867186250000003</v>
      </c>
      <c r="Q539" s="1">
        <f>IFERROR(PagosV2[[#This Row],[Ganancia individual (Tienda)]]*PagosV2[[#This Row],[Cantidad vendida]],0)</f>
        <v>95.867186250000003</v>
      </c>
      <c r="R539" s="1">
        <f>IFERROR((PagosV2[[#This Row],[Precio de venta]]-PagosV2[[#This Row],[Ganancia (UB)]])*PagosV2[[#This Row],[Cantidad vendida]],0)</f>
        <v>194.9365</v>
      </c>
      <c r="S539" s="21" t="s">
        <v>312</v>
      </c>
      <c r="T539" s="21"/>
    </row>
    <row r="540" spans="1:20" ht="16.5" hidden="1" x14ac:dyDescent="0.3">
      <c r="A540" s="9" t="s">
        <v>321</v>
      </c>
      <c r="B540" s="75">
        <v>46147</v>
      </c>
      <c r="C540" s="9" t="s">
        <v>494</v>
      </c>
      <c r="D540" s="9" t="str">
        <f>IFERROR(VLOOKUP(PagosV2[[#This Row],[Codigo del producto]],Entradas[],3,FALSE),"No existe")</f>
        <v>Shark Attack Mouse X11 White</v>
      </c>
      <c r="E540" s="9">
        <v>1</v>
      </c>
      <c r="F540" s="11">
        <v>1300</v>
      </c>
      <c r="G540" s="11">
        <f>IFERROR(PagosV2[[#This Row],[Cantidad vendida]]*PagosV2[[#This Row],[Precio de venta]],"-")</f>
        <v>1300</v>
      </c>
      <c r="H540" s="11">
        <f>IFERROR(PagosV2[[#This Row],[Precio de venta]]-VLOOKUP(PagosV2[[#This Row],[Codigo del producto]],Stock[],13,FALSE),"-")</f>
        <v>408.23</v>
      </c>
      <c r="I540" s="11">
        <f>IFERROR(PagosV2[[#This Row],[Ganancia (UB)]]*$B$357,0)</f>
        <v>12.2469</v>
      </c>
      <c r="J540" s="11">
        <f>IFERROR(PagosV2[[#This Row],[Ganancia (UB)]]*$B$358,0)</f>
        <v>24.4938</v>
      </c>
      <c r="K540" s="11">
        <f>IFERROR(PagosV2[[#This Row],[Ganancia (UB)]]*$B$359,0)</f>
        <v>12.2469</v>
      </c>
      <c r="L540" s="11">
        <f>IFERROR(PagosV2[[#This Row],[Ganancia (UB)]]*$B$360,0)</f>
        <v>12.2469</v>
      </c>
      <c r="M540" s="11">
        <f>IFERROR(PagosV2[[#This Row],[Ganancia (UB)]]-PagosV2[[#This Row],[PM]]-PagosV2[[#This Row],[GC]]-PagosV2[[#This Row],[PC]]-PagosV2[[#This Row],[U]],0)</f>
        <v>346.99550000000005</v>
      </c>
      <c r="N540" s="11">
        <f t="shared" si="9"/>
        <v>138.79820000000004</v>
      </c>
      <c r="O540" s="11">
        <f>IFERROR(PagosV2[[#This Row],[Ganancia (UV)]]*PagosV2[[#This Row],[Cantidad vendida]],0)</f>
        <v>138.79820000000004</v>
      </c>
      <c r="P540" s="1">
        <f>IFERROR(PagosV2[[#This Row],[Ganancia (N)]]-PagosV2[[#This Row],[Ganancia (UV)]],0)</f>
        <v>208.19730000000001</v>
      </c>
      <c r="Q540" s="1">
        <f>IFERROR(PagosV2[[#This Row],[Ganancia individual (Tienda)]]*PagosV2[[#This Row],[Cantidad vendida]],0)</f>
        <v>208.19730000000001</v>
      </c>
      <c r="R540" s="1">
        <f>IFERROR((PagosV2[[#This Row],[Precio de venta]]-PagosV2[[#This Row],[Ganancia (UB)]])*PagosV2[[#This Row],[Cantidad vendida]],0)</f>
        <v>891.77</v>
      </c>
      <c r="S540" s="21" t="s">
        <v>312</v>
      </c>
      <c r="T540" s="21"/>
    </row>
    <row r="541" spans="1:20" ht="16.5" hidden="1" x14ac:dyDescent="0.3">
      <c r="A541" s="9" t="s">
        <v>313</v>
      </c>
      <c r="B541" s="75">
        <v>46149</v>
      </c>
      <c r="C541" s="9" t="s">
        <v>155</v>
      </c>
      <c r="D541" s="9" t="str">
        <f>IFERROR(VLOOKUP(PagosV2[[#This Row],[Codigo del producto]],Entradas[],3,FALSE),"No existe")</f>
        <v>Attack Shark Mouse X11 Rojo</v>
      </c>
      <c r="E541" s="9">
        <v>1</v>
      </c>
      <c r="F541" s="11">
        <v>1300</v>
      </c>
      <c r="G541" s="11">
        <f>IFERROR(PagosV2[[#This Row],[Cantidad vendida]]*PagosV2[[#This Row],[Precio de venta]],"-")</f>
        <v>1300</v>
      </c>
      <c r="H541" s="11">
        <f>IFERROR(PagosV2[[#This Row],[Precio de venta]]-VLOOKUP(PagosV2[[#This Row],[Codigo del producto]],Stock[],13,FALSE),"-")</f>
        <v>373.95950000000005</v>
      </c>
      <c r="I541" s="11">
        <f>IFERROR(PagosV2[[#This Row],[Ganancia (UB)]]*$B$357,0)</f>
        <v>11.218785</v>
      </c>
      <c r="J541" s="11">
        <f>IFERROR(PagosV2[[#This Row],[Ganancia (UB)]]*$B$358,0)</f>
        <v>22.437570000000001</v>
      </c>
      <c r="K541" s="11">
        <f>IFERROR(PagosV2[[#This Row],[Ganancia (UB)]]*$B$359,0)</f>
        <v>11.218785</v>
      </c>
      <c r="L541" s="11">
        <f>IFERROR(PagosV2[[#This Row],[Ganancia (UB)]]*$B$360,0)</f>
        <v>11.218785</v>
      </c>
      <c r="M541" s="11">
        <f>IFERROR(PagosV2[[#This Row],[Ganancia (UB)]]-PagosV2[[#This Row],[PM]]-PagosV2[[#This Row],[GC]]-PagosV2[[#This Row],[PC]]-PagosV2[[#This Row],[U]],0)</f>
        <v>317.86557499999998</v>
      </c>
      <c r="N541" s="11">
        <f t="shared" si="9"/>
        <v>127.14623</v>
      </c>
      <c r="O541" s="11">
        <f>IFERROR(PagosV2[[#This Row],[Ganancia (UV)]]*PagosV2[[#This Row],[Cantidad vendida]],0)</f>
        <v>127.14623</v>
      </c>
      <c r="P541" s="1">
        <f>IFERROR(PagosV2[[#This Row],[Ganancia (N)]]-PagosV2[[#This Row],[Ganancia (UV)]],0)</f>
        <v>190.71934499999998</v>
      </c>
      <c r="Q541" s="1">
        <f>IFERROR(PagosV2[[#This Row],[Ganancia individual (Tienda)]]*PagosV2[[#This Row],[Cantidad vendida]],0)</f>
        <v>190.71934499999998</v>
      </c>
      <c r="R541" s="1">
        <f>IFERROR((PagosV2[[#This Row],[Precio de venta]]-PagosV2[[#This Row],[Ganancia (UB)]])*PagosV2[[#This Row],[Cantidad vendida]],0)</f>
        <v>926.04049999999995</v>
      </c>
      <c r="S541" s="21" t="s">
        <v>312</v>
      </c>
      <c r="T541" s="21"/>
    </row>
    <row r="542" spans="1:20" ht="16.5" hidden="1" x14ac:dyDescent="0.3">
      <c r="A542" s="9" t="s">
        <v>313</v>
      </c>
      <c r="B542" s="75">
        <v>46149</v>
      </c>
      <c r="C542" s="9" t="s">
        <v>151</v>
      </c>
      <c r="D542" s="9" t="str">
        <f>IFERROR(VLOOKUP(PagosV2[[#This Row],[Codigo del producto]],Entradas[],3,FALSE),"No existe")</f>
        <v>KZ Castor Pro</v>
      </c>
      <c r="E542" s="9">
        <v>1</v>
      </c>
      <c r="F542" s="11">
        <v>1000</v>
      </c>
      <c r="G542" s="11">
        <f>IFERROR(PagosV2[[#This Row],[Cantidad vendida]]*PagosV2[[#This Row],[Precio de venta]],"-")</f>
        <v>1000</v>
      </c>
      <c r="H542" s="11">
        <f>IFERROR(PagosV2[[#This Row],[Precio de venta]]-VLOOKUP(PagosV2[[#This Row],[Codigo del producto]],Stock[],13,FALSE),"-")</f>
        <v>348.8605</v>
      </c>
      <c r="I542" s="11">
        <f>IFERROR(PagosV2[[#This Row],[Ganancia (UB)]]*$B$357,0)</f>
        <v>10.465814999999999</v>
      </c>
      <c r="J542" s="11">
        <f>IFERROR(PagosV2[[#This Row],[Ganancia (UB)]]*$B$358,0)</f>
        <v>20.931629999999998</v>
      </c>
      <c r="K542" s="11">
        <f>IFERROR(PagosV2[[#This Row],[Ganancia (UB)]]*$B$359,0)</f>
        <v>10.465814999999999</v>
      </c>
      <c r="L542" s="11">
        <f>IFERROR(PagosV2[[#This Row],[Ganancia (UB)]]*$B$360,0)</f>
        <v>10.465814999999999</v>
      </c>
      <c r="M542" s="11">
        <f>IFERROR(PagosV2[[#This Row],[Ganancia (UB)]]-PagosV2[[#This Row],[PM]]-PagosV2[[#This Row],[GC]]-PagosV2[[#This Row],[PC]]-PagosV2[[#This Row],[U]],0)</f>
        <v>296.53142499999996</v>
      </c>
      <c r="N542" s="11">
        <f t="shared" si="9"/>
        <v>133.43914124999998</v>
      </c>
      <c r="O542" s="11">
        <f>IFERROR(PagosV2[[#This Row],[Ganancia (UV)]]*PagosV2[[#This Row],[Cantidad vendida]],0)</f>
        <v>133.43914124999998</v>
      </c>
      <c r="P542" s="1">
        <f>IFERROR(PagosV2[[#This Row],[Ganancia (N)]]-PagosV2[[#This Row],[Ganancia (UV)]],0)</f>
        <v>163.09228374999998</v>
      </c>
      <c r="Q542" s="1">
        <f>IFERROR(PagosV2[[#This Row],[Ganancia individual (Tienda)]]*PagosV2[[#This Row],[Cantidad vendida]],0)</f>
        <v>163.09228374999998</v>
      </c>
      <c r="R542" s="1">
        <f>IFERROR((PagosV2[[#This Row],[Precio de venta]]-PagosV2[[#This Row],[Ganancia (UB)]])*PagosV2[[#This Row],[Cantidad vendida]],0)</f>
        <v>651.1395</v>
      </c>
      <c r="S542" s="21" t="s">
        <v>312</v>
      </c>
      <c r="T542" s="21"/>
    </row>
    <row r="543" spans="1:20" ht="16.5" hidden="1" x14ac:dyDescent="0.3">
      <c r="A543" s="9" t="s">
        <v>313</v>
      </c>
      <c r="B543" s="75">
        <v>46149</v>
      </c>
      <c r="C543" s="9" t="s">
        <v>129</v>
      </c>
      <c r="D543" s="9" t="str">
        <f>IFERROR(VLOOKUP(PagosV2[[#This Row],[Codigo del producto]],Entradas[],3,FALSE),"No existe")</f>
        <v>Cargadores USB para moto</v>
      </c>
      <c r="E543" s="9">
        <v>1</v>
      </c>
      <c r="F543" s="11">
        <v>600</v>
      </c>
      <c r="G543" s="11">
        <f>IFERROR(PagosV2[[#This Row],[Cantidad vendida]]*PagosV2[[#This Row],[Precio de venta]],"-")</f>
        <v>600</v>
      </c>
      <c r="H543" s="11">
        <f>IFERROR(PagosV2[[#This Row],[Precio de venta]]-VLOOKUP(PagosV2[[#This Row],[Codigo del producto]],Stock[],13,FALSE),"-")</f>
        <v>281.2475</v>
      </c>
      <c r="I543" s="11">
        <f>IFERROR(PagosV2[[#This Row],[Ganancia (UB)]]*$B$357,0)</f>
        <v>8.4374249999999993</v>
      </c>
      <c r="J543" s="11">
        <f>IFERROR(PagosV2[[#This Row],[Ganancia (UB)]]*$B$358,0)</f>
        <v>16.874849999999999</v>
      </c>
      <c r="K543" s="11">
        <f>IFERROR(PagosV2[[#This Row],[Ganancia (UB)]]*$B$359,0)</f>
        <v>8.4374249999999993</v>
      </c>
      <c r="L543" s="11">
        <f>IFERROR(PagosV2[[#This Row],[Ganancia (UB)]]*$B$360,0)</f>
        <v>8.4374249999999993</v>
      </c>
      <c r="M543" s="11">
        <f>IFERROR(PagosV2[[#This Row],[Ganancia (UB)]]-PagosV2[[#This Row],[PM]]-PagosV2[[#This Row],[GC]]-PagosV2[[#This Row],[PC]]-PagosV2[[#This Row],[U]],0)</f>
        <v>239.06037499999999</v>
      </c>
      <c r="N543" s="11">
        <f t="shared" si="9"/>
        <v>107.57716875</v>
      </c>
      <c r="O543" s="11">
        <f>IFERROR(PagosV2[[#This Row],[Ganancia (UV)]]*PagosV2[[#This Row],[Cantidad vendida]],0)</f>
        <v>107.57716875</v>
      </c>
      <c r="P543" s="1">
        <f>IFERROR(PagosV2[[#This Row],[Ganancia (N)]]-PagosV2[[#This Row],[Ganancia (UV)]],0)</f>
        <v>131.48320624999999</v>
      </c>
      <c r="Q543" s="1">
        <f>IFERROR(PagosV2[[#This Row],[Ganancia individual (Tienda)]]*PagosV2[[#This Row],[Cantidad vendida]],0)</f>
        <v>131.48320624999999</v>
      </c>
      <c r="R543" s="1">
        <f>IFERROR((PagosV2[[#This Row],[Precio de venta]]-PagosV2[[#This Row],[Ganancia (UB)]])*PagosV2[[#This Row],[Cantidad vendida]],0)</f>
        <v>318.7525</v>
      </c>
      <c r="S543" s="21" t="s">
        <v>312</v>
      </c>
      <c r="T543" s="21"/>
    </row>
    <row r="544" spans="1:20" ht="16.5" hidden="1" x14ac:dyDescent="0.3">
      <c r="A544" s="9" t="s">
        <v>313</v>
      </c>
      <c r="B544" s="75">
        <v>46149</v>
      </c>
      <c r="C544" s="9" t="s">
        <v>121</v>
      </c>
      <c r="D544" s="9" t="str">
        <f>IFERROR(VLOOKUP(PagosV2[[#This Row],[Codigo del producto]],Entradas[],3,FALSE),"No existe")</f>
        <v>Nubwo G06</v>
      </c>
      <c r="E544" s="9">
        <v>1</v>
      </c>
      <c r="F544" s="11">
        <v>1400</v>
      </c>
      <c r="G544" s="11">
        <f>IFERROR(PagosV2[[#This Row],[Cantidad vendida]]*PagosV2[[#This Row],[Precio de venta]],"-")</f>
        <v>1400</v>
      </c>
      <c r="H544" s="11">
        <f>IFERROR(PagosV2[[#This Row],[Precio de venta]]-VLOOKUP(PagosV2[[#This Row],[Codigo del producto]],Stock[],13,FALSE),"-")</f>
        <v>439.68899999999985</v>
      </c>
      <c r="I544" s="11">
        <f>IFERROR(PagosV2[[#This Row],[Ganancia (UB)]]*$B$357,0)</f>
        <v>13.190669999999995</v>
      </c>
      <c r="J544" s="11">
        <f>IFERROR(PagosV2[[#This Row],[Ganancia (UB)]]*$B$358,0)</f>
        <v>26.381339999999991</v>
      </c>
      <c r="K544" s="11">
        <f>IFERROR(PagosV2[[#This Row],[Ganancia (UB)]]*$B$359,0)</f>
        <v>13.190669999999995</v>
      </c>
      <c r="L544" s="11">
        <f>IFERROR(PagosV2[[#This Row],[Ganancia (UB)]]*$B$360,0)</f>
        <v>13.190669999999995</v>
      </c>
      <c r="M544" s="11">
        <f>IFERROR(PagosV2[[#This Row],[Ganancia (UB)]]-PagosV2[[#This Row],[PM]]-PagosV2[[#This Row],[GC]]-PagosV2[[#This Row],[PC]]-PagosV2[[#This Row],[U]],0)</f>
        <v>373.73564999999985</v>
      </c>
      <c r="N544" s="11">
        <f t="shared" si="9"/>
        <v>149.49425999999994</v>
      </c>
      <c r="O544" s="11">
        <f>IFERROR(PagosV2[[#This Row],[Ganancia (UV)]]*PagosV2[[#This Row],[Cantidad vendida]],0)</f>
        <v>149.49425999999994</v>
      </c>
      <c r="P544" s="1">
        <f>IFERROR(PagosV2[[#This Row],[Ganancia (N)]]-PagosV2[[#This Row],[Ganancia (UV)]],0)</f>
        <v>224.24138999999991</v>
      </c>
      <c r="Q544" s="1">
        <f>IFERROR(PagosV2[[#This Row],[Ganancia individual (Tienda)]]*PagosV2[[#This Row],[Cantidad vendida]],0)</f>
        <v>224.24138999999991</v>
      </c>
      <c r="R544" s="1">
        <f>IFERROR((PagosV2[[#This Row],[Precio de venta]]-PagosV2[[#This Row],[Ganancia (UB)]])*PagosV2[[#This Row],[Cantidad vendida]],0)</f>
        <v>960.31100000000015</v>
      </c>
      <c r="S544" s="21" t="s">
        <v>312</v>
      </c>
      <c r="T544" s="21"/>
    </row>
    <row r="545" spans="1:20" ht="16.5" hidden="1" x14ac:dyDescent="0.3">
      <c r="A545" s="9" t="s">
        <v>327</v>
      </c>
      <c r="B545" s="75">
        <v>46149</v>
      </c>
      <c r="C545" s="9" t="s">
        <v>130</v>
      </c>
      <c r="D545" s="9" t="str">
        <f>IFERROR(VLOOKUP(PagosV2[[#This Row],[Codigo del producto]],Entradas[],3,FALSE),"No existe")</f>
        <v>Cargadores USB para moto (Sin pantalla)</v>
      </c>
      <c r="E545" s="9">
        <v>1</v>
      </c>
      <c r="F545" s="11">
        <v>500</v>
      </c>
      <c r="G545" s="11">
        <f>IFERROR(PagosV2[[#This Row],[Cantidad vendida]]*PagosV2[[#This Row],[Precio de venta]],"-")</f>
        <v>500</v>
      </c>
      <c r="H545" s="11">
        <f>IFERROR(PagosV2[[#This Row],[Precio de venta]]-VLOOKUP(PagosV2[[#This Row],[Codigo del producto]],Stock[],13,FALSE),"-")</f>
        <v>255.68449999999996</v>
      </c>
      <c r="I545" s="11">
        <f>IFERROR(PagosV2[[#This Row],[Ganancia (UB)]]*$B$357,0)</f>
        <v>7.6705349999999983</v>
      </c>
      <c r="J545" s="11">
        <f>IFERROR(PagosV2[[#This Row],[Ganancia (UB)]]*$B$358,0)</f>
        <v>15.341069999999997</v>
      </c>
      <c r="K545" s="11">
        <f>IFERROR(PagosV2[[#This Row],[Ganancia (UB)]]*$B$359,0)</f>
        <v>7.6705349999999983</v>
      </c>
      <c r="L545" s="11">
        <f>IFERROR(PagosV2[[#This Row],[Ganancia (UB)]]*$B$360,0)</f>
        <v>7.6705349999999983</v>
      </c>
      <c r="M545" s="11">
        <f>IFERROR(PagosV2[[#This Row],[Ganancia (UB)]]-PagosV2[[#This Row],[PM]]-PagosV2[[#This Row],[GC]]-PagosV2[[#This Row],[PC]]-PagosV2[[#This Row],[U]],0)</f>
        <v>217.33182499999995</v>
      </c>
      <c r="N545" s="11">
        <f t="shared" si="9"/>
        <v>97.799321249999977</v>
      </c>
      <c r="O545" s="11">
        <f>IFERROR(PagosV2[[#This Row],[Ganancia (UV)]]*PagosV2[[#This Row],[Cantidad vendida]],0)</f>
        <v>97.799321249999977</v>
      </c>
      <c r="P545" s="1">
        <f>IFERROR(PagosV2[[#This Row],[Ganancia (N)]]-PagosV2[[#This Row],[Ganancia (UV)]],0)</f>
        <v>119.53250374999998</v>
      </c>
      <c r="Q545" s="1">
        <f>IFERROR(PagosV2[[#This Row],[Ganancia individual (Tienda)]]*PagosV2[[#This Row],[Cantidad vendida]],0)</f>
        <v>119.53250374999998</v>
      </c>
      <c r="R545" s="1">
        <f>IFERROR((PagosV2[[#This Row],[Precio de venta]]-PagosV2[[#This Row],[Ganancia (UB)]])*PagosV2[[#This Row],[Cantidad vendida]],0)</f>
        <v>244.31550000000004</v>
      </c>
      <c r="S545" s="21" t="s">
        <v>312</v>
      </c>
      <c r="T545" s="21"/>
    </row>
    <row r="546" spans="1:20" ht="16.5" hidden="1" x14ac:dyDescent="0.3">
      <c r="A546" s="9" t="s">
        <v>313</v>
      </c>
      <c r="B546" s="75">
        <v>46150</v>
      </c>
      <c r="C546" s="9" t="s">
        <v>167</v>
      </c>
      <c r="D546" s="9" t="str">
        <f>IFERROR(VLOOKUP(PagosV2[[#This Row],[Codigo del producto]],Entradas[],3,FALSE),"No existe")</f>
        <v>KZ Castor Improved Bass</v>
      </c>
      <c r="E546" s="9">
        <v>1</v>
      </c>
      <c r="F546" s="11">
        <v>700</v>
      </c>
      <c r="G546" s="11">
        <f>IFERROR(PagosV2[[#This Row],[Cantidad vendida]]*PagosV2[[#This Row],[Precio de venta]],"-")</f>
        <v>700</v>
      </c>
      <c r="H546" s="11">
        <f>IFERROR(PagosV2[[#This Row],[Precio de venta]]-VLOOKUP(PagosV2[[#This Row],[Codigo del producto]],Stock[],13,FALSE),"-")</f>
        <v>266.27550000000002</v>
      </c>
      <c r="I546" s="11">
        <f>IFERROR(PagosV2[[#This Row],[Ganancia (UB)]]*$B$357,0)</f>
        <v>7.9882650000000002</v>
      </c>
      <c r="J546" s="11">
        <f>IFERROR(PagosV2[[#This Row],[Ganancia (UB)]]*$B$358,0)</f>
        <v>15.97653</v>
      </c>
      <c r="K546" s="11">
        <f>IFERROR(PagosV2[[#This Row],[Ganancia (UB)]]*$B$359,0)</f>
        <v>7.9882650000000002</v>
      </c>
      <c r="L546" s="11">
        <f>IFERROR(PagosV2[[#This Row],[Ganancia (UB)]]*$B$360,0)</f>
        <v>7.9882650000000002</v>
      </c>
      <c r="M546" s="11">
        <f>IFERROR(PagosV2[[#This Row],[Ganancia (UB)]]-PagosV2[[#This Row],[PM]]-PagosV2[[#This Row],[GC]]-PagosV2[[#This Row],[PC]]-PagosV2[[#This Row],[U]],0)</f>
        <v>226.33417499999999</v>
      </c>
      <c r="N546" s="11">
        <f t="shared" si="9"/>
        <v>101.85037874999999</v>
      </c>
      <c r="O546" s="11">
        <f>IFERROR(PagosV2[[#This Row],[Ganancia (UV)]]*PagosV2[[#This Row],[Cantidad vendida]],0)</f>
        <v>101.85037874999999</v>
      </c>
      <c r="P546" s="1">
        <f>IFERROR(PagosV2[[#This Row],[Ganancia (N)]]-PagosV2[[#This Row],[Ganancia (UV)]],0)</f>
        <v>124.48379625</v>
      </c>
      <c r="Q546" s="1">
        <f>IFERROR(PagosV2[[#This Row],[Ganancia individual (Tienda)]]*PagosV2[[#This Row],[Cantidad vendida]],0)</f>
        <v>124.48379625</v>
      </c>
      <c r="R546" s="1">
        <f>IFERROR((PagosV2[[#This Row],[Precio de venta]]-PagosV2[[#This Row],[Ganancia (UB)]])*PagosV2[[#This Row],[Cantidad vendida]],0)</f>
        <v>433.72449999999998</v>
      </c>
      <c r="S546" s="21" t="s">
        <v>312</v>
      </c>
      <c r="T546" s="21"/>
    </row>
    <row r="547" spans="1:20" ht="16.5" hidden="1" x14ac:dyDescent="0.3">
      <c r="A547" s="9" t="s">
        <v>313</v>
      </c>
      <c r="B547" s="75">
        <v>46150</v>
      </c>
      <c r="C547" s="9" t="s">
        <v>66</v>
      </c>
      <c r="D547" s="9" t="str">
        <f>IFERROR(VLOOKUP(PagosV2[[#This Row],[Codigo del producto]],Entradas[],3,FALSE),"No existe")</f>
        <v xml:space="preserve">Adaptador DAC </v>
      </c>
      <c r="E547" s="9">
        <v>1</v>
      </c>
      <c r="F547" s="11">
        <v>350</v>
      </c>
      <c r="G547" s="11">
        <f>IFERROR(PagosV2[[#This Row],[Cantidad vendida]]*PagosV2[[#This Row],[Precio de venta]],"-")</f>
        <v>350</v>
      </c>
      <c r="H547" s="11">
        <f>IFERROR(PagosV2[[#This Row],[Precio de venta]]-VLOOKUP(PagosV2[[#This Row],[Codigo del producto]],Stock[],13,FALSE),"-")</f>
        <v>173.48849999999999</v>
      </c>
      <c r="I547" s="11">
        <f>IFERROR(PagosV2[[#This Row],[Ganancia (UB)]]*$B$357,0)</f>
        <v>5.2046549999999998</v>
      </c>
      <c r="J547" s="11">
        <f>IFERROR(PagosV2[[#This Row],[Ganancia (UB)]]*$B$358,0)</f>
        <v>10.40931</v>
      </c>
      <c r="K547" s="11">
        <f>IFERROR(PagosV2[[#This Row],[Ganancia (UB)]]*$B$359,0)</f>
        <v>5.2046549999999998</v>
      </c>
      <c r="L547" s="11">
        <f>IFERROR(PagosV2[[#This Row],[Ganancia (UB)]]*$B$360,0)</f>
        <v>5.2046549999999998</v>
      </c>
      <c r="M547" s="11">
        <f>IFERROR(PagosV2[[#This Row],[Ganancia (UB)]]-PagosV2[[#This Row],[PM]]-PagosV2[[#This Row],[GC]]-PagosV2[[#This Row],[PC]]-PagosV2[[#This Row],[U]],0)</f>
        <v>147.46522499999998</v>
      </c>
      <c r="N547" s="11">
        <f t="shared" si="9"/>
        <v>66.359351249999989</v>
      </c>
      <c r="O547" s="11">
        <f>IFERROR(PagosV2[[#This Row],[Ganancia (UV)]]*PagosV2[[#This Row],[Cantidad vendida]],0)</f>
        <v>66.359351249999989</v>
      </c>
      <c r="P547" s="1">
        <f>IFERROR(PagosV2[[#This Row],[Ganancia (N)]]-PagosV2[[#This Row],[Ganancia (UV)]],0)</f>
        <v>81.105873749999986</v>
      </c>
      <c r="Q547" s="1">
        <f>IFERROR(PagosV2[[#This Row],[Ganancia individual (Tienda)]]*PagosV2[[#This Row],[Cantidad vendida]],0)</f>
        <v>81.105873749999986</v>
      </c>
      <c r="R547" s="1">
        <f>IFERROR((PagosV2[[#This Row],[Precio de venta]]-PagosV2[[#This Row],[Ganancia (UB)]])*PagosV2[[#This Row],[Cantidad vendida]],0)</f>
        <v>176.51150000000001</v>
      </c>
      <c r="S547" s="21" t="s">
        <v>312</v>
      </c>
      <c r="T547" s="21"/>
    </row>
    <row r="548" spans="1:20" ht="16.5" hidden="1" x14ac:dyDescent="0.3">
      <c r="A548" s="9" t="s">
        <v>313</v>
      </c>
      <c r="B548" s="75">
        <v>46150</v>
      </c>
      <c r="C548" s="9" t="s">
        <v>173</v>
      </c>
      <c r="D548" s="9" t="str">
        <f>IFERROR(VLOOKUP(PagosV2[[#This Row],[Codigo del producto]],Entradas[],3,FALSE),"No existe")</f>
        <v>KZ ZSN PRO 2</v>
      </c>
      <c r="E548" s="9">
        <v>1</v>
      </c>
      <c r="F548" s="11">
        <v>850</v>
      </c>
      <c r="G548" s="11">
        <f>IFERROR(PagosV2[[#This Row],[Cantidad vendida]]*PagosV2[[#This Row],[Precio de venta]],"-")</f>
        <v>850</v>
      </c>
      <c r="H548" s="11">
        <f>IFERROR(PagosV2[[#This Row],[Precio de venta]]-VLOOKUP(PagosV2[[#This Row],[Codigo del producto]],Stock[],13,FALSE),"-")</f>
        <v>331.15199999999993</v>
      </c>
      <c r="I548" s="11">
        <f>IFERROR(PagosV2[[#This Row],[Ganancia (UB)]]*$B$357,0)</f>
        <v>9.9345599999999976</v>
      </c>
      <c r="J548" s="11">
        <f>IFERROR(PagosV2[[#This Row],[Ganancia (UB)]]*$B$358,0)</f>
        <v>19.869119999999995</v>
      </c>
      <c r="K548" s="11">
        <f>IFERROR(PagosV2[[#This Row],[Ganancia (UB)]]*$B$359,0)</f>
        <v>9.9345599999999976</v>
      </c>
      <c r="L548" s="11">
        <f>IFERROR(PagosV2[[#This Row],[Ganancia (UB)]]*$B$360,0)</f>
        <v>9.9345599999999976</v>
      </c>
      <c r="M548" s="11">
        <f>IFERROR(PagosV2[[#This Row],[Ganancia (UB)]]-PagosV2[[#This Row],[PM]]-PagosV2[[#This Row],[GC]]-PagosV2[[#This Row],[PC]]-PagosV2[[#This Row],[U]],0)</f>
        <v>281.47919999999999</v>
      </c>
      <c r="N548" s="11">
        <f t="shared" si="9"/>
        <v>126.66564</v>
      </c>
      <c r="O548" s="11">
        <f>IFERROR(PagosV2[[#This Row],[Ganancia (UV)]]*PagosV2[[#This Row],[Cantidad vendida]],0)</f>
        <v>126.66564</v>
      </c>
      <c r="P548" s="1">
        <f>IFERROR(PagosV2[[#This Row],[Ganancia (N)]]-PagosV2[[#This Row],[Ganancia (UV)]],0)</f>
        <v>154.81356</v>
      </c>
      <c r="Q548" s="1">
        <f>IFERROR(PagosV2[[#This Row],[Ganancia individual (Tienda)]]*PagosV2[[#This Row],[Cantidad vendida]],0)</f>
        <v>154.81356</v>
      </c>
      <c r="R548" s="1">
        <f>IFERROR((PagosV2[[#This Row],[Precio de venta]]-PagosV2[[#This Row],[Ganancia (UB)]])*PagosV2[[#This Row],[Cantidad vendida]],0)</f>
        <v>518.84800000000007</v>
      </c>
      <c r="S548" s="21" t="s">
        <v>312</v>
      </c>
      <c r="T548" s="21"/>
    </row>
    <row r="549" spans="1:20" ht="16.5" hidden="1" x14ac:dyDescent="0.3">
      <c r="A549" s="9" t="s">
        <v>313</v>
      </c>
      <c r="B549" s="75">
        <v>46150</v>
      </c>
      <c r="C549" s="9" t="s">
        <v>164</v>
      </c>
      <c r="D549" s="9" t="str">
        <f>IFERROR(VLOOKUP(PagosV2[[#This Row],[Codigo del producto]],Entradas[],3,FALSE),"No existe")</f>
        <v>Bolso Protector Audifonos KZ</v>
      </c>
      <c r="E549" s="9">
        <v>1</v>
      </c>
      <c r="F549" s="11">
        <v>50</v>
      </c>
      <c r="G549" s="11">
        <f>IFERROR(PagosV2[[#This Row],[Cantidad vendida]]*PagosV2[[#This Row],[Precio de venta]],"-")</f>
        <v>50</v>
      </c>
      <c r="H549" s="11">
        <f>IFERROR(PagosV2[[#This Row],[Precio de venta]]-VLOOKUP(PagosV2[[#This Row],[Codigo del producto]],Stock[],13,FALSE),"-")</f>
        <v>21.625499999999999</v>
      </c>
      <c r="I549" s="11">
        <f>IFERROR(PagosV2[[#This Row],[Ganancia (UB)]]*$B$357,0)</f>
        <v>0.64876499999999993</v>
      </c>
      <c r="J549" s="11">
        <f>IFERROR(PagosV2[[#This Row],[Ganancia (UB)]]*$B$358,0)</f>
        <v>1.2975299999999999</v>
      </c>
      <c r="K549" s="11">
        <f>IFERROR(PagosV2[[#This Row],[Ganancia (UB)]]*$B$359,0)</f>
        <v>0.64876499999999993</v>
      </c>
      <c r="L549" s="11">
        <f>IFERROR(PagosV2[[#This Row],[Ganancia (UB)]]*$B$360,0)</f>
        <v>0.64876499999999993</v>
      </c>
      <c r="M549" s="11">
        <f>IFERROR(PagosV2[[#This Row],[Ganancia (UB)]]-PagosV2[[#This Row],[PM]]-PagosV2[[#This Row],[GC]]-PagosV2[[#This Row],[PC]]-PagosV2[[#This Row],[U]],0)</f>
        <v>18.381674999999998</v>
      </c>
      <c r="N549" s="11">
        <f t="shared" si="9"/>
        <v>8.2717537499999985</v>
      </c>
      <c r="O549" s="11">
        <f>IFERROR(PagosV2[[#This Row],[Ganancia (UV)]]*PagosV2[[#This Row],[Cantidad vendida]],0)</f>
        <v>8.2717537499999985</v>
      </c>
      <c r="P549" s="1">
        <f>IFERROR(PagosV2[[#This Row],[Ganancia (N)]]-PagosV2[[#This Row],[Ganancia (UV)]],0)</f>
        <v>10.109921249999999</v>
      </c>
      <c r="Q549" s="1">
        <f>IFERROR(PagosV2[[#This Row],[Ganancia individual (Tienda)]]*PagosV2[[#This Row],[Cantidad vendida]],0)</f>
        <v>10.109921249999999</v>
      </c>
      <c r="R549" s="1">
        <f>IFERROR((PagosV2[[#This Row],[Precio de venta]]-PagosV2[[#This Row],[Ganancia (UB)]])*PagosV2[[#This Row],[Cantidad vendida]],0)</f>
        <v>28.374500000000001</v>
      </c>
      <c r="S549" s="21" t="s">
        <v>312</v>
      </c>
      <c r="T549" s="21"/>
    </row>
    <row r="550" spans="1:20" ht="17.25" hidden="1" customHeight="1" x14ac:dyDescent="0.3">
      <c r="A550" s="9" t="s">
        <v>313</v>
      </c>
      <c r="B550" s="75">
        <v>46150</v>
      </c>
      <c r="C550" s="9" t="s">
        <v>158</v>
      </c>
      <c r="D550" s="9" t="str">
        <f>IFERROR(VLOOKUP(PagosV2[[#This Row],[Codigo del producto]],Entradas[],3,FALSE),"No existe")</f>
        <v>KZ EDX lite</v>
      </c>
      <c r="E550" s="9">
        <v>2</v>
      </c>
      <c r="F550" s="11">
        <v>400</v>
      </c>
      <c r="G550" s="11">
        <f>IFERROR(PagosV2[[#This Row],[Cantidad vendida]]*PagosV2[[#This Row],[Precio de venta]],"-")</f>
        <v>800</v>
      </c>
      <c r="H550" s="11">
        <f>IFERROR(PagosV2[[#This Row],[Precio de venta]]-VLOOKUP(PagosV2[[#This Row],[Codigo del producto]],Stock[],13,FALSE),"-")</f>
        <v>205.0635</v>
      </c>
      <c r="I550" s="11">
        <f>IFERROR(PagosV2[[#This Row],[Ganancia (UB)]]*$B$357,0)</f>
        <v>6.1519050000000002</v>
      </c>
      <c r="J550" s="11">
        <f>IFERROR(PagosV2[[#This Row],[Ganancia (UB)]]*$B$358,0)</f>
        <v>12.30381</v>
      </c>
      <c r="K550" s="11">
        <f>IFERROR(PagosV2[[#This Row],[Ganancia (UB)]]*$B$359,0)</f>
        <v>6.1519050000000002</v>
      </c>
      <c r="L550" s="11">
        <f>IFERROR(PagosV2[[#This Row],[Ganancia (UB)]]*$B$360,0)</f>
        <v>6.1519050000000002</v>
      </c>
      <c r="M550" s="11">
        <f>IFERROR(PagosV2[[#This Row],[Ganancia (UB)]]-PagosV2[[#This Row],[PM]]-PagosV2[[#This Row],[GC]]-PagosV2[[#This Row],[PC]]-PagosV2[[#This Row],[U]],0)</f>
        <v>174.30397500000001</v>
      </c>
      <c r="N550" s="11">
        <f t="shared" si="9"/>
        <v>78.436788750000005</v>
      </c>
      <c r="O550" s="11">
        <f>IFERROR(PagosV2[[#This Row],[Ganancia (UV)]]*PagosV2[[#This Row],[Cantidad vendida]],0)</f>
        <v>156.87357750000001</v>
      </c>
      <c r="P550" s="1">
        <f>IFERROR(PagosV2[[#This Row],[Ganancia (N)]]-PagosV2[[#This Row],[Ganancia (UV)]],0)</f>
        <v>95.867186250000003</v>
      </c>
      <c r="Q550" s="1">
        <f>IFERROR(PagosV2[[#This Row],[Ganancia individual (Tienda)]]*PagosV2[[#This Row],[Cantidad vendida]],0)</f>
        <v>191.73437250000001</v>
      </c>
      <c r="R550" s="1">
        <f>IFERROR((PagosV2[[#This Row],[Precio de venta]]-PagosV2[[#This Row],[Ganancia (UB)]])*PagosV2[[#This Row],[Cantidad vendida]],0)</f>
        <v>389.87299999999999</v>
      </c>
      <c r="S550" s="21" t="s">
        <v>312</v>
      </c>
      <c r="T550" s="21"/>
    </row>
    <row r="551" spans="1:20" ht="16.5" hidden="1" x14ac:dyDescent="0.3">
      <c r="A551" s="9" t="s">
        <v>327</v>
      </c>
      <c r="B551" s="75">
        <v>46152</v>
      </c>
      <c r="C551" s="9" t="s">
        <v>151</v>
      </c>
      <c r="D551" s="9" t="str">
        <f>IFERROR(VLOOKUP(PagosV2[[#This Row],[Codigo del producto]],Entradas[],3,FALSE),"No existe")</f>
        <v>KZ Castor Pro</v>
      </c>
      <c r="E551" s="9">
        <v>1</v>
      </c>
      <c r="F551" s="11">
        <v>1000</v>
      </c>
      <c r="G551" s="11">
        <f>IFERROR(PagosV2[[#This Row],[Cantidad vendida]]*PagosV2[[#This Row],[Precio de venta]],"-")</f>
        <v>1000</v>
      </c>
      <c r="H551" s="11">
        <f>IFERROR(PagosV2[[#This Row],[Precio de venta]]-VLOOKUP(PagosV2[[#This Row],[Codigo del producto]],Stock[],13,FALSE),"-")</f>
        <v>348.8605</v>
      </c>
      <c r="I551" s="11">
        <f>IFERROR(PagosV2[[#This Row],[Ganancia (UB)]]*$B$357,0)</f>
        <v>10.465814999999999</v>
      </c>
      <c r="J551" s="11">
        <f>IFERROR(PagosV2[[#This Row],[Ganancia (UB)]]*$B$358,0)</f>
        <v>20.931629999999998</v>
      </c>
      <c r="K551" s="11">
        <f>IFERROR(PagosV2[[#This Row],[Ganancia (UB)]]*$B$359,0)</f>
        <v>10.465814999999999</v>
      </c>
      <c r="L551" s="11">
        <f>IFERROR(PagosV2[[#This Row],[Ganancia (UB)]]*$B$360,0)</f>
        <v>10.465814999999999</v>
      </c>
      <c r="M551" s="11">
        <f>IFERROR(PagosV2[[#This Row],[Ganancia (UB)]]-PagosV2[[#This Row],[PM]]-PagosV2[[#This Row],[GC]]-PagosV2[[#This Row],[PC]]-PagosV2[[#This Row],[U]],0)</f>
        <v>296.53142499999996</v>
      </c>
      <c r="N551" s="11">
        <f t="shared" si="9"/>
        <v>133.43914124999998</v>
      </c>
      <c r="O551" s="11">
        <f>IFERROR(PagosV2[[#This Row],[Ganancia (UV)]]*PagosV2[[#This Row],[Cantidad vendida]],0)</f>
        <v>133.43914124999998</v>
      </c>
      <c r="P551" s="1">
        <f>IFERROR(PagosV2[[#This Row],[Ganancia (N)]]-PagosV2[[#This Row],[Ganancia (UV)]],0)</f>
        <v>163.09228374999998</v>
      </c>
      <c r="Q551" s="1">
        <f>IFERROR(PagosV2[[#This Row],[Ganancia individual (Tienda)]]*PagosV2[[#This Row],[Cantidad vendida]],0)</f>
        <v>163.09228374999998</v>
      </c>
      <c r="R551" s="1">
        <f>IFERROR((PagosV2[[#This Row],[Precio de venta]]-PagosV2[[#This Row],[Ganancia (UB)]])*PagosV2[[#This Row],[Cantidad vendida]],0)</f>
        <v>651.1395</v>
      </c>
      <c r="S551" s="21" t="s">
        <v>312</v>
      </c>
      <c r="T551" s="21"/>
    </row>
    <row r="552" spans="1:20" ht="16.5" hidden="1" x14ac:dyDescent="0.3">
      <c r="A552" s="9" t="s">
        <v>327</v>
      </c>
      <c r="B552" s="75">
        <v>46152</v>
      </c>
      <c r="C552" s="9" t="s">
        <v>66</v>
      </c>
      <c r="D552" s="9" t="str">
        <f>IFERROR(VLOOKUP(PagosV2[[#This Row],[Codigo del producto]],Entradas[],3,FALSE),"No existe")</f>
        <v xml:space="preserve">Adaptador DAC </v>
      </c>
      <c r="E552" s="9">
        <v>1</v>
      </c>
      <c r="F552" s="11">
        <v>350</v>
      </c>
      <c r="G552" s="11">
        <f>IFERROR(PagosV2[[#This Row],[Cantidad vendida]]*PagosV2[[#This Row],[Precio de venta]],"-")</f>
        <v>350</v>
      </c>
      <c r="H552" s="11">
        <f>IFERROR(PagosV2[[#This Row],[Precio de venta]]-VLOOKUP(PagosV2[[#This Row],[Codigo del producto]],Stock[],13,FALSE),"-")</f>
        <v>173.48849999999999</v>
      </c>
      <c r="I552" s="11">
        <f>IFERROR(PagosV2[[#This Row],[Ganancia (UB)]]*$B$357,0)</f>
        <v>5.2046549999999998</v>
      </c>
      <c r="J552" s="11">
        <f>IFERROR(PagosV2[[#This Row],[Ganancia (UB)]]*$B$358,0)</f>
        <v>10.40931</v>
      </c>
      <c r="K552" s="11">
        <f>IFERROR(PagosV2[[#This Row],[Ganancia (UB)]]*$B$359,0)</f>
        <v>5.2046549999999998</v>
      </c>
      <c r="L552" s="11">
        <f>IFERROR(PagosV2[[#This Row],[Ganancia (UB)]]*$B$360,0)</f>
        <v>5.2046549999999998</v>
      </c>
      <c r="M552" s="11">
        <f>IFERROR(PagosV2[[#This Row],[Ganancia (UB)]]-PagosV2[[#This Row],[PM]]-PagosV2[[#This Row],[GC]]-PagosV2[[#This Row],[PC]]-PagosV2[[#This Row],[U]],0)</f>
        <v>147.46522499999998</v>
      </c>
      <c r="N552" s="11">
        <f t="shared" si="9"/>
        <v>66.359351249999989</v>
      </c>
      <c r="O552" s="11">
        <f>IFERROR(PagosV2[[#This Row],[Ganancia (UV)]]*PagosV2[[#This Row],[Cantidad vendida]],0)</f>
        <v>66.359351249999989</v>
      </c>
      <c r="P552" s="1">
        <f>IFERROR(PagosV2[[#This Row],[Ganancia (N)]]-PagosV2[[#This Row],[Ganancia (UV)]],0)</f>
        <v>81.105873749999986</v>
      </c>
      <c r="Q552" s="1">
        <f>IFERROR(PagosV2[[#This Row],[Ganancia individual (Tienda)]]*PagosV2[[#This Row],[Cantidad vendida]],0)</f>
        <v>81.105873749999986</v>
      </c>
      <c r="R552" s="1">
        <f>IFERROR((PagosV2[[#This Row],[Precio de venta]]-PagosV2[[#This Row],[Ganancia (UB)]])*PagosV2[[#This Row],[Cantidad vendida]],0)</f>
        <v>176.51150000000001</v>
      </c>
      <c r="S552" s="21" t="s">
        <v>312</v>
      </c>
      <c r="T552" s="21"/>
    </row>
    <row r="553" spans="1:20" ht="16.5" hidden="1" x14ac:dyDescent="0.3">
      <c r="A553" s="9" t="s">
        <v>327</v>
      </c>
      <c r="B553" s="75">
        <v>46152</v>
      </c>
      <c r="C553" s="9" t="s">
        <v>164</v>
      </c>
      <c r="D553" s="9" t="str">
        <f>IFERROR(VLOOKUP(PagosV2[[#This Row],[Codigo del producto]],Entradas[],3,FALSE),"No existe")</f>
        <v>Bolso Protector Audifonos KZ</v>
      </c>
      <c r="E553" s="9">
        <v>1</v>
      </c>
      <c r="F553" s="11">
        <v>50</v>
      </c>
      <c r="G553" s="11">
        <f>IFERROR(PagosV2[[#This Row],[Cantidad vendida]]*PagosV2[[#This Row],[Precio de venta]],"-")</f>
        <v>50</v>
      </c>
      <c r="H553" s="11">
        <f>IFERROR(PagosV2[[#This Row],[Precio de venta]]-VLOOKUP(PagosV2[[#This Row],[Codigo del producto]],Stock[],13,FALSE),"-")</f>
        <v>21.625499999999999</v>
      </c>
      <c r="I553" s="11">
        <f>IFERROR(PagosV2[[#This Row],[Ganancia (UB)]]*$B$357,0)</f>
        <v>0.64876499999999993</v>
      </c>
      <c r="J553" s="11">
        <f>IFERROR(PagosV2[[#This Row],[Ganancia (UB)]]*$B$358,0)</f>
        <v>1.2975299999999999</v>
      </c>
      <c r="K553" s="11">
        <f>IFERROR(PagosV2[[#This Row],[Ganancia (UB)]]*$B$359,0)</f>
        <v>0.64876499999999993</v>
      </c>
      <c r="L553" s="11">
        <f>IFERROR(PagosV2[[#This Row],[Ganancia (UB)]]*$B$360,0)</f>
        <v>0.64876499999999993</v>
      </c>
      <c r="M553" s="11">
        <f>IFERROR(PagosV2[[#This Row],[Ganancia (UB)]]-PagosV2[[#This Row],[PM]]-PagosV2[[#This Row],[GC]]-PagosV2[[#This Row],[PC]]-PagosV2[[#This Row],[U]],0)</f>
        <v>18.381674999999998</v>
      </c>
      <c r="N553" s="11">
        <f t="shared" si="9"/>
        <v>8.2717537499999985</v>
      </c>
      <c r="O553" s="11">
        <f>IFERROR(PagosV2[[#This Row],[Ganancia (UV)]]*PagosV2[[#This Row],[Cantidad vendida]],0)</f>
        <v>8.2717537499999985</v>
      </c>
      <c r="P553" s="1">
        <f>IFERROR(PagosV2[[#This Row],[Ganancia (N)]]-PagosV2[[#This Row],[Ganancia (UV)]],0)</f>
        <v>10.109921249999999</v>
      </c>
      <c r="Q553" s="1">
        <f>IFERROR(PagosV2[[#This Row],[Ganancia individual (Tienda)]]*PagosV2[[#This Row],[Cantidad vendida]],0)</f>
        <v>10.109921249999999</v>
      </c>
      <c r="R553" s="1">
        <f>IFERROR((PagosV2[[#This Row],[Precio de venta]]-PagosV2[[#This Row],[Ganancia (UB)]])*PagosV2[[#This Row],[Cantidad vendida]],0)</f>
        <v>28.374500000000001</v>
      </c>
      <c r="S553" s="21" t="s">
        <v>312</v>
      </c>
      <c r="T553" s="21"/>
    </row>
    <row r="554" spans="1:20" ht="16.5" hidden="1" x14ac:dyDescent="0.3">
      <c r="A554" s="9" t="s">
        <v>327</v>
      </c>
      <c r="B554" s="75">
        <v>46152</v>
      </c>
      <c r="C554" s="9" t="s">
        <v>130</v>
      </c>
      <c r="D554" s="9" t="str">
        <f>IFERROR(VLOOKUP(PagosV2[[#This Row],[Codigo del producto]],Entradas[],3,FALSE),"No existe")</f>
        <v>Cargadores USB para moto (Sin pantalla)</v>
      </c>
      <c r="E554" s="9">
        <v>1</v>
      </c>
      <c r="F554" s="11">
        <v>500</v>
      </c>
      <c r="G554" s="11">
        <f>IFERROR(PagosV2[[#This Row],[Cantidad vendida]]*PagosV2[[#This Row],[Precio de venta]],"-")</f>
        <v>500</v>
      </c>
      <c r="H554" s="11">
        <f>IFERROR(PagosV2[[#This Row],[Precio de venta]]-VLOOKUP(PagosV2[[#This Row],[Codigo del producto]],Stock[],13,FALSE),"-")</f>
        <v>255.68449999999996</v>
      </c>
      <c r="I554" s="11">
        <f>IFERROR(PagosV2[[#This Row],[Ganancia (UB)]]*$B$357,0)</f>
        <v>7.6705349999999983</v>
      </c>
      <c r="J554" s="11">
        <f>IFERROR(PagosV2[[#This Row],[Ganancia (UB)]]*$B$358,0)</f>
        <v>15.341069999999997</v>
      </c>
      <c r="K554" s="11">
        <f>IFERROR(PagosV2[[#This Row],[Ganancia (UB)]]*$B$359,0)</f>
        <v>7.6705349999999983</v>
      </c>
      <c r="L554" s="11">
        <f>IFERROR(PagosV2[[#This Row],[Ganancia (UB)]]*$B$360,0)</f>
        <v>7.6705349999999983</v>
      </c>
      <c r="M554" s="11">
        <f>IFERROR(PagosV2[[#This Row],[Ganancia (UB)]]-PagosV2[[#This Row],[PM]]-PagosV2[[#This Row],[GC]]-PagosV2[[#This Row],[PC]]-PagosV2[[#This Row],[U]],0)</f>
        <v>217.33182499999995</v>
      </c>
      <c r="N554" s="11">
        <f t="shared" si="9"/>
        <v>97.799321249999977</v>
      </c>
      <c r="O554" s="11">
        <f>IFERROR(PagosV2[[#This Row],[Ganancia (UV)]]*PagosV2[[#This Row],[Cantidad vendida]],0)</f>
        <v>97.799321249999977</v>
      </c>
      <c r="P554" s="1">
        <f>IFERROR(PagosV2[[#This Row],[Ganancia (N)]]-PagosV2[[#This Row],[Ganancia (UV)]],0)</f>
        <v>119.53250374999998</v>
      </c>
      <c r="Q554" s="1">
        <f>IFERROR(PagosV2[[#This Row],[Ganancia individual (Tienda)]]*PagosV2[[#This Row],[Cantidad vendida]],0)</f>
        <v>119.53250374999998</v>
      </c>
      <c r="R554" s="1">
        <f>IFERROR((PagosV2[[#This Row],[Precio de venta]]-PagosV2[[#This Row],[Ganancia (UB)]])*PagosV2[[#This Row],[Cantidad vendida]],0)</f>
        <v>244.31550000000004</v>
      </c>
      <c r="S554" s="21" t="s">
        <v>312</v>
      </c>
      <c r="T554" s="21"/>
    </row>
    <row r="555" spans="1:20" ht="16.5" hidden="1" x14ac:dyDescent="0.3">
      <c r="A555" s="9" t="s">
        <v>327</v>
      </c>
      <c r="B555" s="75">
        <v>46152</v>
      </c>
      <c r="C555" s="9" t="s">
        <v>129</v>
      </c>
      <c r="D555" s="9" t="str">
        <f>IFERROR(VLOOKUP(PagosV2[[#This Row],[Codigo del producto]],Entradas[],3,FALSE),"No existe")</f>
        <v>Cargadores USB para moto</v>
      </c>
      <c r="E555" s="9">
        <v>1</v>
      </c>
      <c r="F555" s="11">
        <v>600</v>
      </c>
      <c r="G555" s="11">
        <f>IFERROR(PagosV2[[#This Row],[Cantidad vendida]]*PagosV2[[#This Row],[Precio de venta]],"-")</f>
        <v>600</v>
      </c>
      <c r="H555" s="11">
        <f>IFERROR(PagosV2[[#This Row],[Precio de venta]]-VLOOKUP(PagosV2[[#This Row],[Codigo del producto]],Stock[],13,FALSE),"-")</f>
        <v>281.2475</v>
      </c>
      <c r="I555" s="11">
        <f>IFERROR(PagosV2[[#This Row],[Ganancia (UB)]]*$B$357,0)</f>
        <v>8.4374249999999993</v>
      </c>
      <c r="J555" s="11">
        <f>IFERROR(PagosV2[[#This Row],[Ganancia (UB)]]*$B$358,0)</f>
        <v>16.874849999999999</v>
      </c>
      <c r="K555" s="11">
        <f>IFERROR(PagosV2[[#This Row],[Ganancia (UB)]]*$B$359,0)</f>
        <v>8.4374249999999993</v>
      </c>
      <c r="L555" s="11">
        <f>IFERROR(PagosV2[[#This Row],[Ganancia (UB)]]*$B$360,0)</f>
        <v>8.4374249999999993</v>
      </c>
      <c r="M555" s="11">
        <f>IFERROR(PagosV2[[#This Row],[Ganancia (UB)]]-PagosV2[[#This Row],[PM]]-PagosV2[[#This Row],[GC]]-PagosV2[[#This Row],[PC]]-PagosV2[[#This Row],[U]],0)</f>
        <v>239.06037499999999</v>
      </c>
      <c r="N555" s="11">
        <f t="shared" si="9"/>
        <v>107.57716875</v>
      </c>
      <c r="O555" s="11">
        <f>IFERROR(PagosV2[[#This Row],[Ganancia (UV)]]*PagosV2[[#This Row],[Cantidad vendida]],0)</f>
        <v>107.57716875</v>
      </c>
      <c r="P555" s="1">
        <f>IFERROR(PagosV2[[#This Row],[Ganancia (N)]]-PagosV2[[#This Row],[Ganancia (UV)]],0)</f>
        <v>131.48320624999999</v>
      </c>
      <c r="Q555" s="1">
        <f>IFERROR(PagosV2[[#This Row],[Ganancia individual (Tienda)]]*PagosV2[[#This Row],[Cantidad vendida]],0)</f>
        <v>131.48320624999999</v>
      </c>
      <c r="R555" s="1">
        <f>IFERROR((PagosV2[[#This Row],[Precio de venta]]-PagosV2[[#This Row],[Ganancia (UB)]])*PagosV2[[#This Row],[Cantidad vendida]],0)</f>
        <v>318.7525</v>
      </c>
      <c r="S555" s="21" t="s">
        <v>312</v>
      </c>
      <c r="T555" s="21"/>
    </row>
    <row r="556" spans="1:20" ht="16.5" hidden="1" x14ac:dyDescent="0.3">
      <c r="A556" s="9" t="s">
        <v>313</v>
      </c>
      <c r="B556" s="75">
        <v>46152</v>
      </c>
      <c r="C556" s="9" t="s">
        <v>167</v>
      </c>
      <c r="D556" s="9" t="str">
        <f>IFERROR(VLOOKUP(PagosV2[[#This Row],[Codigo del producto]],Entradas[],3,FALSE),"No existe")</f>
        <v>KZ Castor Improved Bass</v>
      </c>
      <c r="E556" s="9">
        <v>1</v>
      </c>
      <c r="F556" s="11">
        <v>700</v>
      </c>
      <c r="G556" s="11">
        <f>IFERROR(PagosV2[[#This Row],[Cantidad vendida]]*PagosV2[[#This Row],[Precio de venta]],"-")</f>
        <v>700</v>
      </c>
      <c r="H556" s="11">
        <f>IFERROR(PagosV2[[#This Row],[Precio de venta]]-VLOOKUP(PagosV2[[#This Row],[Codigo del producto]],Stock[],13,FALSE),"-")</f>
        <v>266.27550000000002</v>
      </c>
      <c r="I556" s="11">
        <f>IFERROR(PagosV2[[#This Row],[Ganancia (UB)]]*$B$357,0)</f>
        <v>7.9882650000000002</v>
      </c>
      <c r="J556" s="11">
        <f>IFERROR(PagosV2[[#This Row],[Ganancia (UB)]]*$B$358,0)</f>
        <v>15.97653</v>
      </c>
      <c r="K556" s="11">
        <f>IFERROR(PagosV2[[#This Row],[Ganancia (UB)]]*$B$359,0)</f>
        <v>7.9882650000000002</v>
      </c>
      <c r="L556" s="11">
        <f>IFERROR(PagosV2[[#This Row],[Ganancia (UB)]]*$B$360,0)</f>
        <v>7.9882650000000002</v>
      </c>
      <c r="M556" s="11">
        <f>IFERROR(PagosV2[[#This Row],[Ganancia (UB)]]-PagosV2[[#This Row],[PM]]-PagosV2[[#This Row],[GC]]-PagosV2[[#This Row],[PC]]-PagosV2[[#This Row],[U]],0)</f>
        <v>226.33417499999999</v>
      </c>
      <c r="N556" s="11">
        <f t="shared" si="9"/>
        <v>101.85037874999999</v>
      </c>
      <c r="O556" s="11">
        <f>IFERROR(PagosV2[[#This Row],[Ganancia (UV)]]*PagosV2[[#This Row],[Cantidad vendida]],0)</f>
        <v>101.85037874999999</v>
      </c>
      <c r="P556" s="1">
        <f>IFERROR(PagosV2[[#This Row],[Ganancia (N)]]-PagosV2[[#This Row],[Ganancia (UV)]],0)</f>
        <v>124.48379625</v>
      </c>
      <c r="Q556" s="1">
        <f>IFERROR(PagosV2[[#This Row],[Ganancia individual (Tienda)]]*PagosV2[[#This Row],[Cantidad vendida]],0)</f>
        <v>124.48379625</v>
      </c>
      <c r="R556" s="1">
        <f>IFERROR((PagosV2[[#This Row],[Precio de venta]]-PagosV2[[#This Row],[Ganancia (UB)]])*PagosV2[[#This Row],[Cantidad vendida]],0)</f>
        <v>433.72449999999998</v>
      </c>
      <c r="S556" s="21" t="s">
        <v>312</v>
      </c>
      <c r="T556" s="21"/>
    </row>
    <row r="557" spans="1:20" ht="16.5" hidden="1" x14ac:dyDescent="0.3">
      <c r="A557" s="9" t="s">
        <v>313</v>
      </c>
      <c r="B557" s="75">
        <v>46152</v>
      </c>
      <c r="C557" s="9" t="s">
        <v>66</v>
      </c>
      <c r="D557" s="9" t="str">
        <f>IFERROR(VLOOKUP(PagosV2[[#This Row],[Codigo del producto]],Entradas[],3,FALSE),"No existe")</f>
        <v xml:space="preserve">Adaptador DAC </v>
      </c>
      <c r="E557" s="9">
        <v>1</v>
      </c>
      <c r="F557" s="11">
        <v>300</v>
      </c>
      <c r="G557" s="11">
        <f>IFERROR(PagosV2[[#This Row],[Cantidad vendida]]*PagosV2[[#This Row],[Precio de venta]],"-")</f>
        <v>300</v>
      </c>
      <c r="H557" s="11">
        <f>IFERROR(PagosV2[[#This Row],[Precio de venta]]-VLOOKUP(PagosV2[[#This Row],[Codigo del producto]],Stock[],13,FALSE),"-")</f>
        <v>123.48849999999999</v>
      </c>
      <c r="I557" s="11">
        <f>IFERROR(PagosV2[[#This Row],[Ganancia (UB)]]*$B$357,0)</f>
        <v>3.7046549999999994</v>
      </c>
      <c r="J557" s="11">
        <f>IFERROR(PagosV2[[#This Row],[Ganancia (UB)]]*$B$358,0)</f>
        <v>7.4093099999999987</v>
      </c>
      <c r="K557" s="11">
        <f>IFERROR(PagosV2[[#This Row],[Ganancia (UB)]]*$B$359,0)</f>
        <v>3.7046549999999994</v>
      </c>
      <c r="L557" s="11">
        <f>IFERROR(PagosV2[[#This Row],[Ganancia (UB)]]*$B$360,0)</f>
        <v>3.7046549999999994</v>
      </c>
      <c r="M557" s="11">
        <f>IFERROR(PagosV2[[#This Row],[Ganancia (UB)]]-PagosV2[[#This Row],[PM]]-PagosV2[[#This Row],[GC]]-PagosV2[[#This Row],[PC]]-PagosV2[[#This Row],[U]],0)</f>
        <v>104.96522499999998</v>
      </c>
      <c r="N557" s="11">
        <f t="shared" si="9"/>
        <v>47.234351249999989</v>
      </c>
      <c r="O557" s="11">
        <f>IFERROR(PagosV2[[#This Row],[Ganancia (UV)]]*PagosV2[[#This Row],[Cantidad vendida]],0)</f>
        <v>47.234351249999989</v>
      </c>
      <c r="P557" s="1">
        <f>IFERROR(PagosV2[[#This Row],[Ganancia (N)]]-PagosV2[[#This Row],[Ganancia (UV)]],0)</f>
        <v>57.730873749999986</v>
      </c>
      <c r="Q557" s="1">
        <f>IFERROR(PagosV2[[#This Row],[Ganancia individual (Tienda)]]*PagosV2[[#This Row],[Cantidad vendida]],0)</f>
        <v>57.730873749999986</v>
      </c>
      <c r="R557" s="1">
        <f>IFERROR((PagosV2[[#This Row],[Precio de venta]]-PagosV2[[#This Row],[Ganancia (UB)]])*PagosV2[[#This Row],[Cantidad vendida]],0)</f>
        <v>176.51150000000001</v>
      </c>
      <c r="S557" s="21" t="s">
        <v>312</v>
      </c>
      <c r="T557" s="21"/>
    </row>
    <row r="558" spans="1:20" ht="16.5" hidden="1" x14ac:dyDescent="0.3">
      <c r="A558" s="9" t="s">
        <v>315</v>
      </c>
      <c r="B558" s="75">
        <v>46152</v>
      </c>
      <c r="C558" s="9" t="s">
        <v>129</v>
      </c>
      <c r="D558" s="9" t="str">
        <f>IFERROR(VLOOKUP(PagosV2[[#This Row],[Codigo del producto]],Entradas[],3,FALSE),"No existe")</f>
        <v>Cargadores USB para moto</v>
      </c>
      <c r="E558" s="9">
        <v>1</v>
      </c>
      <c r="F558" s="11">
        <v>600</v>
      </c>
      <c r="G558" s="11">
        <f>IFERROR(PagosV2[[#This Row],[Cantidad vendida]]*PagosV2[[#This Row],[Precio de venta]],"-")</f>
        <v>600</v>
      </c>
      <c r="H558" s="11">
        <f>IFERROR(PagosV2[[#This Row],[Precio de venta]]-VLOOKUP(PagosV2[[#This Row],[Codigo del producto]],Stock[],13,FALSE),"-")</f>
        <v>281.2475</v>
      </c>
      <c r="I558" s="11">
        <f>IFERROR(PagosV2[[#This Row],[Ganancia (UB)]]*$B$357,0)</f>
        <v>8.4374249999999993</v>
      </c>
      <c r="J558" s="11">
        <f>IFERROR(PagosV2[[#This Row],[Ganancia (UB)]]*$B$358,0)</f>
        <v>16.874849999999999</v>
      </c>
      <c r="K558" s="11">
        <f>IFERROR(PagosV2[[#This Row],[Ganancia (UB)]]*$B$359,0)</f>
        <v>8.4374249999999993</v>
      </c>
      <c r="L558" s="11">
        <f>IFERROR(PagosV2[[#This Row],[Ganancia (UB)]]*$B$360,0)</f>
        <v>8.4374249999999993</v>
      </c>
      <c r="M558" s="11">
        <f>IFERROR(PagosV2[[#This Row],[Ganancia (UB)]]-PagosV2[[#This Row],[PM]]-PagosV2[[#This Row],[GC]]-PagosV2[[#This Row],[PC]]-PagosV2[[#This Row],[U]],0)</f>
        <v>239.06037499999999</v>
      </c>
      <c r="N558" s="11">
        <f t="shared" si="9"/>
        <v>107.57716875</v>
      </c>
      <c r="O558" s="11">
        <f>IFERROR(PagosV2[[#This Row],[Ganancia (UV)]]*PagosV2[[#This Row],[Cantidad vendida]],0)</f>
        <v>107.57716875</v>
      </c>
      <c r="P558" s="1">
        <f>IFERROR(PagosV2[[#This Row],[Ganancia (N)]]-PagosV2[[#This Row],[Ganancia (UV)]],0)</f>
        <v>131.48320624999999</v>
      </c>
      <c r="Q558" s="1">
        <f>IFERROR(PagosV2[[#This Row],[Ganancia individual (Tienda)]]*PagosV2[[#This Row],[Cantidad vendida]],0)</f>
        <v>131.48320624999999</v>
      </c>
      <c r="R558" s="1">
        <f>IFERROR((PagosV2[[#This Row],[Precio de venta]]-PagosV2[[#This Row],[Ganancia (UB)]])*PagosV2[[#This Row],[Cantidad vendida]],0)</f>
        <v>318.7525</v>
      </c>
      <c r="S558" s="21" t="s">
        <v>312</v>
      </c>
      <c r="T558" s="21"/>
    </row>
    <row r="559" spans="1:20" ht="16.5" hidden="1" x14ac:dyDescent="0.3">
      <c r="A559" s="9" t="s">
        <v>313</v>
      </c>
      <c r="B559" s="75">
        <v>46153</v>
      </c>
      <c r="C559" s="9" t="s">
        <v>167</v>
      </c>
      <c r="D559" s="9" t="str">
        <f>IFERROR(VLOOKUP(PagosV2[[#This Row],[Codigo del producto]],Entradas[],3,FALSE),"No existe")</f>
        <v>KZ Castor Improved Bass</v>
      </c>
      <c r="E559" s="9">
        <v>1</v>
      </c>
      <c r="F559" s="11">
        <v>650</v>
      </c>
      <c r="G559" s="11">
        <f>IFERROR(PagosV2[[#This Row],[Cantidad vendida]]*PagosV2[[#This Row],[Precio de venta]],"-")</f>
        <v>650</v>
      </c>
      <c r="H559" s="11">
        <f>IFERROR(PagosV2[[#This Row],[Precio de venta]]-VLOOKUP(PagosV2[[#This Row],[Codigo del producto]],Stock[],13,FALSE),"-")</f>
        <v>216.27550000000002</v>
      </c>
      <c r="I559" s="11">
        <f>IFERROR(PagosV2[[#This Row],[Ganancia (UB)]]*$B$357,0)</f>
        <v>6.4882650000000002</v>
      </c>
      <c r="J559" s="11">
        <f>IFERROR(PagosV2[[#This Row],[Ganancia (UB)]]*$B$358,0)</f>
        <v>12.97653</v>
      </c>
      <c r="K559" s="11">
        <f>IFERROR(PagosV2[[#This Row],[Ganancia (UB)]]*$B$359,0)</f>
        <v>6.4882650000000002</v>
      </c>
      <c r="L559" s="11">
        <f>IFERROR(PagosV2[[#This Row],[Ganancia (UB)]]*$B$360,0)</f>
        <v>6.4882650000000002</v>
      </c>
      <c r="M559" s="11">
        <f>IFERROR(PagosV2[[#This Row],[Ganancia (UB)]]-PagosV2[[#This Row],[PM]]-PagosV2[[#This Row],[GC]]-PagosV2[[#This Row],[PC]]-PagosV2[[#This Row],[U]],0)</f>
        <v>183.83417499999999</v>
      </c>
      <c r="N559" s="11">
        <f t="shared" si="9"/>
        <v>82.72537874999999</v>
      </c>
      <c r="O559" s="11">
        <f>IFERROR(PagosV2[[#This Row],[Ganancia (UV)]]*PagosV2[[#This Row],[Cantidad vendida]],0)</f>
        <v>82.72537874999999</v>
      </c>
      <c r="P559" s="1">
        <f>IFERROR(PagosV2[[#This Row],[Ganancia (N)]]-PagosV2[[#This Row],[Ganancia (UV)]],0)</f>
        <v>101.10879625</v>
      </c>
      <c r="Q559" s="1">
        <f>IFERROR(PagosV2[[#This Row],[Ganancia individual (Tienda)]]*PagosV2[[#This Row],[Cantidad vendida]],0)</f>
        <v>101.10879625</v>
      </c>
      <c r="R559" s="1">
        <f>IFERROR((PagosV2[[#This Row],[Precio de venta]]-PagosV2[[#This Row],[Ganancia (UB)]])*PagosV2[[#This Row],[Cantidad vendida]],0)</f>
        <v>433.72449999999998</v>
      </c>
      <c r="S559" s="21" t="s">
        <v>312</v>
      </c>
      <c r="T559" s="21"/>
    </row>
    <row r="560" spans="1:20" ht="16.5" hidden="1" x14ac:dyDescent="0.3">
      <c r="A560" s="9" t="s">
        <v>313</v>
      </c>
      <c r="B560" s="75">
        <v>46153</v>
      </c>
      <c r="C560" s="9" t="s">
        <v>175</v>
      </c>
      <c r="D560" s="9" t="str">
        <f>IFERROR(VLOOKUP(PagosV2[[#This Row],[Codigo del producto]],Entradas[],3,FALSE),"No existe")</f>
        <v>KZ AE01</v>
      </c>
      <c r="E560" s="9">
        <v>1</v>
      </c>
      <c r="F560" s="11">
        <v>950</v>
      </c>
      <c r="G560" s="11">
        <f>IFERROR(PagosV2[[#This Row],[Cantidad vendida]]*PagosV2[[#This Row],[Precio de venta]],"-")</f>
        <v>950</v>
      </c>
      <c r="H560" s="11">
        <f>IFERROR(PagosV2[[#This Row],[Precio de venta]]-VLOOKUP(PagosV2[[#This Row],[Codigo del producto]],Stock[],13,FALSE),"-")</f>
        <v>292.96450000000004</v>
      </c>
      <c r="I560" s="11">
        <f>IFERROR(PagosV2[[#This Row],[Ganancia (UB)]]*$B$357,0)</f>
        <v>8.7889350000000004</v>
      </c>
      <c r="J560" s="11">
        <f>IFERROR(PagosV2[[#This Row],[Ganancia (UB)]]*$B$358,0)</f>
        <v>17.577870000000001</v>
      </c>
      <c r="K560" s="11">
        <f>IFERROR(PagosV2[[#This Row],[Ganancia (UB)]]*$B$359,0)</f>
        <v>8.7889350000000004</v>
      </c>
      <c r="L560" s="11">
        <f>IFERROR(PagosV2[[#This Row],[Ganancia (UB)]]*$B$360,0)</f>
        <v>8.7889350000000004</v>
      </c>
      <c r="M560" s="11">
        <f>IFERROR(PagosV2[[#This Row],[Ganancia (UB)]]-PagosV2[[#This Row],[PM]]-PagosV2[[#This Row],[GC]]-PagosV2[[#This Row],[PC]]-PagosV2[[#This Row],[U]],0)</f>
        <v>249.01982500000005</v>
      </c>
      <c r="N560" s="11">
        <f t="shared" si="9"/>
        <v>112.05892125000003</v>
      </c>
      <c r="O560" s="11">
        <f>IFERROR(PagosV2[[#This Row],[Ganancia (UV)]]*PagosV2[[#This Row],[Cantidad vendida]],0)</f>
        <v>112.05892125000003</v>
      </c>
      <c r="P560" s="1">
        <f>IFERROR(PagosV2[[#This Row],[Ganancia (N)]]-PagosV2[[#This Row],[Ganancia (UV)]],0)</f>
        <v>136.96090375000003</v>
      </c>
      <c r="Q560" s="1">
        <f>IFERROR(PagosV2[[#This Row],[Ganancia individual (Tienda)]]*PagosV2[[#This Row],[Cantidad vendida]],0)</f>
        <v>136.96090375000003</v>
      </c>
      <c r="R560" s="1">
        <f>IFERROR((PagosV2[[#This Row],[Precio de venta]]-PagosV2[[#This Row],[Ganancia (UB)]])*PagosV2[[#This Row],[Cantidad vendida]],0)</f>
        <v>657.03549999999996</v>
      </c>
      <c r="S560" s="21" t="s">
        <v>312</v>
      </c>
      <c r="T560" s="21"/>
    </row>
    <row r="561" spans="1:20" ht="16.5" hidden="1" x14ac:dyDescent="0.3">
      <c r="A561" s="9" t="s">
        <v>321</v>
      </c>
      <c r="B561" s="75">
        <v>46153</v>
      </c>
      <c r="C561" s="9" t="s">
        <v>154</v>
      </c>
      <c r="D561" s="9" t="str">
        <f>IFERROR(VLOOKUP(PagosV2[[#This Row],[Codigo del producto]],Entradas[],3,FALSE),"No existe")</f>
        <v xml:space="preserve">Attack Shark Mouse X11 negro </v>
      </c>
      <c r="E561" s="9">
        <v>1</v>
      </c>
      <c r="F561" s="11">
        <v>1300</v>
      </c>
      <c r="G561" s="11">
        <f>IFERROR(PagosV2[[#This Row],[Cantidad vendida]]*PagosV2[[#This Row],[Precio de venta]],"-")</f>
        <v>1300</v>
      </c>
      <c r="H561" s="11">
        <f>IFERROR(PagosV2[[#This Row],[Precio de venta]]-VLOOKUP(PagosV2[[#This Row],[Codigo del producto]],Stock[],13,FALSE),"-")</f>
        <v>377.64449999999988</v>
      </c>
      <c r="I561" s="11">
        <f>IFERROR(PagosV2[[#This Row],[Ganancia (UB)]]*$B$357,0)</f>
        <v>11.329334999999997</v>
      </c>
      <c r="J561" s="11">
        <f>IFERROR(PagosV2[[#This Row],[Ganancia (UB)]]*$B$358,0)</f>
        <v>22.658669999999994</v>
      </c>
      <c r="K561" s="11">
        <f>IFERROR(PagosV2[[#This Row],[Ganancia (UB)]]*$B$359,0)</f>
        <v>11.329334999999997</v>
      </c>
      <c r="L561" s="11">
        <f>IFERROR(PagosV2[[#This Row],[Ganancia (UB)]]*$B$360,0)</f>
        <v>11.329334999999997</v>
      </c>
      <c r="M561" s="11">
        <f>IFERROR(PagosV2[[#This Row],[Ganancia (UB)]]-PagosV2[[#This Row],[PM]]-PagosV2[[#This Row],[GC]]-PagosV2[[#This Row],[PC]]-PagosV2[[#This Row],[U]],0)</f>
        <v>320.99782499999986</v>
      </c>
      <c r="N561" s="11">
        <f t="shared" si="9"/>
        <v>128.39912999999996</v>
      </c>
      <c r="O561" s="11">
        <f>IFERROR(PagosV2[[#This Row],[Ganancia (UV)]]*PagosV2[[#This Row],[Cantidad vendida]],0)</f>
        <v>128.39912999999996</v>
      </c>
      <c r="P561" s="1">
        <f>IFERROR(PagosV2[[#This Row],[Ganancia (N)]]-PagosV2[[#This Row],[Ganancia (UV)]],0)</f>
        <v>192.59869499999991</v>
      </c>
      <c r="Q561" s="1">
        <f>IFERROR(PagosV2[[#This Row],[Ganancia individual (Tienda)]]*PagosV2[[#This Row],[Cantidad vendida]],0)</f>
        <v>192.59869499999991</v>
      </c>
      <c r="R561" s="1">
        <f>IFERROR((PagosV2[[#This Row],[Precio de venta]]-PagosV2[[#This Row],[Ganancia (UB)]])*PagosV2[[#This Row],[Cantidad vendida]],0)</f>
        <v>922.35550000000012</v>
      </c>
      <c r="S561" s="21" t="s">
        <v>312</v>
      </c>
      <c r="T561" s="21"/>
    </row>
    <row r="562" spans="1:20" ht="16.5" hidden="1" x14ac:dyDescent="0.3">
      <c r="A562" s="9" t="s">
        <v>315</v>
      </c>
      <c r="B562" s="75">
        <v>46153</v>
      </c>
      <c r="C562" s="9" t="s">
        <v>177</v>
      </c>
      <c r="D562" s="9" t="str">
        <f>IFERROR(VLOOKUP(PagosV2[[#This Row],[Codigo del producto]],Entradas[],3,FALSE),"No existe")</f>
        <v xml:space="preserve">KZ ZST </v>
      </c>
      <c r="E562" s="9">
        <v>1</v>
      </c>
      <c r="F562" s="11">
        <v>600</v>
      </c>
      <c r="G562" s="11">
        <f>IFERROR(PagosV2[[#This Row],[Cantidad vendida]]*PagosV2[[#This Row],[Precio de venta]],"-")</f>
        <v>600</v>
      </c>
      <c r="H562" s="11">
        <f>IFERROR(PagosV2[[#This Row],[Precio de venta]]-VLOOKUP(PagosV2[[#This Row],[Codigo del producto]],Stock[],13,FALSE),"-")</f>
        <v>162.22199999999998</v>
      </c>
      <c r="I562" s="11">
        <f>IFERROR(PagosV2[[#This Row],[Ganancia (UB)]]*$B$357,0)</f>
        <v>4.8666599999999995</v>
      </c>
      <c r="J562" s="11">
        <f>IFERROR(PagosV2[[#This Row],[Ganancia (UB)]]*$B$358,0)</f>
        <v>9.7333199999999991</v>
      </c>
      <c r="K562" s="11">
        <f>IFERROR(PagosV2[[#This Row],[Ganancia (UB)]]*$B$359,0)</f>
        <v>4.8666599999999995</v>
      </c>
      <c r="L562" s="11">
        <f>IFERROR(PagosV2[[#This Row],[Ganancia (UB)]]*$B$360,0)</f>
        <v>4.8666599999999995</v>
      </c>
      <c r="M562" s="11">
        <f>IFERROR(PagosV2[[#This Row],[Ganancia (UB)]]-PagosV2[[#This Row],[PM]]-PagosV2[[#This Row],[GC]]-PagosV2[[#This Row],[PC]]-PagosV2[[#This Row],[U]],0)</f>
        <v>137.8887</v>
      </c>
      <c r="N562" s="11">
        <f t="shared" si="9"/>
        <v>62.049914999999999</v>
      </c>
      <c r="O562" s="11">
        <f>IFERROR(PagosV2[[#This Row],[Ganancia (UV)]]*PagosV2[[#This Row],[Cantidad vendida]],0)</f>
        <v>62.049914999999999</v>
      </c>
      <c r="P562" s="1">
        <f>IFERROR(PagosV2[[#This Row],[Ganancia (N)]]-PagosV2[[#This Row],[Ganancia (UV)]],0)</f>
        <v>75.838785000000001</v>
      </c>
      <c r="Q562" s="1">
        <f>IFERROR(PagosV2[[#This Row],[Ganancia individual (Tienda)]]*PagosV2[[#This Row],[Cantidad vendida]],0)</f>
        <v>75.838785000000001</v>
      </c>
      <c r="R562" s="1">
        <f>IFERROR((PagosV2[[#This Row],[Precio de venta]]-PagosV2[[#This Row],[Ganancia (UB)]])*PagosV2[[#This Row],[Cantidad vendida]],0)</f>
        <v>437.77800000000002</v>
      </c>
      <c r="S562" s="21" t="s">
        <v>312</v>
      </c>
      <c r="T562" s="21"/>
    </row>
    <row r="563" spans="1:20" ht="16.5" hidden="1" x14ac:dyDescent="0.3">
      <c r="A563" s="9" t="s">
        <v>327</v>
      </c>
      <c r="B563" s="75">
        <v>46153</v>
      </c>
      <c r="C563" s="9" t="s">
        <v>156</v>
      </c>
      <c r="D563" s="9" t="str">
        <f>IFERROR(VLOOKUP(PagosV2[[#This Row],[Codigo del producto]],Entradas[],3,FALSE),"No existe")</f>
        <v>KZ Castor Pro</v>
      </c>
      <c r="E563" s="9">
        <v>1</v>
      </c>
      <c r="F563" s="11">
        <v>1000</v>
      </c>
      <c r="G563" s="11">
        <f>IFERROR(PagosV2[[#This Row],[Cantidad vendida]]*PagosV2[[#This Row],[Precio de venta]],"-")</f>
        <v>1000</v>
      </c>
      <c r="H563" s="11">
        <f>IFERROR(PagosV2[[#This Row],[Precio de venta]]-VLOOKUP(PagosV2[[#This Row],[Codigo del producto]],Stock[],13,FALSE),"-")</f>
        <v>368.02249999999992</v>
      </c>
      <c r="I563" s="11">
        <f>IFERROR(PagosV2[[#This Row],[Ganancia (UB)]]*$B$357,0)</f>
        <v>11.040674999999997</v>
      </c>
      <c r="J563" s="11">
        <f>IFERROR(PagosV2[[#This Row],[Ganancia (UB)]]*$B$358,0)</f>
        <v>22.081349999999993</v>
      </c>
      <c r="K563" s="11">
        <f>IFERROR(PagosV2[[#This Row],[Ganancia (UB)]]*$B$359,0)</f>
        <v>11.040674999999997</v>
      </c>
      <c r="L563" s="11">
        <f>IFERROR(PagosV2[[#This Row],[Ganancia (UB)]]*$B$360,0)</f>
        <v>11.040674999999997</v>
      </c>
      <c r="M563" s="11">
        <f>IFERROR(PagosV2[[#This Row],[Ganancia (UB)]]-PagosV2[[#This Row],[PM]]-PagosV2[[#This Row],[GC]]-PagosV2[[#This Row],[PC]]-PagosV2[[#This Row],[U]],0)</f>
        <v>312.81912499999987</v>
      </c>
      <c r="N563" s="11">
        <f t="shared" si="9"/>
        <v>125.12764999999996</v>
      </c>
      <c r="O563" s="11">
        <f>IFERROR(PagosV2[[#This Row],[Ganancia (UV)]]*PagosV2[[#This Row],[Cantidad vendida]],0)</f>
        <v>125.12764999999996</v>
      </c>
      <c r="P563" s="1">
        <f>IFERROR(PagosV2[[#This Row],[Ganancia (N)]]-PagosV2[[#This Row],[Ganancia (UV)]],0)</f>
        <v>187.69147499999991</v>
      </c>
      <c r="Q563" s="1">
        <f>IFERROR(PagosV2[[#This Row],[Ganancia individual (Tienda)]]*PagosV2[[#This Row],[Cantidad vendida]],0)</f>
        <v>187.69147499999991</v>
      </c>
      <c r="R563" s="1">
        <f>IFERROR((PagosV2[[#This Row],[Precio de venta]]-PagosV2[[#This Row],[Ganancia (UB)]])*PagosV2[[#This Row],[Cantidad vendida]],0)</f>
        <v>631.97750000000008</v>
      </c>
      <c r="S563" s="21" t="s">
        <v>312</v>
      </c>
      <c r="T563" s="21"/>
    </row>
    <row r="564" spans="1:20" ht="16.5" hidden="1" x14ac:dyDescent="0.3">
      <c r="A564" s="9" t="s">
        <v>327</v>
      </c>
      <c r="B564" s="75">
        <v>46153</v>
      </c>
      <c r="C564" s="9" t="s">
        <v>66</v>
      </c>
      <c r="D564" s="9" t="str">
        <f>IFERROR(VLOOKUP(PagosV2[[#This Row],[Codigo del producto]],Entradas[],3,FALSE),"No existe")</f>
        <v xml:space="preserve">Adaptador DAC </v>
      </c>
      <c r="E564" s="9">
        <v>1</v>
      </c>
      <c r="F564" s="11">
        <v>300</v>
      </c>
      <c r="G564" s="11">
        <f>IFERROR(PagosV2[[#This Row],[Cantidad vendida]]*PagosV2[[#This Row],[Precio de venta]],"-")</f>
        <v>300</v>
      </c>
      <c r="H564" s="11">
        <f>IFERROR(PagosV2[[#This Row],[Precio de venta]]-VLOOKUP(PagosV2[[#This Row],[Codigo del producto]],Stock[],13,FALSE),"-")</f>
        <v>123.48849999999999</v>
      </c>
      <c r="I564" s="11">
        <f>IFERROR(PagosV2[[#This Row],[Ganancia (UB)]]*$B$357,0)</f>
        <v>3.7046549999999994</v>
      </c>
      <c r="J564" s="11">
        <f>IFERROR(PagosV2[[#This Row],[Ganancia (UB)]]*$B$358,0)</f>
        <v>7.4093099999999987</v>
      </c>
      <c r="K564" s="11">
        <f>IFERROR(PagosV2[[#This Row],[Ganancia (UB)]]*$B$359,0)</f>
        <v>3.7046549999999994</v>
      </c>
      <c r="L564" s="11">
        <f>IFERROR(PagosV2[[#This Row],[Ganancia (UB)]]*$B$360,0)</f>
        <v>3.7046549999999994</v>
      </c>
      <c r="M564" s="11">
        <f>IFERROR(PagosV2[[#This Row],[Ganancia (UB)]]-PagosV2[[#This Row],[PM]]-PagosV2[[#This Row],[GC]]-PagosV2[[#This Row],[PC]]-PagosV2[[#This Row],[U]],0)</f>
        <v>104.96522499999998</v>
      </c>
      <c r="N564" s="11">
        <f t="shared" si="9"/>
        <v>47.234351249999989</v>
      </c>
      <c r="O564" s="11">
        <f>IFERROR(PagosV2[[#This Row],[Ganancia (UV)]]*PagosV2[[#This Row],[Cantidad vendida]],0)</f>
        <v>47.234351249999989</v>
      </c>
      <c r="P564" s="1">
        <f>IFERROR(PagosV2[[#This Row],[Ganancia (N)]]-PagosV2[[#This Row],[Ganancia (UV)]],0)</f>
        <v>57.730873749999986</v>
      </c>
      <c r="Q564" s="1">
        <f>IFERROR(PagosV2[[#This Row],[Ganancia individual (Tienda)]]*PagosV2[[#This Row],[Cantidad vendida]],0)</f>
        <v>57.730873749999986</v>
      </c>
      <c r="R564" s="1">
        <f>IFERROR((PagosV2[[#This Row],[Precio de venta]]-PagosV2[[#This Row],[Ganancia (UB)]])*PagosV2[[#This Row],[Cantidad vendida]],0)</f>
        <v>176.51150000000001</v>
      </c>
      <c r="S564" s="21" t="s">
        <v>312</v>
      </c>
      <c r="T564" s="21"/>
    </row>
    <row r="565" spans="1:20" ht="16.5" hidden="1" x14ac:dyDescent="0.3">
      <c r="A565" s="9" t="s">
        <v>321</v>
      </c>
      <c r="B565" s="75">
        <v>46155</v>
      </c>
      <c r="C565" s="9" t="s">
        <v>155</v>
      </c>
      <c r="D565" s="9" t="str">
        <f>IFERROR(VLOOKUP(PagosV2[[#This Row],[Codigo del producto]],Entradas[],3,FALSE),"No existe")</f>
        <v>Attack Shark Mouse X11 Rojo</v>
      </c>
      <c r="E565" s="9">
        <v>1</v>
      </c>
      <c r="F565" s="11">
        <v>1300</v>
      </c>
      <c r="G565" s="11">
        <f>IFERROR(PagosV2[[#This Row],[Cantidad vendida]]*PagosV2[[#This Row],[Precio de venta]],"-")</f>
        <v>1300</v>
      </c>
      <c r="H565" s="11">
        <f>IFERROR(PagosV2[[#This Row],[Precio de venta]]-VLOOKUP(PagosV2[[#This Row],[Codigo del producto]],Stock[],13,FALSE),"-")</f>
        <v>373.95950000000005</v>
      </c>
      <c r="I565" s="11">
        <f>IFERROR(PagosV2[[#This Row],[Ganancia (UB)]]*$B$357,0)</f>
        <v>11.218785</v>
      </c>
      <c r="J565" s="11">
        <f>IFERROR(PagosV2[[#This Row],[Ganancia (UB)]]*$B$358,0)</f>
        <v>22.437570000000001</v>
      </c>
      <c r="K565" s="11">
        <f>IFERROR(PagosV2[[#This Row],[Ganancia (UB)]]*$B$359,0)</f>
        <v>11.218785</v>
      </c>
      <c r="L565" s="11">
        <f>IFERROR(PagosV2[[#This Row],[Ganancia (UB)]]*$B$360,0)</f>
        <v>11.218785</v>
      </c>
      <c r="M565" s="11">
        <f>IFERROR(PagosV2[[#This Row],[Ganancia (UB)]]-PagosV2[[#This Row],[PM]]-PagosV2[[#This Row],[GC]]-PagosV2[[#This Row],[PC]]-PagosV2[[#This Row],[U]],0)</f>
        <v>317.86557499999998</v>
      </c>
      <c r="N565" s="11">
        <f t="shared" si="9"/>
        <v>127.14623</v>
      </c>
      <c r="O565" s="11">
        <f>IFERROR(PagosV2[[#This Row],[Ganancia (UV)]]*PagosV2[[#This Row],[Cantidad vendida]],0)</f>
        <v>127.14623</v>
      </c>
      <c r="P565" s="1">
        <f>IFERROR(PagosV2[[#This Row],[Ganancia (N)]]-PagosV2[[#This Row],[Ganancia (UV)]],0)</f>
        <v>190.71934499999998</v>
      </c>
      <c r="Q565" s="1">
        <f>IFERROR(PagosV2[[#This Row],[Ganancia individual (Tienda)]]*PagosV2[[#This Row],[Cantidad vendida]],0)</f>
        <v>190.71934499999998</v>
      </c>
      <c r="R565" s="1">
        <f>IFERROR((PagosV2[[#This Row],[Precio de venta]]-PagosV2[[#This Row],[Ganancia (UB)]])*PagosV2[[#This Row],[Cantidad vendida]],0)</f>
        <v>926.04049999999995</v>
      </c>
      <c r="S565" s="21" t="s">
        <v>312</v>
      </c>
      <c r="T565" s="21"/>
    </row>
    <row r="566" spans="1:20" ht="16.5" hidden="1" x14ac:dyDescent="0.3">
      <c r="A566" s="9" t="s">
        <v>336</v>
      </c>
      <c r="B566" s="75">
        <v>46155</v>
      </c>
      <c r="C566" s="9" t="s">
        <v>494</v>
      </c>
      <c r="D566" s="9" t="str">
        <f>IFERROR(VLOOKUP(PagosV2[[#This Row],[Codigo del producto]],Entradas[],3,FALSE),"No existe")</f>
        <v>Shark Attack Mouse X11 White</v>
      </c>
      <c r="E566" s="9">
        <v>1</v>
      </c>
      <c r="F566" s="11">
        <v>1300</v>
      </c>
      <c r="G566" s="11">
        <f>IFERROR(PagosV2[[#This Row],[Cantidad vendida]]*PagosV2[[#This Row],[Precio de venta]],"-")</f>
        <v>1300</v>
      </c>
      <c r="H566" s="11">
        <f>IFERROR(PagosV2[[#This Row],[Precio de venta]]-VLOOKUP(PagosV2[[#This Row],[Codigo del producto]],Stock[],13,FALSE),"-")</f>
        <v>408.23</v>
      </c>
      <c r="I566" s="11">
        <f>IFERROR(PagosV2[[#This Row],[Ganancia (UB)]]*$B$357,0)</f>
        <v>12.2469</v>
      </c>
      <c r="J566" s="11">
        <f>IFERROR(PagosV2[[#This Row],[Ganancia (UB)]]*$B$358,0)</f>
        <v>24.4938</v>
      </c>
      <c r="K566" s="11">
        <f>IFERROR(PagosV2[[#This Row],[Ganancia (UB)]]*$B$359,0)</f>
        <v>12.2469</v>
      </c>
      <c r="L566" s="11">
        <f>IFERROR(PagosV2[[#This Row],[Ganancia (UB)]]*$B$360,0)</f>
        <v>12.2469</v>
      </c>
      <c r="M566" s="11">
        <f>IFERROR(PagosV2[[#This Row],[Ganancia (UB)]]-PagosV2[[#This Row],[PM]]-PagosV2[[#This Row],[GC]]-PagosV2[[#This Row],[PC]]-PagosV2[[#This Row],[U]],0)</f>
        <v>346.99550000000005</v>
      </c>
      <c r="N566" s="11">
        <f t="shared" si="9"/>
        <v>138.79820000000004</v>
      </c>
      <c r="O566" s="11">
        <f>IFERROR(PagosV2[[#This Row],[Ganancia (UV)]]*PagosV2[[#This Row],[Cantidad vendida]],0)</f>
        <v>138.79820000000004</v>
      </c>
      <c r="P566" s="1">
        <f>IFERROR(PagosV2[[#This Row],[Ganancia (N)]]-PagosV2[[#This Row],[Ganancia (UV)]],0)</f>
        <v>208.19730000000001</v>
      </c>
      <c r="Q566" s="1">
        <f>IFERROR(PagosV2[[#This Row],[Ganancia individual (Tienda)]]*PagosV2[[#This Row],[Cantidad vendida]],0)</f>
        <v>208.19730000000001</v>
      </c>
      <c r="R566" s="1">
        <f>IFERROR((PagosV2[[#This Row],[Precio de venta]]-PagosV2[[#This Row],[Ganancia (UB)]])*PagosV2[[#This Row],[Cantidad vendida]],0)</f>
        <v>891.77</v>
      </c>
      <c r="S566" s="21" t="s">
        <v>312</v>
      </c>
      <c r="T566" s="21"/>
    </row>
    <row r="567" spans="1:20" ht="16.5" hidden="1" x14ac:dyDescent="0.3">
      <c r="A567" s="9" t="s">
        <v>336</v>
      </c>
      <c r="B567" s="75">
        <v>46155</v>
      </c>
      <c r="C567" s="9" t="s">
        <v>494</v>
      </c>
      <c r="D567" s="9" t="str">
        <f>IFERROR(VLOOKUP(PagosV2[[#This Row],[Codigo del producto]],Entradas[],3,FALSE),"No existe")</f>
        <v>Shark Attack Mouse X11 White</v>
      </c>
      <c r="E567" s="9">
        <v>1</v>
      </c>
      <c r="F567" s="11">
        <v>1300</v>
      </c>
      <c r="G567" s="11">
        <f>IFERROR(PagosV2[[#This Row],[Cantidad vendida]]*PagosV2[[#This Row],[Precio de venta]],"-")</f>
        <v>1300</v>
      </c>
      <c r="H567" s="11">
        <f>IFERROR(PagosV2[[#This Row],[Precio de venta]]-VLOOKUP(PagosV2[[#This Row],[Codigo del producto]],Stock[],13,FALSE),"-")</f>
        <v>408.23</v>
      </c>
      <c r="I567" s="11">
        <f>IFERROR(PagosV2[[#This Row],[Ganancia (UB)]]*$B$357,0)</f>
        <v>12.2469</v>
      </c>
      <c r="J567" s="11">
        <f>IFERROR(PagosV2[[#This Row],[Ganancia (UB)]]*$B$358,0)</f>
        <v>24.4938</v>
      </c>
      <c r="K567" s="11">
        <f>IFERROR(PagosV2[[#This Row],[Ganancia (UB)]]*$B$359,0)</f>
        <v>12.2469</v>
      </c>
      <c r="L567" s="11">
        <f>IFERROR(PagosV2[[#This Row],[Ganancia (UB)]]*$B$360,0)</f>
        <v>12.2469</v>
      </c>
      <c r="M567" s="11">
        <f>IFERROR(PagosV2[[#This Row],[Ganancia (UB)]]-PagosV2[[#This Row],[PM]]-PagosV2[[#This Row],[GC]]-PagosV2[[#This Row],[PC]]-PagosV2[[#This Row],[U]],0)</f>
        <v>346.99550000000005</v>
      </c>
      <c r="N567" s="11">
        <f t="shared" si="9"/>
        <v>138.79820000000004</v>
      </c>
      <c r="O567" s="11">
        <f>IFERROR(PagosV2[[#This Row],[Ganancia (UV)]]*PagosV2[[#This Row],[Cantidad vendida]],0)</f>
        <v>138.79820000000004</v>
      </c>
      <c r="P567" s="1">
        <f>IFERROR(PagosV2[[#This Row],[Ganancia (N)]]-PagosV2[[#This Row],[Ganancia (UV)]],0)</f>
        <v>208.19730000000001</v>
      </c>
      <c r="Q567" s="1">
        <f>IFERROR(PagosV2[[#This Row],[Ganancia individual (Tienda)]]*PagosV2[[#This Row],[Cantidad vendida]],0)</f>
        <v>208.19730000000001</v>
      </c>
      <c r="R567" s="1">
        <f>IFERROR((PagosV2[[#This Row],[Precio de venta]]-PagosV2[[#This Row],[Ganancia (UB)]])*PagosV2[[#This Row],[Cantidad vendida]],0)</f>
        <v>891.77</v>
      </c>
      <c r="S567" s="21" t="s">
        <v>312</v>
      </c>
      <c r="T567" s="21"/>
    </row>
    <row r="568" spans="1:20" ht="16.5" hidden="1" x14ac:dyDescent="0.3">
      <c r="A568" s="9" t="s">
        <v>313</v>
      </c>
      <c r="B568" s="75">
        <v>46155</v>
      </c>
      <c r="C568" s="9" t="s">
        <v>158</v>
      </c>
      <c r="D568" s="9" t="str">
        <f>IFERROR(VLOOKUP(PagosV2[[#This Row],[Codigo del producto]],Entradas[],3,FALSE),"No existe")</f>
        <v>KZ EDX lite</v>
      </c>
      <c r="E568" s="9">
        <v>1</v>
      </c>
      <c r="F568" s="11">
        <v>400</v>
      </c>
      <c r="G568" s="11">
        <f>IFERROR(PagosV2[[#This Row],[Cantidad vendida]]*PagosV2[[#This Row],[Precio de venta]],"-")</f>
        <v>400</v>
      </c>
      <c r="H568" s="11">
        <f>IFERROR(PagosV2[[#This Row],[Precio de venta]]-VLOOKUP(PagosV2[[#This Row],[Codigo del producto]],Stock[],13,FALSE),"-")</f>
        <v>205.0635</v>
      </c>
      <c r="I568" s="11">
        <f>IFERROR(PagosV2[[#This Row],[Ganancia (UB)]]*$B$357,0)</f>
        <v>6.1519050000000002</v>
      </c>
      <c r="J568" s="11">
        <f>IFERROR(PagosV2[[#This Row],[Ganancia (UB)]]*$B$358,0)</f>
        <v>12.30381</v>
      </c>
      <c r="K568" s="11">
        <f>IFERROR(PagosV2[[#This Row],[Ganancia (UB)]]*$B$359,0)</f>
        <v>6.1519050000000002</v>
      </c>
      <c r="L568" s="11">
        <f>IFERROR(PagosV2[[#This Row],[Ganancia (UB)]]*$B$360,0)</f>
        <v>6.1519050000000002</v>
      </c>
      <c r="M568" s="11">
        <f>IFERROR(PagosV2[[#This Row],[Ganancia (UB)]]-PagosV2[[#This Row],[PM]]-PagosV2[[#This Row],[GC]]-PagosV2[[#This Row],[PC]]-PagosV2[[#This Row],[U]],0)</f>
        <v>174.30397500000001</v>
      </c>
      <c r="N568" s="11">
        <f t="shared" si="9"/>
        <v>78.436788750000005</v>
      </c>
      <c r="O568" s="11">
        <f>IFERROR(PagosV2[[#This Row],[Ganancia (UV)]]*PagosV2[[#This Row],[Cantidad vendida]],0)</f>
        <v>78.436788750000005</v>
      </c>
      <c r="P568" s="1">
        <f>IFERROR(PagosV2[[#This Row],[Ganancia (N)]]-PagosV2[[#This Row],[Ganancia (UV)]],0)</f>
        <v>95.867186250000003</v>
      </c>
      <c r="Q568" s="1">
        <f>IFERROR(PagosV2[[#This Row],[Ganancia individual (Tienda)]]*PagosV2[[#This Row],[Cantidad vendida]],0)</f>
        <v>95.867186250000003</v>
      </c>
      <c r="R568" s="1">
        <f>IFERROR((PagosV2[[#This Row],[Precio de venta]]-PagosV2[[#This Row],[Ganancia (UB)]])*PagosV2[[#This Row],[Cantidad vendida]],0)</f>
        <v>194.9365</v>
      </c>
      <c r="S568" s="21" t="s">
        <v>312</v>
      </c>
      <c r="T568" s="21"/>
    </row>
    <row r="569" spans="1:20" ht="16.5" hidden="1" x14ac:dyDescent="0.3">
      <c r="A569" s="9" t="s">
        <v>354</v>
      </c>
      <c r="B569" s="75">
        <v>46155</v>
      </c>
      <c r="C569" s="9" t="s">
        <v>130</v>
      </c>
      <c r="D569" s="9" t="str">
        <f>IFERROR(VLOOKUP(PagosV2[[#This Row],[Codigo del producto]],Entradas[],3,FALSE),"No existe")</f>
        <v>Cargadores USB para moto (Sin pantalla)</v>
      </c>
      <c r="E569" s="9">
        <v>1</v>
      </c>
      <c r="F569" s="11">
        <v>500</v>
      </c>
      <c r="G569" s="11">
        <f>IFERROR(PagosV2[[#This Row],[Cantidad vendida]]*PagosV2[[#This Row],[Precio de venta]],"-")</f>
        <v>500</v>
      </c>
      <c r="H569" s="11">
        <f>IFERROR(PagosV2[[#This Row],[Precio de venta]]-VLOOKUP(PagosV2[[#This Row],[Codigo del producto]],Stock[],13,FALSE),"-")</f>
        <v>255.68449999999996</v>
      </c>
      <c r="I569" s="11">
        <f>IFERROR(PagosV2[[#This Row],[Ganancia (UB)]]*$B$357,0)</f>
        <v>7.6705349999999983</v>
      </c>
      <c r="J569" s="11">
        <f>IFERROR(PagosV2[[#This Row],[Ganancia (UB)]]*$B$358,0)</f>
        <v>15.341069999999997</v>
      </c>
      <c r="K569" s="11">
        <f>IFERROR(PagosV2[[#This Row],[Ganancia (UB)]]*$B$359,0)</f>
        <v>7.6705349999999983</v>
      </c>
      <c r="L569" s="11">
        <f>IFERROR(PagosV2[[#This Row],[Ganancia (UB)]]*$B$360,0)</f>
        <v>7.6705349999999983</v>
      </c>
      <c r="M569" s="11">
        <f>IFERROR(PagosV2[[#This Row],[Ganancia (UB)]]-PagosV2[[#This Row],[PM]]-PagosV2[[#This Row],[GC]]-PagosV2[[#This Row],[PC]]-PagosV2[[#This Row],[U]],0)</f>
        <v>217.33182499999995</v>
      </c>
      <c r="N569" s="11">
        <f t="shared" si="9"/>
        <v>97.799321249999977</v>
      </c>
      <c r="O569" s="11">
        <f>IFERROR(PagosV2[[#This Row],[Ganancia (UV)]]*PagosV2[[#This Row],[Cantidad vendida]],0)</f>
        <v>97.799321249999977</v>
      </c>
      <c r="P569" s="1">
        <f>IFERROR(PagosV2[[#This Row],[Ganancia (N)]]-PagosV2[[#This Row],[Ganancia (UV)]],0)</f>
        <v>119.53250374999998</v>
      </c>
      <c r="Q569" s="1">
        <f>IFERROR(PagosV2[[#This Row],[Ganancia individual (Tienda)]]*PagosV2[[#This Row],[Cantidad vendida]],0)</f>
        <v>119.53250374999998</v>
      </c>
      <c r="R569" s="1">
        <f>IFERROR((PagosV2[[#This Row],[Precio de venta]]-PagosV2[[#This Row],[Ganancia (UB)]])*PagosV2[[#This Row],[Cantidad vendida]],0)</f>
        <v>244.31550000000004</v>
      </c>
      <c r="S569" s="21" t="s">
        <v>312</v>
      </c>
      <c r="T569" s="21"/>
    </row>
    <row r="570" spans="1:20" ht="16.5" hidden="1" x14ac:dyDescent="0.3">
      <c r="A570" s="9" t="s">
        <v>354</v>
      </c>
      <c r="B570" s="75">
        <v>46155</v>
      </c>
      <c r="C570" s="9" t="s">
        <v>171</v>
      </c>
      <c r="D570" s="9" t="str">
        <f>IFERROR(VLOOKUP(PagosV2[[#This Row],[Codigo del producto]],Entradas[],3,FALSE),"No existe")</f>
        <v>KZ AE01</v>
      </c>
      <c r="E570" s="9">
        <v>1</v>
      </c>
      <c r="F570" s="11">
        <v>950</v>
      </c>
      <c r="G570" s="11">
        <f>IFERROR(PagosV2[[#This Row],[Cantidad vendida]]*PagosV2[[#This Row],[Precio de venta]],"-")</f>
        <v>950</v>
      </c>
      <c r="H570" s="11">
        <f>IFERROR(PagosV2[[#This Row],[Precio de venta]]-VLOOKUP(PagosV2[[#This Row],[Codigo del producto]],Stock[],13,FALSE),"-")</f>
        <v>307.70449999999994</v>
      </c>
      <c r="I570" s="11">
        <f>IFERROR(PagosV2[[#This Row],[Ganancia (UB)]]*$B$357,0)</f>
        <v>9.2311349999999983</v>
      </c>
      <c r="J570" s="11">
        <f>IFERROR(PagosV2[[#This Row],[Ganancia (UB)]]*$B$358,0)</f>
        <v>18.462269999999997</v>
      </c>
      <c r="K570" s="11">
        <f>IFERROR(PagosV2[[#This Row],[Ganancia (UB)]]*$B$359,0)</f>
        <v>9.2311349999999983</v>
      </c>
      <c r="L570" s="11">
        <f>IFERROR(PagosV2[[#This Row],[Ganancia (UB)]]*$B$360,0)</f>
        <v>9.2311349999999983</v>
      </c>
      <c r="M570" s="11">
        <f>IFERROR(PagosV2[[#This Row],[Ganancia (UB)]]-PagosV2[[#This Row],[PM]]-PagosV2[[#This Row],[GC]]-PagosV2[[#This Row],[PC]]-PagosV2[[#This Row],[U]],0)</f>
        <v>261.54882499999997</v>
      </c>
      <c r="N570" s="11">
        <f t="shared" si="9"/>
        <v>117.69697124999999</v>
      </c>
      <c r="O570" s="11">
        <f>IFERROR(PagosV2[[#This Row],[Ganancia (UV)]]*PagosV2[[#This Row],[Cantidad vendida]],0)</f>
        <v>117.69697124999999</v>
      </c>
      <c r="P570" s="1">
        <f>IFERROR(PagosV2[[#This Row],[Ganancia (N)]]-PagosV2[[#This Row],[Ganancia (UV)]],0)</f>
        <v>143.85185374999998</v>
      </c>
      <c r="Q570" s="1">
        <f>IFERROR(PagosV2[[#This Row],[Ganancia individual (Tienda)]]*PagosV2[[#This Row],[Cantidad vendida]],0)</f>
        <v>143.85185374999998</v>
      </c>
      <c r="R570" s="1">
        <f>IFERROR((PagosV2[[#This Row],[Precio de venta]]-PagosV2[[#This Row],[Ganancia (UB)]])*PagosV2[[#This Row],[Cantidad vendida]],0)</f>
        <v>642.29550000000006</v>
      </c>
      <c r="S570" s="21" t="s">
        <v>312</v>
      </c>
      <c r="T570" s="21"/>
    </row>
    <row r="571" spans="1:20" ht="16.5" hidden="1" x14ac:dyDescent="0.3">
      <c r="A571" s="9" t="s">
        <v>354</v>
      </c>
      <c r="B571" s="75">
        <v>46155</v>
      </c>
      <c r="C571" s="9" t="s">
        <v>167</v>
      </c>
      <c r="D571" s="9" t="str">
        <f>IFERROR(VLOOKUP(PagosV2[[#This Row],[Codigo del producto]],Entradas[],3,FALSE),"No existe")</f>
        <v>KZ Castor Improved Bass</v>
      </c>
      <c r="E571" s="9">
        <v>1</v>
      </c>
      <c r="F571" s="11">
        <v>650</v>
      </c>
      <c r="G571" s="11">
        <f>IFERROR(PagosV2[[#This Row],[Cantidad vendida]]*PagosV2[[#This Row],[Precio de venta]],"-")</f>
        <v>650</v>
      </c>
      <c r="H571" s="11">
        <f>IFERROR(PagosV2[[#This Row],[Precio de venta]]-VLOOKUP(PagosV2[[#This Row],[Codigo del producto]],Stock[],13,FALSE),"-")</f>
        <v>216.27550000000002</v>
      </c>
      <c r="I571" s="11">
        <f>IFERROR(PagosV2[[#This Row],[Ganancia (UB)]]*$B$357,0)</f>
        <v>6.4882650000000002</v>
      </c>
      <c r="J571" s="11">
        <f>IFERROR(PagosV2[[#This Row],[Ganancia (UB)]]*$B$358,0)</f>
        <v>12.97653</v>
      </c>
      <c r="K571" s="11">
        <f>IFERROR(PagosV2[[#This Row],[Ganancia (UB)]]*$B$359,0)</f>
        <v>6.4882650000000002</v>
      </c>
      <c r="L571" s="11">
        <f>IFERROR(PagosV2[[#This Row],[Ganancia (UB)]]*$B$360,0)</f>
        <v>6.4882650000000002</v>
      </c>
      <c r="M571" s="11">
        <f>IFERROR(PagosV2[[#This Row],[Ganancia (UB)]]-PagosV2[[#This Row],[PM]]-PagosV2[[#This Row],[GC]]-PagosV2[[#This Row],[PC]]-PagosV2[[#This Row],[U]],0)</f>
        <v>183.83417499999999</v>
      </c>
      <c r="N571" s="11">
        <f t="shared" si="9"/>
        <v>82.72537874999999</v>
      </c>
      <c r="O571" s="11">
        <f>IFERROR(PagosV2[[#This Row],[Ganancia (UV)]]*PagosV2[[#This Row],[Cantidad vendida]],0)</f>
        <v>82.72537874999999</v>
      </c>
      <c r="P571" s="1">
        <f>IFERROR(PagosV2[[#This Row],[Ganancia (N)]]-PagosV2[[#This Row],[Ganancia (UV)]],0)</f>
        <v>101.10879625</v>
      </c>
      <c r="Q571" s="1">
        <f>IFERROR(PagosV2[[#This Row],[Ganancia individual (Tienda)]]*PagosV2[[#This Row],[Cantidad vendida]],0)</f>
        <v>101.10879625</v>
      </c>
      <c r="R571" s="1">
        <f>IFERROR((PagosV2[[#This Row],[Precio de venta]]-PagosV2[[#This Row],[Ganancia (UB)]])*PagosV2[[#This Row],[Cantidad vendida]],0)</f>
        <v>433.72449999999998</v>
      </c>
      <c r="S571" s="21" t="s">
        <v>312</v>
      </c>
      <c r="T571" s="21"/>
    </row>
    <row r="572" spans="1:20" ht="16.5" hidden="1" x14ac:dyDescent="0.3">
      <c r="A572" s="9" t="s">
        <v>327</v>
      </c>
      <c r="B572" s="75">
        <v>46156</v>
      </c>
      <c r="C572" s="9" t="s">
        <v>158</v>
      </c>
      <c r="D572" s="9" t="str">
        <f>IFERROR(VLOOKUP(PagosV2[[#This Row],[Codigo del producto]],Entradas[],3,FALSE),"No existe")</f>
        <v>KZ EDX lite</v>
      </c>
      <c r="E572" s="9">
        <v>1</v>
      </c>
      <c r="F572" s="11">
        <v>400</v>
      </c>
      <c r="G572" s="11">
        <f>IFERROR(PagosV2[[#This Row],[Cantidad vendida]]*PagosV2[[#This Row],[Precio de venta]],"-")</f>
        <v>400</v>
      </c>
      <c r="H572" s="11">
        <f>IFERROR(PagosV2[[#This Row],[Precio de venta]]-VLOOKUP(PagosV2[[#This Row],[Codigo del producto]],Stock[],13,FALSE),"-")</f>
        <v>205.0635</v>
      </c>
      <c r="I572" s="11">
        <f>IFERROR(PagosV2[[#This Row],[Ganancia (UB)]]*$B$357,0)</f>
        <v>6.1519050000000002</v>
      </c>
      <c r="J572" s="11">
        <f>IFERROR(PagosV2[[#This Row],[Ganancia (UB)]]*$B$358,0)</f>
        <v>12.30381</v>
      </c>
      <c r="K572" s="11">
        <f>IFERROR(PagosV2[[#This Row],[Ganancia (UB)]]*$B$359,0)</f>
        <v>6.1519050000000002</v>
      </c>
      <c r="L572" s="11">
        <f>IFERROR(PagosV2[[#This Row],[Ganancia (UB)]]*$B$360,0)</f>
        <v>6.1519050000000002</v>
      </c>
      <c r="M572" s="11">
        <f>IFERROR(PagosV2[[#This Row],[Ganancia (UB)]]-PagosV2[[#This Row],[PM]]-PagosV2[[#This Row],[GC]]-PagosV2[[#This Row],[PC]]-PagosV2[[#This Row],[U]],0)</f>
        <v>174.30397500000001</v>
      </c>
      <c r="N572" s="11">
        <f t="shared" si="9"/>
        <v>78.436788750000005</v>
      </c>
      <c r="O572" s="11">
        <f>IFERROR(PagosV2[[#This Row],[Ganancia (UV)]]*PagosV2[[#This Row],[Cantidad vendida]],0)</f>
        <v>78.436788750000005</v>
      </c>
      <c r="P572" s="1">
        <f>IFERROR(PagosV2[[#This Row],[Ganancia (N)]]-PagosV2[[#This Row],[Ganancia (UV)]],0)</f>
        <v>95.867186250000003</v>
      </c>
      <c r="Q572" s="1">
        <f>IFERROR(PagosV2[[#This Row],[Ganancia individual (Tienda)]]*PagosV2[[#This Row],[Cantidad vendida]],0)</f>
        <v>95.867186250000003</v>
      </c>
      <c r="R572" s="1">
        <f>IFERROR((PagosV2[[#This Row],[Precio de venta]]-PagosV2[[#This Row],[Ganancia (UB)]])*PagosV2[[#This Row],[Cantidad vendida]],0)</f>
        <v>194.9365</v>
      </c>
      <c r="S572" s="21" t="s">
        <v>312</v>
      </c>
      <c r="T572" s="21"/>
    </row>
    <row r="573" spans="1:20" ht="16.5" hidden="1" x14ac:dyDescent="0.3">
      <c r="A573" s="9" t="s">
        <v>327</v>
      </c>
      <c r="B573" s="75">
        <v>46156</v>
      </c>
      <c r="C573" s="9" t="s">
        <v>170</v>
      </c>
      <c r="D573" s="9" t="str">
        <f>IFERROR(VLOOKUP(PagosV2[[#This Row],[Codigo del producto]],Entradas[],3,FALSE),"No existe")</f>
        <v>KZ AZ09</v>
      </c>
      <c r="E573" s="9">
        <v>1</v>
      </c>
      <c r="F573" s="11">
        <v>900</v>
      </c>
      <c r="G573" s="11">
        <f>IFERROR(PagosV2[[#This Row],[Cantidad vendida]]*PagosV2[[#This Row],[Precio de venta]],"-")</f>
        <v>900</v>
      </c>
      <c r="H573" s="11">
        <f>IFERROR(PagosV2[[#This Row],[Precio de venta]]-VLOOKUP(PagosV2[[#This Row],[Codigo del producto]],Stock[],13,FALSE),"-")</f>
        <v>336.93200000000002</v>
      </c>
      <c r="I573" s="11">
        <f>IFERROR(PagosV2[[#This Row],[Ganancia (UB)]]*$B$357,0)</f>
        <v>10.10796</v>
      </c>
      <c r="J573" s="11">
        <f>IFERROR(PagosV2[[#This Row],[Ganancia (UB)]]*$B$358,0)</f>
        <v>20.215920000000001</v>
      </c>
      <c r="K573" s="11">
        <f>IFERROR(PagosV2[[#This Row],[Ganancia (UB)]]*$B$359,0)</f>
        <v>10.10796</v>
      </c>
      <c r="L573" s="11">
        <f>IFERROR(PagosV2[[#This Row],[Ganancia (UB)]]*$B$360,0)</f>
        <v>10.10796</v>
      </c>
      <c r="M573" s="11">
        <f>IFERROR(PagosV2[[#This Row],[Ganancia (UB)]]-PagosV2[[#This Row],[PM]]-PagosV2[[#This Row],[GC]]-PagosV2[[#This Row],[PC]]-PagosV2[[#This Row],[U]],0)</f>
        <v>286.39220000000006</v>
      </c>
      <c r="N573" s="11">
        <f t="shared" si="9"/>
        <v>128.87649000000002</v>
      </c>
      <c r="O573" s="11">
        <f>IFERROR(PagosV2[[#This Row],[Ganancia (UV)]]*PagosV2[[#This Row],[Cantidad vendida]],0)</f>
        <v>128.87649000000002</v>
      </c>
      <c r="P573" s="1">
        <f>IFERROR(PagosV2[[#This Row],[Ganancia (N)]]-PagosV2[[#This Row],[Ganancia (UV)]],0)</f>
        <v>157.51571000000004</v>
      </c>
      <c r="Q573" s="1">
        <f>IFERROR(PagosV2[[#This Row],[Ganancia individual (Tienda)]]*PagosV2[[#This Row],[Cantidad vendida]],0)</f>
        <v>157.51571000000004</v>
      </c>
      <c r="R573" s="1">
        <f>IFERROR((PagosV2[[#This Row],[Precio de venta]]-PagosV2[[#This Row],[Ganancia (UB)]])*PagosV2[[#This Row],[Cantidad vendida]],0)</f>
        <v>563.06799999999998</v>
      </c>
      <c r="S573" s="21" t="s">
        <v>312</v>
      </c>
      <c r="T573" s="21"/>
    </row>
    <row r="574" spans="1:20" ht="16.5" hidden="1" x14ac:dyDescent="0.3">
      <c r="A574" s="9" t="s">
        <v>313</v>
      </c>
      <c r="B574" s="75">
        <v>46156</v>
      </c>
      <c r="C574" s="9" t="s">
        <v>164</v>
      </c>
      <c r="D574" s="9" t="str">
        <f>IFERROR(VLOOKUP(PagosV2[[#This Row],[Codigo del producto]],Entradas[],3,FALSE),"No existe")</f>
        <v>Bolso Protector Audifonos KZ</v>
      </c>
      <c r="E574" s="9">
        <v>1</v>
      </c>
      <c r="F574" s="11">
        <v>50</v>
      </c>
      <c r="G574" s="11">
        <f>IFERROR(PagosV2[[#This Row],[Cantidad vendida]]*PagosV2[[#This Row],[Precio de venta]],"-")</f>
        <v>50</v>
      </c>
      <c r="H574" s="11">
        <f>IFERROR(PagosV2[[#This Row],[Precio de venta]]-VLOOKUP(PagosV2[[#This Row],[Codigo del producto]],Stock[],13,FALSE),"-")</f>
        <v>21.625499999999999</v>
      </c>
      <c r="I574" s="11">
        <f>IFERROR(PagosV2[[#This Row],[Ganancia (UB)]]*$B$357,0)</f>
        <v>0.64876499999999993</v>
      </c>
      <c r="J574" s="11">
        <f>IFERROR(PagosV2[[#This Row],[Ganancia (UB)]]*$B$358,0)</f>
        <v>1.2975299999999999</v>
      </c>
      <c r="K574" s="11">
        <f>IFERROR(PagosV2[[#This Row],[Ganancia (UB)]]*$B$359,0)</f>
        <v>0.64876499999999993</v>
      </c>
      <c r="L574" s="11">
        <f>IFERROR(PagosV2[[#This Row],[Ganancia (UB)]]*$B$360,0)</f>
        <v>0.64876499999999993</v>
      </c>
      <c r="M574" s="11">
        <f>IFERROR(PagosV2[[#This Row],[Ganancia (UB)]]-PagosV2[[#This Row],[PM]]-PagosV2[[#This Row],[GC]]-PagosV2[[#This Row],[PC]]-PagosV2[[#This Row],[U]],0)</f>
        <v>18.381674999999998</v>
      </c>
      <c r="N574" s="11">
        <f t="shared" ref="N574:N648" si="10">IFERROR(
  IF(M574&lt;=0,"-",
    IF(M574&lt;=300, M574*0.45,
      IF(M574&lt;=600, M574*0.4,
        IF(M574&lt;=900, M574*0.38,
          IF(M574&lt;=1000, M574*0.35,
            IF(M574&lt;=1400, M574*0.32,
              IF(M574&lt;=1800, HM574*0.3,
                IF(M574&gt;=2000, M574*0.28,
                  "-"
                )
              )
            )
          )
        )
      )
    )
  ),
  "-"
)</f>
        <v>8.2717537499999985</v>
      </c>
      <c r="O574" s="11">
        <f>IFERROR(PagosV2[[#This Row],[Ganancia (UV)]]*PagosV2[[#This Row],[Cantidad vendida]],0)</f>
        <v>8.2717537499999985</v>
      </c>
      <c r="P574" s="1">
        <f>IFERROR(PagosV2[[#This Row],[Ganancia (N)]]-PagosV2[[#This Row],[Ganancia (UV)]],0)</f>
        <v>10.109921249999999</v>
      </c>
      <c r="Q574" s="1">
        <f>IFERROR(PagosV2[[#This Row],[Ganancia individual (Tienda)]]*PagosV2[[#This Row],[Cantidad vendida]],0)</f>
        <v>10.109921249999999</v>
      </c>
      <c r="R574" s="1">
        <f>IFERROR((PagosV2[[#This Row],[Precio de venta]]-PagosV2[[#This Row],[Ganancia (UB)]])*PagosV2[[#This Row],[Cantidad vendida]],0)</f>
        <v>28.374500000000001</v>
      </c>
      <c r="S574" s="21" t="s">
        <v>312</v>
      </c>
      <c r="T574" s="21"/>
    </row>
    <row r="575" spans="1:20" ht="16.5" hidden="1" x14ac:dyDescent="0.3">
      <c r="A575" s="9" t="s">
        <v>313</v>
      </c>
      <c r="B575" s="75">
        <v>46156</v>
      </c>
      <c r="C575" s="9" t="s">
        <v>167</v>
      </c>
      <c r="D575" s="9" t="str">
        <f>IFERROR(VLOOKUP(PagosV2[[#This Row],[Codigo del producto]],Entradas[],3,FALSE),"No existe")</f>
        <v>KZ Castor Improved Bass</v>
      </c>
      <c r="E575" s="9">
        <v>2</v>
      </c>
      <c r="F575" s="11">
        <v>700</v>
      </c>
      <c r="G575" s="11">
        <f>IFERROR(PagosV2[[#This Row],[Cantidad vendida]]*PagosV2[[#This Row],[Precio de venta]],"-")</f>
        <v>1400</v>
      </c>
      <c r="H575" s="11">
        <f>IFERROR(PagosV2[[#This Row],[Precio de venta]]-VLOOKUP(PagosV2[[#This Row],[Codigo del producto]],Stock[],13,FALSE),"-")</f>
        <v>266.27550000000002</v>
      </c>
      <c r="I575" s="11">
        <f>IFERROR(PagosV2[[#This Row],[Ganancia (UB)]]*$B$357,0)</f>
        <v>7.9882650000000002</v>
      </c>
      <c r="J575" s="11">
        <f>IFERROR(PagosV2[[#This Row],[Ganancia (UB)]]*$B$358,0)</f>
        <v>15.97653</v>
      </c>
      <c r="K575" s="11">
        <f>IFERROR(PagosV2[[#This Row],[Ganancia (UB)]]*$B$359,0)</f>
        <v>7.9882650000000002</v>
      </c>
      <c r="L575" s="11">
        <f>IFERROR(PagosV2[[#This Row],[Ganancia (UB)]]*$B$360,0)</f>
        <v>7.9882650000000002</v>
      </c>
      <c r="M575" s="11">
        <f>IFERROR(PagosV2[[#This Row],[Ganancia (UB)]]-PagosV2[[#This Row],[PM]]-PagosV2[[#This Row],[GC]]-PagosV2[[#This Row],[PC]]-PagosV2[[#This Row],[U]],0)</f>
        <v>226.33417499999999</v>
      </c>
      <c r="N575" s="11">
        <f t="shared" si="10"/>
        <v>101.85037874999999</v>
      </c>
      <c r="O575" s="11">
        <f>IFERROR(PagosV2[[#This Row],[Ganancia (UV)]]*PagosV2[[#This Row],[Cantidad vendida]],0)</f>
        <v>203.70075749999998</v>
      </c>
      <c r="P575" s="1">
        <f>IFERROR(PagosV2[[#This Row],[Ganancia (N)]]-PagosV2[[#This Row],[Ganancia (UV)]],0)</f>
        <v>124.48379625</v>
      </c>
      <c r="Q575" s="1">
        <f>IFERROR(PagosV2[[#This Row],[Ganancia individual (Tienda)]]*PagosV2[[#This Row],[Cantidad vendida]],0)</f>
        <v>248.96759249999999</v>
      </c>
      <c r="R575" s="1">
        <f>IFERROR((PagosV2[[#This Row],[Precio de venta]]-PagosV2[[#This Row],[Ganancia (UB)]])*PagosV2[[#This Row],[Cantidad vendida]],0)</f>
        <v>867.44899999999996</v>
      </c>
      <c r="S575" s="21" t="s">
        <v>312</v>
      </c>
      <c r="T575" s="21"/>
    </row>
    <row r="576" spans="1:20" ht="16.5" hidden="1" x14ac:dyDescent="0.3">
      <c r="A576" s="9" t="s">
        <v>313</v>
      </c>
      <c r="B576" s="75">
        <v>46156</v>
      </c>
      <c r="C576" s="9" t="s">
        <v>170</v>
      </c>
      <c r="D576" s="9" t="str">
        <f>IFERROR(VLOOKUP(PagosV2[[#This Row],[Codigo del producto]],Entradas[],3,FALSE),"No existe")</f>
        <v>KZ AZ09</v>
      </c>
      <c r="E576" s="9">
        <v>1</v>
      </c>
      <c r="F576" s="11">
        <v>900</v>
      </c>
      <c r="G576" s="11">
        <f>IFERROR(PagosV2[[#This Row],[Cantidad vendida]]*PagosV2[[#This Row],[Precio de venta]],"-")</f>
        <v>900</v>
      </c>
      <c r="H576" s="11">
        <f>IFERROR(PagosV2[[#This Row],[Precio de venta]]-VLOOKUP(PagosV2[[#This Row],[Codigo del producto]],Stock[],13,FALSE),"-")</f>
        <v>336.93200000000002</v>
      </c>
      <c r="I576" s="11">
        <f>IFERROR(PagosV2[[#This Row],[Ganancia (UB)]]*$B$357,0)</f>
        <v>10.10796</v>
      </c>
      <c r="J576" s="11">
        <f>IFERROR(PagosV2[[#This Row],[Ganancia (UB)]]*$B$358,0)</f>
        <v>20.215920000000001</v>
      </c>
      <c r="K576" s="11">
        <f>IFERROR(PagosV2[[#This Row],[Ganancia (UB)]]*$B$359,0)</f>
        <v>10.10796</v>
      </c>
      <c r="L576" s="11">
        <f>IFERROR(PagosV2[[#This Row],[Ganancia (UB)]]*$B$360,0)</f>
        <v>10.10796</v>
      </c>
      <c r="M576" s="11">
        <f>IFERROR(PagosV2[[#This Row],[Ganancia (UB)]]-PagosV2[[#This Row],[PM]]-PagosV2[[#This Row],[GC]]-PagosV2[[#This Row],[PC]]-PagosV2[[#This Row],[U]],0)</f>
        <v>286.39220000000006</v>
      </c>
      <c r="N576" s="11">
        <f t="shared" si="10"/>
        <v>128.87649000000002</v>
      </c>
      <c r="O576" s="11">
        <f>IFERROR(PagosV2[[#This Row],[Ganancia (UV)]]*PagosV2[[#This Row],[Cantidad vendida]],0)</f>
        <v>128.87649000000002</v>
      </c>
      <c r="P576" s="1">
        <f>IFERROR(PagosV2[[#This Row],[Ganancia (N)]]-PagosV2[[#This Row],[Ganancia (UV)]],0)</f>
        <v>157.51571000000004</v>
      </c>
      <c r="Q576" s="1">
        <f>IFERROR(PagosV2[[#This Row],[Ganancia individual (Tienda)]]*PagosV2[[#This Row],[Cantidad vendida]],0)</f>
        <v>157.51571000000004</v>
      </c>
      <c r="R576" s="1">
        <f>IFERROR((PagosV2[[#This Row],[Precio de venta]]-PagosV2[[#This Row],[Ganancia (UB)]])*PagosV2[[#This Row],[Cantidad vendida]],0)</f>
        <v>563.06799999999998</v>
      </c>
      <c r="S576" s="21" t="s">
        <v>312</v>
      </c>
      <c r="T576" s="21"/>
    </row>
    <row r="577" spans="1:20" ht="16.5" hidden="1" x14ac:dyDescent="0.3">
      <c r="A577" s="9" t="s">
        <v>321</v>
      </c>
      <c r="B577" s="75">
        <v>46158</v>
      </c>
      <c r="C577" s="9" t="s">
        <v>155</v>
      </c>
      <c r="D577" s="9" t="str">
        <f>IFERROR(VLOOKUP(PagosV2[[#This Row],[Codigo del producto]],Entradas[],3,FALSE),"No existe")</f>
        <v>Attack Shark Mouse X11 Rojo</v>
      </c>
      <c r="E577" s="9">
        <v>1</v>
      </c>
      <c r="F577" s="11">
        <v>1200</v>
      </c>
      <c r="G577" s="11">
        <f>IFERROR(PagosV2[[#This Row],[Cantidad vendida]]*PagosV2[[#This Row],[Precio de venta]],"-")</f>
        <v>1200</v>
      </c>
      <c r="H577" s="11">
        <f>IFERROR(PagosV2[[#This Row],[Precio de venta]]-VLOOKUP(PagosV2[[#This Row],[Codigo del producto]],Stock[],13,FALSE),"-")</f>
        <v>273.95950000000005</v>
      </c>
      <c r="I577" s="11">
        <f>IFERROR(PagosV2[[#This Row],[Ganancia (UB)]]*$B$357,0)</f>
        <v>8.2187850000000005</v>
      </c>
      <c r="J577" s="11">
        <f>IFERROR(PagosV2[[#This Row],[Ganancia (UB)]]*$B$358,0)</f>
        <v>16.437570000000001</v>
      </c>
      <c r="K577" s="11">
        <f>IFERROR(PagosV2[[#This Row],[Ganancia (UB)]]*$B$359,0)</f>
        <v>8.2187850000000005</v>
      </c>
      <c r="L577" s="11">
        <f>IFERROR(PagosV2[[#This Row],[Ganancia (UB)]]*$B$360,0)</f>
        <v>8.2187850000000005</v>
      </c>
      <c r="M577" s="11">
        <f>IFERROR(PagosV2[[#This Row],[Ganancia (UB)]]-PagosV2[[#This Row],[PM]]-PagosV2[[#This Row],[GC]]-PagosV2[[#This Row],[PC]]-PagosV2[[#This Row],[U]],0)</f>
        <v>232.86557500000004</v>
      </c>
      <c r="N577" s="11">
        <f t="shared" si="10"/>
        <v>104.78950875000002</v>
      </c>
      <c r="O577" s="11">
        <f>IFERROR(PagosV2[[#This Row],[Ganancia (UV)]]*PagosV2[[#This Row],[Cantidad vendida]],0)</f>
        <v>104.78950875000002</v>
      </c>
      <c r="P577" s="1">
        <f>IFERROR(PagosV2[[#This Row],[Ganancia (N)]]-PagosV2[[#This Row],[Ganancia (UV)]],0)</f>
        <v>128.07606625</v>
      </c>
      <c r="Q577" s="1">
        <f>IFERROR(PagosV2[[#This Row],[Ganancia individual (Tienda)]]*PagosV2[[#This Row],[Cantidad vendida]],0)</f>
        <v>128.07606625</v>
      </c>
      <c r="R577" s="1">
        <f>IFERROR((PagosV2[[#This Row],[Precio de venta]]-PagosV2[[#This Row],[Ganancia (UB)]])*PagosV2[[#This Row],[Cantidad vendida]],0)</f>
        <v>926.04049999999995</v>
      </c>
      <c r="S577" s="21" t="s">
        <v>312</v>
      </c>
      <c r="T577" s="21"/>
    </row>
    <row r="578" spans="1:20" ht="16.5" hidden="1" x14ac:dyDescent="0.3">
      <c r="A578" s="9" t="s">
        <v>313</v>
      </c>
      <c r="B578" s="75">
        <v>46158</v>
      </c>
      <c r="C578" s="9" t="s">
        <v>494</v>
      </c>
      <c r="D578" s="9" t="str">
        <f>IFERROR(VLOOKUP(PagosV2[[#This Row],[Codigo del producto]],Entradas[],3,FALSE),"No existe")</f>
        <v>Shark Attack Mouse X11 White</v>
      </c>
      <c r="E578" s="9">
        <v>1</v>
      </c>
      <c r="F578" s="11">
        <v>1200</v>
      </c>
      <c r="G578" s="11">
        <f>IFERROR(PagosV2[[#This Row],[Cantidad vendida]]*PagosV2[[#This Row],[Precio de venta]],"-")</f>
        <v>1200</v>
      </c>
      <c r="H578" s="11">
        <f>IFERROR(PagosV2[[#This Row],[Precio de venta]]-VLOOKUP(PagosV2[[#This Row],[Codigo del producto]],Stock[],13,FALSE),"-")</f>
        <v>308.23</v>
      </c>
      <c r="I578" s="11">
        <f>IFERROR(PagosV2[[#This Row],[Ganancia (UB)]]*$B$357,0)</f>
        <v>9.2469000000000001</v>
      </c>
      <c r="J578" s="11">
        <f>IFERROR(PagosV2[[#This Row],[Ganancia (UB)]]*$B$358,0)</f>
        <v>18.4938</v>
      </c>
      <c r="K578" s="11">
        <f>IFERROR(PagosV2[[#This Row],[Ganancia (UB)]]*$B$359,0)</f>
        <v>9.2469000000000001</v>
      </c>
      <c r="L578" s="11">
        <f>IFERROR(PagosV2[[#This Row],[Ganancia (UB)]]*$B$360,0)</f>
        <v>9.2469000000000001</v>
      </c>
      <c r="M578" s="11">
        <f>IFERROR(PagosV2[[#This Row],[Ganancia (UB)]]-PagosV2[[#This Row],[PM]]-PagosV2[[#This Row],[GC]]-PagosV2[[#This Row],[PC]]-PagosV2[[#This Row],[U]],0)</f>
        <v>261.99550000000005</v>
      </c>
      <c r="N578" s="11">
        <f t="shared" si="10"/>
        <v>117.89797500000003</v>
      </c>
      <c r="O578" s="11">
        <f>IFERROR(PagosV2[[#This Row],[Ganancia (UV)]]*PagosV2[[#This Row],[Cantidad vendida]],0)</f>
        <v>117.89797500000003</v>
      </c>
      <c r="P578" s="1">
        <f>IFERROR(PagosV2[[#This Row],[Ganancia (N)]]-PagosV2[[#This Row],[Ganancia (UV)]],0)</f>
        <v>144.09752500000002</v>
      </c>
      <c r="Q578" s="1">
        <f>IFERROR(PagosV2[[#This Row],[Ganancia individual (Tienda)]]*PagosV2[[#This Row],[Cantidad vendida]],0)</f>
        <v>144.09752500000002</v>
      </c>
      <c r="R578" s="1">
        <f>IFERROR((PagosV2[[#This Row],[Precio de venta]]-PagosV2[[#This Row],[Ganancia (UB)]])*PagosV2[[#This Row],[Cantidad vendida]],0)</f>
        <v>891.77</v>
      </c>
      <c r="S578" s="21" t="s">
        <v>312</v>
      </c>
      <c r="T578" s="21"/>
    </row>
    <row r="579" spans="1:20" ht="16.5" hidden="1" x14ac:dyDescent="0.3">
      <c r="A579" s="9" t="s">
        <v>313</v>
      </c>
      <c r="B579" s="75">
        <v>46158</v>
      </c>
      <c r="C579" s="9" t="s">
        <v>154</v>
      </c>
      <c r="D579" s="9" t="str">
        <f>IFERROR(VLOOKUP(PagosV2[[#This Row],[Codigo del producto]],Entradas[],3,FALSE),"No existe")</f>
        <v xml:space="preserve">Attack Shark Mouse X11 negro </v>
      </c>
      <c r="E579" s="9">
        <v>1</v>
      </c>
      <c r="F579" s="11">
        <v>1200</v>
      </c>
      <c r="G579" s="11">
        <f>IFERROR(PagosV2[[#This Row],[Cantidad vendida]]*PagosV2[[#This Row],[Precio de venta]],"-")</f>
        <v>1200</v>
      </c>
      <c r="H579" s="11">
        <f>IFERROR(PagosV2[[#This Row],[Precio de venta]]-VLOOKUP(PagosV2[[#This Row],[Codigo del producto]],Stock[],13,FALSE),"-")</f>
        <v>277.64449999999988</v>
      </c>
      <c r="I579" s="11">
        <f>IFERROR(PagosV2[[#This Row],[Ganancia (UB)]]*$B$357,0)</f>
        <v>8.3293349999999968</v>
      </c>
      <c r="J579" s="11">
        <f>IFERROR(PagosV2[[#This Row],[Ganancia (UB)]]*$B$358,0)</f>
        <v>16.658669999999994</v>
      </c>
      <c r="K579" s="11">
        <f>IFERROR(PagosV2[[#This Row],[Ganancia (UB)]]*$B$359,0)</f>
        <v>8.3293349999999968</v>
      </c>
      <c r="L579" s="11">
        <f>IFERROR(PagosV2[[#This Row],[Ganancia (UB)]]*$B$360,0)</f>
        <v>8.3293349999999968</v>
      </c>
      <c r="M579" s="11">
        <f>IFERROR(PagosV2[[#This Row],[Ganancia (UB)]]-PagosV2[[#This Row],[PM]]-PagosV2[[#This Row],[GC]]-PagosV2[[#This Row],[PC]]-PagosV2[[#This Row],[U]],0)</f>
        <v>235.99782499999989</v>
      </c>
      <c r="N579" s="11">
        <f t="shared" si="10"/>
        <v>106.19902124999996</v>
      </c>
      <c r="O579" s="11">
        <f>IFERROR(PagosV2[[#This Row],[Ganancia (UV)]]*PagosV2[[#This Row],[Cantidad vendida]],0)</f>
        <v>106.19902124999996</v>
      </c>
      <c r="P579" s="1">
        <f>IFERROR(PagosV2[[#This Row],[Ganancia (N)]]-PagosV2[[#This Row],[Ganancia (UV)]],0)</f>
        <v>129.79880374999993</v>
      </c>
      <c r="Q579" s="1">
        <f>IFERROR(PagosV2[[#This Row],[Ganancia individual (Tienda)]]*PagosV2[[#This Row],[Cantidad vendida]],0)</f>
        <v>129.79880374999993</v>
      </c>
      <c r="R579" s="1">
        <f>IFERROR((PagosV2[[#This Row],[Precio de venta]]-PagosV2[[#This Row],[Ganancia (UB)]])*PagosV2[[#This Row],[Cantidad vendida]],0)</f>
        <v>922.35550000000012</v>
      </c>
      <c r="S579" s="21" t="s">
        <v>312</v>
      </c>
      <c r="T579" s="21"/>
    </row>
    <row r="580" spans="1:20" ht="16.5" hidden="1" x14ac:dyDescent="0.3">
      <c r="A580" s="9" t="s">
        <v>311</v>
      </c>
      <c r="B580" s="75">
        <v>46158</v>
      </c>
      <c r="C580" s="9" t="s">
        <v>167</v>
      </c>
      <c r="D580" s="9" t="str">
        <f>IFERROR(VLOOKUP(PagosV2[[#This Row],[Codigo del producto]],Entradas[],3,FALSE),"No existe")</f>
        <v>KZ Castor Improved Bass</v>
      </c>
      <c r="E580" s="9">
        <v>1</v>
      </c>
      <c r="F580" s="11">
        <v>700</v>
      </c>
      <c r="G580" s="11">
        <f>IFERROR(PagosV2[[#This Row],[Cantidad vendida]]*PagosV2[[#This Row],[Precio de venta]],"-")</f>
        <v>700</v>
      </c>
      <c r="H580" s="11">
        <f>IFERROR(PagosV2[[#This Row],[Precio de venta]]-VLOOKUP(PagosV2[[#This Row],[Codigo del producto]],Stock[],13,FALSE),"-")</f>
        <v>266.27550000000002</v>
      </c>
      <c r="I580" s="11">
        <f>IFERROR(PagosV2[[#This Row],[Ganancia (UB)]]*$B$357,0)</f>
        <v>7.9882650000000002</v>
      </c>
      <c r="J580" s="11">
        <f>IFERROR(PagosV2[[#This Row],[Ganancia (UB)]]*$B$358,0)</f>
        <v>15.97653</v>
      </c>
      <c r="K580" s="11">
        <f>IFERROR(PagosV2[[#This Row],[Ganancia (UB)]]*$B$359,0)</f>
        <v>7.9882650000000002</v>
      </c>
      <c r="L580" s="11">
        <f>IFERROR(PagosV2[[#This Row],[Ganancia (UB)]]*$B$360,0)</f>
        <v>7.9882650000000002</v>
      </c>
      <c r="M580" s="11">
        <f>IFERROR(PagosV2[[#This Row],[Ganancia (UB)]]-PagosV2[[#This Row],[PM]]-PagosV2[[#This Row],[GC]]-PagosV2[[#This Row],[PC]]-PagosV2[[#This Row],[U]],0)</f>
        <v>226.33417499999999</v>
      </c>
      <c r="N580" s="11">
        <f t="shared" si="10"/>
        <v>101.85037874999999</v>
      </c>
      <c r="O580" s="11">
        <f>IFERROR(PagosV2[[#This Row],[Ganancia (UV)]]*PagosV2[[#This Row],[Cantidad vendida]],0)</f>
        <v>101.85037874999999</v>
      </c>
      <c r="P580" s="1">
        <f>IFERROR(PagosV2[[#This Row],[Ganancia (N)]]-PagosV2[[#This Row],[Ganancia (UV)]],0)</f>
        <v>124.48379625</v>
      </c>
      <c r="Q580" s="1">
        <f>IFERROR(PagosV2[[#This Row],[Ganancia individual (Tienda)]]*PagosV2[[#This Row],[Cantidad vendida]],0)</f>
        <v>124.48379625</v>
      </c>
      <c r="R580" s="1">
        <f>IFERROR((PagosV2[[#This Row],[Precio de venta]]-PagosV2[[#This Row],[Ganancia (UB)]])*PagosV2[[#This Row],[Cantidad vendida]],0)</f>
        <v>433.72449999999998</v>
      </c>
      <c r="S580" s="21" t="s">
        <v>312</v>
      </c>
      <c r="T580" s="21"/>
    </row>
    <row r="581" spans="1:20" ht="16.5" hidden="1" x14ac:dyDescent="0.3">
      <c r="A581" s="9" t="s">
        <v>313</v>
      </c>
      <c r="B581" s="75">
        <v>46159</v>
      </c>
      <c r="C581" s="9" t="s">
        <v>494</v>
      </c>
      <c r="D581" s="9" t="str">
        <f>IFERROR(VLOOKUP(PagosV2[[#This Row],[Codigo del producto]],Entradas[],3,FALSE),"No existe")</f>
        <v>Shark Attack Mouse X11 White</v>
      </c>
      <c r="E581" s="9">
        <v>1</v>
      </c>
      <c r="F581" s="11">
        <v>1200</v>
      </c>
      <c r="G581" s="11">
        <f>IFERROR(PagosV2[[#This Row],[Cantidad vendida]]*PagosV2[[#This Row],[Precio de venta]],"-")</f>
        <v>1200</v>
      </c>
      <c r="H581" s="11">
        <f>IFERROR(PagosV2[[#This Row],[Precio de venta]]-VLOOKUP(PagosV2[[#This Row],[Codigo del producto]],Stock[],13,FALSE),"-")</f>
        <v>308.23</v>
      </c>
      <c r="I581" s="11">
        <f>IFERROR(PagosV2[[#This Row],[Ganancia (UB)]]*$B$357,0)</f>
        <v>9.2469000000000001</v>
      </c>
      <c r="J581" s="11">
        <f>IFERROR(PagosV2[[#This Row],[Ganancia (UB)]]*$B$358,0)</f>
        <v>18.4938</v>
      </c>
      <c r="K581" s="11">
        <f>IFERROR(PagosV2[[#This Row],[Ganancia (UB)]]*$B$359,0)</f>
        <v>9.2469000000000001</v>
      </c>
      <c r="L581" s="11">
        <f>IFERROR(PagosV2[[#This Row],[Ganancia (UB)]]*$B$360,0)</f>
        <v>9.2469000000000001</v>
      </c>
      <c r="M581" s="11">
        <f>IFERROR(PagosV2[[#This Row],[Ganancia (UB)]]-PagosV2[[#This Row],[PM]]-PagosV2[[#This Row],[GC]]-PagosV2[[#This Row],[PC]]-PagosV2[[#This Row],[U]],0)</f>
        <v>261.99550000000005</v>
      </c>
      <c r="N581" s="11">
        <f t="shared" si="10"/>
        <v>117.89797500000003</v>
      </c>
      <c r="O581" s="11">
        <f>IFERROR(PagosV2[[#This Row],[Ganancia (UV)]]*PagosV2[[#This Row],[Cantidad vendida]],0)</f>
        <v>117.89797500000003</v>
      </c>
      <c r="P581" s="1">
        <f>IFERROR(PagosV2[[#This Row],[Ganancia (N)]]-PagosV2[[#This Row],[Ganancia (UV)]],0)</f>
        <v>144.09752500000002</v>
      </c>
      <c r="Q581" s="1">
        <f>IFERROR(PagosV2[[#This Row],[Ganancia individual (Tienda)]]*PagosV2[[#This Row],[Cantidad vendida]],0)</f>
        <v>144.09752500000002</v>
      </c>
      <c r="R581" s="1">
        <f>IFERROR((PagosV2[[#This Row],[Precio de venta]]-PagosV2[[#This Row],[Ganancia (UB)]])*PagosV2[[#This Row],[Cantidad vendida]],0)</f>
        <v>891.77</v>
      </c>
      <c r="S581" s="21" t="s">
        <v>312</v>
      </c>
      <c r="T581" s="21"/>
    </row>
    <row r="582" spans="1:20" ht="16.5" hidden="1" x14ac:dyDescent="0.3">
      <c r="A582" s="9" t="s">
        <v>313</v>
      </c>
      <c r="B582" s="75">
        <v>46159</v>
      </c>
      <c r="C582" s="9" t="s">
        <v>114</v>
      </c>
      <c r="D582" s="9" t="str">
        <f>IFERROR(VLOOKUP(PagosV2[[#This Row],[Codigo del producto]],Entradas[],3,FALSE),"No existe")</f>
        <v>Teclado Mecanico Machenike K500</v>
      </c>
      <c r="E582" s="9">
        <v>1</v>
      </c>
      <c r="F582" s="11">
        <v>1800</v>
      </c>
      <c r="G582" s="11">
        <f>IFERROR(PagosV2[[#This Row],[Cantidad vendida]]*PagosV2[[#This Row],[Precio de venta]],"-")</f>
        <v>1800</v>
      </c>
      <c r="H582" s="11">
        <f>IFERROR(PagosV2[[#This Row],[Precio de venta]]-VLOOKUP(PagosV2[[#This Row],[Codigo del producto]],Stock[],13,FALSE),"-")</f>
        <v>252.29999999999995</v>
      </c>
      <c r="I582" s="11">
        <f>IFERROR(PagosV2[[#This Row],[Ganancia (UB)]]*$B$357,0)</f>
        <v>7.5689999999999982</v>
      </c>
      <c r="J582" s="11">
        <f>IFERROR(PagosV2[[#This Row],[Ganancia (UB)]]*$B$358,0)</f>
        <v>15.137999999999996</v>
      </c>
      <c r="K582" s="11">
        <f>IFERROR(PagosV2[[#This Row],[Ganancia (UB)]]*$B$359,0)</f>
        <v>7.5689999999999982</v>
      </c>
      <c r="L582" s="11">
        <f>IFERROR(PagosV2[[#This Row],[Ganancia (UB)]]*$B$360,0)</f>
        <v>7.5689999999999982</v>
      </c>
      <c r="M582" s="11">
        <f>IFERROR(PagosV2[[#This Row],[Ganancia (UB)]]-PagosV2[[#This Row],[PM]]-PagosV2[[#This Row],[GC]]-PagosV2[[#This Row],[PC]]-PagosV2[[#This Row],[U]],0)</f>
        <v>214.45499999999998</v>
      </c>
      <c r="N582" s="11">
        <f t="shared" si="10"/>
        <v>96.504750000000001</v>
      </c>
      <c r="O582" s="11">
        <f>IFERROR(PagosV2[[#This Row],[Ganancia (UV)]]*PagosV2[[#This Row],[Cantidad vendida]],0)</f>
        <v>96.504750000000001</v>
      </c>
      <c r="P582" s="1">
        <f>IFERROR(PagosV2[[#This Row],[Ganancia (N)]]-PagosV2[[#This Row],[Ganancia (UV)]],0)</f>
        <v>117.95024999999998</v>
      </c>
      <c r="Q582" s="1">
        <f>IFERROR(PagosV2[[#This Row],[Ganancia individual (Tienda)]]*PagosV2[[#This Row],[Cantidad vendida]],0)</f>
        <v>117.95024999999998</v>
      </c>
      <c r="R582" s="1">
        <f>IFERROR((PagosV2[[#This Row],[Precio de venta]]-PagosV2[[#This Row],[Ganancia (UB)]])*PagosV2[[#This Row],[Cantidad vendida]],0)</f>
        <v>1547.7</v>
      </c>
      <c r="S582" s="21" t="s">
        <v>312</v>
      </c>
      <c r="T582" s="21"/>
    </row>
    <row r="583" spans="1:20" ht="16.5" hidden="1" x14ac:dyDescent="0.3">
      <c r="A583" s="9" t="s">
        <v>313</v>
      </c>
      <c r="B583" s="75">
        <v>46159</v>
      </c>
      <c r="C583" s="9" t="s">
        <v>156</v>
      </c>
      <c r="D583" s="9" t="str">
        <f>IFERROR(VLOOKUP(PagosV2[[#This Row],[Codigo del producto]],Entradas[],3,FALSE),"No existe")</f>
        <v>KZ Castor Pro</v>
      </c>
      <c r="E583" s="9">
        <v>1</v>
      </c>
      <c r="F583" s="11">
        <v>900</v>
      </c>
      <c r="G583" s="11">
        <f>IFERROR(PagosV2[[#This Row],[Cantidad vendida]]*PagosV2[[#This Row],[Precio de venta]],"-")</f>
        <v>900</v>
      </c>
      <c r="H583" s="11">
        <f>IFERROR(PagosV2[[#This Row],[Precio de venta]]-VLOOKUP(PagosV2[[#This Row],[Codigo del producto]],Stock[],13,FALSE),"-")</f>
        <v>268.02249999999992</v>
      </c>
      <c r="I583" s="11">
        <f>IFERROR(PagosV2[[#This Row],[Ganancia (UB)]]*$B$357,0)</f>
        <v>8.0406749999999967</v>
      </c>
      <c r="J583" s="11">
        <f>IFERROR(PagosV2[[#This Row],[Ganancia (UB)]]*$B$358,0)</f>
        <v>16.081349999999993</v>
      </c>
      <c r="K583" s="11">
        <f>IFERROR(PagosV2[[#This Row],[Ganancia (UB)]]*$B$359,0)</f>
        <v>8.0406749999999967</v>
      </c>
      <c r="L583" s="11">
        <f>IFERROR(PagosV2[[#This Row],[Ganancia (UB)]]*$B$360,0)</f>
        <v>8.0406749999999967</v>
      </c>
      <c r="M583" s="11">
        <f>IFERROR(PagosV2[[#This Row],[Ganancia (UB)]]-PagosV2[[#This Row],[PM]]-PagosV2[[#This Row],[GC]]-PagosV2[[#This Row],[PC]]-PagosV2[[#This Row],[U]],0)</f>
        <v>227.81912499999993</v>
      </c>
      <c r="N583" s="11">
        <f t="shared" si="10"/>
        <v>102.51860624999998</v>
      </c>
      <c r="O583" s="11">
        <f>IFERROR(PagosV2[[#This Row],[Ganancia (UV)]]*PagosV2[[#This Row],[Cantidad vendida]],0)</f>
        <v>102.51860624999998</v>
      </c>
      <c r="P583" s="1">
        <f>IFERROR(PagosV2[[#This Row],[Ganancia (N)]]-PagosV2[[#This Row],[Ganancia (UV)]],0)</f>
        <v>125.30051874999995</v>
      </c>
      <c r="Q583" s="1">
        <f>IFERROR(PagosV2[[#This Row],[Ganancia individual (Tienda)]]*PagosV2[[#This Row],[Cantidad vendida]],0)</f>
        <v>125.30051874999995</v>
      </c>
      <c r="R583" s="1">
        <f>IFERROR((PagosV2[[#This Row],[Precio de venta]]-PagosV2[[#This Row],[Ganancia (UB)]])*PagosV2[[#This Row],[Cantidad vendida]],0)</f>
        <v>631.97750000000008</v>
      </c>
      <c r="S583" s="21" t="s">
        <v>312</v>
      </c>
      <c r="T583" s="21"/>
    </row>
    <row r="584" spans="1:20" ht="16.5" hidden="1" x14ac:dyDescent="0.3">
      <c r="A584" s="9" t="s">
        <v>313</v>
      </c>
      <c r="B584" s="75">
        <v>46159</v>
      </c>
      <c r="C584" s="9" t="s">
        <v>170</v>
      </c>
      <c r="D584" s="9" t="str">
        <f>IFERROR(VLOOKUP(PagosV2[[#This Row],[Codigo del producto]],Entradas[],3,FALSE),"No existe")</f>
        <v>KZ AZ09</v>
      </c>
      <c r="E584" s="9">
        <v>1</v>
      </c>
      <c r="F584" s="11">
        <v>900</v>
      </c>
      <c r="G584" s="11">
        <f>IFERROR(PagosV2[[#This Row],[Cantidad vendida]]*PagosV2[[#This Row],[Precio de venta]],"-")</f>
        <v>900</v>
      </c>
      <c r="H584" s="11">
        <f>IFERROR(PagosV2[[#This Row],[Precio de venta]]-VLOOKUP(PagosV2[[#This Row],[Codigo del producto]],Stock[],13,FALSE),"-")</f>
        <v>336.93200000000002</v>
      </c>
      <c r="I584" s="11">
        <f>IFERROR(PagosV2[[#This Row],[Ganancia (UB)]]*$B$357,0)</f>
        <v>10.10796</v>
      </c>
      <c r="J584" s="11">
        <f>IFERROR(PagosV2[[#This Row],[Ganancia (UB)]]*$B$358,0)</f>
        <v>20.215920000000001</v>
      </c>
      <c r="K584" s="11">
        <f>IFERROR(PagosV2[[#This Row],[Ganancia (UB)]]*$B$359,0)</f>
        <v>10.10796</v>
      </c>
      <c r="L584" s="11">
        <f>IFERROR(PagosV2[[#This Row],[Ganancia (UB)]]*$B$360,0)</f>
        <v>10.10796</v>
      </c>
      <c r="M584" s="11">
        <f>IFERROR(PagosV2[[#This Row],[Ganancia (UB)]]-PagosV2[[#This Row],[PM]]-PagosV2[[#This Row],[GC]]-PagosV2[[#This Row],[PC]]-PagosV2[[#This Row],[U]],0)</f>
        <v>286.39220000000006</v>
      </c>
      <c r="N584" s="11">
        <f t="shared" si="10"/>
        <v>128.87649000000002</v>
      </c>
      <c r="O584" s="11">
        <f>IFERROR(PagosV2[[#This Row],[Ganancia (UV)]]*PagosV2[[#This Row],[Cantidad vendida]],0)</f>
        <v>128.87649000000002</v>
      </c>
      <c r="P584" s="1">
        <f>IFERROR(PagosV2[[#This Row],[Ganancia (N)]]-PagosV2[[#This Row],[Ganancia (UV)]],0)</f>
        <v>157.51571000000004</v>
      </c>
      <c r="Q584" s="1">
        <f>IFERROR(PagosV2[[#This Row],[Ganancia individual (Tienda)]]*PagosV2[[#This Row],[Cantidad vendida]],0)</f>
        <v>157.51571000000004</v>
      </c>
      <c r="R584" s="1">
        <f>IFERROR((PagosV2[[#This Row],[Precio de venta]]-PagosV2[[#This Row],[Ganancia (UB)]])*PagosV2[[#This Row],[Cantidad vendida]],0)</f>
        <v>563.06799999999998</v>
      </c>
      <c r="S584" s="21" t="s">
        <v>312</v>
      </c>
      <c r="T584" s="21"/>
    </row>
    <row r="585" spans="1:20" ht="16.5" hidden="1" x14ac:dyDescent="0.3">
      <c r="A585" s="9" t="s">
        <v>327</v>
      </c>
      <c r="B585" s="75">
        <v>46159</v>
      </c>
      <c r="C585" s="9" t="s">
        <v>156</v>
      </c>
      <c r="D585" s="9" t="str">
        <f>IFERROR(VLOOKUP(PagosV2[[#This Row],[Codigo del producto]],Entradas[],3,FALSE),"No existe")</f>
        <v>KZ Castor Pro</v>
      </c>
      <c r="E585" s="9">
        <v>1</v>
      </c>
      <c r="F585" s="11">
        <v>900</v>
      </c>
      <c r="G585" s="11">
        <f>IFERROR(PagosV2[[#This Row],[Cantidad vendida]]*PagosV2[[#This Row],[Precio de venta]],"-")</f>
        <v>900</v>
      </c>
      <c r="H585" s="11">
        <f>IFERROR(PagosV2[[#This Row],[Precio de venta]]-VLOOKUP(PagosV2[[#This Row],[Codigo del producto]],Stock[],13,FALSE),"-")</f>
        <v>268.02249999999992</v>
      </c>
      <c r="I585" s="11">
        <f>IFERROR(PagosV2[[#This Row],[Ganancia (UB)]]*$B$357,0)</f>
        <v>8.0406749999999967</v>
      </c>
      <c r="J585" s="11">
        <f>IFERROR(PagosV2[[#This Row],[Ganancia (UB)]]*$B$358,0)</f>
        <v>16.081349999999993</v>
      </c>
      <c r="K585" s="11">
        <f>IFERROR(PagosV2[[#This Row],[Ganancia (UB)]]*$B$359,0)</f>
        <v>8.0406749999999967</v>
      </c>
      <c r="L585" s="11">
        <f>IFERROR(PagosV2[[#This Row],[Ganancia (UB)]]*$B$360,0)</f>
        <v>8.0406749999999967</v>
      </c>
      <c r="M585" s="11">
        <f>IFERROR(PagosV2[[#This Row],[Ganancia (UB)]]-PagosV2[[#This Row],[PM]]-PagosV2[[#This Row],[GC]]-PagosV2[[#This Row],[PC]]-PagosV2[[#This Row],[U]],0)</f>
        <v>227.81912499999993</v>
      </c>
      <c r="N585" s="11">
        <f t="shared" si="10"/>
        <v>102.51860624999998</v>
      </c>
      <c r="O585" s="11">
        <f>IFERROR(PagosV2[[#This Row],[Ganancia (UV)]]*PagosV2[[#This Row],[Cantidad vendida]],0)</f>
        <v>102.51860624999998</v>
      </c>
      <c r="P585" s="1">
        <f>IFERROR(PagosV2[[#This Row],[Ganancia (N)]]-PagosV2[[#This Row],[Ganancia (UV)]],0)</f>
        <v>125.30051874999995</v>
      </c>
      <c r="Q585" s="1">
        <f>IFERROR(PagosV2[[#This Row],[Ganancia individual (Tienda)]]*PagosV2[[#This Row],[Cantidad vendida]],0)</f>
        <v>125.30051874999995</v>
      </c>
      <c r="R585" s="1">
        <f>IFERROR((PagosV2[[#This Row],[Precio de venta]]-PagosV2[[#This Row],[Ganancia (UB)]])*PagosV2[[#This Row],[Cantidad vendida]],0)</f>
        <v>631.97750000000008</v>
      </c>
      <c r="S585" s="21" t="s">
        <v>312</v>
      </c>
      <c r="T585" s="21"/>
    </row>
    <row r="586" spans="1:20" ht="16.5" hidden="1" x14ac:dyDescent="0.3">
      <c r="A586" s="9" t="s">
        <v>327</v>
      </c>
      <c r="B586" s="75">
        <v>46159</v>
      </c>
      <c r="C586" s="9" t="s">
        <v>170</v>
      </c>
      <c r="D586" s="9" t="str">
        <f>IFERROR(VLOOKUP(PagosV2[[#This Row],[Codigo del producto]],Entradas[],3,FALSE),"No existe")</f>
        <v>KZ AZ09</v>
      </c>
      <c r="E586" s="9">
        <v>1</v>
      </c>
      <c r="F586" s="11">
        <v>900</v>
      </c>
      <c r="G586" s="11">
        <f>IFERROR(PagosV2[[#This Row],[Cantidad vendida]]*PagosV2[[#This Row],[Precio de venta]],"-")</f>
        <v>900</v>
      </c>
      <c r="H586" s="11">
        <f>IFERROR(PagosV2[[#This Row],[Precio de venta]]-VLOOKUP(PagosV2[[#This Row],[Codigo del producto]],Stock[],13,FALSE),"-")</f>
        <v>336.93200000000002</v>
      </c>
      <c r="I586" s="11">
        <f>IFERROR(PagosV2[[#This Row],[Ganancia (UB)]]*$B$357,0)</f>
        <v>10.10796</v>
      </c>
      <c r="J586" s="11">
        <f>IFERROR(PagosV2[[#This Row],[Ganancia (UB)]]*$B$358,0)</f>
        <v>20.215920000000001</v>
      </c>
      <c r="K586" s="11">
        <f>IFERROR(PagosV2[[#This Row],[Ganancia (UB)]]*$B$359,0)</f>
        <v>10.10796</v>
      </c>
      <c r="L586" s="11">
        <f>IFERROR(PagosV2[[#This Row],[Ganancia (UB)]]*$B$360,0)</f>
        <v>10.10796</v>
      </c>
      <c r="M586" s="11">
        <f>IFERROR(PagosV2[[#This Row],[Ganancia (UB)]]-PagosV2[[#This Row],[PM]]-PagosV2[[#This Row],[GC]]-PagosV2[[#This Row],[PC]]-PagosV2[[#This Row],[U]],0)</f>
        <v>286.39220000000006</v>
      </c>
      <c r="N586" s="11">
        <f t="shared" si="10"/>
        <v>128.87649000000002</v>
      </c>
      <c r="O586" s="11">
        <f>IFERROR(PagosV2[[#This Row],[Ganancia (UV)]]*PagosV2[[#This Row],[Cantidad vendida]],0)</f>
        <v>128.87649000000002</v>
      </c>
      <c r="P586" s="1">
        <f>IFERROR(PagosV2[[#This Row],[Ganancia (N)]]-PagosV2[[#This Row],[Ganancia (UV)]],0)</f>
        <v>157.51571000000004</v>
      </c>
      <c r="Q586" s="1">
        <f>IFERROR(PagosV2[[#This Row],[Ganancia individual (Tienda)]]*PagosV2[[#This Row],[Cantidad vendida]],0)</f>
        <v>157.51571000000004</v>
      </c>
      <c r="R586" s="1">
        <f>IFERROR((PagosV2[[#This Row],[Precio de venta]]-PagosV2[[#This Row],[Ganancia (UB)]])*PagosV2[[#This Row],[Cantidad vendida]],0)</f>
        <v>563.06799999999998</v>
      </c>
      <c r="S586" s="21" t="s">
        <v>312</v>
      </c>
      <c r="T586" s="21"/>
    </row>
    <row r="587" spans="1:20" ht="16.5" hidden="1" x14ac:dyDescent="0.3">
      <c r="A587" s="9" t="s">
        <v>321</v>
      </c>
      <c r="B587" s="75">
        <v>46159</v>
      </c>
      <c r="C587" s="9" t="s">
        <v>154</v>
      </c>
      <c r="D587" s="9" t="str">
        <f>IFERROR(VLOOKUP(PagosV2[[#This Row],[Codigo del producto]],Entradas[],3,FALSE),"No existe")</f>
        <v xml:space="preserve">Attack Shark Mouse X11 negro </v>
      </c>
      <c r="E587" s="9">
        <v>1</v>
      </c>
      <c r="F587" s="11">
        <v>1200</v>
      </c>
      <c r="G587" s="11">
        <f>IFERROR(PagosV2[[#This Row],[Cantidad vendida]]*PagosV2[[#This Row],[Precio de venta]],"-")</f>
        <v>1200</v>
      </c>
      <c r="H587" s="11">
        <f>IFERROR(PagosV2[[#This Row],[Precio de venta]]-VLOOKUP(PagosV2[[#This Row],[Codigo del producto]],Stock[],13,FALSE),"-")</f>
        <v>277.64449999999988</v>
      </c>
      <c r="I587" s="11">
        <f>IFERROR(PagosV2[[#This Row],[Ganancia (UB)]]*$B$357,0)</f>
        <v>8.3293349999999968</v>
      </c>
      <c r="J587" s="11">
        <f>IFERROR(PagosV2[[#This Row],[Ganancia (UB)]]*$B$358,0)</f>
        <v>16.658669999999994</v>
      </c>
      <c r="K587" s="11">
        <f>IFERROR(PagosV2[[#This Row],[Ganancia (UB)]]*$B$359,0)</f>
        <v>8.3293349999999968</v>
      </c>
      <c r="L587" s="11">
        <f>IFERROR(PagosV2[[#This Row],[Ganancia (UB)]]*$B$360,0)</f>
        <v>8.3293349999999968</v>
      </c>
      <c r="M587" s="11">
        <f>IFERROR(PagosV2[[#This Row],[Ganancia (UB)]]-PagosV2[[#This Row],[PM]]-PagosV2[[#This Row],[GC]]-PagosV2[[#This Row],[PC]]-PagosV2[[#This Row],[U]],0)</f>
        <v>235.99782499999989</v>
      </c>
      <c r="N587" s="11">
        <f t="shared" si="10"/>
        <v>106.19902124999996</v>
      </c>
      <c r="O587" s="11">
        <f>IFERROR(PagosV2[[#This Row],[Ganancia (UV)]]*PagosV2[[#This Row],[Cantidad vendida]],0)</f>
        <v>106.19902124999996</v>
      </c>
      <c r="P587" s="1">
        <f>IFERROR(PagosV2[[#This Row],[Ganancia (N)]]-PagosV2[[#This Row],[Ganancia (UV)]],0)</f>
        <v>129.79880374999993</v>
      </c>
      <c r="Q587" s="1">
        <f>IFERROR(PagosV2[[#This Row],[Ganancia individual (Tienda)]]*PagosV2[[#This Row],[Cantidad vendida]],0)</f>
        <v>129.79880374999993</v>
      </c>
      <c r="R587" s="1">
        <f>IFERROR((PagosV2[[#This Row],[Precio de venta]]-PagosV2[[#This Row],[Ganancia (UB)]])*PagosV2[[#This Row],[Cantidad vendida]],0)</f>
        <v>922.35550000000012</v>
      </c>
      <c r="S587" s="21" t="s">
        <v>312</v>
      </c>
      <c r="T587" s="21"/>
    </row>
    <row r="588" spans="1:20" ht="16.5" hidden="1" x14ac:dyDescent="0.3">
      <c r="A588" s="9" t="s">
        <v>311</v>
      </c>
      <c r="B588" s="75">
        <v>46159</v>
      </c>
      <c r="C588" s="9" t="s">
        <v>171</v>
      </c>
      <c r="D588" s="9" t="str">
        <f>IFERROR(VLOOKUP(PagosV2[[#This Row],[Codigo del producto]],Entradas[],3,FALSE),"No existe")</f>
        <v>KZ AE01</v>
      </c>
      <c r="E588" s="9">
        <v>1</v>
      </c>
      <c r="F588" s="11">
        <v>900</v>
      </c>
      <c r="G588" s="11">
        <f>IFERROR(PagosV2[[#This Row],[Cantidad vendida]]*PagosV2[[#This Row],[Precio de venta]],"-")</f>
        <v>900</v>
      </c>
      <c r="H588" s="11">
        <f>IFERROR(PagosV2[[#This Row],[Precio de venta]]-VLOOKUP(PagosV2[[#This Row],[Codigo del producto]],Stock[],13,FALSE),"-")</f>
        <v>257.70449999999994</v>
      </c>
      <c r="I588" s="11">
        <f>IFERROR(PagosV2[[#This Row],[Ganancia (UB)]]*$B$357,0)</f>
        <v>7.7311349999999983</v>
      </c>
      <c r="J588" s="11">
        <f>IFERROR(PagosV2[[#This Row],[Ganancia (UB)]]*$B$358,0)</f>
        <v>15.462269999999997</v>
      </c>
      <c r="K588" s="11">
        <f>IFERROR(PagosV2[[#This Row],[Ganancia (UB)]]*$B$359,0)</f>
        <v>7.7311349999999983</v>
      </c>
      <c r="L588" s="11">
        <f>IFERROR(PagosV2[[#This Row],[Ganancia (UB)]]*$B$360,0)</f>
        <v>7.7311349999999983</v>
      </c>
      <c r="M588" s="11">
        <f>IFERROR(PagosV2[[#This Row],[Ganancia (UB)]]-PagosV2[[#This Row],[PM]]-PagosV2[[#This Row],[GC]]-PagosV2[[#This Row],[PC]]-PagosV2[[#This Row],[U]],0)</f>
        <v>219.04882499999997</v>
      </c>
      <c r="N588" s="11">
        <f t="shared" si="10"/>
        <v>98.57197124999999</v>
      </c>
      <c r="O588" s="11">
        <f>IFERROR(PagosV2[[#This Row],[Ganancia (UV)]]*PagosV2[[#This Row],[Cantidad vendida]],0)</f>
        <v>98.57197124999999</v>
      </c>
      <c r="P588" s="1">
        <f>IFERROR(PagosV2[[#This Row],[Ganancia (N)]]-PagosV2[[#This Row],[Ganancia (UV)]],0)</f>
        <v>120.47685374999998</v>
      </c>
      <c r="Q588" s="1">
        <f>IFERROR(PagosV2[[#This Row],[Ganancia individual (Tienda)]]*PagosV2[[#This Row],[Cantidad vendida]],0)</f>
        <v>120.47685374999998</v>
      </c>
      <c r="R588" s="1">
        <f>IFERROR((PagosV2[[#This Row],[Precio de venta]]-PagosV2[[#This Row],[Ganancia (UB)]])*PagosV2[[#This Row],[Cantidad vendida]],0)</f>
        <v>642.29550000000006</v>
      </c>
      <c r="S588" s="21" t="s">
        <v>312</v>
      </c>
      <c r="T588" s="21"/>
    </row>
    <row r="589" spans="1:20" ht="16.5" hidden="1" x14ac:dyDescent="0.3">
      <c r="A589" s="9" t="s">
        <v>311</v>
      </c>
      <c r="B589" s="75">
        <v>46159</v>
      </c>
      <c r="C589" s="9" t="s">
        <v>176</v>
      </c>
      <c r="D589" s="9" t="str">
        <f>IFERROR(VLOOKUP(PagosV2[[#This Row],[Codigo del producto]],Entradas[],3,FALSE),"No existe")</f>
        <v>KZ Saga Bass</v>
      </c>
      <c r="E589" s="9">
        <v>1</v>
      </c>
      <c r="F589" s="11">
        <v>600</v>
      </c>
      <c r="G589" s="11">
        <f>IFERROR(PagosV2[[#This Row],[Cantidad vendida]]*PagosV2[[#This Row],[Precio de venta]],"-")</f>
        <v>600</v>
      </c>
      <c r="H589" s="11">
        <f>IFERROR(PagosV2[[#This Row],[Precio de venta]]-VLOOKUP(PagosV2[[#This Row],[Codigo del producto]],Stock[],13,FALSE),"-")</f>
        <v>238.13299999999998</v>
      </c>
      <c r="I589" s="11">
        <f>IFERROR(PagosV2[[#This Row],[Ganancia (UB)]]*$B$357,0)</f>
        <v>7.1439899999999996</v>
      </c>
      <c r="J589" s="11">
        <f>IFERROR(PagosV2[[#This Row],[Ganancia (UB)]]*$B$358,0)</f>
        <v>14.287979999999999</v>
      </c>
      <c r="K589" s="11">
        <f>IFERROR(PagosV2[[#This Row],[Ganancia (UB)]]*$B$359,0)</f>
        <v>7.1439899999999996</v>
      </c>
      <c r="L589" s="11">
        <f>IFERROR(PagosV2[[#This Row],[Ganancia (UB)]]*$B$360,0)</f>
        <v>7.1439899999999996</v>
      </c>
      <c r="M589" s="11">
        <f>IFERROR(PagosV2[[#This Row],[Ganancia (UB)]]-PagosV2[[#This Row],[PM]]-PagosV2[[#This Row],[GC]]-PagosV2[[#This Row],[PC]]-PagosV2[[#This Row],[U]],0)</f>
        <v>202.41304999999997</v>
      </c>
      <c r="N589" s="11">
        <f t="shared" si="10"/>
        <v>91.085872499999994</v>
      </c>
      <c r="O589" s="11">
        <f>IFERROR(PagosV2[[#This Row],[Ganancia (UV)]]*PagosV2[[#This Row],[Cantidad vendida]],0)</f>
        <v>91.085872499999994</v>
      </c>
      <c r="P589" s="1">
        <f>IFERROR(PagosV2[[#This Row],[Ganancia (N)]]-PagosV2[[#This Row],[Ganancia (UV)]],0)</f>
        <v>111.32717749999998</v>
      </c>
      <c r="Q589" s="1">
        <f>IFERROR(PagosV2[[#This Row],[Ganancia individual (Tienda)]]*PagosV2[[#This Row],[Cantidad vendida]],0)</f>
        <v>111.32717749999998</v>
      </c>
      <c r="R589" s="1">
        <f>IFERROR((PagosV2[[#This Row],[Precio de venta]]-PagosV2[[#This Row],[Ganancia (UB)]])*PagosV2[[#This Row],[Cantidad vendida]],0)</f>
        <v>361.86700000000002</v>
      </c>
      <c r="S589" s="21" t="s">
        <v>312</v>
      </c>
      <c r="T589" s="21"/>
    </row>
    <row r="590" spans="1:20" ht="16.5" hidden="1" x14ac:dyDescent="0.3">
      <c r="A590" s="9" t="s">
        <v>315</v>
      </c>
      <c r="B590" s="75">
        <v>46159</v>
      </c>
      <c r="C590" s="9" t="s">
        <v>167</v>
      </c>
      <c r="D590" s="9" t="str">
        <f>IFERROR(VLOOKUP(PagosV2[[#This Row],[Codigo del producto]],Entradas[],3,FALSE),"No existe")</f>
        <v>KZ Castor Improved Bass</v>
      </c>
      <c r="E590" s="9">
        <v>1</v>
      </c>
      <c r="F590" s="11">
        <v>600</v>
      </c>
      <c r="G590" s="11">
        <f>IFERROR(PagosV2[[#This Row],[Cantidad vendida]]*PagosV2[[#This Row],[Precio de venta]],"-")</f>
        <v>600</v>
      </c>
      <c r="H590" s="11">
        <f>IFERROR(PagosV2[[#This Row],[Precio de venta]]-VLOOKUP(PagosV2[[#This Row],[Codigo del producto]],Stock[],13,FALSE),"-")</f>
        <v>166.27550000000002</v>
      </c>
      <c r="I590" s="11">
        <f>IFERROR(PagosV2[[#This Row],[Ganancia (UB)]]*$B$357,0)</f>
        <v>4.9882650000000002</v>
      </c>
      <c r="J590" s="11">
        <f>IFERROR(PagosV2[[#This Row],[Ganancia (UB)]]*$B$358,0)</f>
        <v>9.9765300000000003</v>
      </c>
      <c r="K590" s="11">
        <f>IFERROR(PagosV2[[#This Row],[Ganancia (UB)]]*$B$359,0)</f>
        <v>4.9882650000000002</v>
      </c>
      <c r="L590" s="11">
        <f>IFERROR(PagosV2[[#This Row],[Ganancia (UB)]]*$B$360,0)</f>
        <v>4.9882650000000002</v>
      </c>
      <c r="M590" s="11">
        <f>IFERROR(PagosV2[[#This Row],[Ganancia (UB)]]-PagosV2[[#This Row],[PM]]-PagosV2[[#This Row],[GC]]-PagosV2[[#This Row],[PC]]-PagosV2[[#This Row],[U]],0)</f>
        <v>141.33417499999999</v>
      </c>
      <c r="N590" s="11">
        <f t="shared" ref="N590:N596" si="11">IFERROR(
  IF(M590&lt;=0,"-",
    IF(M590&lt;=300, M590*0.45,
      IF(M590&lt;=600, M590*0.4,
        IF(M590&lt;=900, M590*0.38,
          IF(M590&lt;=1000, M590*0.35,
            IF(M590&lt;=1400, M590*0.32,
              IF(M590&lt;=1800, HM590*0.3,
                IF(M590&gt;=2000, M590*0.28,
                  "-"
                )
              )
            )
          )
        )
      )
    )
  ),
  "-"
)</f>
        <v>63.600378749999997</v>
      </c>
      <c r="O590" s="11">
        <f>IFERROR(PagosV2[[#This Row],[Ganancia (UV)]]*PagosV2[[#This Row],[Cantidad vendida]],0)</f>
        <v>63.600378749999997</v>
      </c>
      <c r="P590" s="1">
        <f>IFERROR(PagosV2[[#This Row],[Ganancia (N)]]-PagosV2[[#This Row],[Ganancia (UV)]],0)</f>
        <v>77.733796249999983</v>
      </c>
      <c r="Q590" s="1">
        <f>IFERROR(PagosV2[[#This Row],[Ganancia individual (Tienda)]]*PagosV2[[#This Row],[Cantidad vendida]],0)</f>
        <v>77.733796249999983</v>
      </c>
      <c r="R590" s="1">
        <f>IFERROR((PagosV2[[#This Row],[Precio de venta]]-PagosV2[[#This Row],[Ganancia (UB)]])*PagosV2[[#This Row],[Cantidad vendida]],0)</f>
        <v>433.72449999999998</v>
      </c>
      <c r="S590" s="21" t="s">
        <v>312</v>
      </c>
      <c r="T590" s="21"/>
    </row>
    <row r="591" spans="1:20" ht="16.5" hidden="1" x14ac:dyDescent="0.3">
      <c r="A591" s="9" t="s">
        <v>315</v>
      </c>
      <c r="B591" s="75">
        <v>46159</v>
      </c>
      <c r="C591" s="9" t="s">
        <v>171</v>
      </c>
      <c r="D591" s="9" t="str">
        <f>IFERROR(VLOOKUP(PagosV2[[#This Row],[Codigo del producto]],Entradas[],3,FALSE),"No existe")</f>
        <v>KZ AE01</v>
      </c>
      <c r="E591" s="9">
        <v>1</v>
      </c>
      <c r="F591" s="11">
        <v>900</v>
      </c>
      <c r="G591" s="11">
        <f>IFERROR(PagosV2[[#This Row],[Cantidad vendida]]*PagosV2[[#This Row],[Precio de venta]],"-")</f>
        <v>900</v>
      </c>
      <c r="H591" s="11">
        <f>IFERROR(PagosV2[[#This Row],[Precio de venta]]-VLOOKUP(PagosV2[[#This Row],[Codigo del producto]],Stock[],13,FALSE),"-")</f>
        <v>257.70449999999994</v>
      </c>
      <c r="I591" s="11">
        <f>IFERROR(PagosV2[[#This Row],[Ganancia (UB)]]*$B$357,0)</f>
        <v>7.7311349999999983</v>
      </c>
      <c r="J591" s="11">
        <f>IFERROR(PagosV2[[#This Row],[Ganancia (UB)]]*$B$358,0)</f>
        <v>15.462269999999997</v>
      </c>
      <c r="K591" s="11">
        <f>IFERROR(PagosV2[[#This Row],[Ganancia (UB)]]*$B$359,0)</f>
        <v>7.7311349999999983</v>
      </c>
      <c r="L591" s="11">
        <f>IFERROR(PagosV2[[#This Row],[Ganancia (UB)]]*$B$360,0)</f>
        <v>7.7311349999999983</v>
      </c>
      <c r="M591" s="11">
        <f>IFERROR(PagosV2[[#This Row],[Ganancia (UB)]]-PagosV2[[#This Row],[PM]]-PagosV2[[#This Row],[GC]]-PagosV2[[#This Row],[PC]]-PagosV2[[#This Row],[U]],0)</f>
        <v>219.04882499999997</v>
      </c>
      <c r="N591" s="11">
        <f t="shared" si="11"/>
        <v>98.57197124999999</v>
      </c>
      <c r="O591" s="11">
        <f>IFERROR(PagosV2[[#This Row],[Ganancia (UV)]]*PagosV2[[#This Row],[Cantidad vendida]],0)</f>
        <v>98.57197124999999</v>
      </c>
      <c r="P591" s="1">
        <f>IFERROR(PagosV2[[#This Row],[Ganancia (N)]]-PagosV2[[#This Row],[Ganancia (UV)]],0)</f>
        <v>120.47685374999998</v>
      </c>
      <c r="Q591" s="1">
        <f>IFERROR(PagosV2[[#This Row],[Ganancia individual (Tienda)]]*PagosV2[[#This Row],[Cantidad vendida]],0)</f>
        <v>120.47685374999998</v>
      </c>
      <c r="R591" s="1">
        <f>IFERROR((PagosV2[[#This Row],[Precio de venta]]-PagosV2[[#This Row],[Ganancia (UB)]])*PagosV2[[#This Row],[Cantidad vendida]],0)</f>
        <v>642.29550000000006</v>
      </c>
      <c r="S591" s="21" t="s">
        <v>312</v>
      </c>
      <c r="T591" s="21"/>
    </row>
    <row r="592" spans="1:20" ht="16.5" hidden="1" x14ac:dyDescent="0.3">
      <c r="A592" s="9" t="s">
        <v>315</v>
      </c>
      <c r="B592" s="75">
        <v>46159</v>
      </c>
      <c r="C592" s="9" t="s">
        <v>494</v>
      </c>
      <c r="D592" s="9" t="str">
        <f>IFERROR(VLOOKUP(PagosV2[[#This Row],[Codigo del producto]],Entradas[],3,FALSE),"No existe")</f>
        <v>Shark Attack Mouse X11 White</v>
      </c>
      <c r="E592" s="9">
        <v>1</v>
      </c>
      <c r="F592" s="11">
        <v>1200</v>
      </c>
      <c r="G592" s="11">
        <f>IFERROR(PagosV2[[#This Row],[Cantidad vendida]]*PagosV2[[#This Row],[Precio de venta]],"-")</f>
        <v>1200</v>
      </c>
      <c r="H592" s="11">
        <f>IFERROR(PagosV2[[#This Row],[Precio de venta]]-VLOOKUP(PagosV2[[#This Row],[Codigo del producto]],Stock[],13,FALSE),"-")</f>
        <v>308.23</v>
      </c>
      <c r="I592" s="11">
        <f>IFERROR(PagosV2[[#This Row],[Ganancia (UB)]]*$B$357,0)</f>
        <v>9.2469000000000001</v>
      </c>
      <c r="J592" s="11">
        <f>IFERROR(PagosV2[[#This Row],[Ganancia (UB)]]*$B$358,0)</f>
        <v>18.4938</v>
      </c>
      <c r="K592" s="11">
        <f>IFERROR(PagosV2[[#This Row],[Ganancia (UB)]]*$B$359,0)</f>
        <v>9.2469000000000001</v>
      </c>
      <c r="L592" s="11">
        <f>IFERROR(PagosV2[[#This Row],[Ganancia (UB)]]*$B$360,0)</f>
        <v>9.2469000000000001</v>
      </c>
      <c r="M592" s="11">
        <f>IFERROR(PagosV2[[#This Row],[Ganancia (UB)]]-PagosV2[[#This Row],[PM]]-PagosV2[[#This Row],[GC]]-PagosV2[[#This Row],[PC]]-PagosV2[[#This Row],[U]],0)</f>
        <v>261.99550000000005</v>
      </c>
      <c r="N592" s="11">
        <f t="shared" si="11"/>
        <v>117.89797500000003</v>
      </c>
      <c r="O592" s="11">
        <f>IFERROR(PagosV2[[#This Row],[Ganancia (UV)]]*PagosV2[[#This Row],[Cantidad vendida]],0)</f>
        <v>117.89797500000003</v>
      </c>
      <c r="P592" s="1">
        <f>IFERROR(PagosV2[[#This Row],[Ganancia (N)]]-PagosV2[[#This Row],[Ganancia (UV)]],0)</f>
        <v>144.09752500000002</v>
      </c>
      <c r="Q592" s="1">
        <f>IFERROR(PagosV2[[#This Row],[Ganancia individual (Tienda)]]*PagosV2[[#This Row],[Cantidad vendida]],0)</f>
        <v>144.09752500000002</v>
      </c>
      <c r="R592" s="1">
        <f>IFERROR((PagosV2[[#This Row],[Precio de venta]]-PagosV2[[#This Row],[Ganancia (UB)]])*PagosV2[[#This Row],[Cantidad vendida]],0)</f>
        <v>891.77</v>
      </c>
      <c r="S592" s="21" t="s">
        <v>312</v>
      </c>
      <c r="T592" s="21"/>
    </row>
    <row r="593" spans="1:20" ht="16.5" hidden="1" x14ac:dyDescent="0.3">
      <c r="A593" s="9" t="s">
        <v>313</v>
      </c>
      <c r="B593" s="75">
        <v>46160</v>
      </c>
      <c r="C593" s="9" t="s">
        <v>156</v>
      </c>
      <c r="D593" s="9" t="str">
        <f>IFERROR(VLOOKUP(PagosV2[[#This Row],[Codigo del producto]],Entradas[],3,FALSE),"No existe")</f>
        <v>KZ Castor Pro</v>
      </c>
      <c r="E593" s="9">
        <v>1</v>
      </c>
      <c r="F593" s="11">
        <v>900</v>
      </c>
      <c r="G593" s="11">
        <f>IFERROR(PagosV2[[#This Row],[Cantidad vendida]]*PagosV2[[#This Row],[Precio de venta]],"-")</f>
        <v>900</v>
      </c>
      <c r="H593" s="11">
        <f>IFERROR(PagosV2[[#This Row],[Precio de venta]]-VLOOKUP(PagosV2[[#This Row],[Codigo del producto]],Stock[],13,FALSE),"-")</f>
        <v>268.02249999999992</v>
      </c>
      <c r="I593" s="11">
        <f>IFERROR(PagosV2[[#This Row],[Ganancia (UB)]]*$B$357,0)</f>
        <v>8.0406749999999967</v>
      </c>
      <c r="J593" s="11">
        <f>IFERROR(PagosV2[[#This Row],[Ganancia (UB)]]*$B$358,0)</f>
        <v>16.081349999999993</v>
      </c>
      <c r="K593" s="11">
        <f>IFERROR(PagosV2[[#This Row],[Ganancia (UB)]]*$B$359,0)</f>
        <v>8.0406749999999967</v>
      </c>
      <c r="L593" s="11">
        <f>IFERROR(PagosV2[[#This Row],[Ganancia (UB)]]*$B$360,0)</f>
        <v>8.0406749999999967</v>
      </c>
      <c r="M593" s="11">
        <f>IFERROR(PagosV2[[#This Row],[Ganancia (UB)]]-PagosV2[[#This Row],[PM]]-PagosV2[[#This Row],[GC]]-PagosV2[[#This Row],[PC]]-PagosV2[[#This Row],[U]],0)</f>
        <v>227.81912499999993</v>
      </c>
      <c r="N593" s="11">
        <f>IFERROR(
  IF(M593&lt;=0,"-",
    IF(M593&lt;=300, M593*0.45,
      IF(M593&lt;=600, M593*0.4,
        IF(M593&lt;=900, M593*0.38,
          IF(M593&lt;=1000, M593*0.35,
            IF(M593&lt;=1400, M593*0.32,
              IF(M593&lt;=1800, HM593*0.3,
                IF(M593&gt;=2000, M593*0.28,
                  "-"
                )
              )
            )
          )
        )
      )
    )
  ),
  "-"
)</f>
        <v>102.51860624999998</v>
      </c>
      <c r="O593" s="11">
        <f>IFERROR(PagosV2[[#This Row],[Ganancia (UV)]]*PagosV2[[#This Row],[Cantidad vendida]],0)</f>
        <v>102.51860624999998</v>
      </c>
      <c r="P593" s="1">
        <f>IFERROR(PagosV2[[#This Row],[Ganancia (N)]]-PagosV2[[#This Row],[Ganancia (UV)]],0)</f>
        <v>125.30051874999995</v>
      </c>
      <c r="Q593" s="1">
        <f>IFERROR(PagosV2[[#This Row],[Ganancia individual (Tienda)]]*PagosV2[[#This Row],[Cantidad vendida]],0)</f>
        <v>125.30051874999995</v>
      </c>
      <c r="R593" s="1">
        <f>IFERROR((PagosV2[[#This Row],[Precio de venta]]-PagosV2[[#This Row],[Ganancia (UB)]])*PagosV2[[#This Row],[Cantidad vendida]],0)</f>
        <v>631.97750000000008</v>
      </c>
      <c r="S593" s="21" t="s">
        <v>312</v>
      </c>
      <c r="T593" s="21"/>
    </row>
    <row r="594" spans="1:20" ht="16.5" hidden="1" x14ac:dyDescent="0.3">
      <c r="A594" s="9" t="s">
        <v>313</v>
      </c>
      <c r="B594" s="75">
        <v>46160</v>
      </c>
      <c r="C594" s="9" t="s">
        <v>171</v>
      </c>
      <c r="D594" s="9" t="str">
        <f>IFERROR(VLOOKUP(PagosV2[[#This Row],[Codigo del producto]],Entradas[],3,FALSE),"No existe")</f>
        <v>KZ AE01</v>
      </c>
      <c r="E594" s="9">
        <v>1</v>
      </c>
      <c r="F594" s="11">
        <v>900</v>
      </c>
      <c r="G594" s="11">
        <f>IFERROR(PagosV2[[#This Row],[Cantidad vendida]]*PagosV2[[#This Row],[Precio de venta]],"-")</f>
        <v>900</v>
      </c>
      <c r="H594" s="11">
        <f>IFERROR(PagosV2[[#This Row],[Precio de venta]]-VLOOKUP(PagosV2[[#This Row],[Codigo del producto]],Stock[],13,FALSE),"-")</f>
        <v>257.70449999999994</v>
      </c>
      <c r="I594" s="11">
        <f>IFERROR(PagosV2[[#This Row],[Ganancia (UB)]]*$B$357,0)</f>
        <v>7.7311349999999983</v>
      </c>
      <c r="J594" s="11">
        <f>IFERROR(PagosV2[[#This Row],[Ganancia (UB)]]*$B$358,0)</f>
        <v>15.462269999999997</v>
      </c>
      <c r="K594" s="11">
        <f>IFERROR(PagosV2[[#This Row],[Ganancia (UB)]]*$B$359,0)</f>
        <v>7.7311349999999983</v>
      </c>
      <c r="L594" s="11">
        <f>IFERROR(PagosV2[[#This Row],[Ganancia (UB)]]*$B$360,0)</f>
        <v>7.7311349999999983</v>
      </c>
      <c r="M594" s="11">
        <f>IFERROR(PagosV2[[#This Row],[Ganancia (UB)]]-PagosV2[[#This Row],[PM]]-PagosV2[[#This Row],[GC]]-PagosV2[[#This Row],[PC]]-PagosV2[[#This Row],[U]],0)</f>
        <v>219.04882499999997</v>
      </c>
      <c r="N594" s="11">
        <f t="shared" si="11"/>
        <v>98.57197124999999</v>
      </c>
      <c r="O594" s="11">
        <f>IFERROR(PagosV2[[#This Row],[Ganancia (UV)]]*PagosV2[[#This Row],[Cantidad vendida]],0)</f>
        <v>98.57197124999999</v>
      </c>
      <c r="P594" s="1">
        <f>IFERROR(PagosV2[[#This Row],[Ganancia (N)]]-PagosV2[[#This Row],[Ganancia (UV)]],0)</f>
        <v>120.47685374999998</v>
      </c>
      <c r="Q594" s="1">
        <f>IFERROR(PagosV2[[#This Row],[Ganancia individual (Tienda)]]*PagosV2[[#This Row],[Cantidad vendida]],0)</f>
        <v>120.47685374999998</v>
      </c>
      <c r="R594" s="1">
        <f>IFERROR((PagosV2[[#This Row],[Precio de venta]]-PagosV2[[#This Row],[Ganancia (UB)]])*PagosV2[[#This Row],[Cantidad vendida]],0)</f>
        <v>642.29550000000006</v>
      </c>
      <c r="S594" s="21" t="s">
        <v>312</v>
      </c>
      <c r="T594" s="21"/>
    </row>
    <row r="595" spans="1:20" ht="16.5" hidden="1" x14ac:dyDescent="0.3">
      <c r="A595" s="9" t="s">
        <v>313</v>
      </c>
      <c r="B595" s="75">
        <v>46160</v>
      </c>
      <c r="C595" s="9" t="s">
        <v>66</v>
      </c>
      <c r="D595" s="9" t="str">
        <f>IFERROR(VLOOKUP(PagosV2[[#This Row],[Codigo del producto]],Entradas[],3,FALSE),"No existe")</f>
        <v xml:space="preserve">Adaptador DAC </v>
      </c>
      <c r="E595" s="9">
        <v>1</v>
      </c>
      <c r="F595" s="11">
        <v>200</v>
      </c>
      <c r="G595" s="11">
        <f>IFERROR(PagosV2[[#This Row],[Cantidad vendida]]*PagosV2[[#This Row],[Precio de venta]],"-")</f>
        <v>200</v>
      </c>
      <c r="H595" s="11">
        <f>IFERROR(PagosV2[[#This Row],[Precio de venta]]-VLOOKUP(PagosV2[[#This Row],[Codigo del producto]],Stock[],13,FALSE),"-")</f>
        <v>23.488499999999988</v>
      </c>
      <c r="I595" s="11">
        <f>IFERROR(PagosV2[[#This Row],[Ganancia (UB)]]*$B$357,0)</f>
        <v>0.70465499999999959</v>
      </c>
      <c r="J595" s="11">
        <f>IFERROR(PagosV2[[#This Row],[Ganancia (UB)]]*$B$358,0)</f>
        <v>1.4093099999999992</v>
      </c>
      <c r="K595" s="11">
        <f>IFERROR(PagosV2[[#This Row],[Ganancia (UB)]]*$B$359,0)</f>
        <v>0.70465499999999959</v>
      </c>
      <c r="L595" s="11">
        <f>IFERROR(PagosV2[[#This Row],[Ganancia (UB)]]*$B$360,0)</f>
        <v>0.70465499999999959</v>
      </c>
      <c r="M595" s="11">
        <f>IFERROR(PagosV2[[#This Row],[Ganancia (UB)]]-PagosV2[[#This Row],[PM]]-PagosV2[[#This Row],[GC]]-PagosV2[[#This Row],[PC]]-PagosV2[[#This Row],[U]],0)</f>
        <v>19.965224999999993</v>
      </c>
      <c r="N595" s="11">
        <f t="shared" si="11"/>
        <v>8.9843512499999978</v>
      </c>
      <c r="O595" s="11">
        <f>IFERROR(PagosV2[[#This Row],[Ganancia (UV)]]*PagosV2[[#This Row],[Cantidad vendida]],0)</f>
        <v>8.9843512499999978</v>
      </c>
      <c r="P595" s="1">
        <f>IFERROR(PagosV2[[#This Row],[Ganancia (N)]]-PagosV2[[#This Row],[Ganancia (UV)]],0)</f>
        <v>10.980873749999995</v>
      </c>
      <c r="Q595" s="1">
        <f>IFERROR(PagosV2[[#This Row],[Ganancia individual (Tienda)]]*PagosV2[[#This Row],[Cantidad vendida]],0)</f>
        <v>10.980873749999995</v>
      </c>
      <c r="R595" s="1">
        <f>IFERROR((PagosV2[[#This Row],[Precio de venta]]-PagosV2[[#This Row],[Ganancia (UB)]])*PagosV2[[#This Row],[Cantidad vendida]],0)</f>
        <v>176.51150000000001</v>
      </c>
      <c r="S595" s="21" t="s">
        <v>312</v>
      </c>
      <c r="T595" s="21"/>
    </row>
    <row r="596" spans="1:20" ht="16.5" hidden="1" x14ac:dyDescent="0.3">
      <c r="A596" s="9" t="s">
        <v>313</v>
      </c>
      <c r="B596" s="75">
        <v>46160</v>
      </c>
      <c r="C596" s="9" t="s">
        <v>176</v>
      </c>
      <c r="D596" s="9" t="str">
        <f>IFERROR(VLOOKUP(PagosV2[[#This Row],[Codigo del producto]],Entradas[],3,FALSE),"No existe")</f>
        <v>KZ Saga Bass</v>
      </c>
      <c r="E596" s="9">
        <v>1</v>
      </c>
      <c r="F596" s="11">
        <v>550</v>
      </c>
      <c r="G596" s="11">
        <f>IFERROR(PagosV2[[#This Row],[Cantidad vendida]]*PagosV2[[#This Row],[Precio de venta]],"-")</f>
        <v>550</v>
      </c>
      <c r="H596" s="11">
        <f>IFERROR(PagosV2[[#This Row],[Precio de venta]]-VLOOKUP(PagosV2[[#This Row],[Codigo del producto]],Stock[],13,FALSE),"-")</f>
        <v>188.13299999999998</v>
      </c>
      <c r="I596" s="11">
        <f>IFERROR(PagosV2[[#This Row],[Ganancia (UB)]]*$B$357,0)</f>
        <v>5.6439899999999996</v>
      </c>
      <c r="J596" s="11">
        <f>IFERROR(PagosV2[[#This Row],[Ganancia (UB)]]*$B$358,0)</f>
        <v>11.287979999999999</v>
      </c>
      <c r="K596" s="11">
        <f>IFERROR(PagosV2[[#This Row],[Ganancia (UB)]]*$B$359,0)</f>
        <v>5.6439899999999996</v>
      </c>
      <c r="L596" s="11">
        <f>IFERROR(PagosV2[[#This Row],[Ganancia (UB)]]*$B$360,0)</f>
        <v>5.6439899999999996</v>
      </c>
      <c r="M596" s="11">
        <f>IFERROR(PagosV2[[#This Row],[Ganancia (UB)]]-PagosV2[[#This Row],[PM]]-PagosV2[[#This Row],[GC]]-PagosV2[[#This Row],[PC]]-PagosV2[[#This Row],[U]],0)</f>
        <v>159.91304999999997</v>
      </c>
      <c r="N596" s="11">
        <f t="shared" si="11"/>
        <v>71.960872499999994</v>
      </c>
      <c r="O596" s="11">
        <f>IFERROR(PagosV2[[#This Row],[Ganancia (UV)]]*PagosV2[[#This Row],[Cantidad vendida]],0)</f>
        <v>71.960872499999994</v>
      </c>
      <c r="P596" s="1">
        <f>IFERROR(PagosV2[[#This Row],[Ganancia (N)]]-PagosV2[[#This Row],[Ganancia (UV)]],0)</f>
        <v>87.952177499999976</v>
      </c>
      <c r="Q596" s="1">
        <f>IFERROR(PagosV2[[#This Row],[Ganancia individual (Tienda)]]*PagosV2[[#This Row],[Cantidad vendida]],0)</f>
        <v>87.952177499999976</v>
      </c>
      <c r="R596" s="1">
        <f>IFERROR((PagosV2[[#This Row],[Precio de venta]]-PagosV2[[#This Row],[Ganancia (UB)]])*PagosV2[[#This Row],[Cantidad vendida]],0)</f>
        <v>361.86700000000002</v>
      </c>
      <c r="S596" s="21" t="s">
        <v>312</v>
      </c>
      <c r="T596" s="21"/>
    </row>
    <row r="597" spans="1:20" ht="16.5" hidden="1" x14ac:dyDescent="0.3">
      <c r="A597" s="9" t="s">
        <v>313</v>
      </c>
      <c r="B597" s="75">
        <v>46160</v>
      </c>
      <c r="C597" s="9" t="s">
        <v>171</v>
      </c>
      <c r="D597" s="9" t="str">
        <f>IFERROR(VLOOKUP(PagosV2[[#This Row],[Codigo del producto]],Entradas[],3,FALSE),"No existe")</f>
        <v>KZ AE01</v>
      </c>
      <c r="E597" s="9">
        <v>1</v>
      </c>
      <c r="F597" s="11">
        <v>850</v>
      </c>
      <c r="G597" s="11">
        <f>IFERROR(PagosV2[[#This Row],[Cantidad vendida]]*PagosV2[[#This Row],[Precio de venta]],"-")</f>
        <v>850</v>
      </c>
      <c r="H597" s="11">
        <f>IFERROR(PagosV2[[#This Row],[Precio de venta]]-VLOOKUP(PagosV2[[#This Row],[Codigo del producto]],Stock[],13,FALSE),"-")</f>
        <v>207.70449999999994</v>
      </c>
      <c r="I597" s="11">
        <f>IFERROR(PagosV2[[#This Row],[Ganancia (UB)]]*$B$357,0)</f>
        <v>6.2311349999999983</v>
      </c>
      <c r="J597" s="11">
        <f>IFERROR(PagosV2[[#This Row],[Ganancia (UB)]]*$B$358,0)</f>
        <v>12.462269999999997</v>
      </c>
      <c r="K597" s="11">
        <f>IFERROR(PagosV2[[#This Row],[Ganancia (UB)]]*$B$359,0)</f>
        <v>6.2311349999999983</v>
      </c>
      <c r="L597" s="11">
        <f>IFERROR(PagosV2[[#This Row],[Ganancia (UB)]]*$B$360,0)</f>
        <v>6.2311349999999983</v>
      </c>
      <c r="M597" s="11">
        <f>IFERROR(PagosV2[[#This Row],[Ganancia (UB)]]-PagosV2[[#This Row],[PM]]-PagosV2[[#This Row],[GC]]-PagosV2[[#This Row],[PC]]-PagosV2[[#This Row],[U]],0)</f>
        <v>176.54882499999997</v>
      </c>
      <c r="N597" s="11">
        <f t="shared" si="10"/>
        <v>79.44697124999999</v>
      </c>
      <c r="O597" s="11">
        <f>IFERROR(PagosV2[[#This Row],[Ganancia (UV)]]*PagosV2[[#This Row],[Cantidad vendida]],0)</f>
        <v>79.44697124999999</v>
      </c>
      <c r="P597" s="1">
        <f>IFERROR(PagosV2[[#This Row],[Ganancia (N)]]-PagosV2[[#This Row],[Ganancia (UV)]],0)</f>
        <v>97.101853749999975</v>
      </c>
      <c r="Q597" s="1">
        <f>IFERROR(PagosV2[[#This Row],[Ganancia individual (Tienda)]]*PagosV2[[#This Row],[Cantidad vendida]],0)</f>
        <v>97.101853749999975</v>
      </c>
      <c r="R597" s="1">
        <f>IFERROR((PagosV2[[#This Row],[Precio de venta]]-PagosV2[[#This Row],[Ganancia (UB)]])*PagosV2[[#This Row],[Cantidad vendida]],0)</f>
        <v>642.29550000000006</v>
      </c>
      <c r="S597" s="21" t="s">
        <v>312</v>
      </c>
      <c r="T597" s="21"/>
    </row>
    <row r="598" spans="1:20" ht="16.5" hidden="1" x14ac:dyDescent="0.3">
      <c r="A598" s="9" t="s">
        <v>327</v>
      </c>
      <c r="B598" s="75">
        <v>46160</v>
      </c>
      <c r="C598" s="9" t="s">
        <v>168</v>
      </c>
      <c r="D598" s="9" t="str">
        <f>IFERROR(VLOOKUP(PagosV2[[#This Row],[Codigo del producto]],Entradas[],3,FALSE),"No existe")</f>
        <v>Cable de Repuesto KZ Tipo C</v>
      </c>
      <c r="E598" s="9">
        <v>1</v>
      </c>
      <c r="F598" s="11">
        <v>400</v>
      </c>
      <c r="G598" s="11">
        <f>IFERROR(PagosV2[[#This Row],[Cantidad vendida]]*PagosV2[[#This Row],[Precio de venta]],"-")</f>
        <v>400</v>
      </c>
      <c r="H598" s="11">
        <f>IFERROR(PagosV2[[#This Row],[Precio de venta]]-VLOOKUP(PagosV2[[#This Row],[Codigo del producto]],Stock[],13,FALSE),"-")</f>
        <v>125.09899999999993</v>
      </c>
      <c r="I598" s="11">
        <f>IFERROR(PagosV2[[#This Row],[Ganancia (UB)]]*$B$357,0)</f>
        <v>3.7529699999999977</v>
      </c>
      <c r="J598" s="11">
        <f>IFERROR(PagosV2[[#This Row],[Ganancia (UB)]]*$B$358,0)</f>
        <v>7.5059399999999954</v>
      </c>
      <c r="K598" s="11">
        <f>IFERROR(PagosV2[[#This Row],[Ganancia (UB)]]*$B$359,0)</f>
        <v>3.7529699999999977</v>
      </c>
      <c r="L598" s="11">
        <f>IFERROR(PagosV2[[#This Row],[Ganancia (UB)]]*$B$360,0)</f>
        <v>3.7529699999999977</v>
      </c>
      <c r="M598" s="11">
        <f>IFERROR(PagosV2[[#This Row],[Ganancia (UB)]]-PagosV2[[#This Row],[PM]]-PagosV2[[#This Row],[GC]]-PagosV2[[#This Row],[PC]]-PagosV2[[#This Row],[U]],0)</f>
        <v>106.33414999999994</v>
      </c>
      <c r="N598" s="11">
        <f>IFERROR(
  IF(M598&lt;=0,"-",
    IF(M598&lt;=300, M598*0.45,
      IF(M598&lt;=600, M598*0.4,
        IF(M598&lt;=900, M598*0.38,
          IF(M598&lt;=1000, M598*0.35,
            IF(M598&lt;=1400, M598*0.32,
              IF(M598&lt;=1800, HM598*0.3,
                IF(M598&gt;=2000, M598*0.28,
                  "-"
                )
              )
            )
          )
        )
      )
    )
  ),
  "-"
)</f>
        <v>47.850367499999976</v>
      </c>
      <c r="O598" s="11">
        <f>IFERROR(PagosV2[[#This Row],[Ganancia (UV)]]*PagosV2[[#This Row],[Cantidad vendida]],0)</f>
        <v>47.850367499999976</v>
      </c>
      <c r="P598" s="1">
        <f>IFERROR(PagosV2[[#This Row],[Ganancia (N)]]-PagosV2[[#This Row],[Ganancia (UV)]],0)</f>
        <v>58.483782499999961</v>
      </c>
      <c r="Q598" s="1">
        <f>IFERROR(PagosV2[[#This Row],[Ganancia individual (Tienda)]]*PagosV2[[#This Row],[Cantidad vendida]],0)</f>
        <v>58.483782499999961</v>
      </c>
      <c r="R598" s="1">
        <f>IFERROR((PagosV2[[#This Row],[Precio de venta]]-PagosV2[[#This Row],[Ganancia (UB)]])*PagosV2[[#This Row],[Cantidad vendida]],0)</f>
        <v>274.90100000000007</v>
      </c>
      <c r="S598" s="21" t="s">
        <v>312</v>
      </c>
      <c r="T598" s="21"/>
    </row>
    <row r="599" spans="1:20" ht="16.5" hidden="1" x14ac:dyDescent="0.3">
      <c r="A599" s="9" t="s">
        <v>311</v>
      </c>
      <c r="B599" s="75">
        <v>46160</v>
      </c>
      <c r="C599" s="9" t="s">
        <v>125</v>
      </c>
      <c r="D599" s="9" t="str">
        <f>IFERROR(VLOOKUP(PagosV2[[#This Row],[Codigo del producto]],Entradas[],3,FALSE),"No existe")</f>
        <v>NYXI Hyperion Pro controller</v>
      </c>
      <c r="E599" s="9">
        <v>1</v>
      </c>
      <c r="F599" s="11">
        <v>2000</v>
      </c>
      <c r="G599" s="11">
        <f>IFERROR(PagosV2[[#This Row],[Cantidad vendida]]*PagosV2[[#This Row],[Precio de venta]],"-")</f>
        <v>2000</v>
      </c>
      <c r="H599" s="11">
        <f>IFERROR(PagosV2[[#This Row],[Precio de venta]]-VLOOKUP(PagosV2[[#This Row],[Codigo del producto]],Stock[],13,FALSE),"-")</f>
        <v>375.65200000000004</v>
      </c>
      <c r="I599" s="11">
        <f>IFERROR(PagosV2[[#This Row],[Ganancia (UB)]]*$B$357,0)</f>
        <v>11.26956</v>
      </c>
      <c r="J599" s="11">
        <f>IFERROR(PagosV2[[#This Row],[Ganancia (UB)]]*$B$358,0)</f>
        <v>22.53912</v>
      </c>
      <c r="K599" s="11">
        <f>IFERROR(PagosV2[[#This Row],[Ganancia (UB)]]*$B$359,0)</f>
        <v>11.26956</v>
      </c>
      <c r="L599" s="11">
        <f>IFERROR(PagosV2[[#This Row],[Ganancia (UB)]]*$B$360,0)</f>
        <v>11.26956</v>
      </c>
      <c r="M599" s="11">
        <f>IFERROR(PagosV2[[#This Row],[Ganancia (UB)]]-PagosV2[[#This Row],[PM]]-PagosV2[[#This Row],[GC]]-PagosV2[[#This Row],[PC]]-PagosV2[[#This Row],[U]],0)</f>
        <v>319.30419999999998</v>
      </c>
      <c r="N599" s="11">
        <f t="shared" si="10"/>
        <v>127.72167999999999</v>
      </c>
      <c r="O599" s="11">
        <f>IFERROR(PagosV2[[#This Row],[Ganancia (UV)]]*PagosV2[[#This Row],[Cantidad vendida]],0)</f>
        <v>127.72167999999999</v>
      </c>
      <c r="P599" s="1">
        <f>IFERROR(PagosV2[[#This Row],[Ganancia (N)]]-PagosV2[[#This Row],[Ganancia (UV)]],0)</f>
        <v>191.58251999999999</v>
      </c>
      <c r="Q599" s="1">
        <f>IFERROR(PagosV2[[#This Row],[Ganancia individual (Tienda)]]*PagosV2[[#This Row],[Cantidad vendida]],0)</f>
        <v>191.58251999999999</v>
      </c>
      <c r="R599" s="1">
        <f>IFERROR((PagosV2[[#This Row],[Precio de venta]]-PagosV2[[#This Row],[Ganancia (UB)]])*PagosV2[[#This Row],[Cantidad vendida]],0)</f>
        <v>1624.348</v>
      </c>
      <c r="S599" s="21" t="s">
        <v>312</v>
      </c>
      <c r="T599" s="21"/>
    </row>
    <row r="600" spans="1:20" ht="16.5" hidden="1" x14ac:dyDescent="0.3">
      <c r="A600" s="9" t="s">
        <v>311</v>
      </c>
      <c r="B600" s="75">
        <v>46160</v>
      </c>
      <c r="C600" s="9" t="s">
        <v>122</v>
      </c>
      <c r="D600" s="9" t="str">
        <f>IFERROR(VLOOKUP(PagosV2[[#This Row],[Codigo del producto]],Entradas[],3,FALSE),"No existe")</f>
        <v>Nubwo G06</v>
      </c>
      <c r="E600" s="9">
        <v>1</v>
      </c>
      <c r="F600" s="11">
        <v>1300</v>
      </c>
      <c r="G600" s="11">
        <f>IFERROR(PagosV2[[#This Row],[Cantidad vendida]]*PagosV2[[#This Row],[Precio de venta]],"-")</f>
        <v>1300</v>
      </c>
      <c r="H600" s="11">
        <f>IFERROR(PagosV2[[#This Row],[Precio de venta]]-VLOOKUP(PagosV2[[#This Row],[Codigo del producto]],Stock[],13,FALSE),"-")</f>
        <v>339.68899999999985</v>
      </c>
      <c r="I600" s="11">
        <f>IFERROR(PagosV2[[#This Row],[Ganancia (UB)]]*$B$357,0)</f>
        <v>10.190669999999995</v>
      </c>
      <c r="J600" s="11">
        <f>IFERROR(PagosV2[[#This Row],[Ganancia (UB)]]*$B$358,0)</f>
        <v>20.381339999999991</v>
      </c>
      <c r="K600" s="11">
        <f>IFERROR(PagosV2[[#This Row],[Ganancia (UB)]]*$B$359,0)</f>
        <v>10.190669999999995</v>
      </c>
      <c r="L600" s="11">
        <f>IFERROR(PagosV2[[#This Row],[Ganancia (UB)]]*$B$360,0)</f>
        <v>10.190669999999995</v>
      </c>
      <c r="M600" s="11">
        <f>IFERROR(PagosV2[[#This Row],[Ganancia (UB)]]-PagosV2[[#This Row],[PM]]-PagosV2[[#This Row],[GC]]-PagosV2[[#This Row],[PC]]-PagosV2[[#This Row],[U]],0)</f>
        <v>288.73564999999985</v>
      </c>
      <c r="N600" s="11">
        <f t="shared" si="10"/>
        <v>129.93104249999993</v>
      </c>
      <c r="O600" s="11">
        <f>IFERROR(PagosV2[[#This Row],[Ganancia (UV)]]*PagosV2[[#This Row],[Cantidad vendida]],0)</f>
        <v>129.93104249999993</v>
      </c>
      <c r="P600" s="1">
        <f>IFERROR(PagosV2[[#This Row],[Ganancia (N)]]-PagosV2[[#This Row],[Ganancia (UV)]],0)</f>
        <v>158.80460749999992</v>
      </c>
      <c r="Q600" s="1">
        <f>IFERROR(PagosV2[[#This Row],[Ganancia individual (Tienda)]]*PagosV2[[#This Row],[Cantidad vendida]],0)</f>
        <v>158.80460749999992</v>
      </c>
      <c r="R600" s="1">
        <f>IFERROR((PagosV2[[#This Row],[Precio de venta]]-PagosV2[[#This Row],[Ganancia (UB)]])*PagosV2[[#This Row],[Cantidad vendida]],0)</f>
        <v>960.31100000000015</v>
      </c>
      <c r="S600" s="21" t="s">
        <v>312</v>
      </c>
      <c r="T600" s="21"/>
    </row>
    <row r="601" spans="1:20" ht="16.5" hidden="1" x14ac:dyDescent="0.3">
      <c r="A601" s="9" t="s">
        <v>321</v>
      </c>
      <c r="B601" s="75">
        <v>46162</v>
      </c>
      <c r="C601" s="9" t="s">
        <v>154</v>
      </c>
      <c r="D601" s="9" t="str">
        <f>IFERROR(VLOOKUP(PagosV2[[#This Row],[Codigo del producto]],Entradas[],3,FALSE),"No existe")</f>
        <v xml:space="preserve">Attack Shark Mouse X11 negro </v>
      </c>
      <c r="E601" s="9">
        <v>1</v>
      </c>
      <c r="F601" s="11">
        <v>1200</v>
      </c>
      <c r="G601" s="11">
        <f>IFERROR(PagosV2[[#This Row],[Cantidad vendida]]*PagosV2[[#This Row],[Precio de venta]],"-")</f>
        <v>1200</v>
      </c>
      <c r="H601" s="11">
        <f>IFERROR(PagosV2[[#This Row],[Precio de venta]]-VLOOKUP(PagosV2[[#This Row],[Codigo del producto]],Stock[],13,FALSE),"-")</f>
        <v>277.64449999999988</v>
      </c>
      <c r="I601" s="11">
        <f>IFERROR(PagosV2[[#This Row],[Ganancia (UB)]]*$B$357,0)</f>
        <v>8.3293349999999968</v>
      </c>
      <c r="J601" s="11">
        <f>IFERROR(PagosV2[[#This Row],[Ganancia (UB)]]*$B$358,0)</f>
        <v>16.658669999999994</v>
      </c>
      <c r="K601" s="11">
        <f>IFERROR(PagosV2[[#This Row],[Ganancia (UB)]]*$B$359,0)</f>
        <v>8.3293349999999968</v>
      </c>
      <c r="L601" s="11">
        <f>IFERROR(PagosV2[[#This Row],[Ganancia (UB)]]*$B$360,0)</f>
        <v>8.3293349999999968</v>
      </c>
      <c r="M601" s="11">
        <f>IFERROR(PagosV2[[#This Row],[Ganancia (UB)]]-PagosV2[[#This Row],[PM]]-PagosV2[[#This Row],[GC]]-PagosV2[[#This Row],[PC]]-PagosV2[[#This Row],[U]],0)</f>
        <v>235.99782499999989</v>
      </c>
      <c r="N601" s="11">
        <f t="shared" ref="N601:N640" si="12">IFERROR(
  IF(M601&lt;=0,"-",
    IF(M601&lt;=300, M601*0.45,
      IF(M601&lt;=600, M601*0.4,
        IF(M601&lt;=900, M601*0.38,
          IF(M601&lt;=1000, M601*0.35,
            IF(M601&lt;=1400, M601*0.32,
              IF(M601&lt;=1800, HM601*0.3,
                IF(M601&gt;=2000, M601*0.28,
                  "-"
                )
              )
            )
          )
        )
      )
    )
  ),
  "-"
)</f>
        <v>106.19902124999996</v>
      </c>
      <c r="O601" s="11">
        <f>IFERROR(PagosV2[[#This Row],[Ganancia (UV)]]*PagosV2[[#This Row],[Cantidad vendida]],0)</f>
        <v>106.19902124999996</v>
      </c>
      <c r="P601" s="1">
        <f>IFERROR(PagosV2[[#This Row],[Ganancia (N)]]-PagosV2[[#This Row],[Ganancia (UV)]],0)</f>
        <v>129.79880374999993</v>
      </c>
      <c r="Q601" s="1">
        <f>IFERROR(PagosV2[[#This Row],[Ganancia individual (Tienda)]]*PagosV2[[#This Row],[Cantidad vendida]],0)</f>
        <v>129.79880374999993</v>
      </c>
      <c r="R601" s="1">
        <f>IFERROR((PagosV2[[#This Row],[Precio de venta]]-PagosV2[[#This Row],[Ganancia (UB)]])*PagosV2[[#This Row],[Cantidad vendida]],0)</f>
        <v>922.35550000000012</v>
      </c>
      <c r="S601" s="21" t="s">
        <v>312</v>
      </c>
      <c r="T601" s="21"/>
    </row>
    <row r="602" spans="1:20" ht="16.5" hidden="1" x14ac:dyDescent="0.3">
      <c r="A602" s="9" t="s">
        <v>321</v>
      </c>
      <c r="B602" s="75">
        <v>46162</v>
      </c>
      <c r="C602" s="9" t="s">
        <v>114</v>
      </c>
      <c r="D602" s="9" t="str">
        <f>IFERROR(VLOOKUP(PagosV2[[#This Row],[Codigo del producto]],Entradas[],3,FALSE),"No existe")</f>
        <v>Teclado Mecanico Machenike K500</v>
      </c>
      <c r="E602" s="9">
        <v>1</v>
      </c>
      <c r="F602" s="11">
        <v>2000</v>
      </c>
      <c r="G602" s="11">
        <f>IFERROR(PagosV2[[#This Row],[Cantidad vendida]]*PagosV2[[#This Row],[Precio de venta]],"-")</f>
        <v>2000</v>
      </c>
      <c r="H602" s="11">
        <f>IFERROR(PagosV2[[#This Row],[Precio de venta]]-VLOOKUP(PagosV2[[#This Row],[Codigo del producto]],Stock[],13,FALSE),"-")</f>
        <v>452.29999999999995</v>
      </c>
      <c r="I602" s="11">
        <f>IFERROR(PagosV2[[#This Row],[Ganancia (UB)]]*$B$357,0)</f>
        <v>13.568999999999997</v>
      </c>
      <c r="J602" s="11">
        <f>IFERROR(PagosV2[[#This Row],[Ganancia (UB)]]*$B$358,0)</f>
        <v>27.137999999999995</v>
      </c>
      <c r="K602" s="11">
        <f>IFERROR(PagosV2[[#This Row],[Ganancia (UB)]]*$B$359,0)</f>
        <v>13.568999999999997</v>
      </c>
      <c r="L602" s="11">
        <f>IFERROR(PagosV2[[#This Row],[Ganancia (UB)]]*$B$360,0)</f>
        <v>13.568999999999997</v>
      </c>
      <c r="M602" s="11">
        <f>IFERROR(PagosV2[[#This Row],[Ganancia (UB)]]-PagosV2[[#This Row],[PM]]-PagosV2[[#This Row],[GC]]-PagosV2[[#This Row],[PC]]-PagosV2[[#This Row],[U]],0)</f>
        <v>384.45499999999993</v>
      </c>
      <c r="N602" s="11">
        <f t="shared" si="12"/>
        <v>153.78199999999998</v>
      </c>
      <c r="O602" s="11">
        <f>IFERROR(PagosV2[[#This Row],[Ganancia (UV)]]*PagosV2[[#This Row],[Cantidad vendida]],0)</f>
        <v>153.78199999999998</v>
      </c>
      <c r="P602" s="1">
        <f>IFERROR(PagosV2[[#This Row],[Ganancia (N)]]-PagosV2[[#This Row],[Ganancia (UV)]],0)</f>
        <v>230.67299999999994</v>
      </c>
      <c r="Q602" s="1">
        <f>IFERROR(PagosV2[[#This Row],[Ganancia individual (Tienda)]]*PagosV2[[#This Row],[Cantidad vendida]],0)</f>
        <v>230.67299999999994</v>
      </c>
      <c r="R602" s="1">
        <f>IFERROR((PagosV2[[#This Row],[Precio de venta]]-PagosV2[[#This Row],[Ganancia (UB)]])*PagosV2[[#This Row],[Cantidad vendida]],0)</f>
        <v>1547.7</v>
      </c>
      <c r="S602" s="21" t="s">
        <v>312</v>
      </c>
      <c r="T602" s="21"/>
    </row>
    <row r="603" spans="1:20" ht="16.5" hidden="1" x14ac:dyDescent="0.3">
      <c r="A603" s="9" t="s">
        <v>313</v>
      </c>
      <c r="B603" s="75">
        <v>46162</v>
      </c>
      <c r="C603" s="9" t="s">
        <v>122</v>
      </c>
      <c r="D603" s="9" t="str">
        <f>IFERROR(VLOOKUP(PagosV2[[#This Row],[Codigo del producto]],Entradas[],3,FALSE),"No existe")</f>
        <v>Nubwo G06</v>
      </c>
      <c r="E603" s="9">
        <v>1</v>
      </c>
      <c r="F603" s="11">
        <v>1300</v>
      </c>
      <c r="G603" s="11">
        <f>IFERROR(PagosV2[[#This Row],[Cantidad vendida]]*PagosV2[[#This Row],[Precio de venta]],"-")</f>
        <v>1300</v>
      </c>
      <c r="H603" s="11">
        <f>IFERROR(PagosV2[[#This Row],[Precio de venta]]-VLOOKUP(PagosV2[[#This Row],[Codigo del producto]],Stock[],13,FALSE),"-")</f>
        <v>339.68899999999985</v>
      </c>
      <c r="I603" s="11">
        <f>IFERROR(PagosV2[[#This Row],[Ganancia (UB)]]*$B$357,0)</f>
        <v>10.190669999999995</v>
      </c>
      <c r="J603" s="11">
        <f>IFERROR(PagosV2[[#This Row],[Ganancia (UB)]]*$B$358,0)</f>
        <v>20.381339999999991</v>
      </c>
      <c r="K603" s="11">
        <f>IFERROR(PagosV2[[#This Row],[Ganancia (UB)]]*$B$359,0)</f>
        <v>10.190669999999995</v>
      </c>
      <c r="L603" s="11">
        <f>IFERROR(PagosV2[[#This Row],[Ganancia (UB)]]*$B$360,0)</f>
        <v>10.190669999999995</v>
      </c>
      <c r="M603" s="11">
        <f>IFERROR(PagosV2[[#This Row],[Ganancia (UB)]]-PagosV2[[#This Row],[PM]]-PagosV2[[#This Row],[GC]]-PagosV2[[#This Row],[PC]]-PagosV2[[#This Row],[U]],0)</f>
        <v>288.73564999999985</v>
      </c>
      <c r="N603" s="11">
        <f t="shared" si="12"/>
        <v>129.93104249999993</v>
      </c>
      <c r="O603" s="11">
        <f>IFERROR(PagosV2[[#This Row],[Ganancia (UV)]]*PagosV2[[#This Row],[Cantidad vendida]],0)</f>
        <v>129.93104249999993</v>
      </c>
      <c r="P603" s="1">
        <f>IFERROR(PagosV2[[#This Row],[Ganancia (N)]]-PagosV2[[#This Row],[Ganancia (UV)]],0)</f>
        <v>158.80460749999992</v>
      </c>
      <c r="Q603" s="1">
        <f>IFERROR(PagosV2[[#This Row],[Ganancia individual (Tienda)]]*PagosV2[[#This Row],[Cantidad vendida]],0)</f>
        <v>158.80460749999992</v>
      </c>
      <c r="R603" s="1">
        <f>IFERROR((PagosV2[[#This Row],[Precio de venta]]-PagosV2[[#This Row],[Ganancia (UB)]])*PagosV2[[#This Row],[Cantidad vendida]],0)</f>
        <v>960.31100000000015</v>
      </c>
      <c r="S603" s="21" t="s">
        <v>312</v>
      </c>
      <c r="T603" s="21"/>
    </row>
    <row r="604" spans="1:20" ht="16.5" hidden="1" x14ac:dyDescent="0.3">
      <c r="A604" s="9" t="s">
        <v>313</v>
      </c>
      <c r="B604" s="75">
        <v>46162</v>
      </c>
      <c r="C604" s="9" t="s">
        <v>154</v>
      </c>
      <c r="D604" s="9" t="str">
        <f>IFERROR(VLOOKUP(PagosV2[[#This Row],[Codigo del producto]],Entradas[],3,FALSE),"No existe")</f>
        <v xml:space="preserve">Attack Shark Mouse X11 negro </v>
      </c>
      <c r="E604" s="9">
        <v>1</v>
      </c>
      <c r="F604" s="11">
        <v>1200</v>
      </c>
      <c r="G604" s="11">
        <f>IFERROR(PagosV2[[#This Row],[Cantidad vendida]]*PagosV2[[#This Row],[Precio de venta]],"-")</f>
        <v>1200</v>
      </c>
      <c r="H604" s="11">
        <f>IFERROR(PagosV2[[#This Row],[Precio de venta]]-VLOOKUP(PagosV2[[#This Row],[Codigo del producto]],Stock[],13,FALSE),"-")</f>
        <v>277.64449999999988</v>
      </c>
      <c r="I604" s="11">
        <f>IFERROR(PagosV2[[#This Row],[Ganancia (UB)]]*$B$357,0)</f>
        <v>8.3293349999999968</v>
      </c>
      <c r="J604" s="11">
        <f>IFERROR(PagosV2[[#This Row],[Ganancia (UB)]]*$B$358,0)</f>
        <v>16.658669999999994</v>
      </c>
      <c r="K604" s="11">
        <f>IFERROR(PagosV2[[#This Row],[Ganancia (UB)]]*$B$359,0)</f>
        <v>8.3293349999999968</v>
      </c>
      <c r="L604" s="11">
        <f>IFERROR(PagosV2[[#This Row],[Ganancia (UB)]]*$B$360,0)</f>
        <v>8.3293349999999968</v>
      </c>
      <c r="M604" s="11">
        <f>IFERROR(PagosV2[[#This Row],[Ganancia (UB)]]-PagosV2[[#This Row],[PM]]-PagosV2[[#This Row],[GC]]-PagosV2[[#This Row],[PC]]-PagosV2[[#This Row],[U]],0)</f>
        <v>235.99782499999989</v>
      </c>
      <c r="N604" s="11">
        <f t="shared" si="12"/>
        <v>106.19902124999996</v>
      </c>
      <c r="O604" s="11">
        <f>IFERROR(PagosV2[[#This Row],[Ganancia (UV)]]*PagosV2[[#This Row],[Cantidad vendida]],0)</f>
        <v>106.19902124999996</v>
      </c>
      <c r="P604" s="1">
        <f>IFERROR(PagosV2[[#This Row],[Ganancia (N)]]-PagosV2[[#This Row],[Ganancia (UV)]],0)</f>
        <v>129.79880374999993</v>
      </c>
      <c r="Q604" s="1">
        <f>IFERROR(PagosV2[[#This Row],[Ganancia individual (Tienda)]]*PagosV2[[#This Row],[Cantidad vendida]],0)</f>
        <v>129.79880374999993</v>
      </c>
      <c r="R604" s="1">
        <f>IFERROR((PagosV2[[#This Row],[Precio de venta]]-PagosV2[[#This Row],[Ganancia (UB)]])*PagosV2[[#This Row],[Cantidad vendida]],0)</f>
        <v>922.35550000000012</v>
      </c>
      <c r="S604" s="21" t="s">
        <v>312</v>
      </c>
      <c r="T604" s="21"/>
    </row>
    <row r="605" spans="1:20" ht="16.5" hidden="1" x14ac:dyDescent="0.3">
      <c r="A605" s="9" t="s">
        <v>313</v>
      </c>
      <c r="B605" s="75">
        <v>46162</v>
      </c>
      <c r="C605" s="9" t="s">
        <v>494</v>
      </c>
      <c r="D605" s="9" t="str">
        <f>IFERROR(VLOOKUP(PagosV2[[#This Row],[Codigo del producto]],Entradas[],3,FALSE),"No existe")</f>
        <v>Shark Attack Mouse X11 White</v>
      </c>
      <c r="E605" s="9">
        <v>1</v>
      </c>
      <c r="F605" s="11">
        <v>1200</v>
      </c>
      <c r="G605" s="11">
        <f>IFERROR(PagosV2[[#This Row],[Cantidad vendida]]*PagosV2[[#This Row],[Precio de venta]],"-")</f>
        <v>1200</v>
      </c>
      <c r="H605" s="11">
        <f>IFERROR(PagosV2[[#This Row],[Precio de venta]]-VLOOKUP(PagosV2[[#This Row],[Codigo del producto]],Stock[],13,FALSE),"-")</f>
        <v>308.23</v>
      </c>
      <c r="I605" s="11">
        <f>IFERROR(PagosV2[[#This Row],[Ganancia (UB)]]*$B$357,0)</f>
        <v>9.2469000000000001</v>
      </c>
      <c r="J605" s="11">
        <f>IFERROR(PagosV2[[#This Row],[Ganancia (UB)]]*$B$358,0)</f>
        <v>18.4938</v>
      </c>
      <c r="K605" s="11">
        <f>IFERROR(PagosV2[[#This Row],[Ganancia (UB)]]*$B$359,0)</f>
        <v>9.2469000000000001</v>
      </c>
      <c r="L605" s="11">
        <f>IFERROR(PagosV2[[#This Row],[Ganancia (UB)]]*$B$360,0)</f>
        <v>9.2469000000000001</v>
      </c>
      <c r="M605" s="11">
        <f>IFERROR(PagosV2[[#This Row],[Ganancia (UB)]]-PagosV2[[#This Row],[PM]]-PagosV2[[#This Row],[GC]]-PagosV2[[#This Row],[PC]]-PagosV2[[#This Row],[U]],0)</f>
        <v>261.99550000000005</v>
      </c>
      <c r="N605" s="11">
        <f t="shared" si="12"/>
        <v>117.89797500000003</v>
      </c>
      <c r="O605" s="11">
        <f>IFERROR(PagosV2[[#This Row],[Ganancia (UV)]]*PagosV2[[#This Row],[Cantidad vendida]],0)</f>
        <v>117.89797500000003</v>
      </c>
      <c r="P605" s="1">
        <f>IFERROR(PagosV2[[#This Row],[Ganancia (N)]]-PagosV2[[#This Row],[Ganancia (UV)]],0)</f>
        <v>144.09752500000002</v>
      </c>
      <c r="Q605" s="1">
        <f>IFERROR(PagosV2[[#This Row],[Ganancia individual (Tienda)]]*PagosV2[[#This Row],[Cantidad vendida]],0)</f>
        <v>144.09752500000002</v>
      </c>
      <c r="R605" s="1">
        <f>IFERROR((PagosV2[[#This Row],[Precio de venta]]-PagosV2[[#This Row],[Ganancia (UB)]])*PagosV2[[#This Row],[Cantidad vendida]],0)</f>
        <v>891.77</v>
      </c>
      <c r="S605" s="21" t="s">
        <v>312</v>
      </c>
      <c r="T605" s="21"/>
    </row>
    <row r="606" spans="1:20" ht="16.5" hidden="1" x14ac:dyDescent="0.3">
      <c r="A606" s="9" t="s">
        <v>313</v>
      </c>
      <c r="B606" s="75">
        <v>46163</v>
      </c>
      <c r="C606" s="9" t="s">
        <v>167</v>
      </c>
      <c r="D606" s="9" t="str">
        <f>IFERROR(VLOOKUP(PagosV2[[#This Row],[Codigo del producto]],Entradas[],3,FALSE),"No existe")</f>
        <v>KZ Castor Improved Bass</v>
      </c>
      <c r="E606" s="9">
        <v>1</v>
      </c>
      <c r="F606" s="11">
        <v>700</v>
      </c>
      <c r="G606" s="11">
        <f>IFERROR(PagosV2[[#This Row],[Cantidad vendida]]*PagosV2[[#This Row],[Precio de venta]],"-")</f>
        <v>700</v>
      </c>
      <c r="H606" s="11">
        <f>IFERROR(PagosV2[[#This Row],[Precio de venta]]-VLOOKUP(PagosV2[[#This Row],[Codigo del producto]],Stock[],13,FALSE),"-")</f>
        <v>266.27550000000002</v>
      </c>
      <c r="I606" s="11">
        <f>IFERROR(PagosV2[[#This Row],[Ganancia (UB)]]*$B$357,0)</f>
        <v>7.9882650000000002</v>
      </c>
      <c r="J606" s="11">
        <f>IFERROR(PagosV2[[#This Row],[Ganancia (UB)]]*$B$358,0)</f>
        <v>15.97653</v>
      </c>
      <c r="K606" s="11">
        <f>IFERROR(PagosV2[[#This Row],[Ganancia (UB)]]*$B$359,0)</f>
        <v>7.9882650000000002</v>
      </c>
      <c r="L606" s="11">
        <f>IFERROR(PagosV2[[#This Row],[Ganancia (UB)]]*$B$360,0)</f>
        <v>7.9882650000000002</v>
      </c>
      <c r="M606" s="11">
        <f>IFERROR(PagosV2[[#This Row],[Ganancia (UB)]]-PagosV2[[#This Row],[PM]]-PagosV2[[#This Row],[GC]]-PagosV2[[#This Row],[PC]]-PagosV2[[#This Row],[U]],0)</f>
        <v>226.33417499999999</v>
      </c>
      <c r="N606" s="11">
        <f t="shared" ref="N606:N613" si="13">IFERROR(
  IF(M606&lt;=0,"-",
    IF(M606&lt;=300, M606*0.45,
      IF(M606&lt;=600, M606*0.4,
        IF(M606&lt;=900, M606*0.38,
          IF(M606&lt;=1000, M606*0.35,
            IF(M606&lt;=1400, M606*0.32,
              IF(M606&lt;=1800, HM606*0.3,
                IF(M606&gt;=2000, M606*0.28,
                  "-"
                )
              )
            )
          )
        )
      )
    )
  ),
  "-"
)</f>
        <v>101.85037874999999</v>
      </c>
      <c r="O606" s="11">
        <f>IFERROR(PagosV2[[#This Row],[Ganancia (UV)]]*PagosV2[[#This Row],[Cantidad vendida]],0)</f>
        <v>101.85037874999999</v>
      </c>
      <c r="P606" s="1">
        <f>IFERROR(PagosV2[[#This Row],[Ganancia (N)]]-PagosV2[[#This Row],[Ganancia (UV)]],0)</f>
        <v>124.48379625</v>
      </c>
      <c r="Q606" s="1">
        <f>IFERROR(PagosV2[[#This Row],[Ganancia individual (Tienda)]]*PagosV2[[#This Row],[Cantidad vendida]],0)</f>
        <v>124.48379625</v>
      </c>
      <c r="R606" s="1">
        <f>IFERROR((PagosV2[[#This Row],[Precio de venta]]-PagosV2[[#This Row],[Ganancia (UB)]])*PagosV2[[#This Row],[Cantidad vendida]],0)</f>
        <v>433.72449999999998</v>
      </c>
      <c r="S606" s="21" t="s">
        <v>312</v>
      </c>
      <c r="T606" s="21"/>
    </row>
    <row r="607" spans="1:20" ht="16.5" hidden="1" x14ac:dyDescent="0.3">
      <c r="A607" s="9" t="s">
        <v>313</v>
      </c>
      <c r="B607" s="75">
        <v>46163</v>
      </c>
      <c r="C607" s="9" t="s">
        <v>156</v>
      </c>
      <c r="D607" s="9" t="str">
        <f>IFERROR(VLOOKUP(PagosV2[[#This Row],[Codigo del producto]],Entradas[],3,FALSE),"No existe")</f>
        <v>KZ Castor Pro</v>
      </c>
      <c r="E607" s="9">
        <v>1</v>
      </c>
      <c r="F607" s="11">
        <v>900</v>
      </c>
      <c r="G607" s="11">
        <f>IFERROR(PagosV2[[#This Row],[Cantidad vendida]]*PagosV2[[#This Row],[Precio de venta]],"-")</f>
        <v>900</v>
      </c>
      <c r="H607" s="11">
        <f>IFERROR(PagosV2[[#This Row],[Precio de venta]]-VLOOKUP(PagosV2[[#This Row],[Codigo del producto]],Stock[],13,FALSE),"-")</f>
        <v>268.02249999999992</v>
      </c>
      <c r="I607" s="11">
        <f>IFERROR(PagosV2[[#This Row],[Ganancia (UB)]]*$B$357,0)</f>
        <v>8.0406749999999967</v>
      </c>
      <c r="J607" s="11">
        <f>IFERROR(PagosV2[[#This Row],[Ganancia (UB)]]*$B$358,0)</f>
        <v>16.081349999999993</v>
      </c>
      <c r="K607" s="11">
        <f>IFERROR(PagosV2[[#This Row],[Ganancia (UB)]]*$B$359,0)</f>
        <v>8.0406749999999967</v>
      </c>
      <c r="L607" s="11">
        <f>IFERROR(PagosV2[[#This Row],[Ganancia (UB)]]*$B$360,0)</f>
        <v>8.0406749999999967</v>
      </c>
      <c r="M607" s="11">
        <f>IFERROR(PagosV2[[#This Row],[Ganancia (UB)]]-PagosV2[[#This Row],[PM]]-PagosV2[[#This Row],[GC]]-PagosV2[[#This Row],[PC]]-PagosV2[[#This Row],[U]],0)</f>
        <v>227.81912499999993</v>
      </c>
      <c r="N607" s="11">
        <f t="shared" si="13"/>
        <v>102.51860624999998</v>
      </c>
      <c r="O607" s="11">
        <f>IFERROR(PagosV2[[#This Row],[Ganancia (UV)]]*PagosV2[[#This Row],[Cantidad vendida]],0)</f>
        <v>102.51860624999998</v>
      </c>
      <c r="P607" s="1">
        <f>IFERROR(PagosV2[[#This Row],[Ganancia (N)]]-PagosV2[[#This Row],[Ganancia (UV)]],0)</f>
        <v>125.30051874999995</v>
      </c>
      <c r="Q607" s="1">
        <f>IFERROR(PagosV2[[#This Row],[Ganancia individual (Tienda)]]*PagosV2[[#This Row],[Cantidad vendida]],0)</f>
        <v>125.30051874999995</v>
      </c>
      <c r="R607" s="1">
        <f>IFERROR((PagosV2[[#This Row],[Precio de venta]]-PagosV2[[#This Row],[Ganancia (UB)]])*PagosV2[[#This Row],[Cantidad vendida]],0)</f>
        <v>631.97750000000008</v>
      </c>
      <c r="S607" s="21" t="s">
        <v>312</v>
      </c>
      <c r="T607" s="21"/>
    </row>
    <row r="608" spans="1:20" ht="16.5" hidden="1" x14ac:dyDescent="0.3">
      <c r="A608" s="9" t="s">
        <v>313</v>
      </c>
      <c r="B608" s="75">
        <v>46163</v>
      </c>
      <c r="C608" s="9" t="s">
        <v>168</v>
      </c>
      <c r="D608" s="9" t="str">
        <f>IFERROR(VLOOKUP(PagosV2[[#This Row],[Codigo del producto]],Entradas[],3,FALSE),"No existe")</f>
        <v>Cable de Repuesto KZ Tipo C</v>
      </c>
      <c r="E608" s="9">
        <v>1</v>
      </c>
      <c r="F608" s="11">
        <v>400</v>
      </c>
      <c r="G608" s="11">
        <f>IFERROR(PagosV2[[#This Row],[Cantidad vendida]]*PagosV2[[#This Row],[Precio de venta]],"-")</f>
        <v>400</v>
      </c>
      <c r="H608" s="11">
        <f>IFERROR(PagosV2[[#This Row],[Precio de venta]]-VLOOKUP(PagosV2[[#This Row],[Codigo del producto]],Stock[],13,FALSE),"-")</f>
        <v>125.09899999999993</v>
      </c>
      <c r="I608" s="11">
        <f>IFERROR(PagosV2[[#This Row],[Ganancia (UB)]]*$B$357,0)</f>
        <v>3.7529699999999977</v>
      </c>
      <c r="J608" s="11">
        <f>IFERROR(PagosV2[[#This Row],[Ganancia (UB)]]*$B$358,0)</f>
        <v>7.5059399999999954</v>
      </c>
      <c r="K608" s="11">
        <f>IFERROR(PagosV2[[#This Row],[Ganancia (UB)]]*$B$359,0)</f>
        <v>3.7529699999999977</v>
      </c>
      <c r="L608" s="11">
        <f>IFERROR(PagosV2[[#This Row],[Ganancia (UB)]]*$B$360,0)</f>
        <v>3.7529699999999977</v>
      </c>
      <c r="M608" s="11">
        <f>IFERROR(PagosV2[[#This Row],[Ganancia (UB)]]-PagosV2[[#This Row],[PM]]-PagosV2[[#This Row],[GC]]-PagosV2[[#This Row],[PC]]-PagosV2[[#This Row],[U]],0)</f>
        <v>106.33414999999994</v>
      </c>
      <c r="N608" s="11">
        <f t="shared" si="13"/>
        <v>47.850367499999976</v>
      </c>
      <c r="O608" s="11">
        <f>IFERROR(PagosV2[[#This Row],[Ganancia (UV)]]*PagosV2[[#This Row],[Cantidad vendida]],0)</f>
        <v>47.850367499999976</v>
      </c>
      <c r="P608" s="1">
        <f>IFERROR(PagosV2[[#This Row],[Ganancia (N)]]-PagosV2[[#This Row],[Ganancia (UV)]],0)</f>
        <v>58.483782499999961</v>
      </c>
      <c r="Q608" s="1">
        <f>IFERROR(PagosV2[[#This Row],[Ganancia individual (Tienda)]]*PagosV2[[#This Row],[Cantidad vendida]],0)</f>
        <v>58.483782499999961</v>
      </c>
      <c r="R608" s="1">
        <f>IFERROR((PagosV2[[#This Row],[Precio de venta]]-PagosV2[[#This Row],[Ganancia (UB)]])*PagosV2[[#This Row],[Cantidad vendida]],0)</f>
        <v>274.90100000000007</v>
      </c>
      <c r="S608" s="21" t="s">
        <v>312</v>
      </c>
      <c r="T608" s="21"/>
    </row>
    <row r="609" spans="1:20" ht="16.5" hidden="1" x14ac:dyDescent="0.3">
      <c r="A609" s="9" t="s">
        <v>313</v>
      </c>
      <c r="B609" s="75">
        <v>46163</v>
      </c>
      <c r="C609" s="9" t="s">
        <v>156</v>
      </c>
      <c r="D609" s="9" t="str">
        <f>IFERROR(VLOOKUP(PagosV2[[#This Row],[Codigo del producto]],Entradas[],3,FALSE),"No existe")</f>
        <v>KZ Castor Pro</v>
      </c>
      <c r="E609" s="9">
        <v>1</v>
      </c>
      <c r="F609" s="11">
        <v>900</v>
      </c>
      <c r="G609" s="11">
        <f>IFERROR(PagosV2[[#This Row],[Cantidad vendida]]*PagosV2[[#This Row],[Precio de venta]],"-")</f>
        <v>900</v>
      </c>
      <c r="H609" s="11">
        <f>IFERROR(PagosV2[[#This Row],[Precio de venta]]-VLOOKUP(PagosV2[[#This Row],[Codigo del producto]],Stock[],13,FALSE),"-")</f>
        <v>268.02249999999992</v>
      </c>
      <c r="I609" s="11">
        <f>IFERROR(PagosV2[[#This Row],[Ganancia (UB)]]*$B$357,0)</f>
        <v>8.0406749999999967</v>
      </c>
      <c r="J609" s="11">
        <f>IFERROR(PagosV2[[#This Row],[Ganancia (UB)]]*$B$358,0)</f>
        <v>16.081349999999993</v>
      </c>
      <c r="K609" s="11">
        <f>IFERROR(PagosV2[[#This Row],[Ganancia (UB)]]*$B$359,0)</f>
        <v>8.0406749999999967</v>
      </c>
      <c r="L609" s="11">
        <f>IFERROR(PagosV2[[#This Row],[Ganancia (UB)]]*$B$360,0)</f>
        <v>8.0406749999999967</v>
      </c>
      <c r="M609" s="11">
        <f>IFERROR(PagosV2[[#This Row],[Ganancia (UB)]]-PagosV2[[#This Row],[PM]]-PagosV2[[#This Row],[GC]]-PagosV2[[#This Row],[PC]]-PagosV2[[#This Row],[U]],0)</f>
        <v>227.81912499999993</v>
      </c>
      <c r="N609" s="11">
        <f t="shared" si="13"/>
        <v>102.51860624999998</v>
      </c>
      <c r="O609" s="11">
        <f>IFERROR(PagosV2[[#This Row],[Ganancia (UV)]]*PagosV2[[#This Row],[Cantidad vendida]],0)</f>
        <v>102.51860624999998</v>
      </c>
      <c r="P609" s="1">
        <f>IFERROR(PagosV2[[#This Row],[Ganancia (N)]]-PagosV2[[#This Row],[Ganancia (UV)]],0)</f>
        <v>125.30051874999995</v>
      </c>
      <c r="Q609" s="1">
        <f>IFERROR(PagosV2[[#This Row],[Ganancia individual (Tienda)]]*PagosV2[[#This Row],[Cantidad vendida]],0)</f>
        <v>125.30051874999995</v>
      </c>
      <c r="R609" s="1">
        <f>IFERROR((PagosV2[[#This Row],[Precio de venta]]-PagosV2[[#This Row],[Ganancia (UB)]])*PagosV2[[#This Row],[Cantidad vendida]],0)</f>
        <v>631.97750000000008</v>
      </c>
      <c r="S609" s="21" t="s">
        <v>312</v>
      </c>
      <c r="T609" s="21"/>
    </row>
    <row r="610" spans="1:20" ht="16.5" hidden="1" x14ac:dyDescent="0.3">
      <c r="A610" s="9" t="s">
        <v>313</v>
      </c>
      <c r="B610" s="75">
        <v>46163</v>
      </c>
      <c r="C610" s="9" t="s">
        <v>66</v>
      </c>
      <c r="D610" s="9" t="str">
        <f>IFERROR(VLOOKUP(PagosV2[[#This Row],[Codigo del producto]],Entradas[],3,FALSE),"No existe")</f>
        <v xml:space="preserve">Adaptador DAC </v>
      </c>
      <c r="E610" s="9">
        <v>1</v>
      </c>
      <c r="F610" s="11">
        <v>300</v>
      </c>
      <c r="G610" s="11">
        <f>IFERROR(PagosV2[[#This Row],[Cantidad vendida]]*PagosV2[[#This Row],[Precio de venta]],"-")</f>
        <v>300</v>
      </c>
      <c r="H610" s="11">
        <f>IFERROR(PagosV2[[#This Row],[Precio de venta]]-VLOOKUP(PagosV2[[#This Row],[Codigo del producto]],Stock[],13,FALSE),"-")</f>
        <v>123.48849999999999</v>
      </c>
      <c r="I610" s="11">
        <f>IFERROR(PagosV2[[#This Row],[Ganancia (UB)]]*$B$357,0)</f>
        <v>3.7046549999999994</v>
      </c>
      <c r="J610" s="11">
        <f>IFERROR(PagosV2[[#This Row],[Ganancia (UB)]]*$B$358,0)</f>
        <v>7.4093099999999987</v>
      </c>
      <c r="K610" s="11">
        <f>IFERROR(PagosV2[[#This Row],[Ganancia (UB)]]*$B$359,0)</f>
        <v>3.7046549999999994</v>
      </c>
      <c r="L610" s="11">
        <f>IFERROR(PagosV2[[#This Row],[Ganancia (UB)]]*$B$360,0)</f>
        <v>3.7046549999999994</v>
      </c>
      <c r="M610" s="11">
        <f>IFERROR(PagosV2[[#This Row],[Ganancia (UB)]]-PagosV2[[#This Row],[PM]]-PagosV2[[#This Row],[GC]]-PagosV2[[#This Row],[PC]]-PagosV2[[#This Row],[U]],0)</f>
        <v>104.96522499999998</v>
      </c>
      <c r="N610" s="11">
        <f t="shared" si="13"/>
        <v>47.234351249999989</v>
      </c>
      <c r="O610" s="11">
        <f>IFERROR(PagosV2[[#This Row],[Ganancia (UV)]]*PagosV2[[#This Row],[Cantidad vendida]],0)</f>
        <v>47.234351249999989</v>
      </c>
      <c r="P610" s="1">
        <f>IFERROR(PagosV2[[#This Row],[Ganancia (N)]]-PagosV2[[#This Row],[Ganancia (UV)]],0)</f>
        <v>57.730873749999986</v>
      </c>
      <c r="Q610" s="1">
        <f>IFERROR(PagosV2[[#This Row],[Ganancia individual (Tienda)]]*PagosV2[[#This Row],[Cantidad vendida]],0)</f>
        <v>57.730873749999986</v>
      </c>
      <c r="R610" s="1">
        <f>IFERROR((PagosV2[[#This Row],[Precio de venta]]-PagosV2[[#This Row],[Ganancia (UB)]])*PagosV2[[#This Row],[Cantidad vendida]],0)</f>
        <v>176.51150000000001</v>
      </c>
      <c r="S610" s="21" t="s">
        <v>312</v>
      </c>
      <c r="T610" s="21"/>
    </row>
    <row r="611" spans="1:20" ht="16.5" hidden="1" x14ac:dyDescent="0.3">
      <c r="A611" s="9" t="s">
        <v>313</v>
      </c>
      <c r="B611" s="75">
        <v>46163</v>
      </c>
      <c r="C611" s="9" t="s">
        <v>154</v>
      </c>
      <c r="D611" s="9" t="str">
        <f>IFERROR(VLOOKUP(PagosV2[[#This Row],[Codigo del producto]],Entradas[],3,FALSE),"No existe")</f>
        <v xml:space="preserve">Attack Shark Mouse X11 negro </v>
      </c>
      <c r="E611" s="9">
        <v>1</v>
      </c>
      <c r="F611" s="11">
        <v>1200</v>
      </c>
      <c r="G611" s="11">
        <f>IFERROR(PagosV2[[#This Row],[Cantidad vendida]]*PagosV2[[#This Row],[Precio de venta]],"-")</f>
        <v>1200</v>
      </c>
      <c r="H611" s="11">
        <f>IFERROR(PagosV2[[#This Row],[Precio de venta]]-VLOOKUP(PagosV2[[#This Row],[Codigo del producto]],Stock[],13,FALSE),"-")</f>
        <v>277.64449999999988</v>
      </c>
      <c r="I611" s="11">
        <f>IFERROR(PagosV2[[#This Row],[Ganancia (UB)]]*$B$357,0)</f>
        <v>8.3293349999999968</v>
      </c>
      <c r="J611" s="11">
        <f>IFERROR(PagosV2[[#This Row],[Ganancia (UB)]]*$B$358,0)</f>
        <v>16.658669999999994</v>
      </c>
      <c r="K611" s="11">
        <f>IFERROR(PagosV2[[#This Row],[Ganancia (UB)]]*$B$359,0)</f>
        <v>8.3293349999999968</v>
      </c>
      <c r="L611" s="11">
        <f>IFERROR(PagosV2[[#This Row],[Ganancia (UB)]]*$B$360,0)</f>
        <v>8.3293349999999968</v>
      </c>
      <c r="M611" s="11">
        <f>IFERROR(PagosV2[[#This Row],[Ganancia (UB)]]-PagosV2[[#This Row],[PM]]-PagosV2[[#This Row],[GC]]-PagosV2[[#This Row],[PC]]-PagosV2[[#This Row],[U]],0)</f>
        <v>235.99782499999989</v>
      </c>
      <c r="N611" s="11">
        <f t="shared" si="13"/>
        <v>106.19902124999996</v>
      </c>
      <c r="O611" s="11">
        <f>IFERROR(PagosV2[[#This Row],[Ganancia (UV)]]*PagosV2[[#This Row],[Cantidad vendida]],0)</f>
        <v>106.19902124999996</v>
      </c>
      <c r="P611" s="1">
        <f>IFERROR(PagosV2[[#This Row],[Ganancia (N)]]-PagosV2[[#This Row],[Ganancia (UV)]],0)</f>
        <v>129.79880374999993</v>
      </c>
      <c r="Q611" s="1">
        <f>IFERROR(PagosV2[[#This Row],[Ganancia individual (Tienda)]]*PagosV2[[#This Row],[Cantidad vendida]],0)</f>
        <v>129.79880374999993</v>
      </c>
      <c r="R611" s="1">
        <f>IFERROR((PagosV2[[#This Row],[Precio de venta]]-PagosV2[[#This Row],[Ganancia (UB)]])*PagosV2[[#This Row],[Cantidad vendida]],0)</f>
        <v>922.35550000000012</v>
      </c>
      <c r="S611" s="21" t="s">
        <v>312</v>
      </c>
      <c r="T611" s="21"/>
    </row>
    <row r="612" spans="1:20" ht="16.5" hidden="1" x14ac:dyDescent="0.3">
      <c r="A612" s="9" t="s">
        <v>313</v>
      </c>
      <c r="B612" s="75">
        <v>46163</v>
      </c>
      <c r="C612" s="9" t="s">
        <v>167</v>
      </c>
      <c r="D612" s="9" t="str">
        <f>IFERROR(VLOOKUP(PagosV2[[#This Row],[Codigo del producto]],Entradas[],3,FALSE),"No existe")</f>
        <v>KZ Castor Improved Bass</v>
      </c>
      <c r="E612" s="9">
        <v>1</v>
      </c>
      <c r="F612" s="11">
        <v>700</v>
      </c>
      <c r="G612" s="11">
        <f>IFERROR(PagosV2[[#This Row],[Cantidad vendida]]*PagosV2[[#This Row],[Precio de venta]],"-")</f>
        <v>700</v>
      </c>
      <c r="H612" s="11">
        <f>IFERROR(PagosV2[[#This Row],[Precio de venta]]-VLOOKUP(PagosV2[[#This Row],[Codigo del producto]],Stock[],13,FALSE),"-")</f>
        <v>266.27550000000002</v>
      </c>
      <c r="I612" s="11">
        <f>IFERROR(PagosV2[[#This Row],[Ganancia (UB)]]*$B$357,0)</f>
        <v>7.9882650000000002</v>
      </c>
      <c r="J612" s="11">
        <f>IFERROR(PagosV2[[#This Row],[Ganancia (UB)]]*$B$358,0)</f>
        <v>15.97653</v>
      </c>
      <c r="K612" s="11">
        <f>IFERROR(PagosV2[[#This Row],[Ganancia (UB)]]*$B$359,0)</f>
        <v>7.9882650000000002</v>
      </c>
      <c r="L612" s="11">
        <f>IFERROR(PagosV2[[#This Row],[Ganancia (UB)]]*$B$360,0)</f>
        <v>7.9882650000000002</v>
      </c>
      <c r="M612" s="11">
        <f>IFERROR(PagosV2[[#This Row],[Ganancia (UB)]]-PagosV2[[#This Row],[PM]]-PagosV2[[#This Row],[GC]]-PagosV2[[#This Row],[PC]]-PagosV2[[#This Row],[U]],0)</f>
        <v>226.33417499999999</v>
      </c>
      <c r="N612" s="11">
        <f t="shared" si="13"/>
        <v>101.85037874999999</v>
      </c>
      <c r="O612" s="11">
        <f>IFERROR(PagosV2[[#This Row],[Ganancia (UV)]]*PagosV2[[#This Row],[Cantidad vendida]],0)</f>
        <v>101.85037874999999</v>
      </c>
      <c r="P612" s="1">
        <f>IFERROR(PagosV2[[#This Row],[Ganancia (N)]]-PagosV2[[#This Row],[Ganancia (UV)]],0)</f>
        <v>124.48379625</v>
      </c>
      <c r="Q612" s="1">
        <f>IFERROR(PagosV2[[#This Row],[Ganancia individual (Tienda)]]*PagosV2[[#This Row],[Cantidad vendida]],0)</f>
        <v>124.48379625</v>
      </c>
      <c r="R612" s="1">
        <f>IFERROR((PagosV2[[#This Row],[Precio de venta]]-PagosV2[[#This Row],[Ganancia (UB)]])*PagosV2[[#This Row],[Cantidad vendida]],0)</f>
        <v>433.72449999999998</v>
      </c>
      <c r="S612" s="21" t="s">
        <v>312</v>
      </c>
      <c r="T612" s="21"/>
    </row>
    <row r="613" spans="1:20" ht="16.5" hidden="1" x14ac:dyDescent="0.3">
      <c r="A613" s="9" t="s">
        <v>313</v>
      </c>
      <c r="B613" s="75">
        <v>46163</v>
      </c>
      <c r="C613" s="9" t="s">
        <v>158</v>
      </c>
      <c r="D613" s="9" t="str">
        <f>IFERROR(VLOOKUP(PagosV2[[#This Row],[Codigo del producto]],Entradas[],3,FALSE),"No existe")</f>
        <v>KZ EDX lite</v>
      </c>
      <c r="E613" s="9">
        <v>1</v>
      </c>
      <c r="F613" s="11">
        <v>400</v>
      </c>
      <c r="G613" s="11">
        <f>IFERROR(PagosV2[[#This Row],[Cantidad vendida]]*PagosV2[[#This Row],[Precio de venta]],"-")</f>
        <v>400</v>
      </c>
      <c r="H613" s="11">
        <f>IFERROR(PagosV2[[#This Row],[Precio de venta]]-VLOOKUP(PagosV2[[#This Row],[Codigo del producto]],Stock[],13,FALSE),"-")</f>
        <v>205.0635</v>
      </c>
      <c r="I613" s="11">
        <f>IFERROR(PagosV2[[#This Row],[Ganancia (UB)]]*$B$357,0)</f>
        <v>6.1519050000000002</v>
      </c>
      <c r="J613" s="11">
        <f>IFERROR(PagosV2[[#This Row],[Ganancia (UB)]]*$B$358,0)</f>
        <v>12.30381</v>
      </c>
      <c r="K613" s="11">
        <f>IFERROR(PagosV2[[#This Row],[Ganancia (UB)]]*$B$359,0)</f>
        <v>6.1519050000000002</v>
      </c>
      <c r="L613" s="11">
        <f>IFERROR(PagosV2[[#This Row],[Ganancia (UB)]]*$B$360,0)</f>
        <v>6.1519050000000002</v>
      </c>
      <c r="M613" s="11">
        <f>IFERROR(PagosV2[[#This Row],[Ganancia (UB)]]-PagosV2[[#This Row],[PM]]-PagosV2[[#This Row],[GC]]-PagosV2[[#This Row],[PC]]-PagosV2[[#This Row],[U]],0)</f>
        <v>174.30397500000001</v>
      </c>
      <c r="N613" s="11">
        <f t="shared" si="13"/>
        <v>78.436788750000005</v>
      </c>
      <c r="O613" s="11">
        <f>IFERROR(PagosV2[[#This Row],[Ganancia (UV)]]*PagosV2[[#This Row],[Cantidad vendida]],0)</f>
        <v>78.436788750000005</v>
      </c>
      <c r="P613" s="1">
        <f>IFERROR(PagosV2[[#This Row],[Ganancia (N)]]-PagosV2[[#This Row],[Ganancia (UV)]],0)</f>
        <v>95.867186250000003</v>
      </c>
      <c r="Q613" s="1">
        <f>IFERROR(PagosV2[[#This Row],[Ganancia individual (Tienda)]]*PagosV2[[#This Row],[Cantidad vendida]],0)</f>
        <v>95.867186250000003</v>
      </c>
      <c r="R613" s="1">
        <f>IFERROR((PagosV2[[#This Row],[Precio de venta]]-PagosV2[[#This Row],[Ganancia (UB)]])*PagosV2[[#This Row],[Cantidad vendida]],0)</f>
        <v>194.9365</v>
      </c>
      <c r="S613" s="21" t="s">
        <v>312</v>
      </c>
      <c r="T613" s="21"/>
    </row>
    <row r="614" spans="1:20" ht="16.5" hidden="1" x14ac:dyDescent="0.3">
      <c r="A614" s="9" t="s">
        <v>313</v>
      </c>
      <c r="B614" s="75">
        <v>46163</v>
      </c>
      <c r="C614" s="9" t="s">
        <v>171</v>
      </c>
      <c r="D614" s="9" t="str">
        <f>IFERROR(VLOOKUP(PagosV2[[#This Row],[Codigo del producto]],Entradas[],3,FALSE),"No existe")</f>
        <v>KZ AE01</v>
      </c>
      <c r="E614" s="9">
        <v>1</v>
      </c>
      <c r="F614" s="11">
        <v>900</v>
      </c>
      <c r="G614" s="11">
        <f>IFERROR(PagosV2[[#This Row],[Cantidad vendida]]*PagosV2[[#This Row],[Precio de venta]],"-")</f>
        <v>900</v>
      </c>
      <c r="H614" s="11">
        <f>IFERROR(PagosV2[[#This Row],[Precio de venta]]-VLOOKUP(PagosV2[[#This Row],[Codigo del producto]],Stock[],13,FALSE),"-")</f>
        <v>257.70449999999994</v>
      </c>
      <c r="I614" s="11">
        <f>IFERROR(PagosV2[[#This Row],[Ganancia (UB)]]*$B$357,0)</f>
        <v>7.7311349999999983</v>
      </c>
      <c r="J614" s="11">
        <f>IFERROR(PagosV2[[#This Row],[Ganancia (UB)]]*$B$358,0)</f>
        <v>15.462269999999997</v>
      </c>
      <c r="K614" s="11">
        <f>IFERROR(PagosV2[[#This Row],[Ganancia (UB)]]*$B$359,0)</f>
        <v>7.7311349999999983</v>
      </c>
      <c r="L614" s="11">
        <f>IFERROR(PagosV2[[#This Row],[Ganancia (UB)]]*$B$360,0)</f>
        <v>7.7311349999999983</v>
      </c>
      <c r="M614" s="11">
        <f>IFERROR(PagosV2[[#This Row],[Ganancia (UB)]]-PagosV2[[#This Row],[PM]]-PagosV2[[#This Row],[GC]]-PagosV2[[#This Row],[PC]]-PagosV2[[#This Row],[U]],0)</f>
        <v>219.04882499999997</v>
      </c>
      <c r="N614" s="11">
        <f t="shared" si="12"/>
        <v>98.57197124999999</v>
      </c>
      <c r="O614" s="11">
        <f>IFERROR(PagosV2[[#This Row],[Ganancia (UV)]]*PagosV2[[#This Row],[Cantidad vendida]],0)</f>
        <v>98.57197124999999</v>
      </c>
      <c r="P614" s="1">
        <f>IFERROR(PagosV2[[#This Row],[Ganancia (N)]]-PagosV2[[#This Row],[Ganancia (UV)]],0)</f>
        <v>120.47685374999998</v>
      </c>
      <c r="Q614" s="1">
        <f>IFERROR(PagosV2[[#This Row],[Ganancia individual (Tienda)]]*PagosV2[[#This Row],[Cantidad vendida]],0)</f>
        <v>120.47685374999998</v>
      </c>
      <c r="R614" s="1">
        <f>IFERROR((PagosV2[[#This Row],[Precio de venta]]-PagosV2[[#This Row],[Ganancia (UB)]])*PagosV2[[#This Row],[Cantidad vendida]],0)</f>
        <v>642.29550000000006</v>
      </c>
      <c r="S614" s="21" t="s">
        <v>312</v>
      </c>
      <c r="T614" s="21"/>
    </row>
    <row r="615" spans="1:20" ht="16.5" hidden="1" x14ac:dyDescent="0.3">
      <c r="A615" s="9" t="s">
        <v>327</v>
      </c>
      <c r="B615" s="75">
        <v>46163</v>
      </c>
      <c r="C615" s="9" t="s">
        <v>122</v>
      </c>
      <c r="D615" s="9" t="str">
        <f>IFERROR(VLOOKUP(PagosV2[[#This Row],[Codigo del producto]],Entradas[],3,FALSE),"No existe")</f>
        <v>Nubwo G06</v>
      </c>
      <c r="E615" s="9">
        <v>1</v>
      </c>
      <c r="F615" s="11">
        <v>1300</v>
      </c>
      <c r="G615" s="11">
        <f>IFERROR(PagosV2[[#This Row],[Cantidad vendida]]*PagosV2[[#This Row],[Precio de venta]],"-")</f>
        <v>1300</v>
      </c>
      <c r="H615" s="11">
        <f>IFERROR(PagosV2[[#This Row],[Precio de venta]]-VLOOKUP(PagosV2[[#This Row],[Codigo del producto]],Stock[],13,FALSE),"-")</f>
        <v>339.68899999999985</v>
      </c>
      <c r="I615" s="11">
        <f>IFERROR(PagosV2[[#This Row],[Ganancia (UB)]]*$B$357,0)</f>
        <v>10.190669999999995</v>
      </c>
      <c r="J615" s="11">
        <f>IFERROR(PagosV2[[#This Row],[Ganancia (UB)]]*$B$358,0)</f>
        <v>20.381339999999991</v>
      </c>
      <c r="K615" s="11">
        <f>IFERROR(PagosV2[[#This Row],[Ganancia (UB)]]*$B$359,0)</f>
        <v>10.190669999999995</v>
      </c>
      <c r="L615" s="11">
        <f>IFERROR(PagosV2[[#This Row],[Ganancia (UB)]]*$B$360,0)</f>
        <v>10.190669999999995</v>
      </c>
      <c r="M615" s="11">
        <f>IFERROR(PagosV2[[#This Row],[Ganancia (UB)]]-PagosV2[[#This Row],[PM]]-PagosV2[[#This Row],[GC]]-PagosV2[[#This Row],[PC]]-PagosV2[[#This Row],[U]],0)</f>
        <v>288.73564999999985</v>
      </c>
      <c r="N615" s="11">
        <f>IFERROR(
  IF(M615&lt;=0,"-",
    IF(M615&lt;=300, M615*0.45,
      IF(M615&lt;=600, M615*0.4,
        IF(M615&lt;=900, M615*0.38,
          IF(M615&lt;=1000, M615*0.35,
            IF(M615&lt;=1400, M615*0.32,
              IF(M615&lt;=1800, HM615*0.3,
                IF(M615&gt;=2000, M615*0.28,
                  "-"
                )
              )
            )
          )
        )
      )
    )
  ),
  "-"
)</f>
        <v>129.93104249999993</v>
      </c>
      <c r="O615" s="11">
        <f>IFERROR(PagosV2[[#This Row],[Ganancia (UV)]]*PagosV2[[#This Row],[Cantidad vendida]],0)</f>
        <v>129.93104249999993</v>
      </c>
      <c r="P615" s="1">
        <f>IFERROR(PagosV2[[#This Row],[Ganancia (N)]]-PagosV2[[#This Row],[Ganancia (UV)]],0)</f>
        <v>158.80460749999992</v>
      </c>
      <c r="Q615" s="1">
        <f>IFERROR(PagosV2[[#This Row],[Ganancia individual (Tienda)]]*PagosV2[[#This Row],[Cantidad vendida]],0)</f>
        <v>158.80460749999992</v>
      </c>
      <c r="R615" s="1">
        <f>IFERROR((PagosV2[[#This Row],[Precio de venta]]-PagosV2[[#This Row],[Ganancia (UB)]])*PagosV2[[#This Row],[Cantidad vendida]],0)</f>
        <v>960.31100000000015</v>
      </c>
      <c r="S615" s="21" t="s">
        <v>312</v>
      </c>
      <c r="T615" s="21"/>
    </row>
    <row r="616" spans="1:20" ht="16.5" hidden="1" x14ac:dyDescent="0.3">
      <c r="A616" s="9" t="s">
        <v>354</v>
      </c>
      <c r="B616" s="75">
        <v>46163</v>
      </c>
      <c r="C616" s="9" t="s">
        <v>152</v>
      </c>
      <c r="D616" s="9" t="str">
        <f>IFERROR(VLOOKUP(PagosV2[[#This Row],[Codigo del producto]],Entradas[],3,FALSE),"No existe")</f>
        <v>Kit Estuche para Nintendo Switch</v>
      </c>
      <c r="E616" s="9">
        <v>2</v>
      </c>
      <c r="F616" s="11">
        <v>750</v>
      </c>
      <c r="G616" s="11">
        <f>IFERROR(PagosV2[[#This Row],[Cantidad vendida]]*PagosV2[[#This Row],[Precio de venta]],"-")</f>
        <v>1500</v>
      </c>
      <c r="H616" s="11">
        <f>IFERROR(PagosV2[[#This Row],[Precio de venta]]-VLOOKUP(PagosV2[[#This Row],[Codigo del producto]],Stock[],13,FALSE),"-")</f>
        <v>318.11799999999994</v>
      </c>
      <c r="I616" s="11">
        <f>IFERROR(PagosV2[[#This Row],[Ganancia (UB)]]*$B$357,0)</f>
        <v>9.5435399999999984</v>
      </c>
      <c r="J616" s="11">
        <f>IFERROR(PagosV2[[#This Row],[Ganancia (UB)]]*$B$358,0)</f>
        <v>19.087079999999997</v>
      </c>
      <c r="K616" s="11">
        <f>IFERROR(PagosV2[[#This Row],[Ganancia (UB)]]*$B$359,0)</f>
        <v>9.5435399999999984</v>
      </c>
      <c r="L616" s="11">
        <f>IFERROR(PagosV2[[#This Row],[Ganancia (UB)]]*$B$360,0)</f>
        <v>9.5435399999999984</v>
      </c>
      <c r="M616" s="11">
        <f>IFERROR(PagosV2[[#This Row],[Ganancia (UB)]]-PagosV2[[#This Row],[PM]]-PagosV2[[#This Row],[GC]]-PagosV2[[#This Row],[PC]]-PagosV2[[#This Row],[U]],0)</f>
        <v>270.4002999999999</v>
      </c>
      <c r="N616" s="11">
        <f>IFERROR(
  IF(M616&lt;=0,"-",
    IF(M616&lt;=300, M616*0.45,
      IF(M616&lt;=600, M616*0.4,
        IF(M616&lt;=900, M616*0.38,
          IF(M616&lt;=1000, M616*0.35,
            IF(M616&lt;=1400, M616*0.32,
              IF(M616&lt;=1800, HM616*0.3,
                IF(M616&gt;=2000, M616*0.28,
                  "-"
                )
              )
            )
          )
        )
      )
    )
  ),
  "-"
)</f>
        <v>121.68013499999996</v>
      </c>
      <c r="O616" s="11">
        <f>IFERROR(PagosV2[[#This Row],[Ganancia (UV)]]*PagosV2[[#This Row],[Cantidad vendida]],0)</f>
        <v>243.36026999999993</v>
      </c>
      <c r="P616" s="1">
        <f>IFERROR(PagosV2[[#This Row],[Ganancia (N)]]-PagosV2[[#This Row],[Ganancia (UV)]],0)</f>
        <v>148.72016499999995</v>
      </c>
      <c r="Q616" s="1">
        <f>IFERROR(PagosV2[[#This Row],[Ganancia individual (Tienda)]]*PagosV2[[#This Row],[Cantidad vendida]],0)</f>
        <v>297.4403299999999</v>
      </c>
      <c r="R616" s="1">
        <f>IFERROR((PagosV2[[#This Row],[Precio de venta]]-PagosV2[[#This Row],[Ganancia (UB)]])*PagosV2[[#This Row],[Cantidad vendida]],0)</f>
        <v>863.76400000000012</v>
      </c>
      <c r="S616" s="21" t="s">
        <v>312</v>
      </c>
      <c r="T616" s="21"/>
    </row>
    <row r="617" spans="1:20" ht="16.5" hidden="1" x14ac:dyDescent="0.3">
      <c r="A617" s="9" t="s">
        <v>321</v>
      </c>
      <c r="B617" s="75">
        <v>46163</v>
      </c>
      <c r="C617" s="9" t="s">
        <v>494</v>
      </c>
      <c r="D617" s="9" t="str">
        <f>IFERROR(VLOOKUP(PagosV2[[#This Row],[Codigo del producto]],Entradas[],3,FALSE),"No existe")</f>
        <v>Shark Attack Mouse X11 White</v>
      </c>
      <c r="E617" s="9">
        <v>1</v>
      </c>
      <c r="F617" s="11">
        <v>1200</v>
      </c>
      <c r="G617" s="11">
        <f>IFERROR(PagosV2[[#This Row],[Cantidad vendida]]*PagosV2[[#This Row],[Precio de venta]],"-")</f>
        <v>1200</v>
      </c>
      <c r="H617" s="11">
        <f>IFERROR(PagosV2[[#This Row],[Precio de venta]]-VLOOKUP(PagosV2[[#This Row],[Codigo del producto]],Stock[],13,FALSE),"-")</f>
        <v>308.23</v>
      </c>
      <c r="I617" s="11">
        <f>IFERROR(PagosV2[[#This Row],[Ganancia (UB)]]*$B$357,0)</f>
        <v>9.2469000000000001</v>
      </c>
      <c r="J617" s="11">
        <f>IFERROR(PagosV2[[#This Row],[Ganancia (UB)]]*$B$358,0)</f>
        <v>18.4938</v>
      </c>
      <c r="K617" s="11">
        <f>IFERROR(PagosV2[[#This Row],[Ganancia (UB)]]*$B$359,0)</f>
        <v>9.2469000000000001</v>
      </c>
      <c r="L617" s="11">
        <f>IFERROR(PagosV2[[#This Row],[Ganancia (UB)]]*$B$360,0)</f>
        <v>9.2469000000000001</v>
      </c>
      <c r="M617" s="11">
        <f>IFERROR(PagosV2[[#This Row],[Ganancia (UB)]]-PagosV2[[#This Row],[PM]]-PagosV2[[#This Row],[GC]]-PagosV2[[#This Row],[PC]]-PagosV2[[#This Row],[U]],0)</f>
        <v>261.99550000000005</v>
      </c>
      <c r="N617" s="11">
        <f>IFERROR(
  IF(M617&lt;=0,"-",
    IF(M617&lt;=300, M617*0.45,
      IF(M617&lt;=600, M617*0.4,
        IF(M617&lt;=900, M617*0.38,
          IF(M617&lt;=1000, M617*0.35,
            IF(M617&lt;=1400, M617*0.32,
              IF(M617&lt;=1800, HM617*0.3,
                IF(M617&gt;=2000, M617*0.28,
                  "-"
                )
              )
            )
          )
        )
      )
    )
  ),
  "-"
)</f>
        <v>117.89797500000003</v>
      </c>
      <c r="O617" s="11">
        <f>IFERROR(PagosV2[[#This Row],[Ganancia (UV)]]*PagosV2[[#This Row],[Cantidad vendida]],0)</f>
        <v>117.89797500000003</v>
      </c>
      <c r="P617" s="1">
        <f>IFERROR(PagosV2[[#This Row],[Ganancia (N)]]-PagosV2[[#This Row],[Ganancia (UV)]],0)</f>
        <v>144.09752500000002</v>
      </c>
      <c r="Q617" s="1">
        <f>IFERROR(PagosV2[[#This Row],[Ganancia individual (Tienda)]]*PagosV2[[#This Row],[Cantidad vendida]],0)</f>
        <v>144.09752500000002</v>
      </c>
      <c r="R617" s="1">
        <f>IFERROR((PagosV2[[#This Row],[Precio de venta]]-PagosV2[[#This Row],[Ganancia (UB)]])*PagosV2[[#This Row],[Cantidad vendida]],0)</f>
        <v>891.77</v>
      </c>
      <c r="S617" s="21" t="s">
        <v>312</v>
      </c>
      <c r="T617" s="21"/>
    </row>
    <row r="618" spans="1:20" ht="16.5" hidden="1" x14ac:dyDescent="0.3">
      <c r="A618" s="9" t="s">
        <v>311</v>
      </c>
      <c r="B618" s="75">
        <v>46163</v>
      </c>
      <c r="C618" s="9" t="s">
        <v>171</v>
      </c>
      <c r="D618" s="9" t="str">
        <f>IFERROR(VLOOKUP(PagosV2[[#This Row],[Codigo del producto]],Entradas[],3,FALSE),"No existe")</f>
        <v>KZ AE01</v>
      </c>
      <c r="E618" s="9">
        <v>2</v>
      </c>
      <c r="F618" s="11">
        <v>900</v>
      </c>
      <c r="G618" s="11">
        <f>IFERROR(PagosV2[[#This Row],[Cantidad vendida]]*PagosV2[[#This Row],[Precio de venta]],"-")</f>
        <v>1800</v>
      </c>
      <c r="H618" s="11">
        <f>IFERROR(PagosV2[[#This Row],[Precio de venta]]-VLOOKUP(PagosV2[[#This Row],[Codigo del producto]],Stock[],13,FALSE),"-")</f>
        <v>257.70449999999994</v>
      </c>
      <c r="I618" s="11">
        <f>IFERROR(PagosV2[[#This Row],[Ganancia (UB)]]*$B$357,0)</f>
        <v>7.7311349999999983</v>
      </c>
      <c r="J618" s="11">
        <f>IFERROR(PagosV2[[#This Row],[Ganancia (UB)]]*$B$358,0)</f>
        <v>15.462269999999997</v>
      </c>
      <c r="K618" s="11">
        <f>IFERROR(PagosV2[[#This Row],[Ganancia (UB)]]*$B$359,0)</f>
        <v>7.7311349999999983</v>
      </c>
      <c r="L618" s="11">
        <f>IFERROR(PagosV2[[#This Row],[Ganancia (UB)]]*$B$360,0)</f>
        <v>7.7311349999999983</v>
      </c>
      <c r="M618" s="11">
        <f>IFERROR(PagosV2[[#This Row],[Ganancia (UB)]]-PagosV2[[#This Row],[PM]]-PagosV2[[#This Row],[GC]]-PagosV2[[#This Row],[PC]]-PagosV2[[#This Row],[U]],0)</f>
        <v>219.04882499999997</v>
      </c>
      <c r="N618" s="11">
        <f>IFERROR(
  IF(M618&lt;=0,"-",
    IF(M618&lt;=300, M618*0.45,
      IF(M618&lt;=600, M618*0.4,
        IF(M618&lt;=900, M618*0.38,
          IF(M618&lt;=1000, M618*0.35,
            IF(M618&lt;=1400, M618*0.32,
              IF(M618&lt;=1800, HM618*0.3,
                IF(M618&gt;=2000, M618*0.28,
                  "-"
                )
              )
            )
          )
        )
      )
    )
  ),
  "-"
)</f>
        <v>98.57197124999999</v>
      </c>
      <c r="O618" s="11">
        <f>IFERROR(PagosV2[[#This Row],[Ganancia (UV)]]*PagosV2[[#This Row],[Cantidad vendida]],0)</f>
        <v>197.14394249999998</v>
      </c>
      <c r="P618" s="1">
        <f>IFERROR(PagosV2[[#This Row],[Ganancia (N)]]-PagosV2[[#This Row],[Ganancia (UV)]],0)</f>
        <v>120.47685374999998</v>
      </c>
      <c r="Q618" s="1">
        <f>IFERROR(PagosV2[[#This Row],[Ganancia individual (Tienda)]]*PagosV2[[#This Row],[Cantidad vendida]],0)</f>
        <v>240.95370749999995</v>
      </c>
      <c r="R618" s="1">
        <f>IFERROR((PagosV2[[#This Row],[Precio de venta]]-PagosV2[[#This Row],[Ganancia (UB)]])*PagosV2[[#This Row],[Cantidad vendida]],0)</f>
        <v>1284.5910000000001</v>
      </c>
      <c r="S618" s="21" t="s">
        <v>312</v>
      </c>
      <c r="T618" s="21"/>
    </row>
    <row r="619" spans="1:20" ht="16.5" hidden="1" x14ac:dyDescent="0.3">
      <c r="A619" s="9" t="s">
        <v>311</v>
      </c>
      <c r="B619" s="75">
        <v>46163</v>
      </c>
      <c r="C619" s="9" t="s">
        <v>156</v>
      </c>
      <c r="D619" s="9" t="str">
        <f>IFERROR(VLOOKUP(PagosV2[[#This Row],[Codigo del producto]],Entradas[],3,FALSE),"No existe")</f>
        <v>KZ Castor Pro</v>
      </c>
      <c r="E619" s="9">
        <v>1</v>
      </c>
      <c r="F619" s="11">
        <v>900</v>
      </c>
      <c r="G619" s="11">
        <f>IFERROR(PagosV2[[#This Row],[Cantidad vendida]]*PagosV2[[#This Row],[Precio de venta]],"-")</f>
        <v>900</v>
      </c>
      <c r="H619" s="11">
        <f>IFERROR(PagosV2[[#This Row],[Precio de venta]]-VLOOKUP(PagosV2[[#This Row],[Codigo del producto]],Stock[],13,FALSE),"-")</f>
        <v>268.02249999999992</v>
      </c>
      <c r="I619" s="11">
        <f>IFERROR(PagosV2[[#This Row],[Ganancia (UB)]]*$B$357,0)</f>
        <v>8.0406749999999967</v>
      </c>
      <c r="J619" s="11">
        <f>IFERROR(PagosV2[[#This Row],[Ganancia (UB)]]*$B$358,0)</f>
        <v>16.081349999999993</v>
      </c>
      <c r="K619" s="11">
        <f>IFERROR(PagosV2[[#This Row],[Ganancia (UB)]]*$B$359,0)</f>
        <v>8.0406749999999967</v>
      </c>
      <c r="L619" s="11">
        <f>IFERROR(PagosV2[[#This Row],[Ganancia (UB)]]*$B$360,0)</f>
        <v>8.0406749999999967</v>
      </c>
      <c r="M619" s="11">
        <f>IFERROR(PagosV2[[#This Row],[Ganancia (UB)]]-PagosV2[[#This Row],[PM]]-PagosV2[[#This Row],[GC]]-PagosV2[[#This Row],[PC]]-PagosV2[[#This Row],[U]],0)</f>
        <v>227.81912499999993</v>
      </c>
      <c r="N619" s="11">
        <f t="shared" si="12"/>
        <v>102.51860624999998</v>
      </c>
      <c r="O619" s="11">
        <f>IFERROR(PagosV2[[#This Row],[Ganancia (UV)]]*PagosV2[[#This Row],[Cantidad vendida]],0)</f>
        <v>102.51860624999998</v>
      </c>
      <c r="P619" s="1">
        <f>IFERROR(PagosV2[[#This Row],[Ganancia (N)]]-PagosV2[[#This Row],[Ganancia (UV)]],0)</f>
        <v>125.30051874999995</v>
      </c>
      <c r="Q619" s="1">
        <f>IFERROR(PagosV2[[#This Row],[Ganancia individual (Tienda)]]*PagosV2[[#This Row],[Cantidad vendida]],0)</f>
        <v>125.30051874999995</v>
      </c>
      <c r="R619" s="1">
        <f>IFERROR((PagosV2[[#This Row],[Precio de venta]]-PagosV2[[#This Row],[Ganancia (UB)]])*PagosV2[[#This Row],[Cantidad vendida]],0)</f>
        <v>631.97750000000008</v>
      </c>
      <c r="S619" s="21" t="s">
        <v>312</v>
      </c>
      <c r="T619" s="21"/>
    </row>
    <row r="620" spans="1:20" ht="16.5" hidden="1" x14ac:dyDescent="0.3">
      <c r="A620" s="9" t="s">
        <v>311</v>
      </c>
      <c r="B620" s="75">
        <v>46163</v>
      </c>
      <c r="C620" s="9" t="s">
        <v>160</v>
      </c>
      <c r="D620" s="9" t="str">
        <f>IFERROR(VLOOKUP(PagosV2[[#This Row],[Codigo del producto]],Entradas[],3,FALSE),"No existe")</f>
        <v>KZ Libra</v>
      </c>
      <c r="E620" s="9">
        <v>1</v>
      </c>
      <c r="F620" s="11">
        <v>550</v>
      </c>
      <c r="G620" s="11">
        <f>IFERROR(PagosV2[[#This Row],[Cantidad vendida]]*PagosV2[[#This Row],[Precio de venta]],"-")</f>
        <v>550</v>
      </c>
      <c r="H620" s="11">
        <f>IFERROR(PagosV2[[#This Row],[Precio de venta]]-VLOOKUP(PagosV2[[#This Row],[Codigo del producto]],Stock[],13,FALSE),"-")</f>
        <v>198.08250000000004</v>
      </c>
      <c r="I620" s="11">
        <f>IFERROR(PagosV2[[#This Row],[Ganancia (UB)]]*$B$357,0)</f>
        <v>5.9424750000000008</v>
      </c>
      <c r="J620" s="11">
        <f>IFERROR(PagosV2[[#This Row],[Ganancia (UB)]]*$B$358,0)</f>
        <v>11.884950000000002</v>
      </c>
      <c r="K620" s="11">
        <f>IFERROR(PagosV2[[#This Row],[Ganancia (UB)]]*$B$359,0)</f>
        <v>5.9424750000000008</v>
      </c>
      <c r="L620" s="11">
        <f>IFERROR(PagosV2[[#This Row],[Ganancia (UB)]]*$B$360,0)</f>
        <v>5.9424750000000008</v>
      </c>
      <c r="M620" s="11">
        <f>IFERROR(PagosV2[[#This Row],[Ganancia (UB)]]-PagosV2[[#This Row],[PM]]-PagosV2[[#This Row],[GC]]-PagosV2[[#This Row],[PC]]-PagosV2[[#This Row],[U]],0)</f>
        <v>168.37012500000003</v>
      </c>
      <c r="N620" s="11">
        <f t="shared" si="12"/>
        <v>75.766556250000022</v>
      </c>
      <c r="O620" s="11">
        <f>IFERROR(PagosV2[[#This Row],[Ganancia (UV)]]*PagosV2[[#This Row],[Cantidad vendida]],0)</f>
        <v>75.766556250000022</v>
      </c>
      <c r="P620" s="1">
        <f>IFERROR(PagosV2[[#This Row],[Ganancia (N)]]-PagosV2[[#This Row],[Ganancia (UV)]],0)</f>
        <v>92.603568750000008</v>
      </c>
      <c r="Q620" s="1">
        <f>IFERROR(PagosV2[[#This Row],[Ganancia individual (Tienda)]]*PagosV2[[#This Row],[Cantidad vendida]],0)</f>
        <v>92.603568750000008</v>
      </c>
      <c r="R620" s="1">
        <f>IFERROR((PagosV2[[#This Row],[Precio de venta]]-PagosV2[[#This Row],[Ganancia (UB)]])*PagosV2[[#This Row],[Cantidad vendida]],0)</f>
        <v>351.91749999999996</v>
      </c>
      <c r="S620" s="21" t="s">
        <v>312</v>
      </c>
      <c r="T620" s="21"/>
    </row>
    <row r="621" spans="1:20" ht="16.5" hidden="1" x14ac:dyDescent="0.3">
      <c r="A621" s="9" t="s">
        <v>311</v>
      </c>
      <c r="B621" s="75">
        <v>46164</v>
      </c>
      <c r="C621" s="9" t="s">
        <v>156</v>
      </c>
      <c r="D621" s="9" t="str">
        <f>IFERROR(VLOOKUP(PagosV2[[#This Row],[Codigo del producto]],Entradas[],3,FALSE),"No existe")</f>
        <v>KZ Castor Pro</v>
      </c>
      <c r="E621" s="9">
        <v>1</v>
      </c>
      <c r="F621" s="11">
        <v>900</v>
      </c>
      <c r="G621" s="11">
        <f>IFERROR(PagosV2[[#This Row],[Cantidad vendida]]*PagosV2[[#This Row],[Precio de venta]],"-")</f>
        <v>900</v>
      </c>
      <c r="H621" s="11">
        <f>IFERROR(PagosV2[[#This Row],[Precio de venta]]-VLOOKUP(PagosV2[[#This Row],[Codigo del producto]],Stock[],13,FALSE),"-")</f>
        <v>268.02249999999992</v>
      </c>
      <c r="I621" s="11">
        <f>IFERROR(PagosV2[[#This Row],[Ganancia (UB)]]*$B$357,0)</f>
        <v>8.0406749999999967</v>
      </c>
      <c r="J621" s="11">
        <f>IFERROR(PagosV2[[#This Row],[Ganancia (UB)]]*$B$358,0)</f>
        <v>16.081349999999993</v>
      </c>
      <c r="K621" s="11">
        <f>IFERROR(PagosV2[[#This Row],[Ganancia (UB)]]*$B$359,0)</f>
        <v>8.0406749999999967</v>
      </c>
      <c r="L621" s="11">
        <f>IFERROR(PagosV2[[#This Row],[Ganancia (UB)]]*$B$360,0)</f>
        <v>8.0406749999999967</v>
      </c>
      <c r="M621" s="11">
        <f>IFERROR(PagosV2[[#This Row],[Ganancia (UB)]]-PagosV2[[#This Row],[PM]]-PagosV2[[#This Row],[GC]]-PagosV2[[#This Row],[PC]]-PagosV2[[#This Row],[U]],0)</f>
        <v>227.81912499999993</v>
      </c>
      <c r="N621" s="11">
        <f>IFERROR(
  IF(M621&lt;=0,"-",
    IF(M621&lt;=300, M621*0.45,
      IF(M621&lt;=600, M621*0.4,
        IF(M621&lt;=900, M621*0.38,
          IF(M621&lt;=1000, M621*0.35,
            IF(M621&lt;=1400, M621*0.32,
              IF(M621&lt;=1800, HM621*0.3,
                IF(M621&gt;=2000, M621*0.28,
                  "-"
                )
              )
            )
          )
        )
      )
    )
  ),
  "-"
)</f>
        <v>102.51860624999998</v>
      </c>
      <c r="O621" s="11">
        <f>IFERROR(PagosV2[[#This Row],[Ganancia (UV)]]*PagosV2[[#This Row],[Cantidad vendida]],0)</f>
        <v>102.51860624999998</v>
      </c>
      <c r="P621" s="1">
        <f>IFERROR(PagosV2[[#This Row],[Ganancia (N)]]-PagosV2[[#This Row],[Ganancia (UV)]],0)</f>
        <v>125.30051874999995</v>
      </c>
      <c r="Q621" s="1">
        <f>IFERROR(PagosV2[[#This Row],[Ganancia individual (Tienda)]]*PagosV2[[#This Row],[Cantidad vendida]],0)</f>
        <v>125.30051874999995</v>
      </c>
      <c r="R621" s="1">
        <f>IFERROR((PagosV2[[#This Row],[Precio de venta]]-PagosV2[[#This Row],[Ganancia (UB)]])*PagosV2[[#This Row],[Cantidad vendida]],0)</f>
        <v>631.97750000000008</v>
      </c>
      <c r="S621" s="21" t="s">
        <v>312</v>
      </c>
      <c r="T621" s="21"/>
    </row>
    <row r="622" spans="1:20" ht="16.5" hidden="1" x14ac:dyDescent="0.3">
      <c r="A622" s="9" t="s">
        <v>311</v>
      </c>
      <c r="B622" s="75">
        <v>46164</v>
      </c>
      <c r="C622" s="9" t="s">
        <v>66</v>
      </c>
      <c r="D622" s="9" t="str">
        <f>IFERROR(VLOOKUP(PagosV2[[#This Row],[Codigo del producto]],Entradas[],3,FALSE),"No existe")</f>
        <v xml:space="preserve">Adaptador DAC </v>
      </c>
      <c r="E622" s="9">
        <v>1</v>
      </c>
      <c r="F622" s="11">
        <v>300</v>
      </c>
      <c r="G622" s="11">
        <f>IFERROR(PagosV2[[#This Row],[Cantidad vendida]]*PagosV2[[#This Row],[Precio de venta]],"-")</f>
        <v>300</v>
      </c>
      <c r="H622" s="11">
        <f>IFERROR(PagosV2[[#This Row],[Precio de venta]]-VLOOKUP(PagosV2[[#This Row],[Codigo del producto]],Stock[],13,FALSE),"-")</f>
        <v>123.48849999999999</v>
      </c>
      <c r="I622" s="11">
        <f>IFERROR(PagosV2[[#This Row],[Ganancia (UB)]]*$B$357,0)</f>
        <v>3.7046549999999994</v>
      </c>
      <c r="J622" s="11">
        <f>IFERROR(PagosV2[[#This Row],[Ganancia (UB)]]*$B$358,0)</f>
        <v>7.4093099999999987</v>
      </c>
      <c r="K622" s="11">
        <f>IFERROR(PagosV2[[#This Row],[Ganancia (UB)]]*$B$359,0)</f>
        <v>3.7046549999999994</v>
      </c>
      <c r="L622" s="11">
        <f>IFERROR(PagosV2[[#This Row],[Ganancia (UB)]]*$B$360,0)</f>
        <v>3.7046549999999994</v>
      </c>
      <c r="M622" s="11">
        <f>IFERROR(PagosV2[[#This Row],[Ganancia (UB)]]-PagosV2[[#This Row],[PM]]-PagosV2[[#This Row],[GC]]-PagosV2[[#This Row],[PC]]-PagosV2[[#This Row],[U]],0)</f>
        <v>104.96522499999998</v>
      </c>
      <c r="N622" s="11">
        <f t="shared" si="12"/>
        <v>47.234351249999989</v>
      </c>
      <c r="O622" s="11">
        <f>IFERROR(PagosV2[[#This Row],[Ganancia (UV)]]*PagosV2[[#This Row],[Cantidad vendida]],0)</f>
        <v>47.234351249999989</v>
      </c>
      <c r="P622" s="1">
        <f>IFERROR(PagosV2[[#This Row],[Ganancia (N)]]-PagosV2[[#This Row],[Ganancia (UV)]],0)</f>
        <v>57.730873749999986</v>
      </c>
      <c r="Q622" s="1">
        <f>IFERROR(PagosV2[[#This Row],[Ganancia individual (Tienda)]]*PagosV2[[#This Row],[Cantidad vendida]],0)</f>
        <v>57.730873749999986</v>
      </c>
      <c r="R622" s="1">
        <f>IFERROR((PagosV2[[#This Row],[Precio de venta]]-PagosV2[[#This Row],[Ganancia (UB)]])*PagosV2[[#This Row],[Cantidad vendida]],0)</f>
        <v>176.51150000000001</v>
      </c>
      <c r="S622" s="21" t="s">
        <v>312</v>
      </c>
      <c r="T622" s="21"/>
    </row>
    <row r="623" spans="1:20" ht="16.5" hidden="1" x14ac:dyDescent="0.3">
      <c r="A623" s="9" t="s">
        <v>313</v>
      </c>
      <c r="B623" s="75">
        <v>46164</v>
      </c>
      <c r="C623" s="9" t="s">
        <v>135</v>
      </c>
      <c r="D623" s="9" t="str">
        <f>IFERROR(VLOOKUP(PagosV2[[#This Row],[Codigo del producto]],Entradas[],3,FALSE),"No existe")</f>
        <v xml:space="preserve">Mouse ReDragon M991 </v>
      </c>
      <c r="E623" s="9">
        <v>1</v>
      </c>
      <c r="F623" s="11">
        <v>1500</v>
      </c>
      <c r="G623" s="11">
        <f>IFERROR(PagosV2[[#This Row],[Cantidad vendida]]*PagosV2[[#This Row],[Precio de venta]],"-")</f>
        <v>1500</v>
      </c>
      <c r="H623" s="11">
        <f>IFERROR(PagosV2[[#This Row],[Precio de venta]]-VLOOKUP(PagosV2[[#This Row],[Codigo del producto]],Stock[],13,FALSE),"-")</f>
        <v>427.66499999999996</v>
      </c>
      <c r="I623" s="11">
        <f>IFERROR(PagosV2[[#This Row],[Ganancia (UB)]]*$B$357,0)</f>
        <v>12.829949999999998</v>
      </c>
      <c r="J623" s="11">
        <f>IFERROR(PagosV2[[#This Row],[Ganancia (UB)]]*$B$358,0)</f>
        <v>25.659899999999997</v>
      </c>
      <c r="K623" s="11">
        <f>IFERROR(PagosV2[[#This Row],[Ganancia (UB)]]*$B$359,0)</f>
        <v>12.829949999999998</v>
      </c>
      <c r="L623" s="11">
        <f>IFERROR(PagosV2[[#This Row],[Ganancia (UB)]]*$B$360,0)</f>
        <v>12.829949999999998</v>
      </c>
      <c r="M623" s="11">
        <f>IFERROR(PagosV2[[#This Row],[Ganancia (UB)]]-PagosV2[[#This Row],[PM]]-PagosV2[[#This Row],[GC]]-PagosV2[[#This Row],[PC]]-PagosV2[[#This Row],[U]],0)</f>
        <v>363.51524999999998</v>
      </c>
      <c r="N623" s="11">
        <f t="shared" ref="N623:N639" si="14">IFERROR(
  IF(M623&lt;=0,"-",
    IF(M623&lt;=300, M623*0.45,
      IF(M623&lt;=600, M623*0.4,
        IF(M623&lt;=900, M623*0.38,
          IF(M623&lt;=1000, M623*0.35,
            IF(M623&lt;=1400, M623*0.32,
              IF(M623&lt;=1800, HM623*0.3,
                IF(M623&gt;=2000, M623*0.28,
                  "-"
                )
              )
            )
          )
        )
      )
    )
  ),
  "-"
)</f>
        <v>145.40610000000001</v>
      </c>
      <c r="O623" s="11">
        <f>IFERROR(PagosV2[[#This Row],[Ganancia (UV)]]*PagosV2[[#This Row],[Cantidad vendida]],0)</f>
        <v>145.40610000000001</v>
      </c>
      <c r="P623" s="1">
        <f>IFERROR(PagosV2[[#This Row],[Ganancia (N)]]-PagosV2[[#This Row],[Ganancia (UV)]],0)</f>
        <v>218.10914999999997</v>
      </c>
      <c r="Q623" s="1">
        <f>IFERROR(PagosV2[[#This Row],[Ganancia individual (Tienda)]]*PagosV2[[#This Row],[Cantidad vendida]],0)</f>
        <v>218.10914999999997</v>
      </c>
      <c r="R623" s="1">
        <f>IFERROR((PagosV2[[#This Row],[Precio de venta]]-PagosV2[[#This Row],[Ganancia (UB)]])*PagosV2[[#This Row],[Cantidad vendida]],0)</f>
        <v>1072.335</v>
      </c>
      <c r="S623" s="21" t="s">
        <v>312</v>
      </c>
      <c r="T623" s="21"/>
    </row>
    <row r="624" spans="1:20" ht="16.5" hidden="1" x14ac:dyDescent="0.3">
      <c r="A624" s="9" t="s">
        <v>313</v>
      </c>
      <c r="B624" s="75">
        <v>46164</v>
      </c>
      <c r="C624" s="9" t="s">
        <v>494</v>
      </c>
      <c r="D624" s="9" t="str">
        <f>IFERROR(VLOOKUP(PagosV2[[#This Row],[Codigo del producto]],Entradas[],3,FALSE),"No existe")</f>
        <v>Shark Attack Mouse X11 White</v>
      </c>
      <c r="E624" s="9">
        <v>1</v>
      </c>
      <c r="F624" s="11">
        <v>1200</v>
      </c>
      <c r="G624" s="11">
        <f>IFERROR(PagosV2[[#This Row],[Cantidad vendida]]*PagosV2[[#This Row],[Precio de venta]],"-")</f>
        <v>1200</v>
      </c>
      <c r="H624" s="11">
        <f>IFERROR(PagosV2[[#This Row],[Precio de venta]]-VLOOKUP(PagosV2[[#This Row],[Codigo del producto]],Stock[],13,FALSE),"-")</f>
        <v>308.23</v>
      </c>
      <c r="I624" s="11">
        <f>IFERROR(PagosV2[[#This Row],[Ganancia (UB)]]*$B$357,0)</f>
        <v>9.2469000000000001</v>
      </c>
      <c r="J624" s="11">
        <f>IFERROR(PagosV2[[#This Row],[Ganancia (UB)]]*$B$358,0)</f>
        <v>18.4938</v>
      </c>
      <c r="K624" s="11">
        <f>IFERROR(PagosV2[[#This Row],[Ganancia (UB)]]*$B$359,0)</f>
        <v>9.2469000000000001</v>
      </c>
      <c r="L624" s="11">
        <f>IFERROR(PagosV2[[#This Row],[Ganancia (UB)]]*$B$360,0)</f>
        <v>9.2469000000000001</v>
      </c>
      <c r="M624" s="11">
        <f>IFERROR(PagosV2[[#This Row],[Ganancia (UB)]]-PagosV2[[#This Row],[PM]]-PagosV2[[#This Row],[GC]]-PagosV2[[#This Row],[PC]]-PagosV2[[#This Row],[U]],0)</f>
        <v>261.99550000000005</v>
      </c>
      <c r="N624" s="11">
        <f t="shared" si="14"/>
        <v>117.89797500000003</v>
      </c>
      <c r="O624" s="11">
        <f>IFERROR(PagosV2[[#This Row],[Ganancia (UV)]]*PagosV2[[#This Row],[Cantidad vendida]],0)</f>
        <v>117.89797500000003</v>
      </c>
      <c r="P624" s="1">
        <f>IFERROR(PagosV2[[#This Row],[Ganancia (N)]]-PagosV2[[#This Row],[Ganancia (UV)]],0)</f>
        <v>144.09752500000002</v>
      </c>
      <c r="Q624" s="1">
        <f>IFERROR(PagosV2[[#This Row],[Ganancia individual (Tienda)]]*PagosV2[[#This Row],[Cantidad vendida]],0)</f>
        <v>144.09752500000002</v>
      </c>
      <c r="R624" s="1">
        <f>IFERROR((PagosV2[[#This Row],[Precio de venta]]-PagosV2[[#This Row],[Ganancia (UB)]])*PagosV2[[#This Row],[Cantidad vendida]],0)</f>
        <v>891.77</v>
      </c>
      <c r="S624" s="21" t="s">
        <v>312</v>
      </c>
      <c r="T624" s="21"/>
    </row>
    <row r="625" spans="1:20" ht="16.5" hidden="1" x14ac:dyDescent="0.3">
      <c r="A625" s="9" t="s">
        <v>313</v>
      </c>
      <c r="B625" s="75">
        <v>46164</v>
      </c>
      <c r="C625" s="9" t="s">
        <v>122</v>
      </c>
      <c r="D625" s="9" t="str">
        <f>IFERROR(VLOOKUP(PagosV2[[#This Row],[Codigo del producto]],Entradas[],3,FALSE),"No existe")</f>
        <v>Nubwo G06</v>
      </c>
      <c r="E625" s="9">
        <v>1</v>
      </c>
      <c r="F625" s="11">
        <v>1300</v>
      </c>
      <c r="G625" s="11">
        <f>IFERROR(PagosV2[[#This Row],[Cantidad vendida]]*PagosV2[[#This Row],[Precio de venta]],"-")</f>
        <v>1300</v>
      </c>
      <c r="H625" s="11">
        <f>IFERROR(PagosV2[[#This Row],[Precio de venta]]-VLOOKUP(PagosV2[[#This Row],[Codigo del producto]],Stock[],13,FALSE),"-")</f>
        <v>339.68899999999985</v>
      </c>
      <c r="I625" s="11">
        <f>IFERROR(PagosV2[[#This Row],[Ganancia (UB)]]*$B$357,0)</f>
        <v>10.190669999999995</v>
      </c>
      <c r="J625" s="11">
        <f>IFERROR(PagosV2[[#This Row],[Ganancia (UB)]]*$B$358,0)</f>
        <v>20.381339999999991</v>
      </c>
      <c r="K625" s="11">
        <f>IFERROR(PagosV2[[#This Row],[Ganancia (UB)]]*$B$359,0)</f>
        <v>10.190669999999995</v>
      </c>
      <c r="L625" s="11">
        <f>IFERROR(PagosV2[[#This Row],[Ganancia (UB)]]*$B$360,0)</f>
        <v>10.190669999999995</v>
      </c>
      <c r="M625" s="11">
        <f>IFERROR(PagosV2[[#This Row],[Ganancia (UB)]]-PagosV2[[#This Row],[PM]]-PagosV2[[#This Row],[GC]]-PagosV2[[#This Row],[PC]]-PagosV2[[#This Row],[U]],0)</f>
        <v>288.73564999999985</v>
      </c>
      <c r="N625" s="11">
        <f t="shared" si="14"/>
        <v>129.93104249999993</v>
      </c>
      <c r="O625" s="11">
        <f>IFERROR(PagosV2[[#This Row],[Ganancia (UV)]]*PagosV2[[#This Row],[Cantidad vendida]],0)</f>
        <v>129.93104249999993</v>
      </c>
      <c r="P625" s="1">
        <f>IFERROR(PagosV2[[#This Row],[Ganancia (N)]]-PagosV2[[#This Row],[Ganancia (UV)]],0)</f>
        <v>158.80460749999992</v>
      </c>
      <c r="Q625" s="1">
        <f>IFERROR(PagosV2[[#This Row],[Ganancia individual (Tienda)]]*PagosV2[[#This Row],[Cantidad vendida]],0)</f>
        <v>158.80460749999992</v>
      </c>
      <c r="R625" s="1">
        <f>IFERROR((PagosV2[[#This Row],[Precio de venta]]-PagosV2[[#This Row],[Ganancia (UB)]])*PagosV2[[#This Row],[Cantidad vendida]],0)</f>
        <v>960.31100000000015</v>
      </c>
      <c r="S625" s="21" t="s">
        <v>312</v>
      </c>
      <c r="T625" s="21"/>
    </row>
    <row r="626" spans="1:20" ht="16.5" hidden="1" x14ac:dyDescent="0.3">
      <c r="A626" s="9" t="s">
        <v>313</v>
      </c>
      <c r="B626" s="75">
        <v>46164</v>
      </c>
      <c r="C626" s="9" t="s">
        <v>167</v>
      </c>
      <c r="D626" s="9" t="str">
        <f>IFERROR(VLOOKUP(PagosV2[[#This Row],[Codigo del producto]],Entradas[],3,FALSE),"No existe")</f>
        <v>KZ Castor Improved Bass</v>
      </c>
      <c r="E626" s="9">
        <v>1</v>
      </c>
      <c r="F626" s="11">
        <v>700</v>
      </c>
      <c r="G626" s="11">
        <f>IFERROR(PagosV2[[#This Row],[Cantidad vendida]]*PagosV2[[#This Row],[Precio de venta]],"-")</f>
        <v>700</v>
      </c>
      <c r="H626" s="11">
        <f>IFERROR(PagosV2[[#This Row],[Precio de venta]]-VLOOKUP(PagosV2[[#This Row],[Codigo del producto]],Stock[],13,FALSE),"-")</f>
        <v>266.27550000000002</v>
      </c>
      <c r="I626" s="11">
        <f>IFERROR(PagosV2[[#This Row],[Ganancia (UB)]]*$B$357,0)</f>
        <v>7.9882650000000002</v>
      </c>
      <c r="J626" s="11">
        <f>IFERROR(PagosV2[[#This Row],[Ganancia (UB)]]*$B$358,0)</f>
        <v>15.97653</v>
      </c>
      <c r="K626" s="11">
        <f>IFERROR(PagosV2[[#This Row],[Ganancia (UB)]]*$B$359,0)</f>
        <v>7.9882650000000002</v>
      </c>
      <c r="L626" s="11">
        <f>IFERROR(PagosV2[[#This Row],[Ganancia (UB)]]*$B$360,0)</f>
        <v>7.9882650000000002</v>
      </c>
      <c r="M626" s="11">
        <f>IFERROR(PagosV2[[#This Row],[Ganancia (UB)]]-PagosV2[[#This Row],[PM]]-PagosV2[[#This Row],[GC]]-PagosV2[[#This Row],[PC]]-PagosV2[[#This Row],[U]],0)</f>
        <v>226.33417499999999</v>
      </c>
      <c r="N626" s="11">
        <f t="shared" si="14"/>
        <v>101.85037874999999</v>
      </c>
      <c r="O626" s="11">
        <f>IFERROR(PagosV2[[#This Row],[Ganancia (UV)]]*PagosV2[[#This Row],[Cantidad vendida]],0)</f>
        <v>101.85037874999999</v>
      </c>
      <c r="P626" s="1">
        <f>IFERROR(PagosV2[[#This Row],[Ganancia (N)]]-PagosV2[[#This Row],[Ganancia (UV)]],0)</f>
        <v>124.48379625</v>
      </c>
      <c r="Q626" s="1">
        <f>IFERROR(PagosV2[[#This Row],[Ganancia individual (Tienda)]]*PagosV2[[#This Row],[Cantidad vendida]],0)</f>
        <v>124.48379625</v>
      </c>
      <c r="R626" s="1">
        <f>IFERROR((PagosV2[[#This Row],[Precio de venta]]-PagosV2[[#This Row],[Ganancia (UB)]])*PagosV2[[#This Row],[Cantidad vendida]],0)</f>
        <v>433.72449999999998</v>
      </c>
      <c r="S626" s="21" t="s">
        <v>312</v>
      </c>
      <c r="T626" s="21"/>
    </row>
    <row r="627" spans="1:20" ht="16.5" hidden="1" x14ac:dyDescent="0.3">
      <c r="A627" s="9" t="s">
        <v>313</v>
      </c>
      <c r="B627" s="75">
        <v>46164</v>
      </c>
      <c r="C627" s="9" t="s">
        <v>171</v>
      </c>
      <c r="D627" s="9" t="str">
        <f>IFERROR(VLOOKUP(PagosV2[[#This Row],[Codigo del producto]],Entradas[],3,FALSE),"No existe")</f>
        <v>KZ AE01</v>
      </c>
      <c r="E627" s="9">
        <v>1</v>
      </c>
      <c r="F627" s="11">
        <v>900</v>
      </c>
      <c r="G627" s="11">
        <f>IFERROR(PagosV2[[#This Row],[Cantidad vendida]]*PagosV2[[#This Row],[Precio de venta]],"-")</f>
        <v>900</v>
      </c>
      <c r="H627" s="11">
        <f>IFERROR(PagosV2[[#This Row],[Precio de venta]]-VLOOKUP(PagosV2[[#This Row],[Codigo del producto]],Stock[],13,FALSE),"-")</f>
        <v>257.70449999999994</v>
      </c>
      <c r="I627" s="11">
        <f>IFERROR(PagosV2[[#This Row],[Ganancia (UB)]]*$B$357,0)</f>
        <v>7.7311349999999983</v>
      </c>
      <c r="J627" s="11">
        <f>IFERROR(PagosV2[[#This Row],[Ganancia (UB)]]*$B$358,0)</f>
        <v>15.462269999999997</v>
      </c>
      <c r="K627" s="11">
        <f>IFERROR(PagosV2[[#This Row],[Ganancia (UB)]]*$B$359,0)</f>
        <v>7.7311349999999983</v>
      </c>
      <c r="L627" s="11">
        <f>IFERROR(PagosV2[[#This Row],[Ganancia (UB)]]*$B$360,0)</f>
        <v>7.7311349999999983</v>
      </c>
      <c r="M627" s="11">
        <f>IFERROR(PagosV2[[#This Row],[Ganancia (UB)]]-PagosV2[[#This Row],[PM]]-PagosV2[[#This Row],[GC]]-PagosV2[[#This Row],[PC]]-PagosV2[[#This Row],[U]],0)</f>
        <v>219.04882499999997</v>
      </c>
      <c r="N627" s="11">
        <f t="shared" si="14"/>
        <v>98.57197124999999</v>
      </c>
      <c r="O627" s="11">
        <f>IFERROR(PagosV2[[#This Row],[Ganancia (UV)]]*PagosV2[[#This Row],[Cantidad vendida]],0)</f>
        <v>98.57197124999999</v>
      </c>
      <c r="P627" s="1">
        <f>IFERROR(PagosV2[[#This Row],[Ganancia (N)]]-PagosV2[[#This Row],[Ganancia (UV)]],0)</f>
        <v>120.47685374999998</v>
      </c>
      <c r="Q627" s="1">
        <f>IFERROR(PagosV2[[#This Row],[Ganancia individual (Tienda)]]*PagosV2[[#This Row],[Cantidad vendida]],0)</f>
        <v>120.47685374999998</v>
      </c>
      <c r="R627" s="1">
        <f>IFERROR((PagosV2[[#This Row],[Precio de venta]]-PagosV2[[#This Row],[Ganancia (UB)]])*PagosV2[[#This Row],[Cantidad vendida]],0)</f>
        <v>642.29550000000006</v>
      </c>
      <c r="S627" s="21" t="s">
        <v>312</v>
      </c>
      <c r="T627" s="21"/>
    </row>
    <row r="628" spans="1:20" ht="16.5" hidden="1" x14ac:dyDescent="0.3">
      <c r="A628" s="9" t="s">
        <v>315</v>
      </c>
      <c r="B628" s="75">
        <v>46165</v>
      </c>
      <c r="C628" s="9" t="s">
        <v>171</v>
      </c>
      <c r="D628" s="9" t="str">
        <f>IFERROR(VLOOKUP(PagosV2[[#This Row],[Codigo del producto]],Entradas[],3,FALSE),"No existe")</f>
        <v>KZ AE01</v>
      </c>
      <c r="E628" s="9">
        <v>1</v>
      </c>
      <c r="F628" s="11">
        <v>900</v>
      </c>
      <c r="G628" s="11">
        <f>IFERROR(PagosV2[[#This Row],[Cantidad vendida]]*PagosV2[[#This Row],[Precio de venta]],"-")</f>
        <v>900</v>
      </c>
      <c r="H628" s="11">
        <f>IFERROR(PagosV2[[#This Row],[Precio de venta]]-VLOOKUP(PagosV2[[#This Row],[Codigo del producto]],Stock[],13,FALSE),"-")</f>
        <v>257.70449999999994</v>
      </c>
      <c r="I628" s="11">
        <f>IFERROR(PagosV2[[#This Row],[Ganancia (UB)]]*$B$357,0)</f>
        <v>7.7311349999999983</v>
      </c>
      <c r="J628" s="11">
        <f>IFERROR(PagosV2[[#This Row],[Ganancia (UB)]]*$B$358,0)</f>
        <v>15.462269999999997</v>
      </c>
      <c r="K628" s="11">
        <f>IFERROR(PagosV2[[#This Row],[Ganancia (UB)]]*$B$359,0)</f>
        <v>7.7311349999999983</v>
      </c>
      <c r="L628" s="11">
        <f>IFERROR(PagosV2[[#This Row],[Ganancia (UB)]]*$B$360,0)</f>
        <v>7.7311349999999983</v>
      </c>
      <c r="M628" s="11">
        <f>IFERROR(PagosV2[[#This Row],[Ganancia (UB)]]-PagosV2[[#This Row],[PM]]-PagosV2[[#This Row],[GC]]-PagosV2[[#This Row],[PC]]-PagosV2[[#This Row],[U]],0)</f>
        <v>219.04882499999997</v>
      </c>
      <c r="N628" s="11">
        <f t="shared" ref="N628:N634" si="15">IFERROR(
  IF(M628&lt;=0,"-",
    IF(M628&lt;=300, M628*0.45,
      IF(M628&lt;=600, M628*0.4,
        IF(M628&lt;=900, M628*0.38,
          IF(M628&lt;=1000, M628*0.35,
            IF(M628&lt;=1400, M628*0.32,
              IF(M628&lt;=1800, HM628*0.3,
                IF(M628&gt;=2000, M628*0.28,
                  "-"
                )
              )
            )
          )
        )
      )
    )
  ),
  "-"
)</f>
        <v>98.57197124999999</v>
      </c>
      <c r="O628" s="11">
        <f>IFERROR(PagosV2[[#This Row],[Ganancia (UV)]]*PagosV2[[#This Row],[Cantidad vendida]],0)</f>
        <v>98.57197124999999</v>
      </c>
      <c r="P628" s="1">
        <f>IFERROR(PagosV2[[#This Row],[Ganancia (N)]]-PagosV2[[#This Row],[Ganancia (UV)]],0)</f>
        <v>120.47685374999998</v>
      </c>
      <c r="Q628" s="1">
        <f>IFERROR(PagosV2[[#This Row],[Ganancia individual (Tienda)]]*PagosV2[[#This Row],[Cantidad vendida]],0)</f>
        <v>120.47685374999998</v>
      </c>
      <c r="R628" s="1">
        <f>IFERROR((PagosV2[[#This Row],[Precio de venta]]-PagosV2[[#This Row],[Ganancia (UB)]])*PagosV2[[#This Row],[Cantidad vendida]],0)</f>
        <v>642.29550000000006</v>
      </c>
      <c r="S628" s="21" t="s">
        <v>312</v>
      </c>
      <c r="T628" s="21"/>
    </row>
    <row r="629" spans="1:20" ht="16.5" hidden="1" x14ac:dyDescent="0.3">
      <c r="A629" s="9" t="s">
        <v>315</v>
      </c>
      <c r="B629" s="75">
        <v>46165</v>
      </c>
      <c r="C629" s="9" t="s">
        <v>174</v>
      </c>
      <c r="D629" s="9" t="str">
        <f>IFERROR(VLOOKUP(PagosV2[[#This Row],[Codigo del producto]],Entradas[],3,FALSE),"No existe")</f>
        <v>KZ Castor</v>
      </c>
      <c r="E629" s="9">
        <v>1</v>
      </c>
      <c r="F629" s="11">
        <v>700</v>
      </c>
      <c r="G629" s="11">
        <f>IFERROR(PagosV2[[#This Row],[Cantidad vendida]]*PagosV2[[#This Row],[Precio de venta]],"-")</f>
        <v>700</v>
      </c>
      <c r="H629" s="11">
        <f>IFERROR(PagosV2[[#This Row],[Precio de venta]]-VLOOKUP(PagosV2[[#This Row],[Codigo del producto]],Stock[],13,FALSE),"-")</f>
        <v>239.375</v>
      </c>
      <c r="I629" s="11">
        <f>IFERROR(PagosV2[[#This Row],[Ganancia (UB)]]*$B$357,0)</f>
        <v>7.1812499999999995</v>
      </c>
      <c r="J629" s="11">
        <f>IFERROR(PagosV2[[#This Row],[Ganancia (UB)]]*$B$358,0)</f>
        <v>14.362499999999999</v>
      </c>
      <c r="K629" s="11">
        <f>IFERROR(PagosV2[[#This Row],[Ganancia (UB)]]*$B$359,0)</f>
        <v>7.1812499999999995</v>
      </c>
      <c r="L629" s="11">
        <f>IFERROR(PagosV2[[#This Row],[Ganancia (UB)]]*$B$360,0)</f>
        <v>7.1812499999999995</v>
      </c>
      <c r="M629" s="11">
        <f>IFERROR(PagosV2[[#This Row],[Ganancia (UB)]]-PagosV2[[#This Row],[PM]]-PagosV2[[#This Row],[GC]]-PagosV2[[#This Row],[PC]]-PagosV2[[#This Row],[U]],0)</f>
        <v>203.46874999999997</v>
      </c>
      <c r="N629" s="11">
        <f t="shared" si="15"/>
        <v>91.560937499999994</v>
      </c>
      <c r="O629" s="11">
        <f>IFERROR(PagosV2[[#This Row],[Ganancia (UV)]]*PagosV2[[#This Row],[Cantidad vendida]],0)</f>
        <v>91.560937499999994</v>
      </c>
      <c r="P629" s="1">
        <f>IFERROR(PagosV2[[#This Row],[Ganancia (N)]]-PagosV2[[#This Row],[Ganancia (UV)]],0)</f>
        <v>111.90781249999998</v>
      </c>
      <c r="Q629" s="1">
        <f>IFERROR(PagosV2[[#This Row],[Ganancia individual (Tienda)]]*PagosV2[[#This Row],[Cantidad vendida]],0)</f>
        <v>111.90781249999998</v>
      </c>
      <c r="R629" s="1">
        <f>IFERROR((PagosV2[[#This Row],[Precio de venta]]-PagosV2[[#This Row],[Ganancia (UB)]])*PagosV2[[#This Row],[Cantidad vendida]],0)</f>
        <v>460.625</v>
      </c>
      <c r="S629" s="21" t="s">
        <v>312</v>
      </c>
      <c r="T629" s="21"/>
    </row>
    <row r="630" spans="1:20" ht="16.5" hidden="1" x14ac:dyDescent="0.3">
      <c r="A630" s="9" t="s">
        <v>315</v>
      </c>
      <c r="B630" s="75">
        <v>46165</v>
      </c>
      <c r="C630" s="9" t="s">
        <v>156</v>
      </c>
      <c r="D630" s="9" t="str">
        <f>IFERROR(VLOOKUP(PagosV2[[#This Row],[Codigo del producto]],Entradas[],3,FALSE),"No existe")</f>
        <v>KZ Castor Pro</v>
      </c>
      <c r="E630" s="9">
        <v>1</v>
      </c>
      <c r="F630" s="11">
        <v>900</v>
      </c>
      <c r="G630" s="11">
        <f>IFERROR(PagosV2[[#This Row],[Cantidad vendida]]*PagosV2[[#This Row],[Precio de venta]],"-")</f>
        <v>900</v>
      </c>
      <c r="H630" s="11">
        <f>IFERROR(PagosV2[[#This Row],[Precio de venta]]-VLOOKUP(PagosV2[[#This Row],[Codigo del producto]],Stock[],13,FALSE),"-")</f>
        <v>268.02249999999992</v>
      </c>
      <c r="I630" s="11">
        <f>IFERROR(PagosV2[[#This Row],[Ganancia (UB)]]*$B$357,0)</f>
        <v>8.0406749999999967</v>
      </c>
      <c r="J630" s="11">
        <f>IFERROR(PagosV2[[#This Row],[Ganancia (UB)]]*$B$358,0)</f>
        <v>16.081349999999993</v>
      </c>
      <c r="K630" s="11">
        <f>IFERROR(PagosV2[[#This Row],[Ganancia (UB)]]*$B$359,0)</f>
        <v>8.0406749999999967</v>
      </c>
      <c r="L630" s="11">
        <f>IFERROR(PagosV2[[#This Row],[Ganancia (UB)]]*$B$360,0)</f>
        <v>8.0406749999999967</v>
      </c>
      <c r="M630" s="11">
        <f>IFERROR(PagosV2[[#This Row],[Ganancia (UB)]]-PagosV2[[#This Row],[PM]]-PagosV2[[#This Row],[GC]]-PagosV2[[#This Row],[PC]]-PagosV2[[#This Row],[U]],0)</f>
        <v>227.81912499999993</v>
      </c>
      <c r="N630" s="11">
        <f t="shared" si="15"/>
        <v>102.51860624999998</v>
      </c>
      <c r="O630" s="11">
        <f>IFERROR(PagosV2[[#This Row],[Ganancia (UV)]]*PagosV2[[#This Row],[Cantidad vendida]],0)</f>
        <v>102.51860624999998</v>
      </c>
      <c r="P630" s="1">
        <f>IFERROR(PagosV2[[#This Row],[Ganancia (N)]]-PagosV2[[#This Row],[Ganancia (UV)]],0)</f>
        <v>125.30051874999995</v>
      </c>
      <c r="Q630" s="1">
        <f>IFERROR(PagosV2[[#This Row],[Ganancia individual (Tienda)]]*PagosV2[[#This Row],[Cantidad vendida]],0)</f>
        <v>125.30051874999995</v>
      </c>
      <c r="R630" s="1">
        <f>IFERROR((PagosV2[[#This Row],[Precio de venta]]-PagosV2[[#This Row],[Ganancia (UB)]])*PagosV2[[#This Row],[Cantidad vendida]],0)</f>
        <v>631.97750000000008</v>
      </c>
      <c r="S630" s="21" t="s">
        <v>312</v>
      </c>
      <c r="T630" s="21"/>
    </row>
    <row r="631" spans="1:20" ht="16.5" hidden="1" x14ac:dyDescent="0.3">
      <c r="A631" s="9" t="s">
        <v>315</v>
      </c>
      <c r="B631" s="75">
        <v>46165</v>
      </c>
      <c r="C631" s="9" t="s">
        <v>164</v>
      </c>
      <c r="D631" s="9" t="str">
        <f>IFERROR(VLOOKUP(PagosV2[[#This Row],[Codigo del producto]],Entradas[],3,FALSE),"No existe")</f>
        <v>Bolso Protector Audifonos KZ</v>
      </c>
      <c r="E631" s="9">
        <v>2</v>
      </c>
      <c r="F631" s="11">
        <v>50</v>
      </c>
      <c r="G631" s="11">
        <f>IFERROR(PagosV2[[#This Row],[Cantidad vendida]]*PagosV2[[#This Row],[Precio de venta]],"-")</f>
        <v>100</v>
      </c>
      <c r="H631" s="11">
        <f>IFERROR(PagosV2[[#This Row],[Precio de venta]]-VLOOKUP(PagosV2[[#This Row],[Codigo del producto]],Stock[],13,FALSE),"-")</f>
        <v>21.625499999999999</v>
      </c>
      <c r="I631" s="11">
        <f>IFERROR(PagosV2[[#This Row],[Ganancia (UB)]]*$B$357,0)</f>
        <v>0.64876499999999993</v>
      </c>
      <c r="J631" s="11">
        <f>IFERROR(PagosV2[[#This Row],[Ganancia (UB)]]*$B$358,0)</f>
        <v>1.2975299999999999</v>
      </c>
      <c r="K631" s="11">
        <f>IFERROR(PagosV2[[#This Row],[Ganancia (UB)]]*$B$359,0)</f>
        <v>0.64876499999999993</v>
      </c>
      <c r="L631" s="11">
        <f>IFERROR(PagosV2[[#This Row],[Ganancia (UB)]]*$B$360,0)</f>
        <v>0.64876499999999993</v>
      </c>
      <c r="M631" s="11">
        <f>IFERROR(PagosV2[[#This Row],[Ganancia (UB)]]-PagosV2[[#This Row],[PM]]-PagosV2[[#This Row],[GC]]-PagosV2[[#This Row],[PC]]-PagosV2[[#This Row],[U]],0)</f>
        <v>18.381674999999998</v>
      </c>
      <c r="N631" s="11">
        <f t="shared" si="15"/>
        <v>8.2717537499999985</v>
      </c>
      <c r="O631" s="11">
        <f>IFERROR(PagosV2[[#This Row],[Ganancia (UV)]]*PagosV2[[#This Row],[Cantidad vendida]],0)</f>
        <v>16.543507499999997</v>
      </c>
      <c r="P631" s="1">
        <f>IFERROR(PagosV2[[#This Row],[Ganancia (N)]]-PagosV2[[#This Row],[Ganancia (UV)]],0)</f>
        <v>10.109921249999999</v>
      </c>
      <c r="Q631" s="1">
        <f>IFERROR(PagosV2[[#This Row],[Ganancia individual (Tienda)]]*PagosV2[[#This Row],[Cantidad vendida]],0)</f>
        <v>20.219842499999999</v>
      </c>
      <c r="R631" s="1">
        <f>IFERROR((PagosV2[[#This Row],[Precio de venta]]-PagosV2[[#This Row],[Ganancia (UB)]])*PagosV2[[#This Row],[Cantidad vendida]],0)</f>
        <v>56.749000000000002</v>
      </c>
      <c r="S631" s="21" t="s">
        <v>312</v>
      </c>
      <c r="T631" s="21"/>
    </row>
    <row r="632" spans="1:20" ht="16.5" hidden="1" x14ac:dyDescent="0.3">
      <c r="A632" s="9" t="s">
        <v>315</v>
      </c>
      <c r="B632" s="75">
        <v>46165</v>
      </c>
      <c r="C632" s="9" t="s">
        <v>156</v>
      </c>
      <c r="D632" s="9" t="str">
        <f>IFERROR(VLOOKUP(PagosV2[[#This Row],[Codigo del producto]],Entradas[],3,FALSE),"No existe")</f>
        <v>KZ Castor Pro</v>
      </c>
      <c r="E632" s="9">
        <v>1</v>
      </c>
      <c r="F632" s="11">
        <v>800</v>
      </c>
      <c r="G632" s="11">
        <f>IFERROR(PagosV2[[#This Row],[Cantidad vendida]]*PagosV2[[#This Row],[Precio de venta]],"-")</f>
        <v>800</v>
      </c>
      <c r="H632" s="11">
        <f>IFERROR(PagosV2[[#This Row],[Precio de venta]]-VLOOKUP(PagosV2[[#This Row],[Codigo del producto]],Stock[],13,FALSE),"-")</f>
        <v>168.02249999999992</v>
      </c>
      <c r="I632" s="11">
        <f>IFERROR(PagosV2[[#This Row],[Ganancia (UB)]]*$B$357,0)</f>
        <v>5.0406749999999976</v>
      </c>
      <c r="J632" s="11">
        <f>IFERROR(PagosV2[[#This Row],[Ganancia (UB)]]*$B$358,0)</f>
        <v>10.081349999999995</v>
      </c>
      <c r="K632" s="11">
        <f>IFERROR(PagosV2[[#This Row],[Ganancia (UB)]]*$B$359,0)</f>
        <v>5.0406749999999976</v>
      </c>
      <c r="L632" s="11">
        <f>IFERROR(PagosV2[[#This Row],[Ganancia (UB)]]*$B$360,0)</f>
        <v>5.0406749999999976</v>
      </c>
      <c r="M632" s="11">
        <f>IFERROR(PagosV2[[#This Row],[Ganancia (UB)]]-PagosV2[[#This Row],[PM]]-PagosV2[[#This Row],[GC]]-PagosV2[[#This Row],[PC]]-PagosV2[[#This Row],[U]],0)</f>
        <v>142.81912499999996</v>
      </c>
      <c r="N632" s="11">
        <f t="shared" si="15"/>
        <v>64.268606249999976</v>
      </c>
      <c r="O632" s="11">
        <f>IFERROR(PagosV2[[#This Row],[Ganancia (UV)]]*PagosV2[[#This Row],[Cantidad vendida]],0)</f>
        <v>64.268606249999976</v>
      </c>
      <c r="P632" s="1">
        <f>IFERROR(PagosV2[[#This Row],[Ganancia (N)]]-PagosV2[[#This Row],[Ganancia (UV)]],0)</f>
        <v>78.550518749999981</v>
      </c>
      <c r="Q632" s="1">
        <f>IFERROR(PagosV2[[#This Row],[Ganancia individual (Tienda)]]*PagosV2[[#This Row],[Cantidad vendida]],0)</f>
        <v>78.550518749999981</v>
      </c>
      <c r="R632" s="1">
        <f>IFERROR((PagosV2[[#This Row],[Precio de venta]]-PagosV2[[#This Row],[Ganancia (UB)]])*PagosV2[[#This Row],[Cantidad vendida]],0)</f>
        <v>631.97750000000008</v>
      </c>
      <c r="S632" s="21" t="s">
        <v>312</v>
      </c>
      <c r="T632" s="21" t="s">
        <v>497</v>
      </c>
    </row>
    <row r="633" spans="1:20" ht="16.5" hidden="1" x14ac:dyDescent="0.3">
      <c r="A633" s="9" t="s">
        <v>315</v>
      </c>
      <c r="B633" s="75">
        <v>46165</v>
      </c>
      <c r="C633" s="9" t="s">
        <v>181</v>
      </c>
      <c r="D633" s="9" t="str">
        <f>IFERROR(VLOOKUP(PagosV2[[#This Row],[Codigo del producto]],Entradas[],3,FALSE),"No existe")</f>
        <v>KZ AZ15</v>
      </c>
      <c r="E633" s="9">
        <v>1</v>
      </c>
      <c r="F633" s="11">
        <v>1000</v>
      </c>
      <c r="G633" s="11">
        <f>IFERROR(PagosV2[[#This Row],[Cantidad vendida]]*PagosV2[[#This Row],[Precio de venta]],"-")</f>
        <v>1000</v>
      </c>
      <c r="H633" s="11">
        <f>IFERROR(PagosV2[[#This Row],[Precio de venta]]-VLOOKUP(PagosV2[[#This Row],[Codigo del producto]],Stock[],13,FALSE),"-")</f>
        <v>167.55849999999998</v>
      </c>
      <c r="I633" s="11">
        <f>IFERROR(PagosV2[[#This Row],[Ganancia (UB)]]*$B$357,0)</f>
        <v>5.0267549999999996</v>
      </c>
      <c r="J633" s="11">
        <f>IFERROR(PagosV2[[#This Row],[Ganancia (UB)]]*$B$358,0)</f>
        <v>10.053509999999999</v>
      </c>
      <c r="K633" s="11">
        <f>IFERROR(PagosV2[[#This Row],[Ganancia (UB)]]*$B$359,0)</f>
        <v>5.0267549999999996</v>
      </c>
      <c r="L633" s="11">
        <f>IFERROR(PagosV2[[#This Row],[Ganancia (UB)]]*$B$360,0)</f>
        <v>5.0267549999999996</v>
      </c>
      <c r="M633" s="11">
        <f>IFERROR(PagosV2[[#This Row],[Ganancia (UB)]]-PagosV2[[#This Row],[PM]]-PagosV2[[#This Row],[GC]]-PagosV2[[#This Row],[PC]]-PagosV2[[#This Row],[U]],0)</f>
        <v>142.42472499999997</v>
      </c>
      <c r="N633" s="11">
        <f t="shared" si="15"/>
        <v>64.091126249999988</v>
      </c>
      <c r="O633" s="11">
        <f>IFERROR(PagosV2[[#This Row],[Ganancia (UV)]]*PagosV2[[#This Row],[Cantidad vendida]],0)</f>
        <v>64.091126249999988</v>
      </c>
      <c r="P633" s="1">
        <f>IFERROR(PagosV2[[#This Row],[Ganancia (N)]]-PagosV2[[#This Row],[Ganancia (UV)]],0)</f>
        <v>78.333598749999979</v>
      </c>
      <c r="Q633" s="1">
        <f>IFERROR(PagosV2[[#This Row],[Ganancia individual (Tienda)]]*PagosV2[[#This Row],[Cantidad vendida]],0)</f>
        <v>78.333598749999979</v>
      </c>
      <c r="R633" s="1">
        <f>IFERROR((PagosV2[[#This Row],[Precio de venta]]-PagosV2[[#This Row],[Ganancia (UB)]])*PagosV2[[#This Row],[Cantidad vendida]],0)</f>
        <v>832.44150000000002</v>
      </c>
      <c r="S633" s="21" t="s">
        <v>312</v>
      </c>
      <c r="T633" s="21" t="s">
        <v>498</v>
      </c>
    </row>
    <row r="634" spans="1:20" ht="16.5" hidden="1" x14ac:dyDescent="0.3">
      <c r="A634" s="9" t="s">
        <v>315</v>
      </c>
      <c r="B634" s="75">
        <v>46165</v>
      </c>
      <c r="C634" s="9" t="s">
        <v>147</v>
      </c>
      <c r="D634" s="9" t="str">
        <f>IFERROR(VLOOKUP(PagosV2[[#This Row],[Codigo del producto]],Entradas[],3,FALSE),"No existe")</f>
        <v>Headset Bluetooth para moto (Y10)</v>
      </c>
      <c r="E634" s="9">
        <v>1</v>
      </c>
      <c r="F634" s="11">
        <v>650</v>
      </c>
      <c r="G634" s="11">
        <f>IFERROR(PagosV2[[#This Row],[Cantidad vendida]]*PagosV2[[#This Row],[Precio de venta]],"-")</f>
        <v>650</v>
      </c>
      <c r="H634" s="11">
        <f>IFERROR(PagosV2[[#This Row],[Precio de venta]]-VLOOKUP(PagosV2[[#This Row],[Codigo del producto]],Stock[],13,FALSE),"-")</f>
        <v>301.399</v>
      </c>
      <c r="I634" s="11">
        <f>IFERROR(PagosV2[[#This Row],[Ganancia (UB)]]*$B$357,0)</f>
        <v>9.0419699999999992</v>
      </c>
      <c r="J634" s="11">
        <f>IFERROR(PagosV2[[#This Row],[Ganancia (UB)]]*$B$358,0)</f>
        <v>18.083939999999998</v>
      </c>
      <c r="K634" s="11">
        <f>IFERROR(PagosV2[[#This Row],[Ganancia (UB)]]*$B$359,0)</f>
        <v>9.0419699999999992</v>
      </c>
      <c r="L634" s="11">
        <f>IFERROR(PagosV2[[#This Row],[Ganancia (UB)]]*$B$360,0)</f>
        <v>9.0419699999999992</v>
      </c>
      <c r="M634" s="11">
        <f>IFERROR(PagosV2[[#This Row],[Ganancia (UB)]]-PagosV2[[#This Row],[PM]]-PagosV2[[#This Row],[GC]]-PagosV2[[#This Row],[PC]]-PagosV2[[#This Row],[U]],0)</f>
        <v>256.18915000000004</v>
      </c>
      <c r="N634" s="11">
        <f t="shared" si="15"/>
        <v>115.28511750000003</v>
      </c>
      <c r="O634" s="11">
        <f>IFERROR(PagosV2[[#This Row],[Ganancia (UV)]]*PagosV2[[#This Row],[Cantidad vendida]],0)</f>
        <v>115.28511750000003</v>
      </c>
      <c r="P634" s="1">
        <f>IFERROR(PagosV2[[#This Row],[Ganancia (N)]]-PagosV2[[#This Row],[Ganancia (UV)]],0)</f>
        <v>140.90403250000003</v>
      </c>
      <c r="Q634" s="1">
        <f>IFERROR(PagosV2[[#This Row],[Ganancia individual (Tienda)]]*PagosV2[[#This Row],[Cantidad vendida]],0)</f>
        <v>140.90403250000003</v>
      </c>
      <c r="R634" s="1">
        <f>IFERROR((PagosV2[[#This Row],[Precio de venta]]-PagosV2[[#This Row],[Ganancia (UB)]])*PagosV2[[#This Row],[Cantidad vendida]],0)</f>
        <v>348.601</v>
      </c>
      <c r="S634" s="21" t="s">
        <v>312</v>
      </c>
      <c r="T634" s="21" t="s">
        <v>499</v>
      </c>
    </row>
    <row r="635" spans="1:20" ht="16.5" hidden="1" x14ac:dyDescent="0.3">
      <c r="A635" s="9" t="s">
        <v>311</v>
      </c>
      <c r="B635" s="75">
        <v>46166</v>
      </c>
      <c r="C635" s="9" t="s">
        <v>154</v>
      </c>
      <c r="D635" s="9" t="str">
        <f>IFERROR(VLOOKUP(PagosV2[[#This Row],[Codigo del producto]],Entradas[],3,FALSE),"No existe")</f>
        <v xml:space="preserve">Attack Shark Mouse X11 negro </v>
      </c>
      <c r="E635" s="9">
        <v>1</v>
      </c>
      <c r="F635" s="11">
        <v>1200</v>
      </c>
      <c r="G635" s="11">
        <f>IFERROR(PagosV2[[#This Row],[Cantidad vendida]]*PagosV2[[#This Row],[Precio de venta]],"-")</f>
        <v>1200</v>
      </c>
      <c r="H635" s="11">
        <f>IFERROR(PagosV2[[#This Row],[Precio de venta]]-VLOOKUP(PagosV2[[#This Row],[Codigo del producto]],Stock[],13,FALSE),"-")</f>
        <v>277.64449999999988</v>
      </c>
      <c r="I635" s="11">
        <f>IFERROR(PagosV2[[#This Row],[Ganancia (UB)]]*$B$357,0)</f>
        <v>8.3293349999999968</v>
      </c>
      <c r="J635" s="11">
        <f>IFERROR(PagosV2[[#This Row],[Ganancia (UB)]]*$B$358,0)</f>
        <v>16.658669999999994</v>
      </c>
      <c r="K635" s="11">
        <f>IFERROR(PagosV2[[#This Row],[Ganancia (UB)]]*$B$359,0)</f>
        <v>8.3293349999999968</v>
      </c>
      <c r="L635" s="11">
        <f>IFERROR(PagosV2[[#This Row],[Ganancia (UB)]]*$B$360,0)</f>
        <v>8.3293349999999968</v>
      </c>
      <c r="M635" s="11">
        <f>IFERROR(PagosV2[[#This Row],[Ganancia (UB)]]-PagosV2[[#This Row],[PM]]-PagosV2[[#This Row],[GC]]-PagosV2[[#This Row],[PC]]-PagosV2[[#This Row],[U]],0)</f>
        <v>235.99782499999989</v>
      </c>
      <c r="N635" s="11">
        <f>IFERROR(
  IF(M635&lt;=0,"-",
    IF(M635&lt;=300, M635*0.45,
      IF(M635&lt;=600, M635*0.4,
        IF(M635&lt;=900, M635*0.38,
          IF(M635&lt;=1000, M635*0.35,
            IF(M635&lt;=1400, M635*0.32,
              IF(M635&lt;=1800, HM635*0.3,
                IF(M635&gt;=2000, M635*0.28,
                  "-"
                )
              )
            )
          )
        )
      )
    )
  ),
  "-"
)</f>
        <v>106.19902124999996</v>
      </c>
      <c r="O635" s="11">
        <f>IFERROR(PagosV2[[#This Row],[Ganancia (UV)]]*PagosV2[[#This Row],[Cantidad vendida]],0)</f>
        <v>106.19902124999996</v>
      </c>
      <c r="P635" s="1">
        <f>IFERROR(PagosV2[[#This Row],[Ganancia (N)]]-PagosV2[[#This Row],[Ganancia (UV)]],0)</f>
        <v>129.79880374999993</v>
      </c>
      <c r="Q635" s="1">
        <f>IFERROR(PagosV2[[#This Row],[Ganancia individual (Tienda)]]*PagosV2[[#This Row],[Cantidad vendida]],0)</f>
        <v>129.79880374999993</v>
      </c>
      <c r="R635" s="1">
        <f>IFERROR((PagosV2[[#This Row],[Precio de venta]]-PagosV2[[#This Row],[Ganancia (UB)]])*PagosV2[[#This Row],[Cantidad vendida]],0)</f>
        <v>922.35550000000012</v>
      </c>
      <c r="S635" s="21" t="s">
        <v>312</v>
      </c>
      <c r="T635" s="21"/>
    </row>
    <row r="636" spans="1:20" ht="16.5" hidden="1" x14ac:dyDescent="0.3">
      <c r="A636" s="9" t="s">
        <v>311</v>
      </c>
      <c r="B636" s="75">
        <v>46166</v>
      </c>
      <c r="C636" s="9" t="s">
        <v>152</v>
      </c>
      <c r="D636" s="9" t="str">
        <f>IFERROR(VLOOKUP(PagosV2[[#This Row],[Codigo del producto]],Entradas[],3,FALSE),"No existe")</f>
        <v>Kit Estuche para Nintendo Switch</v>
      </c>
      <c r="E636" s="9">
        <v>1</v>
      </c>
      <c r="F636" s="11">
        <v>750</v>
      </c>
      <c r="G636" s="11">
        <f>IFERROR(PagosV2[[#This Row],[Cantidad vendida]]*PagosV2[[#This Row],[Precio de venta]],"-")</f>
        <v>750</v>
      </c>
      <c r="H636" s="11">
        <f>IFERROR(PagosV2[[#This Row],[Precio de venta]]-VLOOKUP(PagosV2[[#This Row],[Codigo del producto]],Stock[],13,FALSE),"-")</f>
        <v>318.11799999999994</v>
      </c>
      <c r="I636" s="11">
        <f>IFERROR(PagosV2[[#This Row],[Ganancia (UB)]]*$B$357,0)</f>
        <v>9.5435399999999984</v>
      </c>
      <c r="J636" s="11">
        <f>IFERROR(PagosV2[[#This Row],[Ganancia (UB)]]*$B$358,0)</f>
        <v>19.087079999999997</v>
      </c>
      <c r="K636" s="11">
        <f>IFERROR(PagosV2[[#This Row],[Ganancia (UB)]]*$B$359,0)</f>
        <v>9.5435399999999984</v>
      </c>
      <c r="L636" s="11">
        <f>IFERROR(PagosV2[[#This Row],[Ganancia (UB)]]*$B$360,0)</f>
        <v>9.5435399999999984</v>
      </c>
      <c r="M636" s="11">
        <f>IFERROR(PagosV2[[#This Row],[Ganancia (UB)]]-PagosV2[[#This Row],[PM]]-PagosV2[[#This Row],[GC]]-PagosV2[[#This Row],[PC]]-PagosV2[[#This Row],[U]],0)</f>
        <v>270.4002999999999</v>
      </c>
      <c r="N636" s="11">
        <f>IFERROR(
  IF(M636&lt;=0,"-",
    IF(M636&lt;=300, M636*0.45,
      IF(M636&lt;=600, M636*0.4,
        IF(M636&lt;=900, M636*0.38,
          IF(M636&lt;=1000, M636*0.35,
            IF(M636&lt;=1400, M636*0.32,
              IF(M636&lt;=1800, HM636*0.3,
                IF(M636&gt;=2000, M636*0.28,
                  "-"
                )
              )
            )
          )
        )
      )
    )
  ),
  "-"
)</f>
        <v>121.68013499999996</v>
      </c>
      <c r="O636" s="11">
        <f>IFERROR(PagosV2[[#This Row],[Ganancia (UV)]]*PagosV2[[#This Row],[Cantidad vendida]],0)</f>
        <v>121.68013499999996</v>
      </c>
      <c r="P636" s="1">
        <f>IFERROR(PagosV2[[#This Row],[Ganancia (N)]]-PagosV2[[#This Row],[Ganancia (UV)]],0)</f>
        <v>148.72016499999995</v>
      </c>
      <c r="Q636" s="1">
        <f>IFERROR(PagosV2[[#This Row],[Ganancia individual (Tienda)]]*PagosV2[[#This Row],[Cantidad vendida]],0)</f>
        <v>148.72016499999995</v>
      </c>
      <c r="R636" s="1">
        <f>IFERROR((PagosV2[[#This Row],[Precio de venta]]-PagosV2[[#This Row],[Ganancia (UB)]])*PagosV2[[#This Row],[Cantidad vendida]],0)</f>
        <v>431.88200000000006</v>
      </c>
      <c r="S636" s="21" t="s">
        <v>312</v>
      </c>
      <c r="T636" s="21"/>
    </row>
    <row r="637" spans="1:20" ht="16.5" hidden="1" x14ac:dyDescent="0.3">
      <c r="A637" s="9" t="s">
        <v>311</v>
      </c>
      <c r="B637" s="75">
        <v>46166</v>
      </c>
      <c r="C637" s="9" t="s">
        <v>142</v>
      </c>
      <c r="D637" s="9" t="str">
        <f>IFERROR(VLOOKUP(PagosV2[[#This Row],[Codigo del producto]],Entradas[],3,FALSE),"No existe")</f>
        <v>Headset Bluetooth para moto (Regular)</v>
      </c>
      <c r="E637" s="9">
        <v>1</v>
      </c>
      <c r="F637" s="11">
        <v>500</v>
      </c>
      <c r="G637" s="11">
        <f>IFERROR(PagosV2[[#This Row],[Cantidad vendida]]*PagosV2[[#This Row],[Precio de venta]],"-")</f>
        <v>500</v>
      </c>
      <c r="H637" s="11">
        <f>IFERROR(PagosV2[[#This Row],[Precio de venta]]-VLOOKUP(PagosV2[[#This Row],[Codigo del producto]],Stock[],13,FALSE),"-")</f>
        <v>186.77499999999998</v>
      </c>
      <c r="I637" s="11">
        <f>IFERROR(PagosV2[[#This Row],[Ganancia (UB)]]*$B$357,0)</f>
        <v>5.6032499999999992</v>
      </c>
      <c r="J637" s="11">
        <f>IFERROR(PagosV2[[#This Row],[Ganancia (UB)]]*$B$358,0)</f>
        <v>11.206499999999998</v>
      </c>
      <c r="K637" s="11">
        <f>IFERROR(PagosV2[[#This Row],[Ganancia (UB)]]*$B$359,0)</f>
        <v>5.6032499999999992</v>
      </c>
      <c r="L637" s="11">
        <f>IFERROR(PagosV2[[#This Row],[Ganancia (UB)]]*$B$360,0)</f>
        <v>5.6032499999999992</v>
      </c>
      <c r="M637" s="11">
        <f>IFERROR(PagosV2[[#This Row],[Ganancia (UB)]]-PagosV2[[#This Row],[PM]]-PagosV2[[#This Row],[GC]]-PagosV2[[#This Row],[PC]]-PagosV2[[#This Row],[U]],0)</f>
        <v>158.75874999999996</v>
      </c>
      <c r="N637" s="11">
        <f>IFERROR(
  IF(M637&lt;=0,"-",
    IF(M637&lt;=300, M637*0.45,
      IF(M637&lt;=600, M637*0.4,
        IF(M637&lt;=900, M637*0.38,
          IF(M637&lt;=1000, M637*0.35,
            IF(M637&lt;=1400, M637*0.32,
              IF(M637&lt;=1800, HM637*0.3,
                IF(M637&gt;=2000, M637*0.28,
                  "-"
                )
              )
            )
          )
        )
      )
    )
  ),
  "-"
)</f>
        <v>71.441437499999992</v>
      </c>
      <c r="O637" s="11">
        <f>IFERROR(PagosV2[[#This Row],[Ganancia (UV)]]*PagosV2[[#This Row],[Cantidad vendida]],0)</f>
        <v>71.441437499999992</v>
      </c>
      <c r="P637" s="1">
        <f>IFERROR(PagosV2[[#This Row],[Ganancia (N)]]-PagosV2[[#This Row],[Ganancia (UV)]],0)</f>
        <v>87.317312499999971</v>
      </c>
      <c r="Q637" s="1">
        <f>IFERROR(PagosV2[[#This Row],[Ganancia individual (Tienda)]]*PagosV2[[#This Row],[Cantidad vendida]],0)</f>
        <v>87.317312499999971</v>
      </c>
      <c r="R637" s="1">
        <f>IFERROR((PagosV2[[#This Row],[Precio de venta]]-PagosV2[[#This Row],[Ganancia (UB)]])*PagosV2[[#This Row],[Cantidad vendida]],0)</f>
        <v>313.22500000000002</v>
      </c>
      <c r="S637" s="21" t="s">
        <v>312</v>
      </c>
      <c r="T637" s="21"/>
    </row>
    <row r="638" spans="1:20" ht="16.5" hidden="1" x14ac:dyDescent="0.3">
      <c r="A638" s="9" t="s">
        <v>313</v>
      </c>
      <c r="B638" s="75">
        <v>46167</v>
      </c>
      <c r="C638" s="9" t="s">
        <v>154</v>
      </c>
      <c r="D638" s="9" t="str">
        <f>IFERROR(VLOOKUP(PagosV2[[#This Row],[Codigo del producto]],Entradas[],3,FALSE),"No existe")</f>
        <v xml:space="preserve">Attack Shark Mouse X11 negro </v>
      </c>
      <c r="E638" s="9">
        <v>1</v>
      </c>
      <c r="F638" s="11">
        <v>1200</v>
      </c>
      <c r="G638" s="11">
        <f>IFERROR(PagosV2[[#This Row],[Cantidad vendida]]*PagosV2[[#This Row],[Precio de venta]],"-")</f>
        <v>1200</v>
      </c>
      <c r="H638" s="11">
        <f>IFERROR(PagosV2[[#This Row],[Precio de venta]]-VLOOKUP(PagosV2[[#This Row],[Codigo del producto]],Stock[],13,FALSE),"-")</f>
        <v>277.64449999999988</v>
      </c>
      <c r="I638" s="11">
        <f>IFERROR(PagosV2[[#This Row],[Ganancia (UB)]]*$B$357,0)</f>
        <v>8.3293349999999968</v>
      </c>
      <c r="J638" s="11">
        <f>IFERROR(PagosV2[[#This Row],[Ganancia (UB)]]*$B$358,0)</f>
        <v>16.658669999999994</v>
      </c>
      <c r="K638" s="11">
        <f>IFERROR(PagosV2[[#This Row],[Ganancia (UB)]]*$B$359,0)</f>
        <v>8.3293349999999968</v>
      </c>
      <c r="L638" s="11">
        <f>IFERROR(PagosV2[[#This Row],[Ganancia (UB)]]*$B$360,0)</f>
        <v>8.3293349999999968</v>
      </c>
      <c r="M638" s="11">
        <f>IFERROR(PagosV2[[#This Row],[Ganancia (UB)]]-PagosV2[[#This Row],[PM]]-PagosV2[[#This Row],[GC]]-PagosV2[[#This Row],[PC]]-PagosV2[[#This Row],[U]],0)</f>
        <v>235.99782499999989</v>
      </c>
      <c r="N638" s="11">
        <f>IFERROR(
  IF(M638&lt;=0,"-",
    IF(M638&lt;=300, M638*0.45,
      IF(M638&lt;=600, M638*0.4,
        IF(M638&lt;=900, M638*0.38,
          IF(M638&lt;=1000, M638*0.35,
            IF(M638&lt;=1400, M638*0.32,
              IF(M638&lt;=1800, HM638*0.3,
                IF(M638&gt;=2000, M638*0.28,
                  "-"
                )
              )
            )
          )
        )
      )
    )
  ),
  "-"
)</f>
        <v>106.19902124999996</v>
      </c>
      <c r="O638" s="11">
        <f>IFERROR(PagosV2[[#This Row],[Ganancia (UV)]]*PagosV2[[#This Row],[Cantidad vendida]],0)</f>
        <v>106.19902124999996</v>
      </c>
      <c r="P638" s="1">
        <f>IFERROR(PagosV2[[#This Row],[Ganancia (N)]]-PagosV2[[#This Row],[Ganancia (UV)]],0)</f>
        <v>129.79880374999993</v>
      </c>
      <c r="Q638" s="1">
        <f>IFERROR(PagosV2[[#This Row],[Ganancia individual (Tienda)]]*PagosV2[[#This Row],[Cantidad vendida]],0)</f>
        <v>129.79880374999993</v>
      </c>
      <c r="R638" s="1">
        <f>IFERROR((PagosV2[[#This Row],[Precio de venta]]-PagosV2[[#This Row],[Ganancia (UB)]])*PagosV2[[#This Row],[Cantidad vendida]],0)</f>
        <v>922.35550000000012</v>
      </c>
      <c r="S638" s="21" t="s">
        <v>312</v>
      </c>
      <c r="T638" s="21"/>
    </row>
    <row r="639" spans="1:20" ht="16.5" hidden="1" x14ac:dyDescent="0.3">
      <c r="A639" s="9" t="s">
        <v>311</v>
      </c>
      <c r="B639" s="75">
        <v>46167</v>
      </c>
      <c r="C639" s="9" t="s">
        <v>130</v>
      </c>
      <c r="D639" s="9" t="str">
        <f>IFERROR(VLOOKUP(PagosV2[[#This Row],[Codigo del producto]],Entradas[],3,FALSE),"No existe")</f>
        <v>Cargadores USB para moto (Sin pantalla)</v>
      </c>
      <c r="E639" s="9">
        <v>1</v>
      </c>
      <c r="F639" s="11">
        <v>500</v>
      </c>
      <c r="G639" s="11">
        <f>IFERROR(PagosV2[[#This Row],[Cantidad vendida]]*PagosV2[[#This Row],[Precio de venta]],"-")</f>
        <v>500</v>
      </c>
      <c r="H639" s="11">
        <f>IFERROR(PagosV2[[#This Row],[Precio de venta]]-VLOOKUP(PagosV2[[#This Row],[Codigo del producto]],Stock[],13,FALSE),"-")</f>
        <v>255.68449999999996</v>
      </c>
      <c r="I639" s="11">
        <f>IFERROR(PagosV2[[#This Row],[Ganancia (UB)]]*$B$357,0)</f>
        <v>7.6705349999999983</v>
      </c>
      <c r="J639" s="11">
        <f>IFERROR(PagosV2[[#This Row],[Ganancia (UB)]]*$B$358,0)</f>
        <v>15.341069999999997</v>
      </c>
      <c r="K639" s="11">
        <f>IFERROR(PagosV2[[#This Row],[Ganancia (UB)]]*$B$359,0)</f>
        <v>7.6705349999999983</v>
      </c>
      <c r="L639" s="11">
        <f>IFERROR(PagosV2[[#This Row],[Ganancia (UB)]]*$B$360,0)</f>
        <v>7.6705349999999983</v>
      </c>
      <c r="M639" s="11">
        <f>IFERROR(PagosV2[[#This Row],[Ganancia (UB)]]-PagosV2[[#This Row],[PM]]-PagosV2[[#This Row],[GC]]-PagosV2[[#This Row],[PC]]-PagosV2[[#This Row],[U]],0)</f>
        <v>217.33182499999995</v>
      </c>
      <c r="N639" s="11">
        <f t="shared" si="14"/>
        <v>97.799321249999977</v>
      </c>
      <c r="O639" s="11">
        <f>IFERROR(PagosV2[[#This Row],[Ganancia (UV)]]*PagosV2[[#This Row],[Cantidad vendida]],0)</f>
        <v>97.799321249999977</v>
      </c>
      <c r="P639" s="1">
        <f>IFERROR(PagosV2[[#This Row],[Ganancia (N)]]-PagosV2[[#This Row],[Ganancia (UV)]],0)</f>
        <v>119.53250374999998</v>
      </c>
      <c r="Q639" s="1">
        <f>IFERROR(PagosV2[[#This Row],[Ganancia individual (Tienda)]]*PagosV2[[#This Row],[Cantidad vendida]],0)</f>
        <v>119.53250374999998</v>
      </c>
      <c r="R639" s="1">
        <f>IFERROR((PagosV2[[#This Row],[Precio de venta]]-PagosV2[[#This Row],[Ganancia (UB)]])*PagosV2[[#This Row],[Cantidad vendida]],0)</f>
        <v>244.31550000000004</v>
      </c>
      <c r="S639" s="21" t="s">
        <v>312</v>
      </c>
      <c r="T639" s="21"/>
    </row>
    <row r="640" spans="1:20" ht="16.5" hidden="1" x14ac:dyDescent="0.3">
      <c r="A640" s="9" t="s">
        <v>327</v>
      </c>
      <c r="B640" s="75">
        <v>46167</v>
      </c>
      <c r="C640" s="9" t="s">
        <v>156</v>
      </c>
      <c r="D640" s="9" t="str">
        <f>IFERROR(VLOOKUP(PagosV2[[#This Row],[Codigo del producto]],Entradas[],3,FALSE),"No existe")</f>
        <v>KZ Castor Pro</v>
      </c>
      <c r="E640" s="9">
        <v>1</v>
      </c>
      <c r="F640" s="11">
        <v>900</v>
      </c>
      <c r="G640" s="11">
        <f>IFERROR(PagosV2[[#This Row],[Cantidad vendida]]*PagosV2[[#This Row],[Precio de venta]],"-")</f>
        <v>900</v>
      </c>
      <c r="H640" s="11">
        <f>IFERROR(PagosV2[[#This Row],[Precio de venta]]-VLOOKUP(PagosV2[[#This Row],[Codigo del producto]],Stock[],13,FALSE),"-")</f>
        <v>268.02249999999992</v>
      </c>
      <c r="I640" s="11">
        <f>IFERROR(PagosV2[[#This Row],[Ganancia (UB)]]*$B$357,0)</f>
        <v>8.0406749999999967</v>
      </c>
      <c r="J640" s="11">
        <f>IFERROR(PagosV2[[#This Row],[Ganancia (UB)]]*$B$358,0)</f>
        <v>16.081349999999993</v>
      </c>
      <c r="K640" s="11">
        <f>IFERROR(PagosV2[[#This Row],[Ganancia (UB)]]*$B$359,0)</f>
        <v>8.0406749999999967</v>
      </c>
      <c r="L640" s="11">
        <f>IFERROR(PagosV2[[#This Row],[Ganancia (UB)]]*$B$360,0)</f>
        <v>8.0406749999999967</v>
      </c>
      <c r="M640" s="11">
        <f>IFERROR(PagosV2[[#This Row],[Ganancia (UB)]]-PagosV2[[#This Row],[PM]]-PagosV2[[#This Row],[GC]]-PagosV2[[#This Row],[PC]]-PagosV2[[#This Row],[U]],0)</f>
        <v>227.81912499999993</v>
      </c>
      <c r="N640" s="11">
        <f t="shared" si="12"/>
        <v>102.51860624999998</v>
      </c>
      <c r="O640" s="11">
        <f>IFERROR(PagosV2[[#This Row],[Ganancia (UV)]]*PagosV2[[#This Row],[Cantidad vendida]],0)</f>
        <v>102.51860624999998</v>
      </c>
      <c r="P640" s="1">
        <f>IFERROR(PagosV2[[#This Row],[Ganancia (N)]]-PagosV2[[#This Row],[Ganancia (UV)]],0)</f>
        <v>125.30051874999995</v>
      </c>
      <c r="Q640" s="1">
        <f>IFERROR(PagosV2[[#This Row],[Ganancia individual (Tienda)]]*PagosV2[[#This Row],[Cantidad vendida]],0)</f>
        <v>125.30051874999995</v>
      </c>
      <c r="R640" s="1">
        <f>IFERROR((PagosV2[[#This Row],[Precio de venta]]-PagosV2[[#This Row],[Ganancia (UB)]])*PagosV2[[#This Row],[Cantidad vendida]],0)</f>
        <v>631.97750000000008</v>
      </c>
      <c r="S640" s="21" t="s">
        <v>312</v>
      </c>
      <c r="T640" s="21"/>
    </row>
    <row r="641" spans="1:20" ht="16.5" hidden="1" x14ac:dyDescent="0.3">
      <c r="A641" s="9" t="s">
        <v>311</v>
      </c>
      <c r="B641" s="75">
        <v>46168</v>
      </c>
      <c r="C641" s="9" t="s">
        <v>170</v>
      </c>
      <c r="D641" s="9" t="str">
        <f>IFERROR(VLOOKUP(PagosV2[[#This Row],[Codigo del producto]],Entradas[],3,FALSE),"No existe")</f>
        <v>KZ AZ09</v>
      </c>
      <c r="E641" s="9">
        <v>2</v>
      </c>
      <c r="F641" s="11">
        <v>900</v>
      </c>
      <c r="G641" s="11">
        <f>IFERROR(PagosV2[[#This Row],[Cantidad vendida]]*PagosV2[[#This Row],[Precio de venta]],"-")</f>
        <v>1800</v>
      </c>
      <c r="H641" s="11">
        <f>IFERROR(PagosV2[[#This Row],[Precio de venta]]-VLOOKUP(PagosV2[[#This Row],[Codigo del producto]],Stock[],13,FALSE),"-")</f>
        <v>336.93200000000002</v>
      </c>
      <c r="I641" s="11">
        <f>IFERROR(PagosV2[[#This Row],[Ganancia (UB)]]*$B$357,0)</f>
        <v>10.10796</v>
      </c>
      <c r="J641" s="11">
        <f>IFERROR(PagosV2[[#This Row],[Ganancia (UB)]]*$B$358,0)</f>
        <v>20.215920000000001</v>
      </c>
      <c r="K641" s="11">
        <f>IFERROR(PagosV2[[#This Row],[Ganancia (UB)]]*$B$359,0)</f>
        <v>10.10796</v>
      </c>
      <c r="L641" s="11">
        <f>IFERROR(PagosV2[[#This Row],[Ganancia (UB)]]*$B$360,0)</f>
        <v>10.10796</v>
      </c>
      <c r="M641" s="11">
        <f>IFERROR(PagosV2[[#This Row],[Ganancia (UB)]]-PagosV2[[#This Row],[PM]]-PagosV2[[#This Row],[GC]]-PagosV2[[#This Row],[PC]]-PagosV2[[#This Row],[U]],0)</f>
        <v>286.39220000000006</v>
      </c>
      <c r="N641" s="11">
        <f t="shared" ref="N641:N647" si="16">IFERROR(
  IF(M641&lt;=0,"-",
    IF(M641&lt;=300, M641*0.45,
      IF(M641&lt;=600, M641*0.4,
        IF(M641&lt;=900, M641*0.38,
          IF(M641&lt;=1000, M641*0.35,
            IF(M641&lt;=1400, M641*0.32,
              IF(M641&lt;=1800, HM641*0.3,
                IF(M641&gt;=2000, M641*0.28,
                  "-"
                )
              )
            )
          )
        )
      )
    )
  ),
  "-"
)</f>
        <v>128.87649000000002</v>
      </c>
      <c r="O641" s="11">
        <f>IFERROR(PagosV2[[#This Row],[Ganancia (UV)]]*PagosV2[[#This Row],[Cantidad vendida]],0)</f>
        <v>257.75298000000004</v>
      </c>
      <c r="P641" s="1">
        <f>IFERROR(PagosV2[[#This Row],[Ganancia (N)]]-PagosV2[[#This Row],[Ganancia (UV)]],0)</f>
        <v>157.51571000000004</v>
      </c>
      <c r="Q641" s="1">
        <f>IFERROR(PagosV2[[#This Row],[Ganancia individual (Tienda)]]*PagosV2[[#This Row],[Cantidad vendida]],0)</f>
        <v>315.03142000000008</v>
      </c>
      <c r="R641" s="1">
        <f>IFERROR((PagosV2[[#This Row],[Precio de venta]]-PagosV2[[#This Row],[Ganancia (UB)]])*PagosV2[[#This Row],[Cantidad vendida]],0)</f>
        <v>1126.136</v>
      </c>
      <c r="S641" s="21" t="s">
        <v>312</v>
      </c>
      <c r="T641" s="21"/>
    </row>
    <row r="642" spans="1:20" ht="16.5" hidden="1" x14ac:dyDescent="0.3">
      <c r="A642" s="9" t="s">
        <v>311</v>
      </c>
      <c r="B642" s="75">
        <v>46168</v>
      </c>
      <c r="C642" s="9" t="s">
        <v>177</v>
      </c>
      <c r="D642" s="9" t="str">
        <f>IFERROR(VLOOKUP(PagosV2[[#This Row],[Codigo del producto]],Entradas[],3,FALSE),"No existe")</f>
        <v xml:space="preserve">KZ ZST </v>
      </c>
      <c r="E642" s="9">
        <v>1</v>
      </c>
      <c r="F642" s="11">
        <v>700</v>
      </c>
      <c r="G642" s="11">
        <f>IFERROR(PagosV2[[#This Row],[Cantidad vendida]]*PagosV2[[#This Row],[Precio de venta]],"-")</f>
        <v>700</v>
      </c>
      <c r="H642" s="11">
        <f>IFERROR(PagosV2[[#This Row],[Precio de venta]]-VLOOKUP(PagosV2[[#This Row],[Codigo del producto]],Stock[],13,FALSE),"-")</f>
        <v>262.22199999999998</v>
      </c>
      <c r="I642" s="11">
        <f>IFERROR(PagosV2[[#This Row],[Ganancia (UB)]]*$B$357,0)</f>
        <v>7.8666599999999995</v>
      </c>
      <c r="J642" s="11">
        <f>IFERROR(PagosV2[[#This Row],[Ganancia (UB)]]*$B$358,0)</f>
        <v>15.733319999999999</v>
      </c>
      <c r="K642" s="11">
        <f>IFERROR(PagosV2[[#This Row],[Ganancia (UB)]]*$B$359,0)</f>
        <v>7.8666599999999995</v>
      </c>
      <c r="L642" s="11">
        <f>IFERROR(PagosV2[[#This Row],[Ganancia (UB)]]*$B$360,0)</f>
        <v>7.8666599999999995</v>
      </c>
      <c r="M642" s="11">
        <f>IFERROR(PagosV2[[#This Row],[Ganancia (UB)]]-PagosV2[[#This Row],[PM]]-PagosV2[[#This Row],[GC]]-PagosV2[[#This Row],[PC]]-PagosV2[[#This Row],[U]],0)</f>
        <v>222.8887</v>
      </c>
      <c r="N642" s="11">
        <f t="shared" si="16"/>
        <v>100.299915</v>
      </c>
      <c r="O642" s="11">
        <f>IFERROR(PagosV2[[#This Row],[Ganancia (UV)]]*PagosV2[[#This Row],[Cantidad vendida]],0)</f>
        <v>100.299915</v>
      </c>
      <c r="P642" s="1">
        <f>IFERROR(PagosV2[[#This Row],[Ganancia (N)]]-PagosV2[[#This Row],[Ganancia (UV)]],0)</f>
        <v>122.588785</v>
      </c>
      <c r="Q642" s="1">
        <f>IFERROR(PagosV2[[#This Row],[Ganancia individual (Tienda)]]*PagosV2[[#This Row],[Cantidad vendida]],0)</f>
        <v>122.588785</v>
      </c>
      <c r="R642" s="1">
        <f>IFERROR((PagosV2[[#This Row],[Precio de venta]]-PagosV2[[#This Row],[Ganancia (UB)]])*PagosV2[[#This Row],[Cantidad vendida]],0)</f>
        <v>437.77800000000002</v>
      </c>
      <c r="S642" s="21" t="s">
        <v>312</v>
      </c>
      <c r="T642" s="21"/>
    </row>
    <row r="643" spans="1:20" ht="16.5" hidden="1" x14ac:dyDescent="0.3">
      <c r="A643" s="9" t="s">
        <v>311</v>
      </c>
      <c r="B643" s="75">
        <v>46168</v>
      </c>
      <c r="C643" s="9" t="s">
        <v>168</v>
      </c>
      <c r="D643" s="9" t="str">
        <f>IFERROR(VLOOKUP(PagosV2[[#This Row],[Codigo del producto]],Entradas[],3,FALSE),"No existe")</f>
        <v>Cable de Repuesto KZ Tipo C</v>
      </c>
      <c r="E643" s="9">
        <v>1</v>
      </c>
      <c r="F643" s="11">
        <v>350</v>
      </c>
      <c r="G643" s="11">
        <f>IFERROR(PagosV2[[#This Row],[Cantidad vendida]]*PagosV2[[#This Row],[Precio de venta]],"-")</f>
        <v>350</v>
      </c>
      <c r="H643" s="11">
        <f>IFERROR(PagosV2[[#This Row],[Precio de venta]]-VLOOKUP(PagosV2[[#This Row],[Codigo del producto]],Stock[],13,FALSE),"-")</f>
        <v>75.098999999999933</v>
      </c>
      <c r="I643" s="11">
        <f>IFERROR(PagosV2[[#This Row],[Ganancia (UB)]]*$B$357,0)</f>
        <v>2.2529699999999977</v>
      </c>
      <c r="J643" s="11">
        <f>IFERROR(PagosV2[[#This Row],[Ganancia (UB)]]*$B$358,0)</f>
        <v>4.5059399999999954</v>
      </c>
      <c r="K643" s="11">
        <f>IFERROR(PagosV2[[#This Row],[Ganancia (UB)]]*$B$359,0)</f>
        <v>2.2529699999999977</v>
      </c>
      <c r="L643" s="11">
        <f>IFERROR(PagosV2[[#This Row],[Ganancia (UB)]]*$B$360,0)</f>
        <v>2.2529699999999977</v>
      </c>
      <c r="M643" s="11">
        <f>IFERROR(PagosV2[[#This Row],[Ganancia (UB)]]-PagosV2[[#This Row],[PM]]-PagosV2[[#This Row],[GC]]-PagosV2[[#This Row],[PC]]-PagosV2[[#This Row],[U]],0)</f>
        <v>63.834149999999944</v>
      </c>
      <c r="N643" s="11">
        <f t="shared" si="16"/>
        <v>28.725367499999976</v>
      </c>
      <c r="O643" s="11">
        <f>IFERROR(PagosV2[[#This Row],[Ganancia (UV)]]*PagosV2[[#This Row],[Cantidad vendida]],0)</f>
        <v>28.725367499999976</v>
      </c>
      <c r="P643" s="1">
        <f>IFERROR(PagosV2[[#This Row],[Ganancia (N)]]-PagosV2[[#This Row],[Ganancia (UV)]],0)</f>
        <v>35.108782499999968</v>
      </c>
      <c r="Q643" s="1">
        <f>IFERROR(PagosV2[[#This Row],[Ganancia individual (Tienda)]]*PagosV2[[#This Row],[Cantidad vendida]],0)</f>
        <v>35.108782499999968</v>
      </c>
      <c r="R643" s="1">
        <f>IFERROR((PagosV2[[#This Row],[Precio de venta]]-PagosV2[[#This Row],[Ganancia (UB)]])*PagosV2[[#This Row],[Cantidad vendida]],0)</f>
        <v>274.90100000000007</v>
      </c>
      <c r="S643" s="21" t="s">
        <v>312</v>
      </c>
      <c r="T643" s="21"/>
    </row>
    <row r="644" spans="1:20" ht="16.5" hidden="1" x14ac:dyDescent="0.3">
      <c r="A644" s="9" t="s">
        <v>321</v>
      </c>
      <c r="B644" s="75">
        <v>46168</v>
      </c>
      <c r="C644" s="9" t="s">
        <v>167</v>
      </c>
      <c r="D644" s="9" t="str">
        <f>IFERROR(VLOOKUP(PagosV2[[#This Row],[Codigo del producto]],Entradas[],3,FALSE),"No existe")</f>
        <v>KZ Castor Improved Bass</v>
      </c>
      <c r="E644" s="9">
        <v>1</v>
      </c>
      <c r="F644" s="11">
        <v>700</v>
      </c>
      <c r="G644" s="11">
        <f>IFERROR(PagosV2[[#This Row],[Cantidad vendida]]*PagosV2[[#This Row],[Precio de venta]],"-")</f>
        <v>700</v>
      </c>
      <c r="H644" s="11">
        <f>IFERROR(PagosV2[[#This Row],[Precio de venta]]-VLOOKUP(PagosV2[[#This Row],[Codigo del producto]],Stock[],13,FALSE),"-")</f>
        <v>266.27550000000002</v>
      </c>
      <c r="I644" s="11">
        <f>IFERROR(PagosV2[[#This Row],[Ganancia (UB)]]*$B$357,0)</f>
        <v>7.9882650000000002</v>
      </c>
      <c r="J644" s="11">
        <f>IFERROR(PagosV2[[#This Row],[Ganancia (UB)]]*$B$358,0)</f>
        <v>15.97653</v>
      </c>
      <c r="K644" s="11">
        <f>IFERROR(PagosV2[[#This Row],[Ganancia (UB)]]*$B$359,0)</f>
        <v>7.9882650000000002</v>
      </c>
      <c r="L644" s="11">
        <f>IFERROR(PagosV2[[#This Row],[Ganancia (UB)]]*$B$360,0)</f>
        <v>7.9882650000000002</v>
      </c>
      <c r="M644" s="11">
        <f>IFERROR(PagosV2[[#This Row],[Ganancia (UB)]]-PagosV2[[#This Row],[PM]]-PagosV2[[#This Row],[GC]]-PagosV2[[#This Row],[PC]]-PagosV2[[#This Row],[U]],0)</f>
        <v>226.33417499999999</v>
      </c>
      <c r="N644" s="11">
        <f t="shared" si="16"/>
        <v>101.85037874999999</v>
      </c>
      <c r="O644" s="11">
        <f>IFERROR(PagosV2[[#This Row],[Ganancia (UV)]]*PagosV2[[#This Row],[Cantidad vendida]],0)</f>
        <v>101.85037874999999</v>
      </c>
      <c r="P644" s="1">
        <f>IFERROR(PagosV2[[#This Row],[Ganancia (N)]]-PagosV2[[#This Row],[Ganancia (UV)]],0)</f>
        <v>124.48379625</v>
      </c>
      <c r="Q644" s="1">
        <f>IFERROR(PagosV2[[#This Row],[Ganancia individual (Tienda)]]*PagosV2[[#This Row],[Cantidad vendida]],0)</f>
        <v>124.48379625</v>
      </c>
      <c r="R644" s="1">
        <f>IFERROR((PagosV2[[#This Row],[Precio de venta]]-PagosV2[[#This Row],[Ganancia (UB)]])*PagosV2[[#This Row],[Cantidad vendida]],0)</f>
        <v>433.72449999999998</v>
      </c>
      <c r="S644" s="21" t="s">
        <v>312</v>
      </c>
      <c r="T644" s="21"/>
    </row>
    <row r="645" spans="1:20" ht="16.5" hidden="1" x14ac:dyDescent="0.3">
      <c r="A645" s="9" t="s">
        <v>321</v>
      </c>
      <c r="B645" s="75">
        <v>46168</v>
      </c>
      <c r="C645" s="9" t="s">
        <v>66</v>
      </c>
      <c r="D645" s="9" t="str">
        <f>IFERROR(VLOOKUP(PagosV2[[#This Row],[Codigo del producto]],Entradas[],3,FALSE),"No existe")</f>
        <v xml:space="preserve">Adaptador DAC </v>
      </c>
      <c r="E645" s="9">
        <v>1</v>
      </c>
      <c r="F645" s="11">
        <v>300</v>
      </c>
      <c r="G645" s="11">
        <f>IFERROR(PagosV2[[#This Row],[Cantidad vendida]]*PagosV2[[#This Row],[Precio de venta]],"-")</f>
        <v>300</v>
      </c>
      <c r="H645" s="11">
        <f>IFERROR(PagosV2[[#This Row],[Precio de venta]]-VLOOKUP(PagosV2[[#This Row],[Codigo del producto]],Stock[],13,FALSE),"-")</f>
        <v>123.48849999999999</v>
      </c>
      <c r="I645" s="11">
        <f>IFERROR(PagosV2[[#This Row],[Ganancia (UB)]]*$B$357,0)</f>
        <v>3.7046549999999994</v>
      </c>
      <c r="J645" s="11">
        <f>IFERROR(PagosV2[[#This Row],[Ganancia (UB)]]*$B$358,0)</f>
        <v>7.4093099999999987</v>
      </c>
      <c r="K645" s="11">
        <f>IFERROR(PagosV2[[#This Row],[Ganancia (UB)]]*$B$359,0)</f>
        <v>3.7046549999999994</v>
      </c>
      <c r="L645" s="11">
        <f>IFERROR(PagosV2[[#This Row],[Ganancia (UB)]]*$B$360,0)</f>
        <v>3.7046549999999994</v>
      </c>
      <c r="M645" s="11">
        <f>IFERROR(PagosV2[[#This Row],[Ganancia (UB)]]-PagosV2[[#This Row],[PM]]-PagosV2[[#This Row],[GC]]-PagosV2[[#This Row],[PC]]-PagosV2[[#This Row],[U]],0)</f>
        <v>104.96522499999998</v>
      </c>
      <c r="N645" s="11">
        <f t="shared" si="16"/>
        <v>47.234351249999989</v>
      </c>
      <c r="O645" s="11">
        <f>IFERROR(PagosV2[[#This Row],[Ganancia (UV)]]*PagosV2[[#This Row],[Cantidad vendida]],0)</f>
        <v>47.234351249999989</v>
      </c>
      <c r="P645" s="1">
        <f>IFERROR(PagosV2[[#This Row],[Ganancia (N)]]-PagosV2[[#This Row],[Ganancia (UV)]],0)</f>
        <v>57.730873749999986</v>
      </c>
      <c r="Q645" s="1">
        <f>IFERROR(PagosV2[[#This Row],[Ganancia individual (Tienda)]]*PagosV2[[#This Row],[Cantidad vendida]],0)</f>
        <v>57.730873749999986</v>
      </c>
      <c r="R645" s="1">
        <f>IFERROR((PagosV2[[#This Row],[Precio de venta]]-PagosV2[[#This Row],[Ganancia (UB)]])*PagosV2[[#This Row],[Cantidad vendida]],0)</f>
        <v>176.51150000000001</v>
      </c>
      <c r="S645" s="21" t="s">
        <v>312</v>
      </c>
      <c r="T645" s="21"/>
    </row>
    <row r="646" spans="1:20" ht="16.5" hidden="1" x14ac:dyDescent="0.3">
      <c r="A646" s="9" t="s">
        <v>327</v>
      </c>
      <c r="B646" s="75">
        <v>46168</v>
      </c>
      <c r="C646" s="9" t="s">
        <v>129</v>
      </c>
      <c r="D646" s="9" t="str">
        <f>IFERROR(VLOOKUP(PagosV2[[#This Row],[Codigo del producto]],Entradas[],3,FALSE),"No existe")</f>
        <v>Cargadores USB para moto</v>
      </c>
      <c r="E646" s="9">
        <v>1</v>
      </c>
      <c r="F646" s="11">
        <v>600</v>
      </c>
      <c r="G646" s="11">
        <f>IFERROR(PagosV2[[#This Row],[Cantidad vendida]]*PagosV2[[#This Row],[Precio de venta]],"-")</f>
        <v>600</v>
      </c>
      <c r="H646" s="11">
        <f>IFERROR(PagosV2[[#This Row],[Precio de venta]]-VLOOKUP(PagosV2[[#This Row],[Codigo del producto]],Stock[],13,FALSE),"-")</f>
        <v>281.2475</v>
      </c>
      <c r="I646" s="11">
        <f>IFERROR(PagosV2[[#This Row],[Ganancia (UB)]]*$B$357,0)</f>
        <v>8.4374249999999993</v>
      </c>
      <c r="J646" s="11">
        <f>IFERROR(PagosV2[[#This Row],[Ganancia (UB)]]*$B$358,0)</f>
        <v>16.874849999999999</v>
      </c>
      <c r="K646" s="11">
        <f>IFERROR(PagosV2[[#This Row],[Ganancia (UB)]]*$B$359,0)</f>
        <v>8.4374249999999993</v>
      </c>
      <c r="L646" s="11">
        <f>IFERROR(PagosV2[[#This Row],[Ganancia (UB)]]*$B$360,0)</f>
        <v>8.4374249999999993</v>
      </c>
      <c r="M646" s="11">
        <f>IFERROR(PagosV2[[#This Row],[Ganancia (UB)]]-PagosV2[[#This Row],[PM]]-PagosV2[[#This Row],[GC]]-PagosV2[[#This Row],[PC]]-PagosV2[[#This Row],[U]],0)</f>
        <v>239.06037499999999</v>
      </c>
      <c r="N646" s="11">
        <f t="shared" si="16"/>
        <v>107.57716875</v>
      </c>
      <c r="O646" s="11">
        <f>IFERROR(PagosV2[[#This Row],[Ganancia (UV)]]*PagosV2[[#This Row],[Cantidad vendida]],0)</f>
        <v>107.57716875</v>
      </c>
      <c r="P646" s="1">
        <f>IFERROR(PagosV2[[#This Row],[Ganancia (N)]]-PagosV2[[#This Row],[Ganancia (UV)]],0)</f>
        <v>131.48320624999999</v>
      </c>
      <c r="Q646" s="1">
        <f>IFERROR(PagosV2[[#This Row],[Ganancia individual (Tienda)]]*PagosV2[[#This Row],[Cantidad vendida]],0)</f>
        <v>131.48320624999999</v>
      </c>
      <c r="R646" s="1">
        <f>IFERROR((PagosV2[[#This Row],[Precio de venta]]-PagosV2[[#This Row],[Ganancia (UB)]])*PagosV2[[#This Row],[Cantidad vendida]],0)</f>
        <v>318.7525</v>
      </c>
      <c r="S646" s="21" t="s">
        <v>312</v>
      </c>
      <c r="T646" s="21"/>
    </row>
    <row r="647" spans="1:20" ht="16.5" hidden="1" x14ac:dyDescent="0.3">
      <c r="A647" s="9" t="s">
        <v>327</v>
      </c>
      <c r="B647" s="75">
        <v>46168</v>
      </c>
      <c r="C647" s="9" t="s">
        <v>156</v>
      </c>
      <c r="D647" s="9" t="str">
        <f>IFERROR(VLOOKUP(PagosV2[[#This Row],[Codigo del producto]],Entradas[],3,FALSE),"No existe")</f>
        <v>KZ Castor Pro</v>
      </c>
      <c r="E647" s="9">
        <v>1</v>
      </c>
      <c r="F647" s="11">
        <v>900</v>
      </c>
      <c r="G647" s="11">
        <f>IFERROR(PagosV2[[#This Row],[Cantidad vendida]]*PagosV2[[#This Row],[Precio de venta]],"-")</f>
        <v>900</v>
      </c>
      <c r="H647" s="11">
        <f>IFERROR(PagosV2[[#This Row],[Precio de venta]]-VLOOKUP(PagosV2[[#This Row],[Codigo del producto]],Stock[],13,FALSE),"-")</f>
        <v>268.02249999999992</v>
      </c>
      <c r="I647" s="11">
        <f>IFERROR(PagosV2[[#This Row],[Ganancia (UB)]]*$B$357,0)</f>
        <v>8.0406749999999967</v>
      </c>
      <c r="J647" s="11">
        <f>IFERROR(PagosV2[[#This Row],[Ganancia (UB)]]*$B$358,0)</f>
        <v>16.081349999999993</v>
      </c>
      <c r="K647" s="11">
        <f>IFERROR(PagosV2[[#This Row],[Ganancia (UB)]]*$B$359,0)</f>
        <v>8.0406749999999967</v>
      </c>
      <c r="L647" s="11">
        <f>IFERROR(PagosV2[[#This Row],[Ganancia (UB)]]*$B$360,0)</f>
        <v>8.0406749999999967</v>
      </c>
      <c r="M647" s="11">
        <f>IFERROR(PagosV2[[#This Row],[Ganancia (UB)]]-PagosV2[[#This Row],[PM]]-PagosV2[[#This Row],[GC]]-PagosV2[[#This Row],[PC]]-PagosV2[[#This Row],[U]],0)</f>
        <v>227.81912499999993</v>
      </c>
      <c r="N647" s="11">
        <f t="shared" si="16"/>
        <v>102.51860624999998</v>
      </c>
      <c r="O647" s="11">
        <f>IFERROR(PagosV2[[#This Row],[Ganancia (UV)]]*PagosV2[[#This Row],[Cantidad vendida]],0)</f>
        <v>102.51860624999998</v>
      </c>
      <c r="P647" s="1">
        <f>IFERROR(PagosV2[[#This Row],[Ganancia (N)]]-PagosV2[[#This Row],[Ganancia (UV)]],0)</f>
        <v>125.30051874999995</v>
      </c>
      <c r="Q647" s="1">
        <f>IFERROR(PagosV2[[#This Row],[Ganancia individual (Tienda)]]*PagosV2[[#This Row],[Cantidad vendida]],0)</f>
        <v>125.30051874999995</v>
      </c>
      <c r="R647" s="1">
        <f>IFERROR((PagosV2[[#This Row],[Precio de venta]]-PagosV2[[#This Row],[Ganancia (UB)]])*PagosV2[[#This Row],[Cantidad vendida]],0)</f>
        <v>631.97750000000008</v>
      </c>
      <c r="S647" s="21" t="s">
        <v>312</v>
      </c>
      <c r="T647" s="21"/>
    </row>
    <row r="648" spans="1:20" ht="16.5" hidden="1" x14ac:dyDescent="0.3">
      <c r="A648" s="9" t="s">
        <v>327</v>
      </c>
      <c r="B648" s="75">
        <v>46168</v>
      </c>
      <c r="C648" s="9" t="s">
        <v>66</v>
      </c>
      <c r="D648" s="9" t="str">
        <f>IFERROR(VLOOKUP(PagosV2[[#This Row],[Codigo del producto]],Entradas[],3,FALSE),"No existe")</f>
        <v xml:space="preserve">Adaptador DAC </v>
      </c>
      <c r="E648" s="9">
        <v>1</v>
      </c>
      <c r="F648" s="11">
        <v>300</v>
      </c>
      <c r="G648" s="11">
        <f>IFERROR(PagosV2[[#This Row],[Cantidad vendida]]*PagosV2[[#This Row],[Precio de venta]],"-")</f>
        <v>300</v>
      </c>
      <c r="H648" s="11">
        <f>IFERROR(PagosV2[[#This Row],[Precio de venta]]-VLOOKUP(PagosV2[[#This Row],[Codigo del producto]],Stock[],13,FALSE),"-")</f>
        <v>123.48849999999999</v>
      </c>
      <c r="I648" s="11">
        <f>IFERROR(PagosV2[[#This Row],[Ganancia (UB)]]*$B$357,0)</f>
        <v>3.7046549999999994</v>
      </c>
      <c r="J648" s="11">
        <f>IFERROR(PagosV2[[#This Row],[Ganancia (UB)]]*$B$358,0)</f>
        <v>7.4093099999999987</v>
      </c>
      <c r="K648" s="11">
        <f>IFERROR(PagosV2[[#This Row],[Ganancia (UB)]]*$B$359,0)</f>
        <v>3.7046549999999994</v>
      </c>
      <c r="L648" s="11">
        <f>IFERROR(PagosV2[[#This Row],[Ganancia (UB)]]*$B$360,0)</f>
        <v>3.7046549999999994</v>
      </c>
      <c r="M648" s="11">
        <f>IFERROR(PagosV2[[#This Row],[Ganancia (UB)]]-PagosV2[[#This Row],[PM]]-PagosV2[[#This Row],[GC]]-PagosV2[[#This Row],[PC]]-PagosV2[[#This Row],[U]],0)</f>
        <v>104.96522499999998</v>
      </c>
      <c r="N648" s="11">
        <f t="shared" si="10"/>
        <v>47.234351249999989</v>
      </c>
      <c r="O648" s="11">
        <f>IFERROR(PagosV2[[#This Row],[Ganancia (UV)]]*PagosV2[[#This Row],[Cantidad vendida]],0)</f>
        <v>47.234351249999989</v>
      </c>
      <c r="P648" s="1">
        <f>IFERROR(PagosV2[[#This Row],[Ganancia (N)]]-PagosV2[[#This Row],[Ganancia (UV)]],0)</f>
        <v>57.730873749999986</v>
      </c>
      <c r="Q648" s="1">
        <f>IFERROR(PagosV2[[#This Row],[Ganancia individual (Tienda)]]*PagosV2[[#This Row],[Cantidad vendida]],0)</f>
        <v>57.730873749999986</v>
      </c>
      <c r="R648" s="1">
        <f>IFERROR((PagosV2[[#This Row],[Precio de venta]]-PagosV2[[#This Row],[Ganancia (UB)]])*PagosV2[[#This Row],[Cantidad vendida]],0)</f>
        <v>176.51150000000001</v>
      </c>
      <c r="S648" s="21" t="s">
        <v>312</v>
      </c>
      <c r="T648" s="21"/>
    </row>
    <row r="649" spans="1:20" ht="16.5" hidden="1" x14ac:dyDescent="0.3">
      <c r="A649" s="9" t="s">
        <v>327</v>
      </c>
      <c r="B649" s="75">
        <v>46168</v>
      </c>
      <c r="C649" s="2" t="s">
        <v>129</v>
      </c>
      <c r="D649" s="9" t="str">
        <f>IFERROR(VLOOKUP(PagosV2[[#This Row],[Codigo del producto]],Entradas[],3,FALSE),"No existe")</f>
        <v>Cargadores USB para moto</v>
      </c>
      <c r="E649" s="9">
        <v>1</v>
      </c>
      <c r="F649" s="11">
        <v>600</v>
      </c>
      <c r="G649" s="11">
        <f>IFERROR(PagosV2[[#This Row],[Cantidad vendida]]*PagosV2[[#This Row],[Precio de venta]],"-")</f>
        <v>600</v>
      </c>
      <c r="H649" s="11">
        <f>IFERROR(PagosV2[[#This Row],[Precio de venta]]-VLOOKUP(PagosV2[[#This Row],[Codigo del producto]],Stock[],13,FALSE),"-")</f>
        <v>281.2475</v>
      </c>
      <c r="I649" s="11">
        <f>IFERROR(PagosV2[[#This Row],[Ganancia (UB)]]*$B$357,0)</f>
        <v>8.4374249999999993</v>
      </c>
      <c r="J649" s="11">
        <f>IFERROR(PagosV2[[#This Row],[Ganancia (UB)]]*$B$358,0)</f>
        <v>16.874849999999999</v>
      </c>
      <c r="K649" s="11">
        <f>IFERROR(PagosV2[[#This Row],[Ganancia (UB)]]*$B$359,0)</f>
        <v>8.4374249999999993</v>
      </c>
      <c r="L649" s="11">
        <f>IFERROR(PagosV2[[#This Row],[Ganancia (UB)]]*$B$360,0)</f>
        <v>8.4374249999999993</v>
      </c>
      <c r="M649" s="11">
        <f>IFERROR(PagosV2[[#This Row],[Ganancia (UB)]]-PagosV2[[#This Row],[PM]]-PagosV2[[#This Row],[GC]]-PagosV2[[#This Row],[PC]]-PagosV2[[#This Row],[U]],0)</f>
        <v>239.06037499999999</v>
      </c>
      <c r="N649" s="11">
        <f t="shared" ref="N649:N671" si="17">IFERROR(
  IF(M649&lt;=0,"-",
    IF(M649&lt;=300, M649*0.45,
      IF(M649&lt;=600, M649*0.4,
        IF(M649&lt;=900, M649*0.38,
          IF(M649&lt;=1000, M649*0.35,
            IF(M649&lt;=1400, M649*0.32,
              IF(M649&lt;=1800, HM649*0.3,
                IF(M649&gt;=2000, M649*0.28,
                  "-"
                )
              )
            )
          )
        )
      )
    )
  ),
  "-"
)</f>
        <v>107.57716875</v>
      </c>
      <c r="O649" s="11">
        <f>IFERROR(PagosV2[[#This Row],[Ganancia (UV)]]*PagosV2[[#This Row],[Cantidad vendida]],0)</f>
        <v>107.57716875</v>
      </c>
      <c r="P649" s="1">
        <f>IFERROR(PagosV2[[#This Row],[Ganancia (N)]]-PagosV2[[#This Row],[Ganancia (UV)]],0)</f>
        <v>131.48320624999999</v>
      </c>
      <c r="Q649" s="1">
        <f>IFERROR(PagosV2[[#This Row],[Ganancia individual (Tienda)]]*PagosV2[[#This Row],[Cantidad vendida]],0)</f>
        <v>131.48320624999999</v>
      </c>
      <c r="R649" s="1">
        <f>IFERROR((PagosV2[[#This Row],[Precio de venta]]-PagosV2[[#This Row],[Ganancia (UB)]])*PagosV2[[#This Row],[Cantidad vendida]],0)</f>
        <v>318.7525</v>
      </c>
      <c r="S649" s="21" t="s">
        <v>312</v>
      </c>
      <c r="T649" s="21"/>
    </row>
    <row r="650" spans="1:20" ht="16.5" hidden="1" x14ac:dyDescent="0.3">
      <c r="A650" s="9" t="s">
        <v>315</v>
      </c>
      <c r="B650" s="75">
        <v>46168</v>
      </c>
      <c r="C650" s="2" t="s">
        <v>122</v>
      </c>
      <c r="D650" s="9" t="str">
        <f>IFERROR(VLOOKUP(PagosV2[[#This Row],[Codigo del producto]],Entradas[],3,FALSE),"No existe")</f>
        <v>Nubwo G06</v>
      </c>
      <c r="E650" s="9">
        <v>1</v>
      </c>
      <c r="F650" s="11">
        <v>1300</v>
      </c>
      <c r="G650" s="11">
        <f>IFERROR(PagosV2[[#This Row],[Cantidad vendida]]*PagosV2[[#This Row],[Precio de venta]],"-")</f>
        <v>1300</v>
      </c>
      <c r="H650" s="11">
        <f>IFERROR(PagosV2[[#This Row],[Precio de venta]]-VLOOKUP(PagosV2[[#This Row],[Codigo del producto]],Stock[],13,FALSE),"-")</f>
        <v>339.68899999999985</v>
      </c>
      <c r="I650" s="11">
        <f>IFERROR(PagosV2[[#This Row],[Ganancia (UB)]]*$B$357,0)</f>
        <v>10.190669999999995</v>
      </c>
      <c r="J650" s="11">
        <f>IFERROR(PagosV2[[#This Row],[Ganancia (UB)]]*$B$358,0)</f>
        <v>20.381339999999991</v>
      </c>
      <c r="K650" s="11">
        <f>IFERROR(PagosV2[[#This Row],[Ganancia (UB)]]*$B$359,0)</f>
        <v>10.190669999999995</v>
      </c>
      <c r="L650" s="11">
        <f>IFERROR(PagosV2[[#This Row],[Ganancia (UB)]]*$B$360,0)</f>
        <v>10.190669999999995</v>
      </c>
      <c r="M650" s="11">
        <f>IFERROR(PagosV2[[#This Row],[Ganancia (UB)]]-PagosV2[[#This Row],[PM]]-PagosV2[[#This Row],[GC]]-PagosV2[[#This Row],[PC]]-PagosV2[[#This Row],[U]],0)</f>
        <v>288.73564999999985</v>
      </c>
      <c r="N650" s="11">
        <f t="shared" si="17"/>
        <v>129.93104249999993</v>
      </c>
      <c r="O650" s="11">
        <f>IFERROR(PagosV2[[#This Row],[Ganancia (UV)]]*PagosV2[[#This Row],[Cantidad vendida]],0)</f>
        <v>129.93104249999993</v>
      </c>
      <c r="P650" s="1">
        <f>IFERROR(PagosV2[[#This Row],[Ganancia (N)]]-PagosV2[[#This Row],[Ganancia (UV)]],0)</f>
        <v>158.80460749999992</v>
      </c>
      <c r="Q650" s="1">
        <f>IFERROR(PagosV2[[#This Row],[Ganancia individual (Tienda)]]*PagosV2[[#This Row],[Cantidad vendida]],0)</f>
        <v>158.80460749999992</v>
      </c>
      <c r="R650" s="1">
        <f>IFERROR((PagosV2[[#This Row],[Precio de venta]]-PagosV2[[#This Row],[Ganancia (UB)]])*PagosV2[[#This Row],[Cantidad vendida]],0)</f>
        <v>960.31100000000015</v>
      </c>
      <c r="S650" s="21" t="s">
        <v>312</v>
      </c>
      <c r="T650" s="21"/>
    </row>
    <row r="651" spans="1:20" ht="16.5" hidden="1" x14ac:dyDescent="0.3">
      <c r="A651" s="9" t="s">
        <v>313</v>
      </c>
      <c r="B651" s="75">
        <v>46169</v>
      </c>
      <c r="C651" s="9" t="s">
        <v>167</v>
      </c>
      <c r="D651" s="9" t="str">
        <f>IFERROR(VLOOKUP(PagosV2[[#This Row],[Codigo del producto]],Entradas[],3,FALSE),"No existe")</f>
        <v>KZ Castor Improved Bass</v>
      </c>
      <c r="E651" s="9">
        <v>1</v>
      </c>
      <c r="F651" s="11">
        <v>700</v>
      </c>
      <c r="G651" s="11">
        <f>IFERROR(PagosV2[[#This Row],[Cantidad vendida]]*PagosV2[[#This Row],[Precio de venta]],"-")</f>
        <v>700</v>
      </c>
      <c r="H651" s="11">
        <f>IFERROR(PagosV2[[#This Row],[Precio de venta]]-VLOOKUP(PagosV2[[#This Row],[Codigo del producto]],Stock[],13,FALSE),"-")</f>
        <v>266.27550000000002</v>
      </c>
      <c r="I651" s="11">
        <f>IFERROR(PagosV2[[#This Row],[Ganancia (UB)]]*$B$357,0)</f>
        <v>7.9882650000000002</v>
      </c>
      <c r="J651" s="11">
        <f>IFERROR(PagosV2[[#This Row],[Ganancia (UB)]]*$B$358,0)</f>
        <v>15.97653</v>
      </c>
      <c r="K651" s="11">
        <f>IFERROR(PagosV2[[#This Row],[Ganancia (UB)]]*$B$359,0)</f>
        <v>7.9882650000000002</v>
      </c>
      <c r="L651" s="11">
        <f>IFERROR(PagosV2[[#This Row],[Ganancia (UB)]]*$B$360,0)</f>
        <v>7.9882650000000002</v>
      </c>
      <c r="M651" s="11">
        <f>IFERROR(PagosV2[[#This Row],[Ganancia (UB)]]-PagosV2[[#This Row],[PM]]-PagosV2[[#This Row],[GC]]-PagosV2[[#This Row],[PC]]-PagosV2[[#This Row],[U]],0)</f>
        <v>226.33417499999999</v>
      </c>
      <c r="N651" s="11">
        <f t="shared" si="17"/>
        <v>101.85037874999999</v>
      </c>
      <c r="O651" s="11">
        <f>IFERROR(PagosV2[[#This Row],[Ganancia (UV)]]*PagosV2[[#This Row],[Cantidad vendida]],0)</f>
        <v>101.85037874999999</v>
      </c>
      <c r="P651" s="1">
        <f>IFERROR(PagosV2[[#This Row],[Ganancia (N)]]-PagosV2[[#This Row],[Ganancia (UV)]],0)</f>
        <v>124.48379625</v>
      </c>
      <c r="Q651" s="1">
        <f>IFERROR(PagosV2[[#This Row],[Ganancia individual (Tienda)]]*PagosV2[[#This Row],[Cantidad vendida]],0)</f>
        <v>124.48379625</v>
      </c>
      <c r="R651" s="1">
        <f>IFERROR((PagosV2[[#This Row],[Precio de venta]]-PagosV2[[#This Row],[Ganancia (UB)]])*PagosV2[[#This Row],[Cantidad vendida]],0)</f>
        <v>433.72449999999998</v>
      </c>
      <c r="S651" s="21" t="s">
        <v>312</v>
      </c>
      <c r="T651" s="21"/>
    </row>
    <row r="652" spans="1:20" ht="16.5" hidden="1" x14ac:dyDescent="0.3">
      <c r="A652" s="9" t="s">
        <v>313</v>
      </c>
      <c r="B652" s="75">
        <v>46169</v>
      </c>
      <c r="C652" s="9" t="s">
        <v>167</v>
      </c>
      <c r="D652" s="9" t="str">
        <f>IFERROR(VLOOKUP(PagosV2[[#This Row],[Codigo del producto]],Entradas[],3,FALSE),"No existe")</f>
        <v>KZ Castor Improved Bass</v>
      </c>
      <c r="E652" s="9">
        <v>2</v>
      </c>
      <c r="F652" s="11">
        <v>675</v>
      </c>
      <c r="G652" s="11">
        <f>IFERROR(PagosV2[[#This Row],[Cantidad vendida]]*PagosV2[[#This Row],[Precio de venta]],"-")</f>
        <v>1350</v>
      </c>
      <c r="H652" s="11">
        <f>IFERROR(PagosV2[[#This Row],[Precio de venta]]-VLOOKUP(PagosV2[[#This Row],[Codigo del producto]],Stock[],13,FALSE),"-")</f>
        <v>241.27550000000002</v>
      </c>
      <c r="I652" s="11">
        <f>IFERROR(PagosV2[[#This Row],[Ganancia (UB)]]*$B$357,0)</f>
        <v>7.2382650000000002</v>
      </c>
      <c r="J652" s="11">
        <f>IFERROR(PagosV2[[#This Row],[Ganancia (UB)]]*$B$358,0)</f>
        <v>14.47653</v>
      </c>
      <c r="K652" s="11">
        <f>IFERROR(PagosV2[[#This Row],[Ganancia (UB)]]*$B$359,0)</f>
        <v>7.2382650000000002</v>
      </c>
      <c r="L652" s="11">
        <f>IFERROR(PagosV2[[#This Row],[Ganancia (UB)]]*$B$360,0)</f>
        <v>7.2382650000000002</v>
      </c>
      <c r="M652" s="11">
        <f>IFERROR(PagosV2[[#This Row],[Ganancia (UB)]]-PagosV2[[#This Row],[PM]]-PagosV2[[#This Row],[GC]]-PagosV2[[#This Row],[PC]]-PagosV2[[#This Row],[U]],0)</f>
        <v>205.08417499999999</v>
      </c>
      <c r="N652" s="11">
        <f t="shared" si="17"/>
        <v>92.28787874999999</v>
      </c>
      <c r="O652" s="11">
        <f>IFERROR(PagosV2[[#This Row],[Ganancia (UV)]]*PagosV2[[#This Row],[Cantidad vendida]],0)</f>
        <v>184.57575749999998</v>
      </c>
      <c r="P652" s="1">
        <f>IFERROR(PagosV2[[#This Row],[Ganancia (N)]]-PagosV2[[#This Row],[Ganancia (UV)]],0)</f>
        <v>112.79629625</v>
      </c>
      <c r="Q652" s="1">
        <f>IFERROR(PagosV2[[#This Row],[Ganancia individual (Tienda)]]*PagosV2[[#This Row],[Cantidad vendida]],0)</f>
        <v>225.59259249999999</v>
      </c>
      <c r="R652" s="1">
        <f>IFERROR((PagosV2[[#This Row],[Precio de venta]]-PagosV2[[#This Row],[Ganancia (UB)]])*PagosV2[[#This Row],[Cantidad vendida]],0)</f>
        <v>867.44899999999996</v>
      </c>
      <c r="S652" s="21" t="s">
        <v>312</v>
      </c>
      <c r="T652" s="21"/>
    </row>
    <row r="653" spans="1:20" ht="16.5" hidden="1" x14ac:dyDescent="0.3">
      <c r="A653" s="9" t="s">
        <v>313</v>
      </c>
      <c r="B653" s="75">
        <v>46169</v>
      </c>
      <c r="C653" s="9" t="s">
        <v>164</v>
      </c>
      <c r="D653" s="9" t="str">
        <f>IFERROR(VLOOKUP(PagosV2[[#This Row],[Codigo del producto]],Entradas[],3,FALSE),"No existe")</f>
        <v>Bolso Protector Audifonos KZ</v>
      </c>
      <c r="E653" s="9">
        <v>2</v>
      </c>
      <c r="F653" s="11">
        <v>50</v>
      </c>
      <c r="G653" s="11">
        <f>IFERROR(PagosV2[[#This Row],[Cantidad vendida]]*PagosV2[[#This Row],[Precio de venta]],"-")</f>
        <v>100</v>
      </c>
      <c r="H653" s="11">
        <f>IFERROR(PagosV2[[#This Row],[Precio de venta]]-VLOOKUP(PagosV2[[#This Row],[Codigo del producto]],Stock[],13,FALSE),"-")</f>
        <v>21.625499999999999</v>
      </c>
      <c r="I653" s="11">
        <f>IFERROR(PagosV2[[#This Row],[Ganancia (UB)]]*$B$357,0)</f>
        <v>0.64876499999999993</v>
      </c>
      <c r="J653" s="11">
        <f>IFERROR(PagosV2[[#This Row],[Ganancia (UB)]]*$B$358,0)</f>
        <v>1.2975299999999999</v>
      </c>
      <c r="K653" s="11">
        <f>IFERROR(PagosV2[[#This Row],[Ganancia (UB)]]*$B$359,0)</f>
        <v>0.64876499999999993</v>
      </c>
      <c r="L653" s="11">
        <f>IFERROR(PagosV2[[#This Row],[Ganancia (UB)]]*$B$360,0)</f>
        <v>0.64876499999999993</v>
      </c>
      <c r="M653" s="11">
        <f>IFERROR(PagosV2[[#This Row],[Ganancia (UB)]]-PagosV2[[#This Row],[PM]]-PagosV2[[#This Row],[GC]]-PagosV2[[#This Row],[PC]]-PagosV2[[#This Row],[U]],0)</f>
        <v>18.381674999999998</v>
      </c>
      <c r="N653" s="11">
        <f t="shared" si="17"/>
        <v>8.2717537499999985</v>
      </c>
      <c r="O653" s="11">
        <f>IFERROR(PagosV2[[#This Row],[Ganancia (UV)]]*PagosV2[[#This Row],[Cantidad vendida]],0)</f>
        <v>16.543507499999997</v>
      </c>
      <c r="P653" s="1">
        <f>IFERROR(PagosV2[[#This Row],[Ganancia (N)]]-PagosV2[[#This Row],[Ganancia (UV)]],0)</f>
        <v>10.109921249999999</v>
      </c>
      <c r="Q653" s="1">
        <f>IFERROR(PagosV2[[#This Row],[Ganancia individual (Tienda)]]*PagosV2[[#This Row],[Cantidad vendida]],0)</f>
        <v>20.219842499999999</v>
      </c>
      <c r="R653" s="1">
        <f>IFERROR((PagosV2[[#This Row],[Precio de venta]]-PagosV2[[#This Row],[Ganancia (UB)]])*PagosV2[[#This Row],[Cantidad vendida]],0)</f>
        <v>56.749000000000002</v>
      </c>
      <c r="S653" s="21" t="s">
        <v>312</v>
      </c>
      <c r="T653" s="21"/>
    </row>
    <row r="654" spans="1:20" ht="16.5" hidden="1" x14ac:dyDescent="0.3">
      <c r="A654" s="9" t="s">
        <v>313</v>
      </c>
      <c r="B654" s="75">
        <v>46169</v>
      </c>
      <c r="C654" s="9" t="s">
        <v>155</v>
      </c>
      <c r="D654" s="9" t="str">
        <f>IFERROR(VLOOKUP(PagosV2[[#This Row],[Codigo del producto]],Entradas[],3,FALSE),"No existe")</f>
        <v>Attack Shark Mouse X11 Rojo</v>
      </c>
      <c r="E654" s="9">
        <v>1</v>
      </c>
      <c r="F654" s="11">
        <v>1200</v>
      </c>
      <c r="G654" s="11">
        <f>IFERROR(PagosV2[[#This Row],[Cantidad vendida]]*PagosV2[[#This Row],[Precio de venta]],"-")</f>
        <v>1200</v>
      </c>
      <c r="H654" s="11">
        <f>IFERROR(PagosV2[[#This Row],[Precio de venta]]-VLOOKUP(PagosV2[[#This Row],[Codigo del producto]],Stock[],13,FALSE),"-")</f>
        <v>273.95950000000005</v>
      </c>
      <c r="I654" s="11">
        <f>IFERROR(PagosV2[[#This Row],[Ganancia (UB)]]*$B$357,0)</f>
        <v>8.2187850000000005</v>
      </c>
      <c r="J654" s="11">
        <f>IFERROR(PagosV2[[#This Row],[Ganancia (UB)]]*$B$358,0)</f>
        <v>16.437570000000001</v>
      </c>
      <c r="K654" s="11">
        <f>IFERROR(PagosV2[[#This Row],[Ganancia (UB)]]*$B$359,0)</f>
        <v>8.2187850000000005</v>
      </c>
      <c r="L654" s="11">
        <f>IFERROR(PagosV2[[#This Row],[Ganancia (UB)]]*$B$360,0)</f>
        <v>8.2187850000000005</v>
      </c>
      <c r="M654" s="11">
        <f>IFERROR(PagosV2[[#This Row],[Ganancia (UB)]]-PagosV2[[#This Row],[PM]]-PagosV2[[#This Row],[GC]]-PagosV2[[#This Row],[PC]]-PagosV2[[#This Row],[U]],0)</f>
        <v>232.86557500000004</v>
      </c>
      <c r="N654" s="11">
        <f t="shared" si="17"/>
        <v>104.78950875000002</v>
      </c>
      <c r="O654" s="11">
        <f>IFERROR(PagosV2[[#This Row],[Ganancia (UV)]]*PagosV2[[#This Row],[Cantidad vendida]],0)</f>
        <v>104.78950875000002</v>
      </c>
      <c r="P654" s="1">
        <f>IFERROR(PagosV2[[#This Row],[Ganancia (N)]]-PagosV2[[#This Row],[Ganancia (UV)]],0)</f>
        <v>128.07606625</v>
      </c>
      <c r="Q654" s="1">
        <f>IFERROR(PagosV2[[#This Row],[Ganancia individual (Tienda)]]*PagosV2[[#This Row],[Cantidad vendida]],0)</f>
        <v>128.07606625</v>
      </c>
      <c r="R654" s="1">
        <f>IFERROR((PagosV2[[#This Row],[Precio de venta]]-PagosV2[[#This Row],[Ganancia (UB)]])*PagosV2[[#This Row],[Cantidad vendida]],0)</f>
        <v>926.04049999999995</v>
      </c>
      <c r="S654" s="21" t="s">
        <v>312</v>
      </c>
      <c r="T654" s="21"/>
    </row>
    <row r="655" spans="1:20" ht="16.5" hidden="1" x14ac:dyDescent="0.3">
      <c r="A655" s="9" t="s">
        <v>315</v>
      </c>
      <c r="B655" s="75">
        <v>46169</v>
      </c>
      <c r="C655" s="9" t="s">
        <v>128</v>
      </c>
      <c r="D655" s="9" t="str">
        <f>IFERROR(VLOOKUP(PagosV2[[#This Row],[Codigo del producto]],Entradas[],3,FALSE),"No existe")</f>
        <v>FIFINE Headset PC</v>
      </c>
      <c r="E655" s="9">
        <v>1</v>
      </c>
      <c r="F655" s="11">
        <v>1800</v>
      </c>
      <c r="G655" s="11">
        <f>IFERROR(PagosV2[[#This Row],[Cantidad vendida]]*PagosV2[[#This Row],[Precio de venta]],"-")</f>
        <v>1800</v>
      </c>
      <c r="H655" s="11">
        <f>IFERROR(PagosV2[[#This Row],[Precio de venta]]-VLOOKUP(PagosV2[[#This Row],[Codigo del producto]],Stock[],13,FALSE),"-")</f>
        <v>377.58999999999992</v>
      </c>
      <c r="I655" s="11">
        <f>IFERROR(PagosV2[[#This Row],[Ganancia (UB)]]*$B$357,0)</f>
        <v>11.327699999999997</v>
      </c>
      <c r="J655" s="11">
        <f>IFERROR(PagosV2[[#This Row],[Ganancia (UB)]]*$B$358,0)</f>
        <v>22.655399999999993</v>
      </c>
      <c r="K655" s="11">
        <f>IFERROR(PagosV2[[#This Row],[Ganancia (UB)]]*$B$359,0)</f>
        <v>11.327699999999997</v>
      </c>
      <c r="L655" s="11">
        <f>IFERROR(PagosV2[[#This Row],[Ganancia (UB)]]*$B$360,0)</f>
        <v>11.327699999999997</v>
      </c>
      <c r="M655" s="11">
        <f>IFERROR(PagosV2[[#This Row],[Ganancia (UB)]]-PagosV2[[#This Row],[PM]]-PagosV2[[#This Row],[GC]]-PagosV2[[#This Row],[PC]]-PagosV2[[#This Row],[U]],0)</f>
        <v>320.95149999999995</v>
      </c>
      <c r="N655" s="11">
        <f t="shared" si="17"/>
        <v>128.38059999999999</v>
      </c>
      <c r="O655" s="11">
        <f>IFERROR(PagosV2[[#This Row],[Ganancia (UV)]]*PagosV2[[#This Row],[Cantidad vendida]],0)</f>
        <v>128.38059999999999</v>
      </c>
      <c r="P655" s="1">
        <f>IFERROR(PagosV2[[#This Row],[Ganancia (N)]]-PagosV2[[#This Row],[Ganancia (UV)]],0)</f>
        <v>192.57089999999997</v>
      </c>
      <c r="Q655" s="1">
        <f>IFERROR(PagosV2[[#This Row],[Ganancia individual (Tienda)]]*PagosV2[[#This Row],[Cantidad vendida]],0)</f>
        <v>192.57089999999997</v>
      </c>
      <c r="R655" s="1">
        <f>IFERROR((PagosV2[[#This Row],[Precio de venta]]-PagosV2[[#This Row],[Ganancia (UB)]])*PagosV2[[#This Row],[Cantidad vendida]],0)</f>
        <v>1422.41</v>
      </c>
      <c r="S655" s="21" t="s">
        <v>312</v>
      </c>
      <c r="T655" s="21"/>
    </row>
    <row r="656" spans="1:20" ht="16.5" hidden="1" x14ac:dyDescent="0.3">
      <c r="A656" s="9" t="s">
        <v>311</v>
      </c>
      <c r="B656" s="75">
        <v>46169</v>
      </c>
      <c r="C656" s="9" t="s">
        <v>156</v>
      </c>
      <c r="D656" s="9" t="str">
        <f>IFERROR(VLOOKUP(PagosV2[[#This Row],[Codigo del producto]],Entradas[],3,FALSE),"No existe")</f>
        <v>KZ Castor Pro</v>
      </c>
      <c r="E656" s="9">
        <v>1</v>
      </c>
      <c r="F656" s="11">
        <v>900</v>
      </c>
      <c r="G656" s="11">
        <f>IFERROR(PagosV2[[#This Row],[Cantidad vendida]]*PagosV2[[#This Row],[Precio de venta]],"-")</f>
        <v>900</v>
      </c>
      <c r="H656" s="11">
        <f>IFERROR(PagosV2[[#This Row],[Precio de venta]]-VLOOKUP(PagosV2[[#This Row],[Codigo del producto]],Stock[],13,FALSE),"-")</f>
        <v>268.02249999999992</v>
      </c>
      <c r="I656" s="11">
        <f>IFERROR(PagosV2[[#This Row],[Ganancia (UB)]]*$B$357,0)</f>
        <v>8.0406749999999967</v>
      </c>
      <c r="J656" s="11">
        <f>IFERROR(PagosV2[[#This Row],[Ganancia (UB)]]*$B$358,0)</f>
        <v>16.081349999999993</v>
      </c>
      <c r="K656" s="11">
        <f>IFERROR(PagosV2[[#This Row],[Ganancia (UB)]]*$B$359,0)</f>
        <v>8.0406749999999967</v>
      </c>
      <c r="L656" s="11">
        <f>IFERROR(PagosV2[[#This Row],[Ganancia (UB)]]*$B$360,0)</f>
        <v>8.0406749999999967</v>
      </c>
      <c r="M656" s="11">
        <f>IFERROR(PagosV2[[#This Row],[Ganancia (UB)]]-PagosV2[[#This Row],[PM]]-PagosV2[[#This Row],[GC]]-PagosV2[[#This Row],[PC]]-PagosV2[[#This Row],[U]],0)</f>
        <v>227.81912499999993</v>
      </c>
      <c r="N656" s="11">
        <f t="shared" ref="N656:N665" si="18">IFERROR(
  IF(M656&lt;=0,"-",
    IF(M656&lt;=300, M656*0.45,
      IF(M656&lt;=600, M656*0.4,
        IF(M656&lt;=900, M656*0.38,
          IF(M656&lt;=1000, M656*0.35,
            IF(M656&lt;=1400, M656*0.32,
              IF(M656&lt;=1800, HM656*0.3,
                IF(M656&gt;=2000, M656*0.28,
                  "-"
                )
              )
            )
          )
        )
      )
    )
  ),
  "-"
)</f>
        <v>102.51860624999998</v>
      </c>
      <c r="O656" s="11">
        <f>IFERROR(PagosV2[[#This Row],[Ganancia (UV)]]*PagosV2[[#This Row],[Cantidad vendida]],0)</f>
        <v>102.51860624999998</v>
      </c>
      <c r="P656" s="1">
        <f>IFERROR(PagosV2[[#This Row],[Ganancia (N)]]-PagosV2[[#This Row],[Ganancia (UV)]],0)</f>
        <v>125.30051874999995</v>
      </c>
      <c r="Q656" s="1">
        <f>IFERROR(PagosV2[[#This Row],[Ganancia individual (Tienda)]]*PagosV2[[#This Row],[Cantidad vendida]],0)</f>
        <v>125.30051874999995</v>
      </c>
      <c r="R656" s="1">
        <f>IFERROR((PagosV2[[#This Row],[Precio de venta]]-PagosV2[[#This Row],[Ganancia (UB)]])*PagosV2[[#This Row],[Cantidad vendida]],0)</f>
        <v>631.97750000000008</v>
      </c>
      <c r="S656" s="21" t="s">
        <v>312</v>
      </c>
      <c r="T656" s="21"/>
    </row>
    <row r="657" spans="1:20" ht="16.5" hidden="1" x14ac:dyDescent="0.3">
      <c r="A657" s="9" t="s">
        <v>311</v>
      </c>
      <c r="B657" s="75">
        <v>46169</v>
      </c>
      <c r="C657" s="9" t="s">
        <v>164</v>
      </c>
      <c r="D657" s="9" t="str">
        <f>IFERROR(VLOOKUP(PagosV2[[#This Row],[Codigo del producto]],Entradas[],3,FALSE),"No existe")</f>
        <v>Bolso Protector Audifonos KZ</v>
      </c>
      <c r="E657" s="9">
        <v>1</v>
      </c>
      <c r="F657" s="11">
        <v>50</v>
      </c>
      <c r="G657" s="11">
        <f>IFERROR(PagosV2[[#This Row],[Cantidad vendida]]*PagosV2[[#This Row],[Precio de venta]],"-")</f>
        <v>50</v>
      </c>
      <c r="H657" s="11">
        <f>IFERROR(PagosV2[[#This Row],[Precio de venta]]-VLOOKUP(PagosV2[[#This Row],[Codigo del producto]],Stock[],13,FALSE),"-")</f>
        <v>21.625499999999999</v>
      </c>
      <c r="I657" s="11">
        <f>IFERROR(PagosV2[[#This Row],[Ganancia (UB)]]*$B$357,0)</f>
        <v>0.64876499999999993</v>
      </c>
      <c r="J657" s="11">
        <f>IFERROR(PagosV2[[#This Row],[Ganancia (UB)]]*$B$358,0)</f>
        <v>1.2975299999999999</v>
      </c>
      <c r="K657" s="11">
        <f>IFERROR(PagosV2[[#This Row],[Ganancia (UB)]]*$B$359,0)</f>
        <v>0.64876499999999993</v>
      </c>
      <c r="L657" s="11">
        <f>IFERROR(PagosV2[[#This Row],[Ganancia (UB)]]*$B$360,0)</f>
        <v>0.64876499999999993</v>
      </c>
      <c r="M657" s="11">
        <f>IFERROR(PagosV2[[#This Row],[Ganancia (UB)]]-PagosV2[[#This Row],[PM]]-PagosV2[[#This Row],[GC]]-PagosV2[[#This Row],[PC]]-PagosV2[[#This Row],[U]],0)</f>
        <v>18.381674999999998</v>
      </c>
      <c r="N657" s="11">
        <f t="shared" si="18"/>
        <v>8.2717537499999985</v>
      </c>
      <c r="O657" s="11">
        <f>IFERROR(PagosV2[[#This Row],[Ganancia (UV)]]*PagosV2[[#This Row],[Cantidad vendida]],0)</f>
        <v>8.2717537499999985</v>
      </c>
      <c r="P657" s="1">
        <f>IFERROR(PagosV2[[#This Row],[Ganancia (N)]]-PagosV2[[#This Row],[Ganancia (UV)]],0)</f>
        <v>10.109921249999999</v>
      </c>
      <c r="Q657" s="1">
        <f>IFERROR(PagosV2[[#This Row],[Ganancia individual (Tienda)]]*PagosV2[[#This Row],[Cantidad vendida]],0)</f>
        <v>10.109921249999999</v>
      </c>
      <c r="R657" s="1">
        <f>IFERROR((PagosV2[[#This Row],[Precio de venta]]-PagosV2[[#This Row],[Ganancia (UB)]])*PagosV2[[#This Row],[Cantidad vendida]],0)</f>
        <v>28.374500000000001</v>
      </c>
      <c r="S657" s="21" t="s">
        <v>312</v>
      </c>
      <c r="T657" s="21"/>
    </row>
    <row r="658" spans="1:20" ht="16.5" hidden="1" x14ac:dyDescent="0.3">
      <c r="A658" s="9" t="s">
        <v>311</v>
      </c>
      <c r="B658" s="75">
        <v>46169</v>
      </c>
      <c r="C658" s="9" t="s">
        <v>166</v>
      </c>
      <c r="D658" s="9" t="str">
        <f>IFERROR(VLOOKUP(PagosV2[[#This Row],[Codigo del producto]],Entradas[],3,FALSE),"No existe")</f>
        <v>Pantalla para moto C5000 con camaras</v>
      </c>
      <c r="E658" s="9">
        <v>1</v>
      </c>
      <c r="F658" s="11">
        <v>3800</v>
      </c>
      <c r="G658" s="11">
        <f>IFERROR(PagosV2[[#This Row],[Cantidad vendida]]*PagosV2[[#This Row],[Precio de venta]],"-")</f>
        <v>3800</v>
      </c>
      <c r="H658" s="11">
        <f>IFERROR(PagosV2[[#This Row],[Precio de venta]]-VLOOKUP(PagosV2[[#This Row],[Codigo del producto]],Stock[],13,FALSE),"-")</f>
        <v>470.23399999999992</v>
      </c>
      <c r="I658" s="11">
        <f>IFERROR(PagosV2[[#This Row],[Ganancia (UB)]]*$B$357,0)</f>
        <v>14.107019999999997</v>
      </c>
      <c r="J658" s="11">
        <f>IFERROR(PagosV2[[#This Row],[Ganancia (UB)]]*$B$358,0)</f>
        <v>28.214039999999994</v>
      </c>
      <c r="K658" s="11">
        <f>IFERROR(PagosV2[[#This Row],[Ganancia (UB)]]*$B$359,0)</f>
        <v>14.107019999999997</v>
      </c>
      <c r="L658" s="11">
        <f>IFERROR(PagosV2[[#This Row],[Ganancia (UB)]]*$B$360,0)</f>
        <v>14.107019999999997</v>
      </c>
      <c r="M658" s="11">
        <f>IFERROR(PagosV2[[#This Row],[Ganancia (UB)]]-PagosV2[[#This Row],[PM]]-PagosV2[[#This Row],[GC]]-PagosV2[[#This Row],[PC]]-PagosV2[[#This Row],[U]],0)</f>
        <v>399.69889999999998</v>
      </c>
      <c r="N658" s="11">
        <f t="shared" si="18"/>
        <v>159.87956</v>
      </c>
      <c r="O658" s="11">
        <f>IFERROR(PagosV2[[#This Row],[Ganancia (UV)]]*PagosV2[[#This Row],[Cantidad vendida]],0)</f>
        <v>159.87956</v>
      </c>
      <c r="P658" s="1">
        <f>IFERROR(PagosV2[[#This Row],[Ganancia (N)]]-PagosV2[[#This Row],[Ganancia (UV)]],0)</f>
        <v>239.81933999999998</v>
      </c>
      <c r="Q658" s="1">
        <f>IFERROR(PagosV2[[#This Row],[Ganancia individual (Tienda)]]*PagosV2[[#This Row],[Cantidad vendida]],0)</f>
        <v>239.81933999999998</v>
      </c>
      <c r="R658" s="1">
        <f>IFERROR((PagosV2[[#This Row],[Precio de venta]]-PagosV2[[#This Row],[Ganancia (UB)]])*PagosV2[[#This Row],[Cantidad vendida]],0)</f>
        <v>3329.7660000000001</v>
      </c>
      <c r="S658" s="21" t="s">
        <v>312</v>
      </c>
      <c r="T658" s="21"/>
    </row>
    <row r="659" spans="1:20" ht="16.5" hidden="1" x14ac:dyDescent="0.3">
      <c r="A659" s="9" t="s">
        <v>311</v>
      </c>
      <c r="B659" s="75">
        <v>46169</v>
      </c>
      <c r="C659" s="9" t="s">
        <v>169</v>
      </c>
      <c r="D659" s="9" t="str">
        <f>IFERROR(VLOOKUP(PagosV2[[#This Row],[Codigo del producto]],Entradas[],3,FALSE),"No existe")</f>
        <v>Mouse AJAZZ AJ179 Pro</v>
      </c>
      <c r="E659" s="9">
        <v>1</v>
      </c>
      <c r="F659" s="11">
        <v>1050</v>
      </c>
      <c r="G659" s="11">
        <f>IFERROR(PagosV2[[#This Row],[Cantidad vendida]]*PagosV2[[#This Row],[Precio de venta]],"-")</f>
        <v>1050</v>
      </c>
      <c r="H659" s="11">
        <f>IFERROR(PagosV2[[#This Row],[Precio de venta]]-VLOOKUP(PagosV2[[#This Row],[Codigo del producto]],Stock[],13,FALSE),"-")</f>
        <v>266.20049999999981</v>
      </c>
      <c r="I659" s="11">
        <f>IFERROR(PagosV2[[#This Row],[Ganancia (UB)]]*$B$357,0)</f>
        <v>7.9860149999999939</v>
      </c>
      <c r="J659" s="11">
        <f>IFERROR(PagosV2[[#This Row],[Ganancia (UB)]]*$B$358,0)</f>
        <v>15.972029999999988</v>
      </c>
      <c r="K659" s="11">
        <f>IFERROR(PagosV2[[#This Row],[Ganancia (UB)]]*$B$359,0)</f>
        <v>7.9860149999999939</v>
      </c>
      <c r="L659" s="11">
        <f>IFERROR(PagosV2[[#This Row],[Ganancia (UB)]]*$B$360,0)</f>
        <v>7.9860149999999939</v>
      </c>
      <c r="M659" s="11">
        <f>IFERROR(PagosV2[[#This Row],[Ganancia (UB)]]-PagosV2[[#This Row],[PM]]-PagosV2[[#This Row],[GC]]-PagosV2[[#This Row],[PC]]-PagosV2[[#This Row],[U]],0)</f>
        <v>226.27042499999985</v>
      </c>
      <c r="N659" s="11">
        <f t="shared" si="18"/>
        <v>101.82169124999993</v>
      </c>
      <c r="O659" s="11">
        <f>IFERROR(PagosV2[[#This Row],[Ganancia (UV)]]*PagosV2[[#This Row],[Cantidad vendida]],0)</f>
        <v>101.82169124999993</v>
      </c>
      <c r="P659" s="1">
        <f>IFERROR(PagosV2[[#This Row],[Ganancia (N)]]-PagosV2[[#This Row],[Ganancia (UV)]],0)</f>
        <v>124.44873374999992</v>
      </c>
      <c r="Q659" s="1">
        <f>IFERROR(PagosV2[[#This Row],[Ganancia individual (Tienda)]]*PagosV2[[#This Row],[Cantidad vendida]],0)</f>
        <v>124.44873374999992</v>
      </c>
      <c r="R659" s="1">
        <f>IFERROR((PagosV2[[#This Row],[Precio de venta]]-PagosV2[[#This Row],[Ganancia (UB)]])*PagosV2[[#This Row],[Cantidad vendida]],0)</f>
        <v>783.79950000000019</v>
      </c>
      <c r="S659" s="21" t="s">
        <v>312</v>
      </c>
      <c r="T659" s="21"/>
    </row>
    <row r="660" spans="1:20" ht="16.5" hidden="1" x14ac:dyDescent="0.3">
      <c r="A660" s="9" t="s">
        <v>315</v>
      </c>
      <c r="B660" s="75">
        <v>46169</v>
      </c>
      <c r="C660" s="9" t="s">
        <v>128</v>
      </c>
      <c r="D660" s="9" t="str">
        <f>IFERROR(VLOOKUP(PagosV2[[#This Row],[Codigo del producto]],Entradas[],3,FALSE),"No existe")</f>
        <v>FIFINE Headset PC</v>
      </c>
      <c r="E660" s="9">
        <v>1</v>
      </c>
      <c r="F660" s="11">
        <v>1800</v>
      </c>
      <c r="G660" s="11">
        <f>IFERROR(PagosV2[[#This Row],[Cantidad vendida]]*PagosV2[[#This Row],[Precio de venta]],"-")</f>
        <v>1800</v>
      </c>
      <c r="H660" s="11">
        <f>IFERROR(PagosV2[[#This Row],[Precio de venta]]-VLOOKUP(PagosV2[[#This Row],[Codigo del producto]],Stock[],13,FALSE),"-")</f>
        <v>377.58999999999992</v>
      </c>
      <c r="I660" s="11">
        <f>IFERROR(PagosV2[[#This Row],[Ganancia (UB)]]*$B$357,0)</f>
        <v>11.327699999999997</v>
      </c>
      <c r="J660" s="11">
        <f>IFERROR(PagosV2[[#This Row],[Ganancia (UB)]]*$B$358,0)</f>
        <v>22.655399999999993</v>
      </c>
      <c r="K660" s="11">
        <f>IFERROR(PagosV2[[#This Row],[Ganancia (UB)]]*$B$359,0)</f>
        <v>11.327699999999997</v>
      </c>
      <c r="L660" s="11">
        <f>IFERROR(PagosV2[[#This Row],[Ganancia (UB)]]*$B$360,0)</f>
        <v>11.327699999999997</v>
      </c>
      <c r="M660" s="11">
        <f>IFERROR(PagosV2[[#This Row],[Ganancia (UB)]]-PagosV2[[#This Row],[PM]]-PagosV2[[#This Row],[GC]]-PagosV2[[#This Row],[PC]]-PagosV2[[#This Row],[U]],0)</f>
        <v>320.95149999999995</v>
      </c>
      <c r="N660" s="11">
        <f t="shared" si="18"/>
        <v>128.38059999999999</v>
      </c>
      <c r="O660" s="11">
        <f>IFERROR(PagosV2[[#This Row],[Ganancia (UV)]]*PagosV2[[#This Row],[Cantidad vendida]],0)</f>
        <v>128.38059999999999</v>
      </c>
      <c r="P660" s="1">
        <f>IFERROR(PagosV2[[#This Row],[Ganancia (N)]]-PagosV2[[#This Row],[Ganancia (UV)]],0)</f>
        <v>192.57089999999997</v>
      </c>
      <c r="Q660" s="1">
        <f>IFERROR(PagosV2[[#This Row],[Ganancia individual (Tienda)]]*PagosV2[[#This Row],[Cantidad vendida]],0)</f>
        <v>192.57089999999997</v>
      </c>
      <c r="R660" s="1">
        <f>IFERROR((PagosV2[[#This Row],[Precio de venta]]-PagosV2[[#This Row],[Ganancia (UB)]])*PagosV2[[#This Row],[Cantidad vendida]],0)</f>
        <v>1422.41</v>
      </c>
      <c r="S660" s="21" t="s">
        <v>312</v>
      </c>
      <c r="T660" s="21"/>
    </row>
    <row r="661" spans="1:20" ht="16.5" hidden="1" x14ac:dyDescent="0.3">
      <c r="A661" s="9" t="s">
        <v>327</v>
      </c>
      <c r="B661" s="75">
        <v>46170</v>
      </c>
      <c r="C661" s="9" t="s">
        <v>164</v>
      </c>
      <c r="D661" s="9" t="str">
        <f>IFERROR(VLOOKUP(PagosV2[[#This Row],[Codigo del producto]],Entradas[],3,FALSE),"No existe")</f>
        <v>Bolso Protector Audifonos KZ</v>
      </c>
      <c r="E661" s="9">
        <v>1</v>
      </c>
      <c r="F661" s="11">
        <v>50</v>
      </c>
      <c r="G661" s="11">
        <f>IFERROR(PagosV2[[#This Row],[Cantidad vendida]]*PagosV2[[#This Row],[Precio de venta]],"-")</f>
        <v>50</v>
      </c>
      <c r="H661" s="11">
        <f>IFERROR(PagosV2[[#This Row],[Precio de venta]]-VLOOKUP(PagosV2[[#This Row],[Codigo del producto]],Stock[],13,FALSE),"-")</f>
        <v>21.625499999999999</v>
      </c>
      <c r="I661" s="11">
        <f>IFERROR(PagosV2[[#This Row],[Ganancia (UB)]]*$B$357,0)</f>
        <v>0.64876499999999993</v>
      </c>
      <c r="J661" s="11">
        <f>IFERROR(PagosV2[[#This Row],[Ganancia (UB)]]*$B$358,0)</f>
        <v>1.2975299999999999</v>
      </c>
      <c r="K661" s="11">
        <f>IFERROR(PagosV2[[#This Row],[Ganancia (UB)]]*$B$359,0)</f>
        <v>0.64876499999999993</v>
      </c>
      <c r="L661" s="11">
        <f>IFERROR(PagosV2[[#This Row],[Ganancia (UB)]]*$B$360,0)</f>
        <v>0.64876499999999993</v>
      </c>
      <c r="M661" s="11">
        <f>IFERROR(PagosV2[[#This Row],[Ganancia (UB)]]-PagosV2[[#This Row],[PM]]-PagosV2[[#This Row],[GC]]-PagosV2[[#This Row],[PC]]-PagosV2[[#This Row],[U]],0)</f>
        <v>18.381674999999998</v>
      </c>
      <c r="N661" s="11">
        <f t="shared" si="18"/>
        <v>8.2717537499999985</v>
      </c>
      <c r="O661" s="11">
        <f>IFERROR(PagosV2[[#This Row],[Ganancia (UV)]]*PagosV2[[#This Row],[Cantidad vendida]],0)</f>
        <v>8.2717537499999985</v>
      </c>
      <c r="P661" s="1">
        <f>IFERROR(PagosV2[[#This Row],[Ganancia (N)]]-PagosV2[[#This Row],[Ganancia (UV)]],0)</f>
        <v>10.109921249999999</v>
      </c>
      <c r="Q661" s="1">
        <f>IFERROR(PagosV2[[#This Row],[Ganancia individual (Tienda)]]*PagosV2[[#This Row],[Cantidad vendida]],0)</f>
        <v>10.109921249999999</v>
      </c>
      <c r="R661" s="1">
        <f>IFERROR((PagosV2[[#This Row],[Precio de venta]]-PagosV2[[#This Row],[Ganancia (UB)]])*PagosV2[[#This Row],[Cantidad vendida]],0)</f>
        <v>28.374500000000001</v>
      </c>
      <c r="S661" s="21" t="s">
        <v>312</v>
      </c>
      <c r="T661" s="21"/>
    </row>
    <row r="662" spans="1:20" ht="16.5" hidden="1" x14ac:dyDescent="0.3">
      <c r="A662" s="9" t="s">
        <v>327</v>
      </c>
      <c r="B662" s="75">
        <v>46170</v>
      </c>
      <c r="C662" s="9" t="s">
        <v>156</v>
      </c>
      <c r="D662" s="9" t="str">
        <f>IFERROR(VLOOKUP(PagosV2[[#This Row],[Codigo del producto]],Entradas[],3,FALSE),"No existe")</f>
        <v>KZ Castor Pro</v>
      </c>
      <c r="E662" s="9">
        <v>1</v>
      </c>
      <c r="F662" s="11">
        <v>900</v>
      </c>
      <c r="G662" s="11">
        <f>IFERROR(PagosV2[[#This Row],[Cantidad vendida]]*PagosV2[[#This Row],[Precio de venta]],"-")</f>
        <v>900</v>
      </c>
      <c r="H662" s="11">
        <f>IFERROR(PagosV2[[#This Row],[Precio de venta]]-VLOOKUP(PagosV2[[#This Row],[Codigo del producto]],Stock[],13,FALSE),"-")</f>
        <v>268.02249999999992</v>
      </c>
      <c r="I662" s="11">
        <f>IFERROR(PagosV2[[#This Row],[Ganancia (UB)]]*$B$357,0)</f>
        <v>8.0406749999999967</v>
      </c>
      <c r="J662" s="11">
        <f>IFERROR(PagosV2[[#This Row],[Ganancia (UB)]]*$B$358,0)</f>
        <v>16.081349999999993</v>
      </c>
      <c r="K662" s="11">
        <f>IFERROR(PagosV2[[#This Row],[Ganancia (UB)]]*$B$359,0)</f>
        <v>8.0406749999999967</v>
      </c>
      <c r="L662" s="11">
        <f>IFERROR(PagosV2[[#This Row],[Ganancia (UB)]]*$B$360,0)</f>
        <v>8.0406749999999967</v>
      </c>
      <c r="M662" s="11">
        <f>IFERROR(PagosV2[[#This Row],[Ganancia (UB)]]-PagosV2[[#This Row],[PM]]-PagosV2[[#This Row],[GC]]-PagosV2[[#This Row],[PC]]-PagosV2[[#This Row],[U]],0)</f>
        <v>227.81912499999993</v>
      </c>
      <c r="N662" s="11">
        <f t="shared" si="18"/>
        <v>102.51860624999998</v>
      </c>
      <c r="O662" s="11">
        <f>IFERROR(PagosV2[[#This Row],[Ganancia (UV)]]*PagosV2[[#This Row],[Cantidad vendida]],0)</f>
        <v>102.51860624999998</v>
      </c>
      <c r="P662" s="1">
        <f>IFERROR(PagosV2[[#This Row],[Ganancia (N)]]-PagosV2[[#This Row],[Ganancia (UV)]],0)</f>
        <v>125.30051874999995</v>
      </c>
      <c r="Q662" s="1">
        <f>IFERROR(PagosV2[[#This Row],[Ganancia individual (Tienda)]]*PagosV2[[#This Row],[Cantidad vendida]],0)</f>
        <v>125.30051874999995</v>
      </c>
      <c r="R662" s="1">
        <f>IFERROR((PagosV2[[#This Row],[Precio de venta]]-PagosV2[[#This Row],[Ganancia (UB)]])*PagosV2[[#This Row],[Cantidad vendida]],0)</f>
        <v>631.97750000000008</v>
      </c>
      <c r="S662" s="21" t="s">
        <v>312</v>
      </c>
      <c r="T662" s="21"/>
    </row>
    <row r="663" spans="1:20" ht="16.5" hidden="1" x14ac:dyDescent="0.3">
      <c r="A663" s="9" t="s">
        <v>327</v>
      </c>
      <c r="B663" s="75">
        <v>46170</v>
      </c>
      <c r="C663" s="9" t="s">
        <v>130</v>
      </c>
      <c r="D663" s="9" t="str">
        <f>IFERROR(VLOOKUP(PagosV2[[#This Row],[Codigo del producto]],Entradas[],3,FALSE),"No existe")</f>
        <v>Cargadores USB para moto (Sin pantalla)</v>
      </c>
      <c r="E663" s="9">
        <v>1</v>
      </c>
      <c r="F663" s="11">
        <v>500</v>
      </c>
      <c r="G663" s="11">
        <f>IFERROR(PagosV2[[#This Row],[Cantidad vendida]]*PagosV2[[#This Row],[Precio de venta]],"-")</f>
        <v>500</v>
      </c>
      <c r="H663" s="11">
        <f>IFERROR(PagosV2[[#This Row],[Precio de venta]]-VLOOKUP(PagosV2[[#This Row],[Codigo del producto]],Stock[],13,FALSE),"-")</f>
        <v>255.68449999999996</v>
      </c>
      <c r="I663" s="11">
        <f>IFERROR(PagosV2[[#This Row],[Ganancia (UB)]]*$B$357,0)</f>
        <v>7.6705349999999983</v>
      </c>
      <c r="J663" s="11">
        <f>IFERROR(PagosV2[[#This Row],[Ganancia (UB)]]*$B$358,0)</f>
        <v>15.341069999999997</v>
      </c>
      <c r="K663" s="11">
        <f>IFERROR(PagosV2[[#This Row],[Ganancia (UB)]]*$B$359,0)</f>
        <v>7.6705349999999983</v>
      </c>
      <c r="L663" s="11">
        <f>IFERROR(PagosV2[[#This Row],[Ganancia (UB)]]*$B$360,0)</f>
        <v>7.6705349999999983</v>
      </c>
      <c r="M663" s="11">
        <f>IFERROR(PagosV2[[#This Row],[Ganancia (UB)]]-PagosV2[[#This Row],[PM]]-PagosV2[[#This Row],[GC]]-PagosV2[[#This Row],[PC]]-PagosV2[[#This Row],[U]],0)</f>
        <v>217.33182499999995</v>
      </c>
      <c r="N663" s="11">
        <f t="shared" si="18"/>
        <v>97.799321249999977</v>
      </c>
      <c r="O663" s="11">
        <f>IFERROR(PagosV2[[#This Row],[Ganancia (UV)]]*PagosV2[[#This Row],[Cantidad vendida]],0)</f>
        <v>97.799321249999977</v>
      </c>
      <c r="P663" s="1">
        <f>IFERROR(PagosV2[[#This Row],[Ganancia (N)]]-PagosV2[[#This Row],[Ganancia (UV)]],0)</f>
        <v>119.53250374999998</v>
      </c>
      <c r="Q663" s="1">
        <f>IFERROR(PagosV2[[#This Row],[Ganancia individual (Tienda)]]*PagosV2[[#This Row],[Cantidad vendida]],0)</f>
        <v>119.53250374999998</v>
      </c>
      <c r="R663" s="1">
        <f>IFERROR((PagosV2[[#This Row],[Precio de venta]]-PagosV2[[#This Row],[Ganancia (UB)]])*PagosV2[[#This Row],[Cantidad vendida]],0)</f>
        <v>244.31550000000004</v>
      </c>
      <c r="S663" s="21" t="s">
        <v>312</v>
      </c>
      <c r="T663" s="21"/>
    </row>
    <row r="664" spans="1:20" ht="16.5" hidden="1" x14ac:dyDescent="0.3">
      <c r="A664" s="9" t="s">
        <v>327</v>
      </c>
      <c r="B664" s="75">
        <v>46170</v>
      </c>
      <c r="C664" s="9" t="s">
        <v>66</v>
      </c>
      <c r="D664" s="9" t="str">
        <f>IFERROR(VLOOKUP(PagosV2[[#This Row],[Codigo del producto]],Entradas[],3,FALSE),"No existe")</f>
        <v xml:space="preserve">Adaptador DAC </v>
      </c>
      <c r="E664" s="9">
        <v>1</v>
      </c>
      <c r="F664" s="11">
        <v>350</v>
      </c>
      <c r="G664" s="11">
        <f>IFERROR(PagosV2[[#This Row],[Cantidad vendida]]*PagosV2[[#This Row],[Precio de venta]],"-")</f>
        <v>350</v>
      </c>
      <c r="H664" s="11">
        <f>IFERROR(PagosV2[[#This Row],[Precio de venta]]-VLOOKUP(PagosV2[[#This Row],[Codigo del producto]],Stock[],13,FALSE),"-")</f>
        <v>173.48849999999999</v>
      </c>
      <c r="I664" s="11">
        <f>IFERROR(PagosV2[[#This Row],[Ganancia (UB)]]*$B$357,0)</f>
        <v>5.2046549999999998</v>
      </c>
      <c r="J664" s="11">
        <f>IFERROR(PagosV2[[#This Row],[Ganancia (UB)]]*$B$358,0)</f>
        <v>10.40931</v>
      </c>
      <c r="K664" s="11">
        <f>IFERROR(PagosV2[[#This Row],[Ganancia (UB)]]*$B$359,0)</f>
        <v>5.2046549999999998</v>
      </c>
      <c r="L664" s="11">
        <f>IFERROR(PagosV2[[#This Row],[Ganancia (UB)]]*$B$360,0)</f>
        <v>5.2046549999999998</v>
      </c>
      <c r="M664" s="11">
        <f>IFERROR(PagosV2[[#This Row],[Ganancia (UB)]]-PagosV2[[#This Row],[PM]]-PagosV2[[#This Row],[GC]]-PagosV2[[#This Row],[PC]]-PagosV2[[#This Row],[U]],0)</f>
        <v>147.46522499999998</v>
      </c>
      <c r="N664" s="11">
        <f t="shared" si="18"/>
        <v>66.359351249999989</v>
      </c>
      <c r="O664" s="11">
        <f>IFERROR(PagosV2[[#This Row],[Ganancia (UV)]]*PagosV2[[#This Row],[Cantidad vendida]],0)</f>
        <v>66.359351249999989</v>
      </c>
      <c r="P664" s="1">
        <f>IFERROR(PagosV2[[#This Row],[Ganancia (N)]]-PagosV2[[#This Row],[Ganancia (UV)]],0)</f>
        <v>81.105873749999986</v>
      </c>
      <c r="Q664" s="1">
        <f>IFERROR(PagosV2[[#This Row],[Ganancia individual (Tienda)]]*PagosV2[[#This Row],[Cantidad vendida]],0)</f>
        <v>81.105873749999986</v>
      </c>
      <c r="R664" s="1">
        <f>IFERROR((PagosV2[[#This Row],[Precio de venta]]-PagosV2[[#This Row],[Ganancia (UB)]])*PagosV2[[#This Row],[Cantidad vendida]],0)</f>
        <v>176.51150000000001</v>
      </c>
      <c r="S664" s="21" t="s">
        <v>312</v>
      </c>
      <c r="T664" s="21"/>
    </row>
    <row r="665" spans="1:20" ht="16.5" hidden="1" x14ac:dyDescent="0.3">
      <c r="A665" s="9" t="s">
        <v>327</v>
      </c>
      <c r="B665" s="75">
        <v>46170</v>
      </c>
      <c r="C665" s="9" t="s">
        <v>123</v>
      </c>
      <c r="D665" s="9" t="str">
        <f>IFERROR(VLOOKUP(PagosV2[[#This Row],[Codigo del producto]],Entradas[],3,FALSE),"No existe")</f>
        <v>Nubwo G06</v>
      </c>
      <c r="E665" s="9">
        <v>1</v>
      </c>
      <c r="F665" s="11">
        <v>1300</v>
      </c>
      <c r="G665" s="11">
        <f>IFERROR(PagosV2[[#This Row],[Cantidad vendida]]*PagosV2[[#This Row],[Precio de venta]],"-")</f>
        <v>1300</v>
      </c>
      <c r="H665" s="11">
        <f>IFERROR(PagosV2[[#This Row],[Precio de venta]]-VLOOKUP(PagosV2[[#This Row],[Codigo del producto]],Stock[],13,FALSE),"-")</f>
        <v>354.42899999999997</v>
      </c>
      <c r="I665" s="11">
        <f>IFERROR(PagosV2[[#This Row],[Ganancia (UB)]]*$B$357,0)</f>
        <v>10.632869999999999</v>
      </c>
      <c r="J665" s="11">
        <f>IFERROR(PagosV2[[#This Row],[Ganancia (UB)]]*$B$358,0)</f>
        <v>21.265739999999997</v>
      </c>
      <c r="K665" s="11">
        <f>IFERROR(PagosV2[[#This Row],[Ganancia (UB)]]*$B$359,0)</f>
        <v>10.632869999999999</v>
      </c>
      <c r="L665" s="11">
        <f>IFERROR(PagosV2[[#This Row],[Ganancia (UB)]]*$B$360,0)</f>
        <v>10.632869999999999</v>
      </c>
      <c r="M665" s="11">
        <f>IFERROR(PagosV2[[#This Row],[Ganancia (UB)]]-PagosV2[[#This Row],[PM]]-PagosV2[[#This Row],[GC]]-PagosV2[[#This Row],[PC]]-PagosV2[[#This Row],[U]],0)</f>
        <v>301.2646499999999</v>
      </c>
      <c r="N665" s="11">
        <f t="shared" si="18"/>
        <v>120.50585999999997</v>
      </c>
      <c r="O665" s="11">
        <f>IFERROR(PagosV2[[#This Row],[Ganancia (UV)]]*PagosV2[[#This Row],[Cantidad vendida]],0)</f>
        <v>120.50585999999997</v>
      </c>
      <c r="P665" s="1">
        <f>IFERROR(PagosV2[[#This Row],[Ganancia (N)]]-PagosV2[[#This Row],[Ganancia (UV)]],0)</f>
        <v>180.75878999999992</v>
      </c>
      <c r="Q665" s="1">
        <f>IFERROR(PagosV2[[#This Row],[Ganancia individual (Tienda)]]*PagosV2[[#This Row],[Cantidad vendida]],0)</f>
        <v>180.75878999999992</v>
      </c>
      <c r="R665" s="1">
        <f>IFERROR((PagosV2[[#This Row],[Precio de venta]]-PagosV2[[#This Row],[Ganancia (UB)]])*PagosV2[[#This Row],[Cantidad vendida]],0)</f>
        <v>945.57100000000003</v>
      </c>
      <c r="S665" s="21" t="s">
        <v>312</v>
      </c>
      <c r="T665" s="21"/>
    </row>
    <row r="666" spans="1:20" ht="16.5" hidden="1" x14ac:dyDescent="0.3">
      <c r="A666" s="9" t="s">
        <v>311</v>
      </c>
      <c r="B666" s="75">
        <v>46171</v>
      </c>
      <c r="C666" s="9" t="s">
        <v>169</v>
      </c>
      <c r="D666" s="9" t="str">
        <f>IFERROR(VLOOKUP(PagosV2[[#This Row],[Codigo del producto]],Entradas[],3,FALSE),"No existe")</f>
        <v>Mouse AJAZZ AJ179 Pro</v>
      </c>
      <c r="E666" s="9">
        <v>1</v>
      </c>
      <c r="F666" s="11">
        <v>1100</v>
      </c>
      <c r="G666" s="11">
        <f>IFERROR(PagosV2[[#This Row],[Cantidad vendida]]*PagosV2[[#This Row],[Precio de venta]],"-")</f>
        <v>1100</v>
      </c>
      <c r="H666" s="11">
        <f>IFERROR(PagosV2[[#This Row],[Precio de venta]]-VLOOKUP(PagosV2[[#This Row],[Codigo del producto]],Stock[],13,FALSE),"-")</f>
        <v>316.20049999999981</v>
      </c>
      <c r="I666" s="11">
        <f>IFERROR(PagosV2[[#This Row],[Ganancia (UB)]]*$B$357,0)</f>
        <v>9.486014999999993</v>
      </c>
      <c r="J666" s="11">
        <f>IFERROR(PagosV2[[#This Row],[Ganancia (UB)]]*$B$358,0)</f>
        <v>18.972029999999986</v>
      </c>
      <c r="K666" s="11">
        <f>IFERROR(PagosV2[[#This Row],[Ganancia (UB)]]*$B$359,0)</f>
        <v>9.486014999999993</v>
      </c>
      <c r="L666" s="11">
        <f>IFERROR(PagosV2[[#This Row],[Ganancia (UB)]]*$B$360,0)</f>
        <v>9.486014999999993</v>
      </c>
      <c r="M666" s="11">
        <f>IFERROR(PagosV2[[#This Row],[Ganancia (UB)]]-PagosV2[[#This Row],[PM]]-PagosV2[[#This Row],[GC]]-PagosV2[[#This Row],[PC]]-PagosV2[[#This Row],[U]],0)</f>
        <v>268.77042499999982</v>
      </c>
      <c r="N666" s="11">
        <f>IFERROR(
  IF(M666&lt;=0,"-",
    IF(M666&lt;=300, M666*0.45,
      IF(M666&lt;=600, M666*0.4,
        IF(M666&lt;=900, M666*0.38,
          IF(M666&lt;=1000, M666*0.35,
            IF(M666&lt;=1400, M666*0.32,
              IF(M666&lt;=1800, HM666*0.3,
                IF(M666&gt;=2000, M666*0.28,
                  "-"
                )
              )
            )
          )
        )
      )
    )
  ),
  "-"
)</f>
        <v>120.94669124999992</v>
      </c>
      <c r="O666" s="11">
        <f>IFERROR(PagosV2[[#This Row],[Ganancia (UV)]]*PagosV2[[#This Row],[Cantidad vendida]],0)</f>
        <v>120.94669124999992</v>
      </c>
      <c r="P666" s="1">
        <f>IFERROR(PagosV2[[#This Row],[Ganancia (N)]]-PagosV2[[#This Row],[Ganancia (UV)]],0)</f>
        <v>147.82373374999992</v>
      </c>
      <c r="Q666" s="1">
        <f>IFERROR(PagosV2[[#This Row],[Ganancia individual (Tienda)]]*PagosV2[[#This Row],[Cantidad vendida]],0)</f>
        <v>147.82373374999992</v>
      </c>
      <c r="R666" s="1">
        <f>IFERROR((PagosV2[[#This Row],[Precio de venta]]-PagosV2[[#This Row],[Ganancia (UB)]])*PagosV2[[#This Row],[Cantidad vendida]],0)</f>
        <v>783.79950000000019</v>
      </c>
      <c r="S666" s="21" t="s">
        <v>312</v>
      </c>
      <c r="T666" s="21"/>
    </row>
    <row r="667" spans="1:20" ht="16.5" hidden="1" x14ac:dyDescent="0.3">
      <c r="A667" s="9" t="s">
        <v>311</v>
      </c>
      <c r="B667" s="75">
        <v>46171</v>
      </c>
      <c r="C667" s="9" t="s">
        <v>156</v>
      </c>
      <c r="D667" s="9" t="str">
        <f>IFERROR(VLOOKUP(PagosV2[[#This Row],[Codigo del producto]],Entradas[],3,FALSE),"No existe")</f>
        <v>KZ Castor Pro</v>
      </c>
      <c r="E667" s="9">
        <v>1</v>
      </c>
      <c r="F667" s="11">
        <v>900</v>
      </c>
      <c r="G667" s="11">
        <f>IFERROR(PagosV2[[#This Row],[Cantidad vendida]]*PagosV2[[#This Row],[Precio de venta]],"-")</f>
        <v>900</v>
      </c>
      <c r="H667" s="11">
        <f>IFERROR(PagosV2[[#This Row],[Precio de venta]]-VLOOKUP(PagosV2[[#This Row],[Codigo del producto]],Stock[],13,FALSE),"-")</f>
        <v>268.02249999999992</v>
      </c>
      <c r="I667" s="11">
        <f>IFERROR(PagosV2[[#This Row],[Ganancia (UB)]]*$B$357,0)</f>
        <v>8.0406749999999967</v>
      </c>
      <c r="J667" s="11">
        <f>IFERROR(PagosV2[[#This Row],[Ganancia (UB)]]*$B$358,0)</f>
        <v>16.081349999999993</v>
      </c>
      <c r="K667" s="11">
        <f>IFERROR(PagosV2[[#This Row],[Ganancia (UB)]]*$B$359,0)</f>
        <v>8.0406749999999967</v>
      </c>
      <c r="L667" s="11">
        <f>IFERROR(PagosV2[[#This Row],[Ganancia (UB)]]*$B$360,0)</f>
        <v>8.0406749999999967</v>
      </c>
      <c r="M667" s="11">
        <f>IFERROR(PagosV2[[#This Row],[Ganancia (UB)]]-PagosV2[[#This Row],[PM]]-PagosV2[[#This Row],[GC]]-PagosV2[[#This Row],[PC]]-PagosV2[[#This Row],[U]],0)</f>
        <v>227.81912499999993</v>
      </c>
      <c r="N667" s="11">
        <f>IFERROR(
  IF(M667&lt;=0,"-",
    IF(M667&lt;=300, M667*0.45,
      IF(M667&lt;=600, M667*0.4,
        IF(M667&lt;=900, M667*0.38,
          IF(M667&lt;=1000, M667*0.35,
            IF(M667&lt;=1400, M667*0.32,
              IF(M667&lt;=1800, HM667*0.3,
                IF(M667&gt;=2000, M667*0.28,
                  "-"
                )
              )
            )
          )
        )
      )
    )
  ),
  "-"
)</f>
        <v>102.51860624999998</v>
      </c>
      <c r="O667" s="11">
        <f>IFERROR(PagosV2[[#This Row],[Ganancia (UV)]]*PagosV2[[#This Row],[Cantidad vendida]],0)</f>
        <v>102.51860624999998</v>
      </c>
      <c r="P667" s="1">
        <f>IFERROR(PagosV2[[#This Row],[Ganancia (N)]]-PagosV2[[#This Row],[Ganancia (UV)]],0)</f>
        <v>125.30051874999995</v>
      </c>
      <c r="Q667" s="1">
        <f>IFERROR(PagosV2[[#This Row],[Ganancia individual (Tienda)]]*PagosV2[[#This Row],[Cantidad vendida]],0)</f>
        <v>125.30051874999995</v>
      </c>
      <c r="R667" s="1">
        <f>IFERROR((PagosV2[[#This Row],[Precio de venta]]-PagosV2[[#This Row],[Ganancia (UB)]])*PagosV2[[#This Row],[Cantidad vendida]],0)</f>
        <v>631.97750000000008</v>
      </c>
      <c r="S667" s="21" t="s">
        <v>312</v>
      </c>
      <c r="T667" s="21"/>
    </row>
    <row r="668" spans="1:20" ht="16.5" hidden="1" x14ac:dyDescent="0.3">
      <c r="A668" s="9" t="s">
        <v>311</v>
      </c>
      <c r="B668" s="75">
        <v>46171</v>
      </c>
      <c r="C668" s="9" t="s">
        <v>66</v>
      </c>
      <c r="D668" s="9" t="str">
        <f>IFERROR(VLOOKUP(PagosV2[[#This Row],[Codigo del producto]],Entradas[],3,FALSE),"No existe")</f>
        <v xml:space="preserve">Adaptador DAC </v>
      </c>
      <c r="E668" s="9">
        <v>1</v>
      </c>
      <c r="F668" s="11">
        <v>300</v>
      </c>
      <c r="G668" s="11">
        <f>IFERROR(PagosV2[[#This Row],[Cantidad vendida]]*PagosV2[[#This Row],[Precio de venta]],"-")</f>
        <v>300</v>
      </c>
      <c r="H668" s="11">
        <f>IFERROR(PagosV2[[#This Row],[Precio de venta]]-VLOOKUP(PagosV2[[#This Row],[Codigo del producto]],Stock[],13,FALSE),"-")</f>
        <v>123.48849999999999</v>
      </c>
      <c r="I668" s="11">
        <f>IFERROR(PagosV2[[#This Row],[Ganancia (UB)]]*$B$357,0)</f>
        <v>3.7046549999999994</v>
      </c>
      <c r="J668" s="11">
        <f>IFERROR(PagosV2[[#This Row],[Ganancia (UB)]]*$B$358,0)</f>
        <v>7.4093099999999987</v>
      </c>
      <c r="K668" s="11">
        <f>IFERROR(PagosV2[[#This Row],[Ganancia (UB)]]*$B$359,0)</f>
        <v>3.7046549999999994</v>
      </c>
      <c r="L668" s="11">
        <f>IFERROR(PagosV2[[#This Row],[Ganancia (UB)]]*$B$360,0)</f>
        <v>3.7046549999999994</v>
      </c>
      <c r="M668" s="11">
        <f>IFERROR(PagosV2[[#This Row],[Ganancia (UB)]]-PagosV2[[#This Row],[PM]]-PagosV2[[#This Row],[GC]]-PagosV2[[#This Row],[PC]]-PagosV2[[#This Row],[U]],0)</f>
        <v>104.96522499999998</v>
      </c>
      <c r="N668" s="11">
        <f>IFERROR(
  IF(M668&lt;=0,"-",
    IF(M668&lt;=300, M668*0.45,
      IF(M668&lt;=600, M668*0.4,
        IF(M668&lt;=900, M668*0.38,
          IF(M668&lt;=1000, M668*0.35,
            IF(M668&lt;=1400, M668*0.32,
              IF(M668&lt;=1800, HM668*0.3,
                IF(M668&gt;=2000, M668*0.28,
                  "-"
                )
              )
            )
          )
        )
      )
    )
  ),
  "-"
)</f>
        <v>47.234351249999989</v>
      </c>
      <c r="O668" s="11">
        <f>IFERROR(PagosV2[[#This Row],[Ganancia (UV)]]*PagosV2[[#This Row],[Cantidad vendida]],0)</f>
        <v>47.234351249999989</v>
      </c>
      <c r="P668" s="1">
        <f>IFERROR(PagosV2[[#This Row],[Ganancia (N)]]-PagosV2[[#This Row],[Ganancia (UV)]],0)</f>
        <v>57.730873749999986</v>
      </c>
      <c r="Q668" s="1">
        <f>IFERROR(PagosV2[[#This Row],[Ganancia individual (Tienda)]]*PagosV2[[#This Row],[Cantidad vendida]],0)</f>
        <v>57.730873749999986</v>
      </c>
      <c r="R668" s="1">
        <f>IFERROR((PagosV2[[#This Row],[Precio de venta]]-PagosV2[[#This Row],[Ganancia (UB)]])*PagosV2[[#This Row],[Cantidad vendida]],0)</f>
        <v>176.51150000000001</v>
      </c>
      <c r="S668" s="21" t="s">
        <v>312</v>
      </c>
      <c r="T668" s="21"/>
    </row>
    <row r="669" spans="1:20" ht="16.5" hidden="1" x14ac:dyDescent="0.3">
      <c r="A669" s="9" t="s">
        <v>313</v>
      </c>
      <c r="B669" s="75">
        <v>46171</v>
      </c>
      <c r="C669" s="9" t="s">
        <v>135</v>
      </c>
      <c r="D669" s="9" t="str">
        <f>IFERROR(VLOOKUP(PagosV2[[#This Row],[Codigo del producto]],Entradas[],3,FALSE),"No existe")</f>
        <v xml:space="preserve">Mouse ReDragon M991 </v>
      </c>
      <c r="E669" s="9">
        <v>1</v>
      </c>
      <c r="F669" s="11">
        <v>1500</v>
      </c>
      <c r="G669" s="11">
        <f>IFERROR(PagosV2[[#This Row],[Cantidad vendida]]*PagosV2[[#This Row],[Precio de venta]],"-")</f>
        <v>1500</v>
      </c>
      <c r="H669" s="11">
        <f>IFERROR(PagosV2[[#This Row],[Precio de venta]]-VLOOKUP(PagosV2[[#This Row],[Codigo del producto]],Stock[],13,FALSE),"-")</f>
        <v>427.66499999999996</v>
      </c>
      <c r="I669" s="11">
        <f>IFERROR(PagosV2[[#This Row],[Ganancia (UB)]]*$B$357,0)</f>
        <v>12.829949999999998</v>
      </c>
      <c r="J669" s="11">
        <f>IFERROR(PagosV2[[#This Row],[Ganancia (UB)]]*$B$358,0)</f>
        <v>25.659899999999997</v>
      </c>
      <c r="K669" s="11">
        <f>IFERROR(PagosV2[[#This Row],[Ganancia (UB)]]*$B$359,0)</f>
        <v>12.829949999999998</v>
      </c>
      <c r="L669" s="11">
        <f>IFERROR(PagosV2[[#This Row],[Ganancia (UB)]]*$B$360,0)</f>
        <v>12.829949999999998</v>
      </c>
      <c r="M669" s="11">
        <f>IFERROR(PagosV2[[#This Row],[Ganancia (UB)]]-PagosV2[[#This Row],[PM]]-PagosV2[[#This Row],[GC]]-PagosV2[[#This Row],[PC]]-PagosV2[[#This Row],[U]],0)</f>
        <v>363.51524999999998</v>
      </c>
      <c r="N669" s="11">
        <f>IFERROR(
  IF(M669&lt;=0,"-",
    IF(M669&lt;=300, M669*0.45,
      IF(M669&lt;=600, M669*0.4,
        IF(M669&lt;=900, M669*0.38,
          IF(M669&lt;=1000, M669*0.35,
            IF(M669&lt;=1400, M669*0.32,
              IF(M669&lt;=1800, HM669*0.3,
                IF(M669&gt;=2000, M669*0.28,
                  "-"
                )
              )
            )
          )
        )
      )
    )
  ),
  "-"
)</f>
        <v>145.40610000000001</v>
      </c>
      <c r="O669" s="11">
        <f>IFERROR(PagosV2[[#This Row],[Ganancia (UV)]]*PagosV2[[#This Row],[Cantidad vendida]],0)</f>
        <v>145.40610000000001</v>
      </c>
      <c r="P669" s="1">
        <f>IFERROR(PagosV2[[#This Row],[Ganancia (N)]]-PagosV2[[#This Row],[Ganancia (UV)]],0)</f>
        <v>218.10914999999997</v>
      </c>
      <c r="Q669" s="1">
        <f>IFERROR(PagosV2[[#This Row],[Ganancia individual (Tienda)]]*PagosV2[[#This Row],[Cantidad vendida]],0)</f>
        <v>218.10914999999997</v>
      </c>
      <c r="R669" s="1">
        <f>IFERROR((PagosV2[[#This Row],[Precio de venta]]-PagosV2[[#This Row],[Ganancia (UB)]])*PagosV2[[#This Row],[Cantidad vendida]],0)</f>
        <v>1072.335</v>
      </c>
      <c r="S669" s="21" t="s">
        <v>312</v>
      </c>
      <c r="T669" s="21"/>
    </row>
    <row r="670" spans="1:20" ht="16.5" hidden="1" x14ac:dyDescent="0.3">
      <c r="A670" s="9" t="s">
        <v>313</v>
      </c>
      <c r="B670" s="75">
        <v>46171</v>
      </c>
      <c r="C670" s="9" t="s">
        <v>154</v>
      </c>
      <c r="D670" s="9" t="str">
        <f>IFERROR(VLOOKUP(PagosV2[[#This Row],[Codigo del producto]],Entradas[],3,FALSE),"No existe")</f>
        <v xml:space="preserve">Attack Shark Mouse X11 negro </v>
      </c>
      <c r="E670" s="9">
        <v>1</v>
      </c>
      <c r="F670" s="11">
        <v>1200</v>
      </c>
      <c r="G670" s="11">
        <f>IFERROR(PagosV2[[#This Row],[Cantidad vendida]]*PagosV2[[#This Row],[Precio de venta]],"-")</f>
        <v>1200</v>
      </c>
      <c r="H670" s="11">
        <f>IFERROR(PagosV2[[#This Row],[Precio de venta]]-VLOOKUP(PagosV2[[#This Row],[Codigo del producto]],Stock[],13,FALSE),"-")</f>
        <v>277.64449999999988</v>
      </c>
      <c r="I670" s="11">
        <f>IFERROR(PagosV2[[#This Row],[Ganancia (UB)]]*$B$357,0)</f>
        <v>8.3293349999999968</v>
      </c>
      <c r="J670" s="11">
        <f>IFERROR(PagosV2[[#This Row],[Ganancia (UB)]]*$B$358,0)</f>
        <v>16.658669999999994</v>
      </c>
      <c r="K670" s="11">
        <f>IFERROR(PagosV2[[#This Row],[Ganancia (UB)]]*$B$359,0)</f>
        <v>8.3293349999999968</v>
      </c>
      <c r="L670" s="11">
        <f>IFERROR(PagosV2[[#This Row],[Ganancia (UB)]]*$B$360,0)</f>
        <v>8.3293349999999968</v>
      </c>
      <c r="M670" s="11">
        <f>IFERROR(PagosV2[[#This Row],[Ganancia (UB)]]-PagosV2[[#This Row],[PM]]-PagosV2[[#This Row],[GC]]-PagosV2[[#This Row],[PC]]-PagosV2[[#This Row],[U]],0)</f>
        <v>235.99782499999989</v>
      </c>
      <c r="N670" s="11">
        <f>IFERROR(
  IF(M670&lt;=0,"-",
    IF(M670&lt;=300, M670*0.45,
      IF(M670&lt;=600, M670*0.4,
        IF(M670&lt;=900, M670*0.38,
          IF(M670&lt;=1000, M670*0.35,
            IF(M670&lt;=1400, M670*0.32,
              IF(M670&lt;=1800, HM670*0.3,
                IF(M670&gt;=2000, M670*0.28,
                  "-"
                )
              )
            )
          )
        )
      )
    )
  ),
  "-"
)</f>
        <v>106.19902124999996</v>
      </c>
      <c r="O670" s="11">
        <f>IFERROR(PagosV2[[#This Row],[Ganancia (UV)]]*PagosV2[[#This Row],[Cantidad vendida]],0)</f>
        <v>106.19902124999996</v>
      </c>
      <c r="P670" s="1">
        <f>IFERROR(PagosV2[[#This Row],[Ganancia (N)]]-PagosV2[[#This Row],[Ganancia (UV)]],0)</f>
        <v>129.79880374999993</v>
      </c>
      <c r="Q670" s="1">
        <f>IFERROR(PagosV2[[#This Row],[Ganancia individual (Tienda)]]*PagosV2[[#This Row],[Cantidad vendida]],0)</f>
        <v>129.79880374999993</v>
      </c>
      <c r="R670" s="1">
        <f>IFERROR((PagosV2[[#This Row],[Precio de venta]]-PagosV2[[#This Row],[Ganancia (UB)]])*PagosV2[[#This Row],[Cantidad vendida]],0)</f>
        <v>922.35550000000012</v>
      </c>
      <c r="S670" s="21" t="s">
        <v>312</v>
      </c>
      <c r="T670" s="21"/>
    </row>
    <row r="671" spans="1:20" ht="16.5" hidden="1" x14ac:dyDescent="0.3">
      <c r="A671" s="9" t="s">
        <v>313</v>
      </c>
      <c r="B671" s="75">
        <v>46171</v>
      </c>
      <c r="C671" s="9" t="s">
        <v>156</v>
      </c>
      <c r="D671" s="9" t="str">
        <f>IFERROR(VLOOKUP(PagosV2[[#This Row],[Codigo del producto]],Entradas[],3,FALSE),"No existe")</f>
        <v>KZ Castor Pro</v>
      </c>
      <c r="E671" s="9">
        <v>1</v>
      </c>
      <c r="F671" s="11">
        <v>900</v>
      </c>
      <c r="G671" s="11">
        <f>IFERROR(PagosV2[[#This Row],[Cantidad vendida]]*PagosV2[[#This Row],[Precio de venta]],"-")</f>
        <v>900</v>
      </c>
      <c r="H671" s="11">
        <f>IFERROR(PagosV2[[#This Row],[Precio de venta]]-VLOOKUP(PagosV2[[#This Row],[Codigo del producto]],Stock[],13,FALSE),"-")</f>
        <v>268.02249999999992</v>
      </c>
      <c r="I671" s="11">
        <f>IFERROR(PagosV2[[#This Row],[Ganancia (UB)]]*$B$357,0)</f>
        <v>8.0406749999999967</v>
      </c>
      <c r="J671" s="11">
        <f>IFERROR(PagosV2[[#This Row],[Ganancia (UB)]]*$B$358,0)</f>
        <v>16.081349999999993</v>
      </c>
      <c r="K671" s="11">
        <f>IFERROR(PagosV2[[#This Row],[Ganancia (UB)]]*$B$359,0)</f>
        <v>8.0406749999999967</v>
      </c>
      <c r="L671" s="11">
        <f>IFERROR(PagosV2[[#This Row],[Ganancia (UB)]]*$B$360,0)</f>
        <v>8.0406749999999967</v>
      </c>
      <c r="M671" s="11">
        <f>IFERROR(PagosV2[[#This Row],[Ganancia (UB)]]-PagosV2[[#This Row],[PM]]-PagosV2[[#This Row],[GC]]-PagosV2[[#This Row],[PC]]-PagosV2[[#This Row],[U]],0)</f>
        <v>227.81912499999993</v>
      </c>
      <c r="N671" s="11">
        <f t="shared" si="17"/>
        <v>102.51860624999998</v>
      </c>
      <c r="O671" s="11">
        <f>IFERROR(PagosV2[[#This Row],[Ganancia (UV)]]*PagosV2[[#This Row],[Cantidad vendida]],0)</f>
        <v>102.51860624999998</v>
      </c>
      <c r="P671" s="1">
        <f>IFERROR(PagosV2[[#This Row],[Ganancia (N)]]-PagosV2[[#This Row],[Ganancia (UV)]],0)</f>
        <v>125.30051874999995</v>
      </c>
      <c r="Q671" s="1">
        <f>IFERROR(PagosV2[[#This Row],[Ganancia individual (Tienda)]]*PagosV2[[#This Row],[Cantidad vendida]],0)</f>
        <v>125.30051874999995</v>
      </c>
      <c r="R671" s="1">
        <f>IFERROR((PagosV2[[#This Row],[Precio de venta]]-PagosV2[[#This Row],[Ganancia (UB)]])*PagosV2[[#This Row],[Cantidad vendida]],0)</f>
        <v>631.97750000000008</v>
      </c>
      <c r="S671" s="21" t="s">
        <v>312</v>
      </c>
      <c r="T671" s="21"/>
    </row>
    <row r="672" spans="1:20" ht="16.5" hidden="1" x14ac:dyDescent="0.3">
      <c r="A672" s="9" t="s">
        <v>313</v>
      </c>
      <c r="B672" s="75">
        <v>46172</v>
      </c>
      <c r="C672" s="9" t="s">
        <v>494</v>
      </c>
      <c r="D672" s="9" t="str">
        <f>IFERROR(VLOOKUP(PagosV2[[#This Row],[Codigo del producto]],Entradas[],3,FALSE),"No existe")</f>
        <v>Shark Attack Mouse X11 White</v>
      </c>
      <c r="E672" s="9">
        <v>1</v>
      </c>
      <c r="F672" s="11">
        <v>1200</v>
      </c>
      <c r="G672" s="11">
        <f>IFERROR(PagosV2[[#This Row],[Cantidad vendida]]*PagosV2[[#This Row],[Precio de venta]],"-")</f>
        <v>1200</v>
      </c>
      <c r="H672" s="11">
        <f>IFERROR(PagosV2[[#This Row],[Precio de venta]]-VLOOKUP(PagosV2[[#This Row],[Codigo del producto]],Stock[],13,FALSE),"-")</f>
        <v>308.23</v>
      </c>
      <c r="I672" s="11">
        <f>IFERROR(PagosV2[[#This Row],[Ganancia (UB)]]*$B$357,0)</f>
        <v>9.2469000000000001</v>
      </c>
      <c r="J672" s="11">
        <f>IFERROR(PagosV2[[#This Row],[Ganancia (UB)]]*$B$358,0)</f>
        <v>18.4938</v>
      </c>
      <c r="K672" s="11">
        <f>IFERROR(PagosV2[[#This Row],[Ganancia (UB)]]*$B$359,0)</f>
        <v>9.2469000000000001</v>
      </c>
      <c r="L672" s="11">
        <f>IFERROR(PagosV2[[#This Row],[Ganancia (UB)]]*$B$360,0)</f>
        <v>9.2469000000000001</v>
      </c>
      <c r="M672" s="11">
        <f>IFERROR(PagosV2[[#This Row],[Ganancia (UB)]]-PagosV2[[#This Row],[PM]]-PagosV2[[#This Row],[GC]]-PagosV2[[#This Row],[PC]]-PagosV2[[#This Row],[U]],0)</f>
        <v>261.99550000000005</v>
      </c>
      <c r="N672" s="11">
        <f t="shared" ref="N672:N688" si="19">IFERROR(
  IF(M672&lt;=0,"-",
    IF(M672&lt;=300, M672*0.45,
      IF(M672&lt;=600, M672*0.4,
        IF(M672&lt;=900, M672*0.38,
          IF(M672&lt;=1000, M672*0.35,
            IF(M672&lt;=1400, M672*0.32,
              IF(M672&lt;=1800, HM672*0.3,
                IF(M672&gt;=2000, M672*0.28,
                  "-"
                )
              )
            )
          )
        )
      )
    )
  ),
  "-"
)</f>
        <v>117.89797500000003</v>
      </c>
      <c r="O672" s="11">
        <f>IFERROR(PagosV2[[#This Row],[Ganancia (UV)]]*PagosV2[[#This Row],[Cantidad vendida]],0)</f>
        <v>117.89797500000003</v>
      </c>
      <c r="P672" s="1">
        <f>IFERROR(PagosV2[[#This Row],[Ganancia (N)]]-PagosV2[[#This Row],[Ganancia (UV)]],0)</f>
        <v>144.09752500000002</v>
      </c>
      <c r="Q672" s="1">
        <f>IFERROR(PagosV2[[#This Row],[Ganancia individual (Tienda)]]*PagosV2[[#This Row],[Cantidad vendida]],0)</f>
        <v>144.09752500000002</v>
      </c>
      <c r="R672" s="1">
        <f>IFERROR((PagosV2[[#This Row],[Precio de venta]]-PagosV2[[#This Row],[Ganancia (UB)]])*PagosV2[[#This Row],[Cantidad vendida]],0)</f>
        <v>891.77</v>
      </c>
      <c r="S672" s="21" t="s">
        <v>312</v>
      </c>
      <c r="T672" s="21"/>
    </row>
    <row r="673" spans="1:20" ht="16.5" hidden="1" x14ac:dyDescent="0.3">
      <c r="A673" s="9" t="s">
        <v>313</v>
      </c>
      <c r="B673" s="75">
        <v>46172</v>
      </c>
      <c r="C673" s="9" t="s">
        <v>173</v>
      </c>
      <c r="D673" s="9" t="str">
        <f>IFERROR(VLOOKUP(PagosV2[[#This Row],[Codigo del producto]],Entradas[],3,FALSE),"No existe")</f>
        <v>KZ ZSN PRO 2</v>
      </c>
      <c r="E673" s="9">
        <v>1</v>
      </c>
      <c r="F673" s="11">
        <v>800</v>
      </c>
      <c r="G673" s="11">
        <f>IFERROR(PagosV2[[#This Row],[Cantidad vendida]]*PagosV2[[#This Row],[Precio de venta]],"-")</f>
        <v>800</v>
      </c>
      <c r="H673" s="11">
        <f>IFERROR(PagosV2[[#This Row],[Precio de venta]]-VLOOKUP(PagosV2[[#This Row],[Codigo del producto]],Stock[],13,FALSE),"-")</f>
        <v>281.15199999999993</v>
      </c>
      <c r="I673" s="11">
        <f>IFERROR(PagosV2[[#This Row],[Ganancia (UB)]]*$B$357,0)</f>
        <v>8.4345599999999976</v>
      </c>
      <c r="J673" s="11">
        <f>IFERROR(PagosV2[[#This Row],[Ganancia (UB)]]*$B$358,0)</f>
        <v>16.869119999999995</v>
      </c>
      <c r="K673" s="11">
        <f>IFERROR(PagosV2[[#This Row],[Ganancia (UB)]]*$B$359,0)</f>
        <v>8.4345599999999976</v>
      </c>
      <c r="L673" s="11">
        <f>IFERROR(PagosV2[[#This Row],[Ganancia (UB)]]*$B$360,0)</f>
        <v>8.4345599999999976</v>
      </c>
      <c r="M673" s="11">
        <f>IFERROR(PagosV2[[#This Row],[Ganancia (UB)]]-PagosV2[[#This Row],[PM]]-PagosV2[[#This Row],[GC]]-PagosV2[[#This Row],[PC]]-PagosV2[[#This Row],[U]],0)</f>
        <v>238.97919999999993</v>
      </c>
      <c r="N673" s="11">
        <f t="shared" si="19"/>
        <v>107.54063999999997</v>
      </c>
      <c r="O673" s="11">
        <f>IFERROR(PagosV2[[#This Row],[Ganancia (UV)]]*PagosV2[[#This Row],[Cantidad vendida]],0)</f>
        <v>107.54063999999997</v>
      </c>
      <c r="P673" s="1">
        <f>IFERROR(PagosV2[[#This Row],[Ganancia (N)]]-PagosV2[[#This Row],[Ganancia (UV)]],0)</f>
        <v>131.43855999999997</v>
      </c>
      <c r="Q673" s="1">
        <f>IFERROR(PagosV2[[#This Row],[Ganancia individual (Tienda)]]*PagosV2[[#This Row],[Cantidad vendida]],0)</f>
        <v>131.43855999999997</v>
      </c>
      <c r="R673" s="1">
        <f>IFERROR((PagosV2[[#This Row],[Precio de venta]]-PagosV2[[#This Row],[Ganancia (UB)]])*PagosV2[[#This Row],[Cantidad vendida]],0)</f>
        <v>518.84800000000007</v>
      </c>
      <c r="S673" s="21" t="s">
        <v>312</v>
      </c>
      <c r="T673" s="21"/>
    </row>
    <row r="674" spans="1:20" ht="16.5" hidden="1" x14ac:dyDescent="0.3">
      <c r="A674" s="9" t="s">
        <v>315</v>
      </c>
      <c r="B674" s="75">
        <v>46172</v>
      </c>
      <c r="C674" s="9" t="s">
        <v>169</v>
      </c>
      <c r="D674" s="9" t="str">
        <f>IFERROR(VLOOKUP(PagosV2[[#This Row],[Codigo del producto]],Entradas[],3,FALSE),"No existe")</f>
        <v>Mouse AJAZZ AJ179 Pro</v>
      </c>
      <c r="E674" s="9">
        <v>1</v>
      </c>
      <c r="F674" s="11">
        <v>1100</v>
      </c>
      <c r="G674" s="11">
        <f>IFERROR(PagosV2[[#This Row],[Cantidad vendida]]*PagosV2[[#This Row],[Precio de venta]],"-")</f>
        <v>1100</v>
      </c>
      <c r="H674" s="11">
        <f>IFERROR(PagosV2[[#This Row],[Precio de venta]]-VLOOKUP(PagosV2[[#This Row],[Codigo del producto]],Stock[],13,FALSE),"-")</f>
        <v>316.20049999999981</v>
      </c>
      <c r="I674" s="11">
        <f>IFERROR(PagosV2[[#This Row],[Ganancia (UB)]]*$B$357,0)</f>
        <v>9.486014999999993</v>
      </c>
      <c r="J674" s="11">
        <f>IFERROR(PagosV2[[#This Row],[Ganancia (UB)]]*$B$358,0)</f>
        <v>18.972029999999986</v>
      </c>
      <c r="K674" s="11">
        <f>IFERROR(PagosV2[[#This Row],[Ganancia (UB)]]*$B$359,0)</f>
        <v>9.486014999999993</v>
      </c>
      <c r="L674" s="11">
        <f>IFERROR(PagosV2[[#This Row],[Ganancia (UB)]]*$B$360,0)</f>
        <v>9.486014999999993</v>
      </c>
      <c r="M674" s="11">
        <f>IFERROR(PagosV2[[#This Row],[Ganancia (UB)]]-PagosV2[[#This Row],[PM]]-PagosV2[[#This Row],[GC]]-PagosV2[[#This Row],[PC]]-PagosV2[[#This Row],[U]],0)</f>
        <v>268.77042499999982</v>
      </c>
      <c r="N674" s="11">
        <f t="shared" si="19"/>
        <v>120.94669124999992</v>
      </c>
      <c r="O674" s="11">
        <f>IFERROR(PagosV2[[#This Row],[Ganancia (UV)]]*PagosV2[[#This Row],[Cantidad vendida]],0)</f>
        <v>120.94669124999992</v>
      </c>
      <c r="P674" s="1">
        <f>IFERROR(PagosV2[[#This Row],[Ganancia (N)]]-PagosV2[[#This Row],[Ganancia (UV)]],0)</f>
        <v>147.82373374999992</v>
      </c>
      <c r="Q674" s="1">
        <f>IFERROR(PagosV2[[#This Row],[Ganancia individual (Tienda)]]*PagosV2[[#This Row],[Cantidad vendida]],0)</f>
        <v>147.82373374999992</v>
      </c>
      <c r="R674" s="1">
        <f>IFERROR((PagosV2[[#This Row],[Precio de venta]]-PagosV2[[#This Row],[Ganancia (UB)]])*PagosV2[[#This Row],[Cantidad vendida]],0)</f>
        <v>783.79950000000019</v>
      </c>
      <c r="S674" s="21" t="s">
        <v>312</v>
      </c>
      <c r="T674" s="21"/>
    </row>
    <row r="675" spans="1:20" ht="16.5" hidden="1" x14ac:dyDescent="0.3">
      <c r="A675" s="9" t="s">
        <v>315</v>
      </c>
      <c r="B675" s="75">
        <v>46172</v>
      </c>
      <c r="C675" s="9" t="s">
        <v>154</v>
      </c>
      <c r="D675" s="9" t="str">
        <f>IFERROR(VLOOKUP(PagosV2[[#This Row],[Codigo del producto]],Entradas[],3,FALSE),"No existe")</f>
        <v xml:space="preserve">Attack Shark Mouse X11 negro </v>
      </c>
      <c r="E675" s="9">
        <v>1</v>
      </c>
      <c r="F675" s="11">
        <v>1200</v>
      </c>
      <c r="G675" s="11">
        <f>IFERROR(PagosV2[[#This Row],[Cantidad vendida]]*PagosV2[[#This Row],[Precio de venta]],"-")</f>
        <v>1200</v>
      </c>
      <c r="H675" s="11">
        <f>IFERROR(PagosV2[[#This Row],[Precio de venta]]-VLOOKUP(PagosV2[[#This Row],[Codigo del producto]],Stock[],13,FALSE),"-")</f>
        <v>277.64449999999988</v>
      </c>
      <c r="I675" s="11">
        <f>IFERROR(PagosV2[[#This Row],[Ganancia (UB)]]*$B$357,0)</f>
        <v>8.3293349999999968</v>
      </c>
      <c r="J675" s="11">
        <f>IFERROR(PagosV2[[#This Row],[Ganancia (UB)]]*$B$358,0)</f>
        <v>16.658669999999994</v>
      </c>
      <c r="K675" s="11">
        <f>IFERROR(PagosV2[[#This Row],[Ganancia (UB)]]*$B$359,0)</f>
        <v>8.3293349999999968</v>
      </c>
      <c r="L675" s="11">
        <f>IFERROR(PagosV2[[#This Row],[Ganancia (UB)]]*$B$360,0)</f>
        <v>8.3293349999999968</v>
      </c>
      <c r="M675" s="11">
        <f>IFERROR(PagosV2[[#This Row],[Ganancia (UB)]]-PagosV2[[#This Row],[PM]]-PagosV2[[#This Row],[GC]]-PagosV2[[#This Row],[PC]]-PagosV2[[#This Row],[U]],0)</f>
        <v>235.99782499999989</v>
      </c>
      <c r="N675" s="11">
        <f t="shared" si="19"/>
        <v>106.19902124999996</v>
      </c>
      <c r="O675" s="11">
        <f>IFERROR(PagosV2[[#This Row],[Ganancia (UV)]]*PagosV2[[#This Row],[Cantidad vendida]],0)</f>
        <v>106.19902124999996</v>
      </c>
      <c r="P675" s="1">
        <f>IFERROR(PagosV2[[#This Row],[Ganancia (N)]]-PagosV2[[#This Row],[Ganancia (UV)]],0)</f>
        <v>129.79880374999993</v>
      </c>
      <c r="Q675" s="1">
        <f>IFERROR(PagosV2[[#This Row],[Ganancia individual (Tienda)]]*PagosV2[[#This Row],[Cantidad vendida]],0)</f>
        <v>129.79880374999993</v>
      </c>
      <c r="R675" s="1">
        <f>IFERROR((PagosV2[[#This Row],[Precio de venta]]-PagosV2[[#This Row],[Ganancia (UB)]])*PagosV2[[#This Row],[Cantidad vendida]],0)</f>
        <v>922.35550000000012</v>
      </c>
      <c r="S675" s="21" t="s">
        <v>312</v>
      </c>
      <c r="T675" s="21"/>
    </row>
    <row r="676" spans="1:20" ht="16.5" hidden="1" x14ac:dyDescent="0.3">
      <c r="A676" s="9" t="s">
        <v>354</v>
      </c>
      <c r="B676" s="75">
        <v>46172</v>
      </c>
      <c r="C676" s="9" t="s">
        <v>100</v>
      </c>
      <c r="D676" s="9" t="str">
        <f>IFERROR(VLOOKUP(PagosV2[[#This Row],[Codigo del producto]],Entradas[],3,FALSE),"No existe")</f>
        <v>NYXI Pro controller (Orange)</v>
      </c>
      <c r="E676" s="9">
        <v>1</v>
      </c>
      <c r="F676" s="11">
        <v>1800</v>
      </c>
      <c r="G676" s="11">
        <f>IFERROR(PagosV2[[#This Row],[Cantidad vendida]]*PagosV2[[#This Row],[Precio de venta]],"-")</f>
        <v>1800</v>
      </c>
      <c r="H676" s="11">
        <f>IFERROR(PagosV2[[#This Row],[Precio de venta]]-VLOOKUP(PagosV2[[#This Row],[Codigo del producto]],Stock[],13,FALSE),"-")</f>
        <v>203.6579999999999</v>
      </c>
      <c r="I676" s="11">
        <f>IFERROR(PagosV2[[#This Row],[Ganancia (UB)]]*$B$357,0)</f>
        <v>6.1097399999999968</v>
      </c>
      <c r="J676" s="11">
        <f>IFERROR(PagosV2[[#This Row],[Ganancia (UB)]]*$B$358,0)</f>
        <v>12.219479999999994</v>
      </c>
      <c r="K676" s="11">
        <f>IFERROR(PagosV2[[#This Row],[Ganancia (UB)]]*$B$359,0)</f>
        <v>6.1097399999999968</v>
      </c>
      <c r="L676" s="11">
        <f>IFERROR(PagosV2[[#This Row],[Ganancia (UB)]]*$B$360,0)</f>
        <v>6.1097399999999968</v>
      </c>
      <c r="M676" s="11">
        <f>IFERROR(PagosV2[[#This Row],[Ganancia (UB)]]-PagosV2[[#This Row],[PM]]-PagosV2[[#This Row],[GC]]-PagosV2[[#This Row],[PC]]-PagosV2[[#This Row],[U]],0)</f>
        <v>173.10929999999993</v>
      </c>
      <c r="N676" s="11">
        <f t="shared" si="19"/>
        <v>77.899184999999974</v>
      </c>
      <c r="O676" s="11">
        <f>IFERROR(PagosV2[[#This Row],[Ganancia (UV)]]*PagosV2[[#This Row],[Cantidad vendida]],0)</f>
        <v>77.899184999999974</v>
      </c>
      <c r="P676" s="1">
        <f>IFERROR(PagosV2[[#This Row],[Ganancia (N)]]-PagosV2[[#This Row],[Ganancia (UV)]],0)</f>
        <v>95.210114999999959</v>
      </c>
      <c r="Q676" s="1">
        <f>IFERROR(PagosV2[[#This Row],[Ganancia individual (Tienda)]]*PagosV2[[#This Row],[Cantidad vendida]],0)</f>
        <v>95.210114999999959</v>
      </c>
      <c r="R676" s="1">
        <f>IFERROR((PagosV2[[#This Row],[Precio de venta]]-PagosV2[[#This Row],[Ganancia (UB)]])*PagosV2[[#This Row],[Cantidad vendida]],0)</f>
        <v>1596.3420000000001</v>
      </c>
      <c r="S676" s="21" t="s">
        <v>312</v>
      </c>
      <c r="T676" s="21"/>
    </row>
    <row r="677" spans="1:20" ht="16.5" hidden="1" x14ac:dyDescent="0.3">
      <c r="A677" s="9" t="s">
        <v>313</v>
      </c>
      <c r="B677" s="75">
        <v>46173</v>
      </c>
      <c r="C677" s="9" t="s">
        <v>156</v>
      </c>
      <c r="D677" s="9" t="str">
        <f>IFERROR(VLOOKUP(PagosV2[[#This Row],[Codigo del producto]],Entradas[],3,FALSE),"No existe")</f>
        <v>KZ Castor Pro</v>
      </c>
      <c r="E677" s="9">
        <v>2</v>
      </c>
      <c r="F677" s="11">
        <v>900</v>
      </c>
      <c r="G677" s="11">
        <f>IFERROR(PagosV2[[#This Row],[Cantidad vendida]]*PagosV2[[#This Row],[Precio de venta]],"-")</f>
        <v>1800</v>
      </c>
      <c r="H677" s="11">
        <f>IFERROR(PagosV2[[#This Row],[Precio de venta]]-VLOOKUP(PagosV2[[#This Row],[Codigo del producto]],Stock[],13,FALSE),"-")</f>
        <v>268.02249999999992</v>
      </c>
      <c r="I677" s="11">
        <f>IFERROR(PagosV2[[#This Row],[Ganancia (UB)]]*$B$357,0)</f>
        <v>8.0406749999999967</v>
      </c>
      <c r="J677" s="11">
        <f>IFERROR(PagosV2[[#This Row],[Ganancia (UB)]]*$B$358,0)</f>
        <v>16.081349999999993</v>
      </c>
      <c r="K677" s="11">
        <f>IFERROR(PagosV2[[#This Row],[Ganancia (UB)]]*$B$359,0)</f>
        <v>8.0406749999999967</v>
      </c>
      <c r="L677" s="11">
        <f>IFERROR(PagosV2[[#This Row],[Ganancia (UB)]]*$B$360,0)</f>
        <v>8.0406749999999967</v>
      </c>
      <c r="M677" s="11">
        <f>IFERROR(PagosV2[[#This Row],[Ganancia (UB)]]-PagosV2[[#This Row],[PM]]-PagosV2[[#This Row],[GC]]-PagosV2[[#This Row],[PC]]-PagosV2[[#This Row],[U]],0)</f>
        <v>227.81912499999993</v>
      </c>
      <c r="N677" s="11">
        <f t="shared" si="19"/>
        <v>102.51860624999998</v>
      </c>
      <c r="O677" s="11">
        <f>IFERROR(PagosV2[[#This Row],[Ganancia (UV)]]*PagosV2[[#This Row],[Cantidad vendida]],0)</f>
        <v>205.03721249999995</v>
      </c>
      <c r="P677" s="1">
        <f>IFERROR(PagosV2[[#This Row],[Ganancia (N)]]-PagosV2[[#This Row],[Ganancia (UV)]],0)</f>
        <v>125.30051874999995</v>
      </c>
      <c r="Q677" s="1">
        <f>IFERROR(PagosV2[[#This Row],[Ganancia individual (Tienda)]]*PagosV2[[#This Row],[Cantidad vendida]],0)</f>
        <v>250.6010374999999</v>
      </c>
      <c r="R677" s="1">
        <f>IFERROR((PagosV2[[#This Row],[Precio de venta]]-PagosV2[[#This Row],[Ganancia (UB)]])*PagosV2[[#This Row],[Cantidad vendida]],0)</f>
        <v>1263.9550000000002</v>
      </c>
      <c r="S677" s="21" t="s">
        <v>312</v>
      </c>
      <c r="T677" s="21"/>
    </row>
    <row r="678" spans="1:20" ht="16.5" hidden="1" x14ac:dyDescent="0.3">
      <c r="A678" s="9" t="s">
        <v>313</v>
      </c>
      <c r="B678" s="75">
        <v>46173</v>
      </c>
      <c r="C678" s="9" t="s">
        <v>66</v>
      </c>
      <c r="D678" s="9" t="str">
        <f>IFERROR(VLOOKUP(PagosV2[[#This Row],[Codigo del producto]],Entradas[],3,FALSE),"No existe")</f>
        <v xml:space="preserve">Adaptador DAC </v>
      </c>
      <c r="E678" s="9">
        <v>2</v>
      </c>
      <c r="F678" s="11">
        <v>300</v>
      </c>
      <c r="G678" s="11">
        <f>IFERROR(PagosV2[[#This Row],[Cantidad vendida]]*PagosV2[[#This Row],[Precio de venta]],"-")</f>
        <v>600</v>
      </c>
      <c r="H678" s="11">
        <f>IFERROR(PagosV2[[#This Row],[Precio de venta]]-VLOOKUP(PagosV2[[#This Row],[Codigo del producto]],Stock[],13,FALSE),"-")</f>
        <v>123.48849999999999</v>
      </c>
      <c r="I678" s="11">
        <f>IFERROR(PagosV2[[#This Row],[Ganancia (UB)]]*$B$357,0)</f>
        <v>3.7046549999999994</v>
      </c>
      <c r="J678" s="11">
        <f>IFERROR(PagosV2[[#This Row],[Ganancia (UB)]]*$B$358,0)</f>
        <v>7.4093099999999987</v>
      </c>
      <c r="K678" s="11">
        <f>IFERROR(PagosV2[[#This Row],[Ganancia (UB)]]*$B$359,0)</f>
        <v>3.7046549999999994</v>
      </c>
      <c r="L678" s="11">
        <f>IFERROR(PagosV2[[#This Row],[Ganancia (UB)]]*$B$360,0)</f>
        <v>3.7046549999999994</v>
      </c>
      <c r="M678" s="11">
        <f>IFERROR(PagosV2[[#This Row],[Ganancia (UB)]]-PagosV2[[#This Row],[PM]]-PagosV2[[#This Row],[GC]]-PagosV2[[#This Row],[PC]]-PagosV2[[#This Row],[U]],0)</f>
        <v>104.96522499999998</v>
      </c>
      <c r="N678" s="11">
        <f t="shared" si="19"/>
        <v>47.234351249999989</v>
      </c>
      <c r="O678" s="11">
        <f>IFERROR(PagosV2[[#This Row],[Ganancia (UV)]]*PagosV2[[#This Row],[Cantidad vendida]],0)</f>
        <v>94.468702499999978</v>
      </c>
      <c r="P678" s="1">
        <f>IFERROR(PagosV2[[#This Row],[Ganancia (N)]]-PagosV2[[#This Row],[Ganancia (UV)]],0)</f>
        <v>57.730873749999986</v>
      </c>
      <c r="Q678" s="1">
        <f>IFERROR(PagosV2[[#This Row],[Ganancia individual (Tienda)]]*PagosV2[[#This Row],[Cantidad vendida]],0)</f>
        <v>115.46174749999997</v>
      </c>
      <c r="R678" s="1">
        <f>IFERROR((PagosV2[[#This Row],[Precio de venta]]-PagosV2[[#This Row],[Ganancia (UB)]])*PagosV2[[#This Row],[Cantidad vendida]],0)</f>
        <v>353.02300000000002</v>
      </c>
      <c r="S678" s="21" t="s">
        <v>312</v>
      </c>
      <c r="T678" s="21"/>
    </row>
    <row r="679" spans="1:20" ht="16.5" hidden="1" x14ac:dyDescent="0.3">
      <c r="A679" s="9" t="s">
        <v>313</v>
      </c>
      <c r="B679" s="75">
        <v>46173</v>
      </c>
      <c r="C679" s="9" t="s">
        <v>172</v>
      </c>
      <c r="D679" s="9" t="str">
        <f>IFERROR(VLOOKUP(PagosV2[[#This Row],[Codigo del producto]],Entradas[],3,FALSE),"No existe")</f>
        <v xml:space="preserve">KZ Krilla </v>
      </c>
      <c r="E679" s="9">
        <v>1</v>
      </c>
      <c r="F679" s="11">
        <v>1200</v>
      </c>
      <c r="G679" s="11">
        <f>IFERROR(PagosV2[[#This Row],[Cantidad vendida]]*PagosV2[[#This Row],[Precio de venta]],"-")</f>
        <v>1200</v>
      </c>
      <c r="H679" s="11">
        <f>IFERROR(PagosV2[[#This Row],[Precio de venta]]-VLOOKUP(PagosV2[[#This Row],[Codigo del producto]],Stock[],13,FALSE),"-")</f>
        <v>559.91549999999995</v>
      </c>
      <c r="I679" s="11">
        <f>IFERROR(PagosV2[[#This Row],[Ganancia (UB)]]*$B$357,0)</f>
        <v>16.797464999999999</v>
      </c>
      <c r="J679" s="11">
        <f>IFERROR(PagosV2[[#This Row],[Ganancia (UB)]]*$B$358,0)</f>
        <v>33.594929999999998</v>
      </c>
      <c r="K679" s="11">
        <f>IFERROR(PagosV2[[#This Row],[Ganancia (UB)]]*$B$359,0)</f>
        <v>16.797464999999999</v>
      </c>
      <c r="L679" s="11">
        <f>IFERROR(PagosV2[[#This Row],[Ganancia (UB)]]*$B$360,0)</f>
        <v>16.797464999999999</v>
      </c>
      <c r="M679" s="11">
        <f>IFERROR(PagosV2[[#This Row],[Ganancia (UB)]]-PagosV2[[#This Row],[PM]]-PagosV2[[#This Row],[GC]]-PagosV2[[#This Row],[PC]]-PagosV2[[#This Row],[U]],0)</f>
        <v>475.92817500000001</v>
      </c>
      <c r="N679" s="11">
        <f t="shared" si="19"/>
        <v>190.37127000000001</v>
      </c>
      <c r="O679" s="11">
        <f>IFERROR(PagosV2[[#This Row],[Ganancia (UV)]]*PagosV2[[#This Row],[Cantidad vendida]],0)</f>
        <v>190.37127000000001</v>
      </c>
      <c r="P679" s="1">
        <f>IFERROR(PagosV2[[#This Row],[Ganancia (N)]]-PagosV2[[#This Row],[Ganancia (UV)]],0)</f>
        <v>285.55690500000003</v>
      </c>
      <c r="Q679" s="1">
        <f>IFERROR(PagosV2[[#This Row],[Ganancia individual (Tienda)]]*PagosV2[[#This Row],[Cantidad vendida]],0)</f>
        <v>285.55690500000003</v>
      </c>
      <c r="R679" s="1">
        <f>IFERROR((PagosV2[[#This Row],[Precio de venta]]-PagosV2[[#This Row],[Ganancia (UB)]])*PagosV2[[#This Row],[Cantidad vendida]],0)</f>
        <v>640.08450000000005</v>
      </c>
      <c r="S679" s="21" t="s">
        <v>312</v>
      </c>
      <c r="T679" s="21"/>
    </row>
    <row r="680" spans="1:20" ht="16.5" hidden="1" x14ac:dyDescent="0.3">
      <c r="A680" s="9" t="s">
        <v>313</v>
      </c>
      <c r="B680" s="75">
        <v>46173</v>
      </c>
      <c r="C680" s="9" t="s">
        <v>164</v>
      </c>
      <c r="D680" s="9" t="str">
        <f>IFERROR(VLOOKUP(PagosV2[[#This Row],[Codigo del producto]],Entradas[],3,FALSE),"No existe")</f>
        <v>Bolso Protector Audifonos KZ</v>
      </c>
      <c r="E680" s="9">
        <v>1</v>
      </c>
      <c r="F680" s="11">
        <v>50</v>
      </c>
      <c r="G680" s="11">
        <f>IFERROR(PagosV2[[#This Row],[Cantidad vendida]]*PagosV2[[#This Row],[Precio de venta]],"-")</f>
        <v>50</v>
      </c>
      <c r="H680" s="11">
        <f>IFERROR(PagosV2[[#This Row],[Precio de venta]]-VLOOKUP(PagosV2[[#This Row],[Codigo del producto]],Stock[],13,FALSE),"-")</f>
        <v>21.625499999999999</v>
      </c>
      <c r="I680" s="11">
        <f>IFERROR(PagosV2[[#This Row],[Ganancia (UB)]]*$B$357,0)</f>
        <v>0.64876499999999993</v>
      </c>
      <c r="J680" s="11">
        <f>IFERROR(PagosV2[[#This Row],[Ganancia (UB)]]*$B$358,0)</f>
        <v>1.2975299999999999</v>
      </c>
      <c r="K680" s="11">
        <f>IFERROR(PagosV2[[#This Row],[Ganancia (UB)]]*$B$359,0)</f>
        <v>0.64876499999999993</v>
      </c>
      <c r="L680" s="11">
        <f>IFERROR(PagosV2[[#This Row],[Ganancia (UB)]]*$B$360,0)</f>
        <v>0.64876499999999993</v>
      </c>
      <c r="M680" s="11">
        <f>IFERROR(PagosV2[[#This Row],[Ganancia (UB)]]-PagosV2[[#This Row],[PM]]-PagosV2[[#This Row],[GC]]-PagosV2[[#This Row],[PC]]-PagosV2[[#This Row],[U]],0)</f>
        <v>18.381674999999998</v>
      </c>
      <c r="N680" s="11">
        <f t="shared" si="19"/>
        <v>8.2717537499999985</v>
      </c>
      <c r="O680" s="11">
        <f>IFERROR(PagosV2[[#This Row],[Ganancia (UV)]]*PagosV2[[#This Row],[Cantidad vendida]],0)</f>
        <v>8.2717537499999985</v>
      </c>
      <c r="P680" s="1">
        <f>IFERROR(PagosV2[[#This Row],[Ganancia (N)]]-PagosV2[[#This Row],[Ganancia (UV)]],0)</f>
        <v>10.109921249999999</v>
      </c>
      <c r="Q680" s="1">
        <f>IFERROR(PagosV2[[#This Row],[Ganancia individual (Tienda)]]*PagosV2[[#This Row],[Cantidad vendida]],0)</f>
        <v>10.109921249999999</v>
      </c>
      <c r="R680" s="1">
        <f>IFERROR((PagosV2[[#This Row],[Precio de venta]]-PagosV2[[#This Row],[Ganancia (UB)]])*PagosV2[[#This Row],[Cantidad vendida]],0)</f>
        <v>28.374500000000001</v>
      </c>
      <c r="S680" s="21" t="s">
        <v>312</v>
      </c>
      <c r="T680" s="21"/>
    </row>
    <row r="681" spans="1:20" ht="16.5" hidden="1" x14ac:dyDescent="0.3">
      <c r="A681" s="9" t="s">
        <v>315</v>
      </c>
      <c r="B681" s="75">
        <v>46173</v>
      </c>
      <c r="C681" s="9" t="s">
        <v>156</v>
      </c>
      <c r="D681" s="9" t="str">
        <f>IFERROR(VLOOKUP(PagosV2[[#This Row],[Codigo del producto]],Entradas[],3,FALSE),"No existe")</f>
        <v>KZ Castor Pro</v>
      </c>
      <c r="E681" s="9">
        <v>1</v>
      </c>
      <c r="F681" s="11">
        <v>900</v>
      </c>
      <c r="G681" s="11">
        <f>IFERROR(PagosV2[[#This Row],[Cantidad vendida]]*PagosV2[[#This Row],[Precio de venta]],"-")</f>
        <v>900</v>
      </c>
      <c r="H681" s="11">
        <f>IFERROR(PagosV2[[#This Row],[Precio de venta]]-VLOOKUP(PagosV2[[#This Row],[Codigo del producto]],Stock[],13,FALSE),"-")</f>
        <v>268.02249999999992</v>
      </c>
      <c r="I681" s="11">
        <f>IFERROR(PagosV2[[#This Row],[Ganancia (UB)]]*$B$357,0)</f>
        <v>8.0406749999999967</v>
      </c>
      <c r="J681" s="11">
        <f>IFERROR(PagosV2[[#This Row],[Ganancia (UB)]]*$B$358,0)</f>
        <v>16.081349999999993</v>
      </c>
      <c r="K681" s="11">
        <f>IFERROR(PagosV2[[#This Row],[Ganancia (UB)]]*$B$359,0)</f>
        <v>8.0406749999999967</v>
      </c>
      <c r="L681" s="11">
        <f>IFERROR(PagosV2[[#This Row],[Ganancia (UB)]]*$B$360,0)</f>
        <v>8.0406749999999967</v>
      </c>
      <c r="M681" s="11">
        <f>IFERROR(PagosV2[[#This Row],[Ganancia (UB)]]-PagosV2[[#This Row],[PM]]-PagosV2[[#This Row],[GC]]-PagosV2[[#This Row],[PC]]-PagosV2[[#This Row],[U]],0)</f>
        <v>227.81912499999993</v>
      </c>
      <c r="N681" s="11">
        <f t="shared" si="19"/>
        <v>102.51860624999998</v>
      </c>
      <c r="O681" s="11">
        <f>IFERROR(PagosV2[[#This Row],[Ganancia (UV)]]*PagosV2[[#This Row],[Cantidad vendida]],0)</f>
        <v>102.51860624999998</v>
      </c>
      <c r="P681" s="1">
        <f>IFERROR(PagosV2[[#This Row],[Ganancia (N)]]-PagosV2[[#This Row],[Ganancia (UV)]],0)</f>
        <v>125.30051874999995</v>
      </c>
      <c r="Q681" s="1">
        <f>IFERROR(PagosV2[[#This Row],[Ganancia individual (Tienda)]]*PagosV2[[#This Row],[Cantidad vendida]],0)</f>
        <v>125.30051874999995</v>
      </c>
      <c r="R681" s="1">
        <f>IFERROR((PagosV2[[#This Row],[Precio de venta]]-PagosV2[[#This Row],[Ganancia (UB)]])*PagosV2[[#This Row],[Cantidad vendida]],0)</f>
        <v>631.97750000000008</v>
      </c>
      <c r="S681" s="21" t="s">
        <v>312</v>
      </c>
      <c r="T681" s="21"/>
    </row>
    <row r="682" spans="1:20" ht="16.5" hidden="1" x14ac:dyDescent="0.3">
      <c r="A682" s="9" t="s">
        <v>315</v>
      </c>
      <c r="B682" s="75">
        <v>46173</v>
      </c>
      <c r="C682" s="9" t="s">
        <v>89</v>
      </c>
      <c r="D682" s="9" t="str">
        <f>IFERROR(VLOOKUP(PagosV2[[#This Row],[Codigo del producto]],Entradas[],3,FALSE),"No existe")</f>
        <v xml:space="preserve">Adaptador DAC </v>
      </c>
      <c r="E682" s="9">
        <v>1</v>
      </c>
      <c r="F682" s="11">
        <v>300</v>
      </c>
      <c r="G682" s="11">
        <f>IFERROR(PagosV2[[#This Row],[Cantidad vendida]]*PagosV2[[#This Row],[Precio de venta]],"-")</f>
        <v>300</v>
      </c>
      <c r="H682" s="11">
        <f>IFERROR(PagosV2[[#This Row],[Precio de venta]]-VLOOKUP(PagosV2[[#This Row],[Codigo del producto]],Stock[],13,FALSE),"-")</f>
        <v>130.85849999999999</v>
      </c>
      <c r="I682" s="11">
        <f>IFERROR(PagosV2[[#This Row],[Ganancia (UB)]]*$B$357,0)</f>
        <v>3.9257549999999997</v>
      </c>
      <c r="J682" s="11">
        <f>IFERROR(PagosV2[[#This Row],[Ganancia (UB)]]*$B$358,0)</f>
        <v>7.8515099999999993</v>
      </c>
      <c r="K682" s="11">
        <f>IFERROR(PagosV2[[#This Row],[Ganancia (UB)]]*$B$359,0)</f>
        <v>3.9257549999999997</v>
      </c>
      <c r="L682" s="11">
        <f>IFERROR(PagosV2[[#This Row],[Ganancia (UB)]]*$B$360,0)</f>
        <v>3.9257549999999997</v>
      </c>
      <c r="M682" s="11">
        <f>IFERROR(PagosV2[[#This Row],[Ganancia (UB)]]-PagosV2[[#This Row],[PM]]-PagosV2[[#This Row],[GC]]-PagosV2[[#This Row],[PC]]-PagosV2[[#This Row],[U]],0)</f>
        <v>111.229725</v>
      </c>
      <c r="N682" s="11">
        <f t="shared" si="19"/>
        <v>50.053376249999999</v>
      </c>
      <c r="O682" s="11">
        <f>IFERROR(PagosV2[[#This Row],[Ganancia (UV)]]*PagosV2[[#This Row],[Cantidad vendida]],0)</f>
        <v>50.053376249999999</v>
      </c>
      <c r="P682" s="1">
        <f>IFERROR(PagosV2[[#This Row],[Ganancia (N)]]-PagosV2[[#This Row],[Ganancia (UV)]],0)</f>
        <v>61.176348750000002</v>
      </c>
      <c r="Q682" s="1">
        <f>IFERROR(PagosV2[[#This Row],[Ganancia individual (Tienda)]]*PagosV2[[#This Row],[Cantidad vendida]],0)</f>
        <v>61.176348750000002</v>
      </c>
      <c r="R682" s="1">
        <f>IFERROR((PagosV2[[#This Row],[Precio de venta]]-PagosV2[[#This Row],[Ganancia (UB)]])*PagosV2[[#This Row],[Cantidad vendida]],0)</f>
        <v>169.14150000000001</v>
      </c>
      <c r="S682" s="21" t="s">
        <v>312</v>
      </c>
      <c r="T682" s="21"/>
    </row>
    <row r="683" spans="1:20" ht="16.5" hidden="1" x14ac:dyDescent="0.3">
      <c r="A683" s="9" t="s">
        <v>327</v>
      </c>
      <c r="B683" s="75">
        <v>46173</v>
      </c>
      <c r="C683" s="9" t="s">
        <v>156</v>
      </c>
      <c r="D683" s="9" t="str">
        <f>IFERROR(VLOOKUP(PagosV2[[#This Row],[Codigo del producto]],Entradas[],3,FALSE),"No existe")</f>
        <v>KZ Castor Pro</v>
      </c>
      <c r="E683" s="9">
        <v>1</v>
      </c>
      <c r="F683" s="11">
        <v>900</v>
      </c>
      <c r="G683" s="11">
        <f>IFERROR(PagosV2[[#This Row],[Cantidad vendida]]*PagosV2[[#This Row],[Precio de venta]],"-")</f>
        <v>900</v>
      </c>
      <c r="H683" s="11">
        <f>IFERROR(PagosV2[[#This Row],[Precio de venta]]-VLOOKUP(PagosV2[[#This Row],[Codigo del producto]],Stock[],13,FALSE),"-")</f>
        <v>268.02249999999992</v>
      </c>
      <c r="I683" s="11">
        <f>IFERROR(PagosV2[[#This Row],[Ganancia (UB)]]*$B$357,0)</f>
        <v>8.0406749999999967</v>
      </c>
      <c r="J683" s="11">
        <f>IFERROR(PagosV2[[#This Row],[Ganancia (UB)]]*$B$358,0)</f>
        <v>16.081349999999993</v>
      </c>
      <c r="K683" s="11">
        <f>IFERROR(PagosV2[[#This Row],[Ganancia (UB)]]*$B$359,0)</f>
        <v>8.0406749999999967</v>
      </c>
      <c r="L683" s="11">
        <f>IFERROR(PagosV2[[#This Row],[Ganancia (UB)]]*$B$360,0)</f>
        <v>8.0406749999999967</v>
      </c>
      <c r="M683" s="11">
        <f>IFERROR(PagosV2[[#This Row],[Ganancia (UB)]]-PagosV2[[#This Row],[PM]]-PagosV2[[#This Row],[GC]]-PagosV2[[#This Row],[PC]]-PagosV2[[#This Row],[U]],0)</f>
        <v>227.81912499999993</v>
      </c>
      <c r="N683" s="11">
        <f t="shared" si="19"/>
        <v>102.51860624999998</v>
      </c>
      <c r="O683" s="11">
        <f>IFERROR(PagosV2[[#This Row],[Ganancia (UV)]]*PagosV2[[#This Row],[Cantidad vendida]],0)</f>
        <v>102.51860624999998</v>
      </c>
      <c r="P683" s="1">
        <f>IFERROR(PagosV2[[#This Row],[Ganancia (N)]]-PagosV2[[#This Row],[Ganancia (UV)]],0)</f>
        <v>125.30051874999995</v>
      </c>
      <c r="Q683" s="1">
        <f>IFERROR(PagosV2[[#This Row],[Ganancia individual (Tienda)]]*PagosV2[[#This Row],[Cantidad vendida]],0)</f>
        <v>125.30051874999995</v>
      </c>
      <c r="R683" s="1">
        <f>IFERROR((PagosV2[[#This Row],[Precio de venta]]-PagosV2[[#This Row],[Ganancia (UB)]])*PagosV2[[#This Row],[Cantidad vendida]],0)</f>
        <v>631.97750000000008</v>
      </c>
      <c r="S683" s="21" t="s">
        <v>312</v>
      </c>
      <c r="T683" s="21"/>
    </row>
    <row r="684" spans="1:20" ht="16.5" hidden="1" x14ac:dyDescent="0.3">
      <c r="A684" s="9" t="s">
        <v>327</v>
      </c>
      <c r="B684" s="75">
        <v>46173</v>
      </c>
      <c r="C684" s="9" t="s">
        <v>164</v>
      </c>
      <c r="D684" s="9" t="str">
        <f>IFERROR(VLOOKUP(PagosV2[[#This Row],[Codigo del producto]],Entradas[],3,FALSE),"No existe")</f>
        <v>Bolso Protector Audifonos KZ</v>
      </c>
      <c r="E684" s="9">
        <v>1</v>
      </c>
      <c r="F684" s="11">
        <v>50</v>
      </c>
      <c r="G684" s="11">
        <f>IFERROR(PagosV2[[#This Row],[Cantidad vendida]]*PagosV2[[#This Row],[Precio de venta]],"-")</f>
        <v>50</v>
      </c>
      <c r="H684" s="11">
        <f>IFERROR(PagosV2[[#This Row],[Precio de venta]]-VLOOKUP(PagosV2[[#This Row],[Codigo del producto]],Stock[],13,FALSE),"-")</f>
        <v>21.625499999999999</v>
      </c>
      <c r="I684" s="11">
        <f>IFERROR(PagosV2[[#This Row],[Ganancia (UB)]]*$B$357,0)</f>
        <v>0.64876499999999993</v>
      </c>
      <c r="J684" s="11">
        <f>IFERROR(PagosV2[[#This Row],[Ganancia (UB)]]*$B$358,0)</f>
        <v>1.2975299999999999</v>
      </c>
      <c r="K684" s="11">
        <f>IFERROR(PagosV2[[#This Row],[Ganancia (UB)]]*$B$359,0)</f>
        <v>0.64876499999999993</v>
      </c>
      <c r="L684" s="11">
        <f>IFERROR(PagosV2[[#This Row],[Ganancia (UB)]]*$B$360,0)</f>
        <v>0.64876499999999993</v>
      </c>
      <c r="M684" s="11">
        <f>IFERROR(PagosV2[[#This Row],[Ganancia (UB)]]-PagosV2[[#This Row],[PM]]-PagosV2[[#This Row],[GC]]-PagosV2[[#This Row],[PC]]-PagosV2[[#This Row],[U]],0)</f>
        <v>18.381674999999998</v>
      </c>
      <c r="N684" s="11">
        <f t="shared" si="19"/>
        <v>8.2717537499999985</v>
      </c>
      <c r="O684" s="11">
        <f>IFERROR(PagosV2[[#This Row],[Ganancia (UV)]]*PagosV2[[#This Row],[Cantidad vendida]],0)</f>
        <v>8.2717537499999985</v>
      </c>
      <c r="P684" s="1">
        <f>IFERROR(PagosV2[[#This Row],[Ganancia (N)]]-PagosV2[[#This Row],[Ganancia (UV)]],0)</f>
        <v>10.109921249999999</v>
      </c>
      <c r="Q684" s="1">
        <f>IFERROR(PagosV2[[#This Row],[Ganancia individual (Tienda)]]*PagosV2[[#This Row],[Cantidad vendida]],0)</f>
        <v>10.109921249999999</v>
      </c>
      <c r="R684" s="1">
        <f>IFERROR((PagosV2[[#This Row],[Precio de venta]]-PagosV2[[#This Row],[Ganancia (UB)]])*PagosV2[[#This Row],[Cantidad vendida]],0)</f>
        <v>28.374500000000001</v>
      </c>
      <c r="S684" s="21" t="s">
        <v>312</v>
      </c>
      <c r="T684" s="21"/>
    </row>
    <row r="685" spans="1:20" ht="16.5" hidden="1" x14ac:dyDescent="0.3">
      <c r="A685" s="9" t="s">
        <v>311</v>
      </c>
      <c r="B685" s="75">
        <v>46173</v>
      </c>
      <c r="C685" s="9" t="s">
        <v>170</v>
      </c>
      <c r="D685" s="9" t="str">
        <f>IFERROR(VLOOKUP(PagosV2[[#This Row],[Codigo del producto]],Entradas[],3,FALSE),"No existe")</f>
        <v>KZ AZ09</v>
      </c>
      <c r="E685" s="9">
        <v>1</v>
      </c>
      <c r="F685" s="11">
        <v>900</v>
      </c>
      <c r="G685" s="11">
        <f>IFERROR(PagosV2[[#This Row],[Cantidad vendida]]*PagosV2[[#This Row],[Precio de venta]],"-")</f>
        <v>900</v>
      </c>
      <c r="H685" s="11">
        <f>IFERROR(PagosV2[[#This Row],[Precio de venta]]-VLOOKUP(PagosV2[[#This Row],[Codigo del producto]],Stock[],13,FALSE),"-")</f>
        <v>336.93200000000002</v>
      </c>
      <c r="I685" s="11">
        <f>IFERROR(PagosV2[[#This Row],[Ganancia (UB)]]*$B$357,0)</f>
        <v>10.10796</v>
      </c>
      <c r="J685" s="11">
        <f>IFERROR(PagosV2[[#This Row],[Ganancia (UB)]]*$B$358,0)</f>
        <v>20.215920000000001</v>
      </c>
      <c r="K685" s="11">
        <f>IFERROR(PagosV2[[#This Row],[Ganancia (UB)]]*$B$359,0)</f>
        <v>10.10796</v>
      </c>
      <c r="L685" s="11">
        <f>IFERROR(PagosV2[[#This Row],[Ganancia (UB)]]*$B$360,0)</f>
        <v>10.10796</v>
      </c>
      <c r="M685" s="11">
        <f>IFERROR(PagosV2[[#This Row],[Ganancia (UB)]]-PagosV2[[#This Row],[PM]]-PagosV2[[#This Row],[GC]]-PagosV2[[#This Row],[PC]]-PagosV2[[#This Row],[U]],0)</f>
        <v>286.39220000000006</v>
      </c>
      <c r="N685" s="11">
        <f t="shared" si="19"/>
        <v>128.87649000000002</v>
      </c>
      <c r="O685" s="11">
        <f>IFERROR(PagosV2[[#This Row],[Ganancia (UV)]]*PagosV2[[#This Row],[Cantidad vendida]],0)</f>
        <v>128.87649000000002</v>
      </c>
      <c r="P685" s="1">
        <f>IFERROR(PagosV2[[#This Row],[Ganancia (N)]]-PagosV2[[#This Row],[Ganancia (UV)]],0)</f>
        <v>157.51571000000004</v>
      </c>
      <c r="Q685" s="1">
        <f>IFERROR(PagosV2[[#This Row],[Ganancia individual (Tienda)]]*PagosV2[[#This Row],[Cantidad vendida]],0)</f>
        <v>157.51571000000004</v>
      </c>
      <c r="R685" s="1">
        <f>IFERROR((PagosV2[[#This Row],[Precio de venta]]-PagosV2[[#This Row],[Ganancia (UB)]])*PagosV2[[#This Row],[Cantidad vendida]],0)</f>
        <v>563.06799999999998</v>
      </c>
      <c r="S685" s="21" t="s">
        <v>312</v>
      </c>
      <c r="T685" s="21"/>
    </row>
    <row r="686" spans="1:20" ht="16.5" hidden="1" x14ac:dyDescent="0.3">
      <c r="A686" s="9" t="s">
        <v>311</v>
      </c>
      <c r="B686" s="75">
        <v>46173</v>
      </c>
      <c r="C686" s="9" t="s">
        <v>115</v>
      </c>
      <c r="D686" s="9" t="str">
        <f>IFERROR(VLOOKUP(PagosV2[[#This Row],[Codigo del producto]],Entradas[],3,FALSE),"No existe")</f>
        <v>Cargadores USB para moto</v>
      </c>
      <c r="E686" s="9">
        <v>1</v>
      </c>
      <c r="F686" s="11">
        <v>600</v>
      </c>
      <c r="G686" s="11">
        <f>IFERROR(PagosV2[[#This Row],[Cantidad vendida]]*PagosV2[[#This Row],[Precio de venta]],"-")</f>
        <v>600</v>
      </c>
      <c r="H686" s="11">
        <f>IFERROR(PagosV2[[#This Row],[Precio de venta]]-VLOOKUP(PagosV2[[#This Row],[Codigo del producto]],Stock[],13,FALSE),"-")</f>
        <v>281.61599999999999</v>
      </c>
      <c r="I686" s="11">
        <f>IFERROR(PagosV2[[#This Row],[Ganancia (UB)]]*$B$357,0)</f>
        <v>8.44848</v>
      </c>
      <c r="J686" s="11">
        <f>IFERROR(PagosV2[[#This Row],[Ganancia (UB)]]*$B$358,0)</f>
        <v>16.89696</v>
      </c>
      <c r="K686" s="11">
        <f>IFERROR(PagosV2[[#This Row],[Ganancia (UB)]]*$B$359,0)</f>
        <v>8.44848</v>
      </c>
      <c r="L686" s="11">
        <f>IFERROR(PagosV2[[#This Row],[Ganancia (UB)]]*$B$360,0)</f>
        <v>8.44848</v>
      </c>
      <c r="M686" s="11">
        <f>IFERROR(PagosV2[[#This Row],[Ganancia (UB)]]-PagosV2[[#This Row],[PM]]-PagosV2[[#This Row],[GC]]-PagosV2[[#This Row],[PC]]-PagosV2[[#This Row],[U]],0)</f>
        <v>239.37360000000001</v>
      </c>
      <c r="N686" s="11">
        <f t="shared" si="19"/>
        <v>107.71812000000001</v>
      </c>
      <c r="O686" s="11">
        <f>IFERROR(PagosV2[[#This Row],[Ganancia (UV)]]*PagosV2[[#This Row],[Cantidad vendida]],0)</f>
        <v>107.71812000000001</v>
      </c>
      <c r="P686" s="1">
        <f>IFERROR(PagosV2[[#This Row],[Ganancia (N)]]-PagosV2[[#This Row],[Ganancia (UV)]],0)</f>
        <v>131.65548000000001</v>
      </c>
      <c r="Q686" s="1">
        <f>IFERROR(PagosV2[[#This Row],[Ganancia individual (Tienda)]]*PagosV2[[#This Row],[Cantidad vendida]],0)</f>
        <v>131.65548000000001</v>
      </c>
      <c r="R686" s="1">
        <f>IFERROR((PagosV2[[#This Row],[Precio de venta]]-PagosV2[[#This Row],[Ganancia (UB)]])*PagosV2[[#This Row],[Cantidad vendida]],0)</f>
        <v>318.38400000000001</v>
      </c>
      <c r="S686" s="21" t="s">
        <v>312</v>
      </c>
      <c r="T686" s="21"/>
    </row>
    <row r="687" spans="1:20" ht="16.5" hidden="1" x14ac:dyDescent="0.3">
      <c r="A687" s="9" t="s">
        <v>311</v>
      </c>
      <c r="B687" s="75">
        <v>46173</v>
      </c>
      <c r="C687" s="9" t="s">
        <v>130</v>
      </c>
      <c r="D687" s="9" t="str">
        <f>IFERROR(VLOOKUP(PagosV2[[#This Row],[Codigo del producto]],Entradas[],3,FALSE),"No existe")</f>
        <v>Cargadores USB para moto (Sin pantalla)</v>
      </c>
      <c r="E687" s="9">
        <v>1</v>
      </c>
      <c r="F687" s="11">
        <v>500</v>
      </c>
      <c r="G687" s="11">
        <f>IFERROR(PagosV2[[#This Row],[Cantidad vendida]]*PagosV2[[#This Row],[Precio de venta]],"-")</f>
        <v>500</v>
      </c>
      <c r="H687" s="11">
        <f>IFERROR(PagosV2[[#This Row],[Precio de venta]]-VLOOKUP(PagosV2[[#This Row],[Codigo del producto]],Stock[],13,FALSE),"-")</f>
        <v>255.68449999999996</v>
      </c>
      <c r="I687" s="11">
        <f>IFERROR(PagosV2[[#This Row],[Ganancia (UB)]]*$B$357,0)</f>
        <v>7.6705349999999983</v>
      </c>
      <c r="J687" s="11">
        <f>IFERROR(PagosV2[[#This Row],[Ganancia (UB)]]*$B$358,0)</f>
        <v>15.341069999999997</v>
      </c>
      <c r="K687" s="11">
        <f>IFERROR(PagosV2[[#This Row],[Ganancia (UB)]]*$B$359,0)</f>
        <v>7.6705349999999983</v>
      </c>
      <c r="L687" s="11">
        <f>IFERROR(PagosV2[[#This Row],[Ganancia (UB)]]*$B$360,0)</f>
        <v>7.6705349999999983</v>
      </c>
      <c r="M687" s="11">
        <f>IFERROR(PagosV2[[#This Row],[Ganancia (UB)]]-PagosV2[[#This Row],[PM]]-PagosV2[[#This Row],[GC]]-PagosV2[[#This Row],[PC]]-PagosV2[[#This Row],[U]],0)</f>
        <v>217.33182499999995</v>
      </c>
      <c r="N687" s="11">
        <f t="shared" si="19"/>
        <v>97.799321249999977</v>
      </c>
      <c r="O687" s="11">
        <f>IFERROR(PagosV2[[#This Row],[Ganancia (UV)]]*PagosV2[[#This Row],[Cantidad vendida]],0)</f>
        <v>97.799321249999977</v>
      </c>
      <c r="P687" s="1">
        <f>IFERROR(PagosV2[[#This Row],[Ganancia (N)]]-PagosV2[[#This Row],[Ganancia (UV)]],0)</f>
        <v>119.53250374999998</v>
      </c>
      <c r="Q687" s="1">
        <f>IFERROR(PagosV2[[#This Row],[Ganancia individual (Tienda)]]*PagosV2[[#This Row],[Cantidad vendida]],0)</f>
        <v>119.53250374999998</v>
      </c>
      <c r="R687" s="1">
        <f>IFERROR((PagosV2[[#This Row],[Precio de venta]]-PagosV2[[#This Row],[Ganancia (UB)]])*PagosV2[[#This Row],[Cantidad vendida]],0)</f>
        <v>244.31550000000004</v>
      </c>
      <c r="S687" s="21" t="s">
        <v>312</v>
      </c>
      <c r="T687" s="21"/>
    </row>
    <row r="688" spans="1:20" ht="16.5" x14ac:dyDescent="0.3">
      <c r="A688" s="9" t="s">
        <v>327</v>
      </c>
      <c r="B688" s="75">
        <v>46174</v>
      </c>
      <c r="C688" s="9" t="s">
        <v>115</v>
      </c>
      <c r="D688" s="9" t="str">
        <f>IFERROR(VLOOKUP(PagosV2[[#This Row],[Codigo del producto]],Entradas[],3,FALSE),"No existe")</f>
        <v>Cargadores USB para moto</v>
      </c>
      <c r="E688" s="9">
        <v>1</v>
      </c>
      <c r="F688" s="11">
        <v>600</v>
      </c>
      <c r="G688" s="11">
        <f>IFERROR(PagosV2[[#This Row],[Cantidad vendida]]*PagosV2[[#This Row],[Precio de venta]],"-")</f>
        <v>600</v>
      </c>
      <c r="H688" s="11">
        <f>IFERROR(PagosV2[[#This Row],[Precio de venta]]-VLOOKUP(PagosV2[[#This Row],[Codigo del producto]],Stock[],13,FALSE),"-")</f>
        <v>281.61599999999999</v>
      </c>
      <c r="I688" s="11">
        <f>IFERROR(PagosV2[[#This Row],[Ganancia (UB)]]*$B$357,0)</f>
        <v>8.44848</v>
      </c>
      <c r="J688" s="11">
        <f>IFERROR(PagosV2[[#This Row],[Ganancia (UB)]]*$B$358,0)</f>
        <v>16.89696</v>
      </c>
      <c r="K688" s="11">
        <f>IFERROR(PagosV2[[#This Row],[Ganancia (UB)]]*$B$359,0)</f>
        <v>8.44848</v>
      </c>
      <c r="L688" s="11">
        <f>IFERROR(PagosV2[[#This Row],[Ganancia (UB)]]*$B$360,0)</f>
        <v>8.44848</v>
      </c>
      <c r="M688" s="11">
        <f>IFERROR(PagosV2[[#This Row],[Ganancia (UB)]]-PagosV2[[#This Row],[PM]]-PagosV2[[#This Row],[GC]]-PagosV2[[#This Row],[PC]]-PagosV2[[#This Row],[U]],0)</f>
        <v>239.37360000000001</v>
      </c>
      <c r="N688" s="11">
        <f t="shared" si="19"/>
        <v>107.71812000000001</v>
      </c>
      <c r="O688" s="11">
        <f>IFERROR(PagosV2[[#This Row],[Ganancia (UV)]]*PagosV2[[#This Row],[Cantidad vendida]],0)</f>
        <v>107.71812000000001</v>
      </c>
      <c r="P688" s="1">
        <f>IFERROR(PagosV2[[#This Row],[Ganancia (N)]]-PagosV2[[#This Row],[Ganancia (UV)]],0)</f>
        <v>131.65548000000001</v>
      </c>
      <c r="Q688" s="1">
        <f>IFERROR(PagosV2[[#This Row],[Ganancia individual (Tienda)]]*PagosV2[[#This Row],[Cantidad vendida]],0)</f>
        <v>131.65548000000001</v>
      </c>
      <c r="R688" s="1">
        <f>IFERROR((PagosV2[[#This Row],[Precio de venta]]-PagosV2[[#This Row],[Ganancia (UB)]])*PagosV2[[#This Row],[Cantidad vendida]],0)</f>
        <v>318.38400000000001</v>
      </c>
      <c r="S688" s="21" t="s">
        <v>312</v>
      </c>
      <c r="T688" s="21"/>
    </row>
    <row r="689" spans="1:20" ht="16.5" x14ac:dyDescent="0.3">
      <c r="A689" s="9" t="s">
        <v>327</v>
      </c>
      <c r="B689" s="75">
        <v>46174</v>
      </c>
      <c r="C689" s="9" t="s">
        <v>132</v>
      </c>
      <c r="D689" s="9" t="str">
        <f>IFERROR(VLOOKUP(PagosV2[[#This Row],[Codigo del producto]],Entradas[],3,FALSE),"No existe")</f>
        <v>Cargadores USB para moto (Sin pantalla)</v>
      </c>
      <c r="E689" s="9">
        <v>1</v>
      </c>
      <c r="F689" s="11">
        <v>500</v>
      </c>
      <c r="G689" s="11">
        <f>IFERROR(PagosV2[[#This Row],[Cantidad vendida]]*PagosV2[[#This Row],[Precio de venta]],"-")</f>
        <v>500</v>
      </c>
      <c r="H689" s="11">
        <f>IFERROR(PagosV2[[#This Row],[Precio de venta]]-VLOOKUP(PagosV2[[#This Row],[Codigo del producto]],Stock[],13,FALSE),"-")</f>
        <v>254.94749999999999</v>
      </c>
      <c r="I689" s="11">
        <f>IFERROR(PagosV2[[#This Row],[Ganancia (UB)]]*$B$357,0)</f>
        <v>7.6484249999999996</v>
      </c>
      <c r="J689" s="11">
        <f>IFERROR(PagosV2[[#This Row],[Ganancia (UB)]]*$B$358,0)</f>
        <v>15.296849999999999</v>
      </c>
      <c r="K689" s="11">
        <f>IFERROR(PagosV2[[#This Row],[Ganancia (UB)]]*$B$359,0)</f>
        <v>7.6484249999999996</v>
      </c>
      <c r="L689" s="11">
        <f>IFERROR(PagosV2[[#This Row],[Ganancia (UB)]]*$B$360,0)</f>
        <v>7.6484249999999996</v>
      </c>
      <c r="M689" s="11">
        <f>IFERROR(PagosV2[[#This Row],[Ganancia (UB)]]-PagosV2[[#This Row],[PM]]-PagosV2[[#This Row],[GC]]-PagosV2[[#This Row],[PC]]-PagosV2[[#This Row],[U]],0)</f>
        <v>216.70537499999998</v>
      </c>
      <c r="N689" s="11">
        <f t="shared" ref="N689:N700" si="20">IFERROR(
  IF(M689&lt;=0,"-",
    IF(M689&lt;=300, M689*0.45,
      IF(M689&lt;=600, M689*0.4,
        IF(M689&lt;=900, M689*0.38,
          IF(M689&lt;=1000, M689*0.35,
            IF(M689&lt;=1400, M689*0.32,
              IF(M689&lt;=1800, HM689*0.3,
                IF(M689&gt;=2000, M689*0.28,
                  "-"
                )
              )
            )
          )
        )
      )
    )
  ),
  "-"
)</f>
        <v>97.51741874999999</v>
      </c>
      <c r="O689" s="11">
        <f>IFERROR(PagosV2[[#This Row],[Ganancia (UV)]]*PagosV2[[#This Row],[Cantidad vendida]],0)</f>
        <v>97.51741874999999</v>
      </c>
      <c r="P689" s="1">
        <f>IFERROR(PagosV2[[#This Row],[Ganancia (N)]]-PagosV2[[#This Row],[Ganancia (UV)]],0)</f>
        <v>119.18795624999998</v>
      </c>
      <c r="Q689" s="1">
        <f>IFERROR(PagosV2[[#This Row],[Ganancia individual (Tienda)]]*PagosV2[[#This Row],[Cantidad vendida]],0)</f>
        <v>119.18795624999998</v>
      </c>
      <c r="R689" s="1">
        <f>IFERROR((PagosV2[[#This Row],[Precio de venta]]-PagosV2[[#This Row],[Ganancia (UB)]])*PagosV2[[#This Row],[Cantidad vendida]],0)</f>
        <v>245.05250000000001</v>
      </c>
      <c r="S689" s="21" t="s">
        <v>312</v>
      </c>
      <c r="T689" s="21"/>
    </row>
    <row r="690" spans="1:20" ht="16.5" x14ac:dyDescent="0.3">
      <c r="A690" s="9" t="s">
        <v>313</v>
      </c>
      <c r="B690" s="75">
        <v>46174</v>
      </c>
      <c r="C690" s="9" t="s">
        <v>41</v>
      </c>
      <c r="D690" s="9" t="str">
        <f>IFERROR(VLOOKUP(PagosV2[[#This Row],[Codigo del producto]],Entradas[],3,FALSE),"No existe")</f>
        <v>Halogenos para moto</v>
      </c>
      <c r="E690" s="9">
        <v>1</v>
      </c>
      <c r="F690" s="11">
        <v>300</v>
      </c>
      <c r="G690" s="11">
        <f>IFERROR(PagosV2[[#This Row],[Cantidad vendida]]*PagosV2[[#This Row],[Precio de venta]],"-")</f>
        <v>300</v>
      </c>
      <c r="H690" s="11">
        <f>IFERROR(PagosV2[[#This Row],[Precio de venta]]-VLOOKUP(PagosV2[[#This Row],[Codigo del producto]],Stock[],13,FALSE),"-")</f>
        <v>153.33699999999999</v>
      </c>
      <c r="I690" s="11">
        <f>IFERROR(PagosV2[[#This Row],[Ganancia (UB)]]*$B$357,0)</f>
        <v>4.6001099999999999</v>
      </c>
      <c r="J690" s="11">
        <f>IFERROR(PagosV2[[#This Row],[Ganancia (UB)]]*$B$358,0)</f>
        <v>9.2002199999999998</v>
      </c>
      <c r="K690" s="11">
        <f>IFERROR(PagosV2[[#This Row],[Ganancia (UB)]]*$B$359,0)</f>
        <v>4.6001099999999999</v>
      </c>
      <c r="L690" s="11">
        <f>IFERROR(PagosV2[[#This Row],[Ganancia (UB)]]*$B$360,0)</f>
        <v>4.6001099999999999</v>
      </c>
      <c r="M690" s="11">
        <f>IFERROR(PagosV2[[#This Row],[Ganancia (UB)]]-PagosV2[[#This Row],[PM]]-PagosV2[[#This Row],[GC]]-PagosV2[[#This Row],[PC]]-PagosV2[[#This Row],[U]],0)</f>
        <v>130.33644999999999</v>
      </c>
      <c r="N690" s="11">
        <f t="shared" si="20"/>
        <v>58.651402499999996</v>
      </c>
      <c r="O690" s="11">
        <f>IFERROR(PagosV2[[#This Row],[Ganancia (UV)]]*PagosV2[[#This Row],[Cantidad vendida]],0)</f>
        <v>58.651402499999996</v>
      </c>
      <c r="P690" s="1">
        <f>IFERROR(PagosV2[[#This Row],[Ganancia (N)]]-PagosV2[[#This Row],[Ganancia (UV)]],0)</f>
        <v>71.685047499999996</v>
      </c>
      <c r="Q690" s="1">
        <f>IFERROR(PagosV2[[#This Row],[Ganancia individual (Tienda)]]*PagosV2[[#This Row],[Cantidad vendida]],0)</f>
        <v>71.685047499999996</v>
      </c>
      <c r="R690" s="1">
        <f>IFERROR((PagosV2[[#This Row],[Precio de venta]]-PagosV2[[#This Row],[Ganancia (UB)]])*PagosV2[[#This Row],[Cantidad vendida]],0)</f>
        <v>146.66300000000001</v>
      </c>
      <c r="S690" s="21" t="s">
        <v>312</v>
      </c>
      <c r="T690" s="21"/>
    </row>
    <row r="691" spans="1:20" ht="16.5" x14ac:dyDescent="0.3">
      <c r="A691" s="9" t="s">
        <v>313</v>
      </c>
      <c r="B691" s="75">
        <v>46174</v>
      </c>
      <c r="C691" s="9" t="s">
        <v>115</v>
      </c>
      <c r="D691" s="9" t="str">
        <f>IFERROR(VLOOKUP(PagosV2[[#This Row],[Codigo del producto]],Entradas[],3,FALSE),"No existe")</f>
        <v>Cargadores USB para moto</v>
      </c>
      <c r="E691" s="9">
        <v>1</v>
      </c>
      <c r="F691" s="11">
        <v>600</v>
      </c>
      <c r="G691" s="11">
        <f>IFERROR(PagosV2[[#This Row],[Cantidad vendida]]*PagosV2[[#This Row],[Precio de venta]],"-")</f>
        <v>600</v>
      </c>
      <c r="H691" s="11">
        <f>IFERROR(PagosV2[[#This Row],[Precio de venta]]-VLOOKUP(PagosV2[[#This Row],[Codigo del producto]],Stock[],13,FALSE),"-")</f>
        <v>281.61599999999999</v>
      </c>
      <c r="I691" s="11">
        <f>IFERROR(PagosV2[[#This Row],[Ganancia (UB)]]*$B$357,0)</f>
        <v>8.44848</v>
      </c>
      <c r="J691" s="11">
        <f>IFERROR(PagosV2[[#This Row],[Ganancia (UB)]]*$B$358,0)</f>
        <v>16.89696</v>
      </c>
      <c r="K691" s="11">
        <f>IFERROR(PagosV2[[#This Row],[Ganancia (UB)]]*$B$359,0)</f>
        <v>8.44848</v>
      </c>
      <c r="L691" s="11">
        <f>IFERROR(PagosV2[[#This Row],[Ganancia (UB)]]*$B$360,0)</f>
        <v>8.44848</v>
      </c>
      <c r="M691" s="11">
        <f>IFERROR(PagosV2[[#This Row],[Ganancia (UB)]]-PagosV2[[#This Row],[PM]]-PagosV2[[#This Row],[GC]]-PagosV2[[#This Row],[PC]]-PagosV2[[#This Row],[U]],0)</f>
        <v>239.37360000000001</v>
      </c>
      <c r="N691" s="11">
        <f>IFERROR(
  IF(M691&lt;=0,"-",
    IF(M691&lt;=300, M691*0.45,
      IF(M691&lt;=600, M691*0.4,
        IF(M691&lt;=900, M691*0.38,
          IF(M691&lt;=1000, M691*0.35,
            IF(M691&lt;=1400, M691*0.32,
              IF(M691&lt;=1800, HM691*0.3,
                IF(M691&gt;=2000, M691*0.28,
                  "-"
                )
              )
            )
          )
        )
      )
    )
  ),
  "-"
)</f>
        <v>107.71812000000001</v>
      </c>
      <c r="O691" s="11">
        <f>IFERROR(PagosV2[[#This Row],[Ganancia (UV)]]*PagosV2[[#This Row],[Cantidad vendida]],0)</f>
        <v>107.71812000000001</v>
      </c>
      <c r="P691" s="1">
        <f>IFERROR(PagosV2[[#This Row],[Ganancia (N)]]-PagosV2[[#This Row],[Ganancia (UV)]],0)</f>
        <v>131.65548000000001</v>
      </c>
      <c r="Q691" s="1">
        <f>IFERROR(PagosV2[[#This Row],[Ganancia individual (Tienda)]]*PagosV2[[#This Row],[Cantidad vendida]],0)</f>
        <v>131.65548000000001</v>
      </c>
      <c r="R691" s="1">
        <f>IFERROR((PagosV2[[#This Row],[Precio de venta]]-PagosV2[[#This Row],[Ganancia (UB)]])*PagosV2[[#This Row],[Cantidad vendida]],0)</f>
        <v>318.38400000000001</v>
      </c>
      <c r="S691" s="21" t="s">
        <v>312</v>
      </c>
      <c r="T691" s="21"/>
    </row>
    <row r="692" spans="1:20" ht="16.5" x14ac:dyDescent="0.3">
      <c r="A692" s="9" t="s">
        <v>327</v>
      </c>
      <c r="B692" s="75">
        <v>46175</v>
      </c>
      <c r="C692" s="9" t="s">
        <v>154</v>
      </c>
      <c r="D692" s="9" t="str">
        <f>IFERROR(VLOOKUP(PagosV2[[#This Row],[Codigo del producto]],Entradas[],3,FALSE),"No existe")</f>
        <v xml:space="preserve">Attack Shark Mouse X11 negro </v>
      </c>
      <c r="E692" s="9">
        <v>1</v>
      </c>
      <c r="F692" s="11">
        <v>1200</v>
      </c>
      <c r="G692" s="11">
        <f>IFERROR(PagosV2[[#This Row],[Cantidad vendida]]*PagosV2[[#This Row],[Precio de venta]],"-")</f>
        <v>1200</v>
      </c>
      <c r="H692" s="11">
        <f>IFERROR(PagosV2[[#This Row],[Precio de venta]]-VLOOKUP(PagosV2[[#This Row],[Codigo del producto]],Stock[],13,FALSE),"-")</f>
        <v>277.64449999999988</v>
      </c>
      <c r="I692" s="11">
        <f>IFERROR(PagosV2[[#This Row],[Ganancia (UB)]]*$B$357,0)</f>
        <v>8.3293349999999968</v>
      </c>
      <c r="J692" s="11">
        <f>IFERROR(PagosV2[[#This Row],[Ganancia (UB)]]*$B$358,0)</f>
        <v>16.658669999999994</v>
      </c>
      <c r="K692" s="11">
        <f>IFERROR(PagosV2[[#This Row],[Ganancia (UB)]]*$B$359,0)</f>
        <v>8.3293349999999968</v>
      </c>
      <c r="L692" s="11">
        <f>IFERROR(PagosV2[[#This Row],[Ganancia (UB)]]*$B$360,0)</f>
        <v>8.3293349999999968</v>
      </c>
      <c r="M692" s="11">
        <f>IFERROR(PagosV2[[#This Row],[Ganancia (UB)]]-PagosV2[[#This Row],[PM]]-PagosV2[[#This Row],[GC]]-PagosV2[[#This Row],[PC]]-PagosV2[[#This Row],[U]],0)</f>
        <v>235.99782499999989</v>
      </c>
      <c r="N692" s="11">
        <f t="shared" si="20"/>
        <v>106.19902124999996</v>
      </c>
      <c r="O692" s="11">
        <f>IFERROR(PagosV2[[#This Row],[Ganancia (UV)]]*PagosV2[[#This Row],[Cantidad vendida]],0)</f>
        <v>106.19902124999996</v>
      </c>
      <c r="P692" s="1">
        <f>IFERROR(PagosV2[[#This Row],[Ganancia (N)]]-PagosV2[[#This Row],[Ganancia (UV)]],0)</f>
        <v>129.79880374999993</v>
      </c>
      <c r="Q692" s="1">
        <f>IFERROR(PagosV2[[#This Row],[Ganancia individual (Tienda)]]*PagosV2[[#This Row],[Cantidad vendida]],0)</f>
        <v>129.79880374999993</v>
      </c>
      <c r="R692" s="1">
        <f>IFERROR((PagosV2[[#This Row],[Precio de venta]]-PagosV2[[#This Row],[Ganancia (UB)]])*PagosV2[[#This Row],[Cantidad vendida]],0)</f>
        <v>922.35550000000012</v>
      </c>
      <c r="S692" s="21" t="s">
        <v>312</v>
      </c>
      <c r="T692" s="21"/>
    </row>
    <row r="693" spans="1:20" ht="16.5" x14ac:dyDescent="0.3">
      <c r="A693" s="9" t="s">
        <v>327</v>
      </c>
      <c r="B693" s="75">
        <v>46175</v>
      </c>
      <c r="C693" s="9" t="s">
        <v>123</v>
      </c>
      <c r="D693" s="9" t="str">
        <f>IFERROR(VLOOKUP(PagosV2[[#This Row],[Codigo del producto]],Entradas[],3,FALSE),"No existe")</f>
        <v>Nubwo G06</v>
      </c>
      <c r="E693" s="9">
        <v>1</v>
      </c>
      <c r="F693" s="11">
        <v>1300</v>
      </c>
      <c r="G693" s="11">
        <f>IFERROR(PagosV2[[#This Row],[Cantidad vendida]]*PagosV2[[#This Row],[Precio de venta]],"-")</f>
        <v>1300</v>
      </c>
      <c r="H693" s="11">
        <f>IFERROR(PagosV2[[#This Row],[Precio de venta]]-VLOOKUP(PagosV2[[#This Row],[Codigo del producto]],Stock[],13,FALSE),"-")</f>
        <v>354.42899999999997</v>
      </c>
      <c r="I693" s="11">
        <f>IFERROR(PagosV2[[#This Row],[Ganancia (UB)]]*$B$357,0)</f>
        <v>10.632869999999999</v>
      </c>
      <c r="J693" s="11">
        <f>IFERROR(PagosV2[[#This Row],[Ganancia (UB)]]*$B$358,0)</f>
        <v>21.265739999999997</v>
      </c>
      <c r="K693" s="11">
        <f>IFERROR(PagosV2[[#This Row],[Ganancia (UB)]]*$B$359,0)</f>
        <v>10.632869999999999</v>
      </c>
      <c r="L693" s="11">
        <f>IFERROR(PagosV2[[#This Row],[Ganancia (UB)]]*$B$360,0)</f>
        <v>10.632869999999999</v>
      </c>
      <c r="M693" s="11">
        <f>IFERROR(PagosV2[[#This Row],[Ganancia (UB)]]-PagosV2[[#This Row],[PM]]-PagosV2[[#This Row],[GC]]-PagosV2[[#This Row],[PC]]-PagosV2[[#This Row],[U]],0)</f>
        <v>301.2646499999999</v>
      </c>
      <c r="N693" s="11">
        <f t="shared" si="20"/>
        <v>120.50585999999997</v>
      </c>
      <c r="O693" s="11">
        <f>IFERROR(PagosV2[[#This Row],[Ganancia (UV)]]*PagosV2[[#This Row],[Cantidad vendida]],0)</f>
        <v>120.50585999999997</v>
      </c>
      <c r="P693" s="1">
        <f>IFERROR(PagosV2[[#This Row],[Ganancia (N)]]-PagosV2[[#This Row],[Ganancia (UV)]],0)</f>
        <v>180.75878999999992</v>
      </c>
      <c r="Q693" s="1">
        <f>IFERROR(PagosV2[[#This Row],[Ganancia individual (Tienda)]]*PagosV2[[#This Row],[Cantidad vendida]],0)</f>
        <v>180.75878999999992</v>
      </c>
      <c r="R693" s="1">
        <f>IFERROR((PagosV2[[#This Row],[Precio de venta]]-PagosV2[[#This Row],[Ganancia (UB)]])*PagosV2[[#This Row],[Cantidad vendida]],0)</f>
        <v>945.57100000000003</v>
      </c>
      <c r="S693" s="21" t="s">
        <v>312</v>
      </c>
      <c r="T693" s="21"/>
    </row>
    <row r="694" spans="1:20" ht="16.5" x14ac:dyDescent="0.3">
      <c r="A694" s="9" t="s">
        <v>327</v>
      </c>
      <c r="B694" s="75">
        <v>46175</v>
      </c>
      <c r="C694" s="9" t="s">
        <v>170</v>
      </c>
      <c r="D694" s="9" t="str">
        <f>IFERROR(VLOOKUP(PagosV2[[#This Row],[Codigo del producto]],Entradas[],3,FALSE),"No existe")</f>
        <v>KZ AZ09</v>
      </c>
      <c r="E694" s="9">
        <v>1</v>
      </c>
      <c r="F694" s="11">
        <v>900</v>
      </c>
      <c r="G694" s="11">
        <f>IFERROR(PagosV2[[#This Row],[Cantidad vendida]]*PagosV2[[#This Row],[Precio de venta]],"-")</f>
        <v>900</v>
      </c>
      <c r="H694" s="11">
        <f>IFERROR(PagosV2[[#This Row],[Precio de venta]]-VLOOKUP(PagosV2[[#This Row],[Codigo del producto]],Stock[],13,FALSE),"-")</f>
        <v>336.93200000000002</v>
      </c>
      <c r="I694" s="11">
        <f>IFERROR(PagosV2[[#This Row],[Ganancia (UB)]]*$B$357,0)</f>
        <v>10.10796</v>
      </c>
      <c r="J694" s="11">
        <f>IFERROR(PagosV2[[#This Row],[Ganancia (UB)]]*$B$358,0)</f>
        <v>20.215920000000001</v>
      </c>
      <c r="K694" s="11">
        <f>IFERROR(PagosV2[[#This Row],[Ganancia (UB)]]*$B$359,0)</f>
        <v>10.10796</v>
      </c>
      <c r="L694" s="11">
        <f>IFERROR(PagosV2[[#This Row],[Ganancia (UB)]]*$B$360,0)</f>
        <v>10.10796</v>
      </c>
      <c r="M694" s="11">
        <f>IFERROR(PagosV2[[#This Row],[Ganancia (UB)]]-PagosV2[[#This Row],[PM]]-PagosV2[[#This Row],[GC]]-PagosV2[[#This Row],[PC]]-PagosV2[[#This Row],[U]],0)</f>
        <v>286.39220000000006</v>
      </c>
      <c r="N694" s="11">
        <f t="shared" si="20"/>
        <v>128.87649000000002</v>
      </c>
      <c r="O694" s="11">
        <f>IFERROR(PagosV2[[#This Row],[Ganancia (UV)]]*PagosV2[[#This Row],[Cantidad vendida]],0)</f>
        <v>128.87649000000002</v>
      </c>
      <c r="P694" s="1">
        <f>IFERROR(PagosV2[[#This Row],[Ganancia (N)]]-PagosV2[[#This Row],[Ganancia (UV)]],0)</f>
        <v>157.51571000000004</v>
      </c>
      <c r="Q694" s="1">
        <f>IFERROR(PagosV2[[#This Row],[Ganancia individual (Tienda)]]*PagosV2[[#This Row],[Cantidad vendida]],0)</f>
        <v>157.51571000000004</v>
      </c>
      <c r="R694" s="1">
        <f>IFERROR((PagosV2[[#This Row],[Precio de venta]]-PagosV2[[#This Row],[Ganancia (UB)]])*PagosV2[[#This Row],[Cantidad vendida]],0)</f>
        <v>563.06799999999998</v>
      </c>
      <c r="S694" s="21" t="s">
        <v>312</v>
      </c>
      <c r="T694" s="21"/>
    </row>
    <row r="695" spans="1:20" ht="16.5" x14ac:dyDescent="0.3">
      <c r="A695" s="9" t="s">
        <v>327</v>
      </c>
      <c r="B695" s="75">
        <v>46175</v>
      </c>
      <c r="C695" s="9" t="s">
        <v>115</v>
      </c>
      <c r="D695" s="9" t="str">
        <f>IFERROR(VLOOKUP(PagosV2[[#This Row],[Codigo del producto]],Entradas[],3,FALSE),"No existe")</f>
        <v>Cargadores USB para moto</v>
      </c>
      <c r="E695" s="9">
        <v>1</v>
      </c>
      <c r="F695" s="11">
        <v>600</v>
      </c>
      <c r="G695" s="11">
        <f>IFERROR(PagosV2[[#This Row],[Cantidad vendida]]*PagosV2[[#This Row],[Precio de venta]],"-")</f>
        <v>600</v>
      </c>
      <c r="H695" s="11">
        <f>IFERROR(PagosV2[[#This Row],[Precio de venta]]-VLOOKUP(PagosV2[[#This Row],[Codigo del producto]],Stock[],13,FALSE),"-")</f>
        <v>281.61599999999999</v>
      </c>
      <c r="I695" s="11">
        <f>IFERROR(PagosV2[[#This Row],[Ganancia (UB)]]*$B$357,0)</f>
        <v>8.44848</v>
      </c>
      <c r="J695" s="11">
        <f>IFERROR(PagosV2[[#This Row],[Ganancia (UB)]]*$B$358,0)</f>
        <v>16.89696</v>
      </c>
      <c r="K695" s="11">
        <f>IFERROR(PagosV2[[#This Row],[Ganancia (UB)]]*$B$359,0)</f>
        <v>8.44848</v>
      </c>
      <c r="L695" s="11">
        <f>IFERROR(PagosV2[[#This Row],[Ganancia (UB)]]*$B$360,0)</f>
        <v>8.44848</v>
      </c>
      <c r="M695" s="11">
        <f>IFERROR(PagosV2[[#This Row],[Ganancia (UB)]]-PagosV2[[#This Row],[PM]]-PagosV2[[#This Row],[GC]]-PagosV2[[#This Row],[PC]]-PagosV2[[#This Row],[U]],0)</f>
        <v>239.37360000000001</v>
      </c>
      <c r="N695" s="11">
        <f t="shared" si="20"/>
        <v>107.71812000000001</v>
      </c>
      <c r="O695" s="11">
        <f>IFERROR(PagosV2[[#This Row],[Ganancia (UV)]]*PagosV2[[#This Row],[Cantidad vendida]],0)</f>
        <v>107.71812000000001</v>
      </c>
      <c r="P695" s="1">
        <f>IFERROR(PagosV2[[#This Row],[Ganancia (N)]]-PagosV2[[#This Row],[Ganancia (UV)]],0)</f>
        <v>131.65548000000001</v>
      </c>
      <c r="Q695" s="1">
        <f>IFERROR(PagosV2[[#This Row],[Ganancia individual (Tienda)]]*PagosV2[[#This Row],[Cantidad vendida]],0)</f>
        <v>131.65548000000001</v>
      </c>
      <c r="R695" s="1">
        <f>IFERROR((PagosV2[[#This Row],[Precio de venta]]-PagosV2[[#This Row],[Ganancia (UB)]])*PagosV2[[#This Row],[Cantidad vendida]],0)</f>
        <v>318.38400000000001</v>
      </c>
      <c r="S695" s="21" t="s">
        <v>312</v>
      </c>
      <c r="T695" s="21"/>
    </row>
    <row r="696" spans="1:20" ht="16.5" x14ac:dyDescent="0.3">
      <c r="A696" s="9" t="s">
        <v>313</v>
      </c>
      <c r="B696" s="75">
        <v>46175</v>
      </c>
      <c r="C696" s="9" t="s">
        <v>100</v>
      </c>
      <c r="D696" s="9" t="str">
        <f>IFERROR(VLOOKUP(PagosV2[[#This Row],[Codigo del producto]],Entradas[],3,FALSE),"No existe")</f>
        <v>NYXI Pro controller (Orange)</v>
      </c>
      <c r="E696" s="9">
        <v>1</v>
      </c>
      <c r="F696" s="11">
        <v>1800</v>
      </c>
      <c r="G696" s="11">
        <f>IFERROR(PagosV2[[#This Row],[Cantidad vendida]]*PagosV2[[#This Row],[Precio de venta]],"-")</f>
        <v>1800</v>
      </c>
      <c r="H696" s="11">
        <f>IFERROR(PagosV2[[#This Row],[Precio de venta]]-VLOOKUP(PagosV2[[#This Row],[Codigo del producto]],Stock[],13,FALSE),"-")</f>
        <v>203.6579999999999</v>
      </c>
      <c r="I696" s="11">
        <f>IFERROR(PagosV2[[#This Row],[Ganancia (UB)]]*$B$357,0)</f>
        <v>6.1097399999999968</v>
      </c>
      <c r="J696" s="11">
        <f>IFERROR(PagosV2[[#This Row],[Ganancia (UB)]]*$B$358,0)</f>
        <v>12.219479999999994</v>
      </c>
      <c r="K696" s="11">
        <f>IFERROR(PagosV2[[#This Row],[Ganancia (UB)]]*$B$359,0)</f>
        <v>6.1097399999999968</v>
      </c>
      <c r="L696" s="11">
        <f>IFERROR(PagosV2[[#This Row],[Ganancia (UB)]]*$B$360,0)</f>
        <v>6.1097399999999968</v>
      </c>
      <c r="M696" s="11">
        <f>IFERROR(PagosV2[[#This Row],[Ganancia (UB)]]-PagosV2[[#This Row],[PM]]-PagosV2[[#This Row],[GC]]-PagosV2[[#This Row],[PC]]-PagosV2[[#This Row],[U]],0)</f>
        <v>173.10929999999993</v>
      </c>
      <c r="N696" s="11">
        <f t="shared" si="20"/>
        <v>77.899184999999974</v>
      </c>
      <c r="O696" s="11">
        <f>IFERROR(PagosV2[[#This Row],[Ganancia (UV)]]*PagosV2[[#This Row],[Cantidad vendida]],0)</f>
        <v>77.899184999999974</v>
      </c>
      <c r="P696" s="1">
        <f>IFERROR(PagosV2[[#This Row],[Ganancia (N)]]-PagosV2[[#This Row],[Ganancia (UV)]],0)</f>
        <v>95.210114999999959</v>
      </c>
      <c r="Q696" s="1">
        <f>IFERROR(PagosV2[[#This Row],[Ganancia individual (Tienda)]]*PagosV2[[#This Row],[Cantidad vendida]],0)</f>
        <v>95.210114999999959</v>
      </c>
      <c r="R696" s="1">
        <f>IFERROR((PagosV2[[#This Row],[Precio de venta]]-PagosV2[[#This Row],[Ganancia (UB)]])*PagosV2[[#This Row],[Cantidad vendida]],0)</f>
        <v>1596.3420000000001</v>
      </c>
      <c r="S696" s="21" t="s">
        <v>312</v>
      </c>
      <c r="T696" s="21"/>
    </row>
    <row r="697" spans="1:20" ht="16.5" x14ac:dyDescent="0.3">
      <c r="A697" s="9" t="s">
        <v>313</v>
      </c>
      <c r="B697" s="75">
        <v>46175</v>
      </c>
      <c r="C697" s="9" t="s">
        <v>169</v>
      </c>
      <c r="D697" s="9" t="str">
        <f>IFERROR(VLOOKUP(PagosV2[[#This Row],[Codigo del producto]],Entradas[],3,FALSE),"No existe")</f>
        <v>Mouse AJAZZ AJ179 Pro</v>
      </c>
      <c r="E697" s="9">
        <v>1</v>
      </c>
      <c r="F697" s="11">
        <v>1100</v>
      </c>
      <c r="G697" s="11">
        <f>IFERROR(PagosV2[[#This Row],[Cantidad vendida]]*PagosV2[[#This Row],[Precio de venta]],"-")</f>
        <v>1100</v>
      </c>
      <c r="H697" s="11">
        <f>IFERROR(PagosV2[[#This Row],[Precio de venta]]-VLOOKUP(PagosV2[[#This Row],[Codigo del producto]],Stock[],13,FALSE),"-")</f>
        <v>316.20049999999981</v>
      </c>
      <c r="I697" s="11">
        <f>IFERROR(PagosV2[[#This Row],[Ganancia (UB)]]*$B$357,0)</f>
        <v>9.486014999999993</v>
      </c>
      <c r="J697" s="11">
        <f>IFERROR(PagosV2[[#This Row],[Ganancia (UB)]]*$B$358,0)</f>
        <v>18.972029999999986</v>
      </c>
      <c r="K697" s="11">
        <f>IFERROR(PagosV2[[#This Row],[Ganancia (UB)]]*$B$359,0)</f>
        <v>9.486014999999993</v>
      </c>
      <c r="L697" s="11">
        <f>IFERROR(PagosV2[[#This Row],[Ganancia (UB)]]*$B$360,0)</f>
        <v>9.486014999999993</v>
      </c>
      <c r="M697" s="11">
        <f>IFERROR(PagosV2[[#This Row],[Ganancia (UB)]]-PagosV2[[#This Row],[PM]]-PagosV2[[#This Row],[GC]]-PagosV2[[#This Row],[PC]]-PagosV2[[#This Row],[U]],0)</f>
        <v>268.77042499999982</v>
      </c>
      <c r="N697" s="11">
        <f t="shared" si="20"/>
        <v>120.94669124999992</v>
      </c>
      <c r="O697" s="11">
        <f>IFERROR(PagosV2[[#This Row],[Ganancia (UV)]]*PagosV2[[#This Row],[Cantidad vendida]],0)</f>
        <v>120.94669124999992</v>
      </c>
      <c r="P697" s="1">
        <f>IFERROR(PagosV2[[#This Row],[Ganancia (N)]]-PagosV2[[#This Row],[Ganancia (UV)]],0)</f>
        <v>147.82373374999992</v>
      </c>
      <c r="Q697" s="1">
        <f>IFERROR(PagosV2[[#This Row],[Ganancia individual (Tienda)]]*PagosV2[[#This Row],[Cantidad vendida]],0)</f>
        <v>147.82373374999992</v>
      </c>
      <c r="R697" s="1">
        <f>IFERROR((PagosV2[[#This Row],[Precio de venta]]-PagosV2[[#This Row],[Ganancia (UB)]])*PagosV2[[#This Row],[Cantidad vendida]],0)</f>
        <v>783.79950000000019</v>
      </c>
      <c r="S697" s="21" t="s">
        <v>312</v>
      </c>
      <c r="T697" s="21"/>
    </row>
    <row r="698" spans="1:20" ht="16.5" x14ac:dyDescent="0.3">
      <c r="A698" s="9" t="s">
        <v>327</v>
      </c>
      <c r="B698" s="75">
        <v>46176</v>
      </c>
      <c r="C698" s="9" t="s">
        <v>160</v>
      </c>
      <c r="D698" s="9" t="str">
        <f>IFERROR(VLOOKUP(PagosV2[[#This Row],[Codigo del producto]],Entradas[],3,FALSE),"No existe")</f>
        <v>KZ Libra</v>
      </c>
      <c r="E698" s="9">
        <v>1</v>
      </c>
      <c r="F698" s="11">
        <v>550</v>
      </c>
      <c r="G698" s="11">
        <f>IFERROR(PagosV2[[#This Row],[Cantidad vendida]]*PagosV2[[#This Row],[Precio de venta]],"-")</f>
        <v>550</v>
      </c>
      <c r="H698" s="11">
        <f>IFERROR(PagosV2[[#This Row],[Precio de venta]]-VLOOKUP(PagosV2[[#This Row],[Codigo del producto]],Stock[],13,FALSE),"-")</f>
        <v>198.08250000000004</v>
      </c>
      <c r="I698" s="11">
        <f>IFERROR(PagosV2[[#This Row],[Ganancia (UB)]]*$B$357,0)</f>
        <v>5.9424750000000008</v>
      </c>
      <c r="J698" s="11">
        <f>IFERROR(PagosV2[[#This Row],[Ganancia (UB)]]*$B$358,0)</f>
        <v>11.884950000000002</v>
      </c>
      <c r="K698" s="11">
        <f>IFERROR(PagosV2[[#This Row],[Ganancia (UB)]]*$B$359,0)</f>
        <v>5.9424750000000008</v>
      </c>
      <c r="L698" s="11">
        <f>IFERROR(PagosV2[[#This Row],[Ganancia (UB)]]*$B$360,0)</f>
        <v>5.9424750000000008</v>
      </c>
      <c r="M698" s="11">
        <f>IFERROR(PagosV2[[#This Row],[Ganancia (UB)]]-PagosV2[[#This Row],[PM]]-PagosV2[[#This Row],[GC]]-PagosV2[[#This Row],[PC]]-PagosV2[[#This Row],[U]],0)</f>
        <v>168.37012500000003</v>
      </c>
      <c r="N698" s="11">
        <f>IFERROR(
  IF(M698&lt;=0,"-",
    IF(M698&lt;=300, M698*0.45,
      IF(M698&lt;=600, M698*0.4,
        IF(M698&lt;=900, M698*0.38,
          IF(M698&lt;=1000, M698*0.35,
            IF(M698&lt;=1400, M698*0.32,
              IF(M698&lt;=1800, HM698*0.3,
                IF(M698&gt;=2000, M698*0.28,
                  "-"
                )
              )
            )
          )
        )
      )
    )
  ),
  "-"
)</f>
        <v>75.766556250000022</v>
      </c>
      <c r="O698" s="11">
        <f>IFERROR(PagosV2[[#This Row],[Ganancia (UV)]]*PagosV2[[#This Row],[Cantidad vendida]],0)</f>
        <v>75.766556250000022</v>
      </c>
      <c r="P698" s="1">
        <f>IFERROR(PagosV2[[#This Row],[Ganancia (N)]]-PagosV2[[#This Row],[Ganancia (UV)]],0)</f>
        <v>92.603568750000008</v>
      </c>
      <c r="Q698" s="1">
        <f>IFERROR(PagosV2[[#This Row],[Ganancia individual (Tienda)]]*PagosV2[[#This Row],[Cantidad vendida]],0)</f>
        <v>92.603568750000008</v>
      </c>
      <c r="R698" s="1">
        <f>IFERROR((PagosV2[[#This Row],[Precio de venta]]-PagosV2[[#This Row],[Ganancia (UB)]])*PagosV2[[#This Row],[Cantidad vendida]],0)</f>
        <v>351.91749999999996</v>
      </c>
      <c r="S698" s="21" t="s">
        <v>312</v>
      </c>
      <c r="T698" s="21"/>
    </row>
    <row r="699" spans="1:20" ht="16.5" x14ac:dyDescent="0.3">
      <c r="A699" s="9" t="s">
        <v>327</v>
      </c>
      <c r="B699" s="75">
        <v>46176</v>
      </c>
      <c r="C699" s="9" t="s">
        <v>89</v>
      </c>
      <c r="D699" s="9" t="str">
        <f>IFERROR(VLOOKUP(PagosV2[[#This Row],[Codigo del producto]],Entradas[],3,FALSE),"No existe")</f>
        <v xml:space="preserve">Adaptador DAC </v>
      </c>
      <c r="E699" s="9">
        <v>1</v>
      </c>
      <c r="F699" s="11">
        <v>300</v>
      </c>
      <c r="G699" s="11">
        <f>IFERROR(PagosV2[[#This Row],[Cantidad vendida]]*PagosV2[[#This Row],[Precio de venta]],"-")</f>
        <v>300</v>
      </c>
      <c r="H699" s="11">
        <f>IFERROR(PagosV2[[#This Row],[Precio de venta]]-VLOOKUP(PagosV2[[#This Row],[Codigo del producto]],Stock[],13,FALSE),"-")</f>
        <v>130.85849999999999</v>
      </c>
      <c r="I699" s="11">
        <f>IFERROR(PagosV2[[#This Row],[Ganancia (UB)]]*$B$357,0)</f>
        <v>3.9257549999999997</v>
      </c>
      <c r="J699" s="11">
        <f>IFERROR(PagosV2[[#This Row],[Ganancia (UB)]]*$B$358,0)</f>
        <v>7.8515099999999993</v>
      </c>
      <c r="K699" s="11">
        <f>IFERROR(PagosV2[[#This Row],[Ganancia (UB)]]*$B$359,0)</f>
        <v>3.9257549999999997</v>
      </c>
      <c r="L699" s="11">
        <f>IFERROR(PagosV2[[#This Row],[Ganancia (UB)]]*$B$360,0)</f>
        <v>3.9257549999999997</v>
      </c>
      <c r="M699" s="11">
        <f>IFERROR(PagosV2[[#This Row],[Ganancia (UB)]]-PagosV2[[#This Row],[PM]]-PagosV2[[#This Row],[GC]]-PagosV2[[#This Row],[PC]]-PagosV2[[#This Row],[U]],0)</f>
        <v>111.229725</v>
      </c>
      <c r="N699" s="11">
        <f>IFERROR(
  IF(M699&lt;=0,"-",
    IF(M699&lt;=300, M699*0.45,
      IF(M699&lt;=600, M699*0.4,
        IF(M699&lt;=900, M699*0.38,
          IF(M699&lt;=1000, M699*0.35,
            IF(M699&lt;=1400, M699*0.32,
              IF(M699&lt;=1800, HM699*0.3,
                IF(M699&gt;=2000, M699*0.28,
                  "-"
                )
              )
            )
          )
        )
      )
    )
  ),
  "-"
)</f>
        <v>50.053376249999999</v>
      </c>
      <c r="O699" s="11">
        <f>IFERROR(PagosV2[[#This Row],[Ganancia (UV)]]*PagosV2[[#This Row],[Cantidad vendida]],0)</f>
        <v>50.053376249999999</v>
      </c>
      <c r="P699" s="1">
        <f>IFERROR(PagosV2[[#This Row],[Ganancia (N)]]-PagosV2[[#This Row],[Ganancia (UV)]],0)</f>
        <v>61.176348750000002</v>
      </c>
      <c r="Q699" s="1">
        <f>IFERROR(PagosV2[[#This Row],[Ganancia individual (Tienda)]]*PagosV2[[#This Row],[Cantidad vendida]],0)</f>
        <v>61.176348750000002</v>
      </c>
      <c r="R699" s="1">
        <f>IFERROR((PagosV2[[#This Row],[Precio de venta]]-PagosV2[[#This Row],[Ganancia (UB)]])*PagosV2[[#This Row],[Cantidad vendida]],0)</f>
        <v>169.14150000000001</v>
      </c>
      <c r="S699" s="21" t="s">
        <v>312</v>
      </c>
      <c r="T699" s="21"/>
    </row>
    <row r="700" spans="1:20" ht="16.5" x14ac:dyDescent="0.3">
      <c r="A700" s="9" t="s">
        <v>327</v>
      </c>
      <c r="B700" s="75">
        <v>46176</v>
      </c>
      <c r="C700" s="9" t="s">
        <v>154</v>
      </c>
      <c r="D700" s="9" t="str">
        <f>IFERROR(VLOOKUP(PagosV2[[#This Row],[Codigo del producto]],Entradas[],3,FALSE),"No existe")</f>
        <v xml:space="preserve">Attack Shark Mouse X11 negro </v>
      </c>
      <c r="E700" s="9">
        <v>2</v>
      </c>
      <c r="F700" s="11">
        <v>1200</v>
      </c>
      <c r="G700" s="11">
        <f>IFERROR(PagosV2[[#This Row],[Cantidad vendida]]*PagosV2[[#This Row],[Precio de venta]],"-")</f>
        <v>2400</v>
      </c>
      <c r="H700" s="11">
        <f>IFERROR(PagosV2[[#This Row],[Precio de venta]]-VLOOKUP(PagosV2[[#This Row],[Codigo del producto]],Stock[],13,FALSE),"-")</f>
        <v>277.64449999999988</v>
      </c>
      <c r="I700" s="11">
        <f>IFERROR(PagosV2[[#This Row],[Ganancia (UB)]]*$B$357,0)</f>
        <v>8.3293349999999968</v>
      </c>
      <c r="J700" s="11">
        <f>IFERROR(PagosV2[[#This Row],[Ganancia (UB)]]*$B$358,0)</f>
        <v>16.658669999999994</v>
      </c>
      <c r="K700" s="11">
        <f>IFERROR(PagosV2[[#This Row],[Ganancia (UB)]]*$B$359,0)</f>
        <v>8.3293349999999968</v>
      </c>
      <c r="L700" s="11">
        <f>IFERROR(PagosV2[[#This Row],[Ganancia (UB)]]*$B$360,0)</f>
        <v>8.3293349999999968</v>
      </c>
      <c r="M700" s="11">
        <f>IFERROR(PagosV2[[#This Row],[Ganancia (UB)]]-PagosV2[[#This Row],[PM]]-PagosV2[[#This Row],[GC]]-PagosV2[[#This Row],[PC]]-PagosV2[[#This Row],[U]],0)</f>
        <v>235.99782499999989</v>
      </c>
      <c r="N700" s="11">
        <f t="shared" si="20"/>
        <v>106.19902124999996</v>
      </c>
      <c r="O700" s="11">
        <f>IFERROR(PagosV2[[#This Row],[Ganancia (UV)]]*PagosV2[[#This Row],[Cantidad vendida]],0)</f>
        <v>212.39804249999992</v>
      </c>
      <c r="P700" s="1">
        <f>IFERROR(PagosV2[[#This Row],[Ganancia (N)]]-PagosV2[[#This Row],[Ganancia (UV)]],0)</f>
        <v>129.79880374999993</v>
      </c>
      <c r="Q700" s="1">
        <f>IFERROR(PagosV2[[#This Row],[Ganancia individual (Tienda)]]*PagosV2[[#This Row],[Cantidad vendida]],0)</f>
        <v>259.59760749999987</v>
      </c>
      <c r="R700" s="1">
        <f>IFERROR((PagosV2[[#This Row],[Precio de venta]]-PagosV2[[#This Row],[Ganancia (UB)]])*PagosV2[[#This Row],[Cantidad vendida]],0)</f>
        <v>1844.7110000000002</v>
      </c>
      <c r="S700" s="21" t="s">
        <v>312</v>
      </c>
      <c r="T700" s="21"/>
    </row>
    <row r="701" spans="1:20" ht="16.5" x14ac:dyDescent="0.3">
      <c r="A701" s="9" t="s">
        <v>327</v>
      </c>
      <c r="B701" s="75">
        <v>46178</v>
      </c>
      <c r="C701" s="9" t="s">
        <v>167</v>
      </c>
      <c r="D701" s="9" t="str">
        <f>IFERROR(VLOOKUP(PagosV2[[#This Row],[Codigo del producto]],Entradas[],3,FALSE),"No existe")</f>
        <v>KZ Castor Improved Bass</v>
      </c>
      <c r="E701" s="9">
        <v>1</v>
      </c>
      <c r="F701" s="11">
        <v>700</v>
      </c>
      <c r="G701" s="11">
        <f>IFERROR(PagosV2[[#This Row],[Cantidad vendida]]*PagosV2[[#This Row],[Precio de venta]],"-")</f>
        <v>700</v>
      </c>
      <c r="H701" s="11">
        <f>IFERROR(PagosV2[[#This Row],[Precio de venta]]-VLOOKUP(PagosV2[[#This Row],[Codigo del producto]],Stock[],13,FALSE),"-")</f>
        <v>266.27550000000002</v>
      </c>
      <c r="I701" s="11">
        <f>IFERROR(PagosV2[[#This Row],[Ganancia (UB)]]*$B$357,0)</f>
        <v>7.9882650000000002</v>
      </c>
      <c r="J701" s="11">
        <f>IFERROR(PagosV2[[#This Row],[Ganancia (UB)]]*$B$358,0)</f>
        <v>15.97653</v>
      </c>
      <c r="K701" s="11">
        <f>IFERROR(PagosV2[[#This Row],[Ganancia (UB)]]*$B$359,0)</f>
        <v>7.9882650000000002</v>
      </c>
      <c r="L701" s="11">
        <f>IFERROR(PagosV2[[#This Row],[Ganancia (UB)]]*$B$360,0)</f>
        <v>7.9882650000000002</v>
      </c>
      <c r="M701" s="11">
        <f>IFERROR(PagosV2[[#This Row],[Ganancia (UB)]]-PagosV2[[#This Row],[PM]]-PagosV2[[#This Row],[GC]]-PagosV2[[#This Row],[PC]]-PagosV2[[#This Row],[U]],0)</f>
        <v>226.33417499999999</v>
      </c>
      <c r="N701" s="11">
        <f t="shared" ref="N701:N707" si="21">IFERROR(
  IF(M701&lt;=0,"-",
    IF(M701&lt;=300, M701*0.45,
      IF(M701&lt;=600, M701*0.4,
        IF(M701&lt;=900, M701*0.38,
          IF(M701&lt;=1000, M701*0.35,
            IF(M701&lt;=1400, M701*0.32,
              IF(M701&lt;=1800, HM701*0.3,
                IF(M701&gt;=2000, M701*0.28,
                  "-"
                )
              )
            )
          )
        )
      )
    )
  ),
  "-"
)</f>
        <v>101.85037874999999</v>
      </c>
      <c r="O701" s="11">
        <f>IFERROR(PagosV2[[#This Row],[Ganancia (UV)]]*PagosV2[[#This Row],[Cantidad vendida]],0)</f>
        <v>101.85037874999999</v>
      </c>
      <c r="P701" s="1">
        <f>IFERROR(PagosV2[[#This Row],[Ganancia (N)]]-PagosV2[[#This Row],[Ganancia (UV)]],0)</f>
        <v>124.48379625</v>
      </c>
      <c r="Q701" s="1">
        <f>IFERROR(PagosV2[[#This Row],[Ganancia individual (Tienda)]]*PagosV2[[#This Row],[Cantidad vendida]],0)</f>
        <v>124.48379625</v>
      </c>
      <c r="R701" s="1">
        <f>IFERROR((PagosV2[[#This Row],[Precio de venta]]-PagosV2[[#This Row],[Ganancia (UB)]])*PagosV2[[#This Row],[Cantidad vendida]],0)</f>
        <v>433.72449999999998</v>
      </c>
      <c r="S701" s="21" t="s">
        <v>312</v>
      </c>
      <c r="T701" s="21"/>
    </row>
    <row r="702" spans="1:20" ht="16.5" x14ac:dyDescent="0.3">
      <c r="A702" s="9" t="s">
        <v>327</v>
      </c>
      <c r="B702" s="75">
        <v>46178</v>
      </c>
      <c r="C702" s="9" t="s">
        <v>89</v>
      </c>
      <c r="D702" s="9" t="str">
        <f>IFERROR(VLOOKUP(PagosV2[[#This Row],[Codigo del producto]],Entradas[],3,FALSE),"No existe")</f>
        <v xml:space="preserve">Adaptador DAC </v>
      </c>
      <c r="E702" s="9">
        <v>3</v>
      </c>
      <c r="F702" s="11">
        <v>350</v>
      </c>
      <c r="G702" s="11">
        <f>IFERROR(PagosV2[[#This Row],[Cantidad vendida]]*PagosV2[[#This Row],[Precio de venta]],"-")</f>
        <v>1050</v>
      </c>
      <c r="H702" s="11">
        <f>IFERROR(PagosV2[[#This Row],[Precio de venta]]-VLOOKUP(PagosV2[[#This Row],[Codigo del producto]],Stock[],13,FALSE),"-")</f>
        <v>180.85849999999999</v>
      </c>
      <c r="I702" s="11">
        <f>IFERROR(PagosV2[[#This Row],[Ganancia (UB)]]*$B$357,0)</f>
        <v>5.4257549999999997</v>
      </c>
      <c r="J702" s="11">
        <f>IFERROR(PagosV2[[#This Row],[Ganancia (UB)]]*$B$358,0)</f>
        <v>10.851509999999999</v>
      </c>
      <c r="K702" s="11">
        <f>IFERROR(PagosV2[[#This Row],[Ganancia (UB)]]*$B$359,0)</f>
        <v>5.4257549999999997</v>
      </c>
      <c r="L702" s="11">
        <f>IFERROR(PagosV2[[#This Row],[Ganancia (UB)]]*$B$360,0)</f>
        <v>5.4257549999999997</v>
      </c>
      <c r="M702" s="11">
        <f>IFERROR(PagosV2[[#This Row],[Ganancia (UB)]]-PagosV2[[#This Row],[PM]]-PagosV2[[#This Row],[GC]]-PagosV2[[#This Row],[PC]]-PagosV2[[#This Row],[U]],0)</f>
        <v>153.72972499999997</v>
      </c>
      <c r="N702" s="11">
        <f t="shared" si="21"/>
        <v>69.178376249999985</v>
      </c>
      <c r="O702" s="11">
        <f>IFERROR(PagosV2[[#This Row],[Ganancia (UV)]]*PagosV2[[#This Row],[Cantidad vendida]],0)</f>
        <v>207.53512874999996</v>
      </c>
      <c r="P702" s="1">
        <f>IFERROR(PagosV2[[#This Row],[Ganancia (N)]]-PagosV2[[#This Row],[Ganancia (UV)]],0)</f>
        <v>84.551348749999988</v>
      </c>
      <c r="Q702" s="1">
        <f>IFERROR(PagosV2[[#This Row],[Ganancia individual (Tienda)]]*PagosV2[[#This Row],[Cantidad vendida]],0)</f>
        <v>253.65404624999996</v>
      </c>
      <c r="R702" s="1">
        <f>IFERROR((PagosV2[[#This Row],[Precio de venta]]-PagosV2[[#This Row],[Ganancia (UB)]])*PagosV2[[#This Row],[Cantidad vendida]],0)</f>
        <v>507.42450000000002</v>
      </c>
      <c r="S702" s="21" t="s">
        <v>312</v>
      </c>
      <c r="T702" s="21"/>
    </row>
    <row r="703" spans="1:20" ht="16.5" x14ac:dyDescent="0.3">
      <c r="A703" s="9" t="s">
        <v>327</v>
      </c>
      <c r="B703" s="75">
        <v>46178</v>
      </c>
      <c r="C703" s="9" t="s">
        <v>154</v>
      </c>
      <c r="D703" s="9" t="str">
        <f>IFERROR(VLOOKUP(PagosV2[[#This Row],[Codigo del producto]],Entradas[],3,FALSE),"No existe")</f>
        <v xml:space="preserve">Attack Shark Mouse X11 negro </v>
      </c>
      <c r="E703" s="9">
        <v>1</v>
      </c>
      <c r="F703" s="11">
        <v>1200</v>
      </c>
      <c r="G703" s="11">
        <f>IFERROR(PagosV2[[#This Row],[Cantidad vendida]]*PagosV2[[#This Row],[Precio de venta]],"-")</f>
        <v>1200</v>
      </c>
      <c r="H703" s="11">
        <f>IFERROR(PagosV2[[#This Row],[Precio de venta]]-VLOOKUP(PagosV2[[#This Row],[Codigo del producto]],Stock[],13,FALSE),"-")</f>
        <v>277.64449999999988</v>
      </c>
      <c r="I703" s="11">
        <f>IFERROR(PagosV2[[#This Row],[Ganancia (UB)]]*$B$357,0)</f>
        <v>8.3293349999999968</v>
      </c>
      <c r="J703" s="11">
        <f>IFERROR(PagosV2[[#This Row],[Ganancia (UB)]]*$B$358,0)</f>
        <v>16.658669999999994</v>
      </c>
      <c r="K703" s="11">
        <f>IFERROR(PagosV2[[#This Row],[Ganancia (UB)]]*$B$359,0)</f>
        <v>8.3293349999999968</v>
      </c>
      <c r="L703" s="11">
        <f>IFERROR(PagosV2[[#This Row],[Ganancia (UB)]]*$B$360,0)</f>
        <v>8.3293349999999968</v>
      </c>
      <c r="M703" s="11">
        <f>IFERROR(PagosV2[[#This Row],[Ganancia (UB)]]-PagosV2[[#This Row],[PM]]-PagosV2[[#This Row],[GC]]-PagosV2[[#This Row],[PC]]-PagosV2[[#This Row],[U]],0)</f>
        <v>235.99782499999989</v>
      </c>
      <c r="N703" s="11">
        <f t="shared" si="21"/>
        <v>106.19902124999996</v>
      </c>
      <c r="O703" s="11">
        <f>IFERROR(PagosV2[[#This Row],[Ganancia (UV)]]*PagosV2[[#This Row],[Cantidad vendida]],0)</f>
        <v>106.19902124999996</v>
      </c>
      <c r="P703" s="1">
        <f>IFERROR(PagosV2[[#This Row],[Ganancia (N)]]-PagosV2[[#This Row],[Ganancia (UV)]],0)</f>
        <v>129.79880374999993</v>
      </c>
      <c r="Q703" s="1">
        <f>IFERROR(PagosV2[[#This Row],[Ganancia individual (Tienda)]]*PagosV2[[#This Row],[Cantidad vendida]],0)</f>
        <v>129.79880374999993</v>
      </c>
      <c r="R703" s="1">
        <f>IFERROR((PagosV2[[#This Row],[Precio de venta]]-PagosV2[[#This Row],[Ganancia (UB)]])*PagosV2[[#This Row],[Cantidad vendida]],0)</f>
        <v>922.35550000000012</v>
      </c>
      <c r="S703" s="21" t="s">
        <v>312</v>
      </c>
      <c r="T703" s="21"/>
    </row>
    <row r="704" spans="1:20" ht="16.5" x14ac:dyDescent="0.3">
      <c r="A704" s="9" t="s">
        <v>327</v>
      </c>
      <c r="B704" s="75">
        <v>46178</v>
      </c>
      <c r="C704" s="9" t="s">
        <v>115</v>
      </c>
      <c r="D704" s="9" t="str">
        <f>IFERROR(VLOOKUP(PagosV2[[#This Row],[Codigo del producto]],Entradas[],3,FALSE),"No existe")</f>
        <v>Cargadores USB para moto</v>
      </c>
      <c r="E704" s="9">
        <v>1</v>
      </c>
      <c r="F704" s="11">
        <v>600</v>
      </c>
      <c r="G704" s="11">
        <f>IFERROR(PagosV2[[#This Row],[Cantidad vendida]]*PagosV2[[#This Row],[Precio de venta]],"-")</f>
        <v>600</v>
      </c>
      <c r="H704" s="11">
        <f>IFERROR(PagosV2[[#This Row],[Precio de venta]]-VLOOKUP(PagosV2[[#This Row],[Codigo del producto]],Stock[],13,FALSE),"-")</f>
        <v>281.61599999999999</v>
      </c>
      <c r="I704" s="11">
        <f>IFERROR(PagosV2[[#This Row],[Ganancia (UB)]]*$B$357,0)</f>
        <v>8.44848</v>
      </c>
      <c r="J704" s="11">
        <f>IFERROR(PagosV2[[#This Row],[Ganancia (UB)]]*$B$358,0)</f>
        <v>16.89696</v>
      </c>
      <c r="K704" s="11">
        <f>IFERROR(PagosV2[[#This Row],[Ganancia (UB)]]*$B$359,0)</f>
        <v>8.44848</v>
      </c>
      <c r="L704" s="11">
        <f>IFERROR(PagosV2[[#This Row],[Ganancia (UB)]]*$B$360,0)</f>
        <v>8.44848</v>
      </c>
      <c r="M704" s="11">
        <f>IFERROR(PagosV2[[#This Row],[Ganancia (UB)]]-PagosV2[[#This Row],[PM]]-PagosV2[[#This Row],[GC]]-PagosV2[[#This Row],[PC]]-PagosV2[[#This Row],[U]],0)</f>
        <v>239.37360000000001</v>
      </c>
      <c r="N704" s="11">
        <f t="shared" si="21"/>
        <v>107.71812000000001</v>
      </c>
      <c r="O704" s="11">
        <f>IFERROR(PagosV2[[#This Row],[Ganancia (UV)]]*PagosV2[[#This Row],[Cantidad vendida]],0)</f>
        <v>107.71812000000001</v>
      </c>
      <c r="P704" s="1">
        <f>IFERROR(PagosV2[[#This Row],[Ganancia (N)]]-PagosV2[[#This Row],[Ganancia (UV)]],0)</f>
        <v>131.65548000000001</v>
      </c>
      <c r="Q704" s="1">
        <f>IFERROR(PagosV2[[#This Row],[Ganancia individual (Tienda)]]*PagosV2[[#This Row],[Cantidad vendida]],0)</f>
        <v>131.65548000000001</v>
      </c>
      <c r="R704" s="1">
        <f>IFERROR((PagosV2[[#This Row],[Precio de venta]]-PagosV2[[#This Row],[Ganancia (UB)]])*PagosV2[[#This Row],[Cantidad vendida]],0)</f>
        <v>318.38400000000001</v>
      </c>
      <c r="S704" s="21" t="s">
        <v>312</v>
      </c>
      <c r="T704" s="21"/>
    </row>
    <row r="705" spans="1:20" ht="16.5" x14ac:dyDescent="0.3">
      <c r="A705" s="9" t="s">
        <v>313</v>
      </c>
      <c r="B705" s="75">
        <v>46178</v>
      </c>
      <c r="C705" s="9" t="s">
        <v>100</v>
      </c>
      <c r="D705" s="9" t="str">
        <f>IFERROR(VLOOKUP(PagosV2[[#This Row],[Codigo del producto]],Entradas[],3,FALSE),"No existe")</f>
        <v>NYXI Pro controller (Orange)</v>
      </c>
      <c r="E705" s="9">
        <v>1</v>
      </c>
      <c r="F705" s="11">
        <v>1800</v>
      </c>
      <c r="G705" s="11">
        <f>IFERROR(PagosV2[[#This Row],[Cantidad vendida]]*PagosV2[[#This Row],[Precio de venta]],"-")</f>
        <v>1800</v>
      </c>
      <c r="H705" s="11">
        <f>IFERROR(PagosV2[[#This Row],[Precio de venta]]-VLOOKUP(PagosV2[[#This Row],[Codigo del producto]],Stock[],13,FALSE),"-")</f>
        <v>203.6579999999999</v>
      </c>
      <c r="I705" s="11">
        <f>IFERROR(PagosV2[[#This Row],[Ganancia (UB)]]*$B$357,0)</f>
        <v>6.1097399999999968</v>
      </c>
      <c r="J705" s="11">
        <f>IFERROR(PagosV2[[#This Row],[Ganancia (UB)]]*$B$358,0)</f>
        <v>12.219479999999994</v>
      </c>
      <c r="K705" s="11">
        <f>IFERROR(PagosV2[[#This Row],[Ganancia (UB)]]*$B$359,0)</f>
        <v>6.1097399999999968</v>
      </c>
      <c r="L705" s="11">
        <f>IFERROR(PagosV2[[#This Row],[Ganancia (UB)]]*$B$360,0)</f>
        <v>6.1097399999999968</v>
      </c>
      <c r="M705" s="11">
        <f>IFERROR(PagosV2[[#This Row],[Ganancia (UB)]]-PagosV2[[#This Row],[PM]]-PagosV2[[#This Row],[GC]]-PagosV2[[#This Row],[PC]]-PagosV2[[#This Row],[U]],0)</f>
        <v>173.10929999999993</v>
      </c>
      <c r="N705" s="11">
        <f t="shared" si="21"/>
        <v>77.899184999999974</v>
      </c>
      <c r="O705" s="11">
        <f>IFERROR(PagosV2[[#This Row],[Ganancia (UV)]]*PagosV2[[#This Row],[Cantidad vendida]],0)</f>
        <v>77.899184999999974</v>
      </c>
      <c r="P705" s="1">
        <f>IFERROR(PagosV2[[#This Row],[Ganancia (N)]]-PagosV2[[#This Row],[Ganancia (UV)]],0)</f>
        <v>95.210114999999959</v>
      </c>
      <c r="Q705" s="1">
        <f>IFERROR(PagosV2[[#This Row],[Ganancia individual (Tienda)]]*PagosV2[[#This Row],[Cantidad vendida]],0)</f>
        <v>95.210114999999959</v>
      </c>
      <c r="R705" s="1">
        <f>IFERROR((PagosV2[[#This Row],[Precio de venta]]-PagosV2[[#This Row],[Ganancia (UB)]])*PagosV2[[#This Row],[Cantidad vendida]],0)</f>
        <v>1596.3420000000001</v>
      </c>
      <c r="S705" s="21" t="s">
        <v>312</v>
      </c>
      <c r="T705" s="21"/>
    </row>
    <row r="706" spans="1:20" ht="16.5" x14ac:dyDescent="0.3">
      <c r="A706" s="9" t="s">
        <v>313</v>
      </c>
      <c r="B706" s="75">
        <v>46178</v>
      </c>
      <c r="C706" s="9" t="s">
        <v>115</v>
      </c>
      <c r="D706" s="9" t="str">
        <f>IFERROR(VLOOKUP(PagosV2[[#This Row],[Codigo del producto]],Entradas[],3,FALSE),"No existe")</f>
        <v>Cargadores USB para moto</v>
      </c>
      <c r="E706" s="9">
        <v>1</v>
      </c>
      <c r="F706" s="11">
        <v>600</v>
      </c>
      <c r="G706" s="11">
        <f>IFERROR(PagosV2[[#This Row],[Cantidad vendida]]*PagosV2[[#This Row],[Precio de venta]],"-")</f>
        <v>600</v>
      </c>
      <c r="H706" s="11">
        <f>IFERROR(PagosV2[[#This Row],[Precio de venta]]-VLOOKUP(PagosV2[[#This Row],[Codigo del producto]],Stock[],13,FALSE),"-")</f>
        <v>281.61599999999999</v>
      </c>
      <c r="I706" s="11">
        <f>IFERROR(PagosV2[[#This Row],[Ganancia (UB)]]*$B$357,0)</f>
        <v>8.44848</v>
      </c>
      <c r="J706" s="11">
        <f>IFERROR(PagosV2[[#This Row],[Ganancia (UB)]]*$B$358,0)</f>
        <v>16.89696</v>
      </c>
      <c r="K706" s="11">
        <f>IFERROR(PagosV2[[#This Row],[Ganancia (UB)]]*$B$359,0)</f>
        <v>8.44848</v>
      </c>
      <c r="L706" s="11">
        <f>IFERROR(PagosV2[[#This Row],[Ganancia (UB)]]*$B$360,0)</f>
        <v>8.44848</v>
      </c>
      <c r="M706" s="11">
        <f>IFERROR(PagosV2[[#This Row],[Ganancia (UB)]]-PagosV2[[#This Row],[PM]]-PagosV2[[#This Row],[GC]]-PagosV2[[#This Row],[PC]]-PagosV2[[#This Row],[U]],0)</f>
        <v>239.37360000000001</v>
      </c>
      <c r="N706" s="11">
        <f t="shared" si="21"/>
        <v>107.71812000000001</v>
      </c>
      <c r="O706" s="11">
        <f>IFERROR(PagosV2[[#This Row],[Ganancia (UV)]]*PagosV2[[#This Row],[Cantidad vendida]],0)</f>
        <v>107.71812000000001</v>
      </c>
      <c r="P706" s="1">
        <f>IFERROR(PagosV2[[#This Row],[Ganancia (N)]]-PagosV2[[#This Row],[Ganancia (UV)]],0)</f>
        <v>131.65548000000001</v>
      </c>
      <c r="Q706" s="1">
        <f>IFERROR(PagosV2[[#This Row],[Ganancia individual (Tienda)]]*PagosV2[[#This Row],[Cantidad vendida]],0)</f>
        <v>131.65548000000001</v>
      </c>
      <c r="R706" s="1">
        <f>IFERROR((PagosV2[[#This Row],[Precio de venta]]-PagosV2[[#This Row],[Ganancia (UB)]])*PagosV2[[#This Row],[Cantidad vendida]],0)</f>
        <v>318.38400000000001</v>
      </c>
      <c r="S706" s="21" t="s">
        <v>312</v>
      </c>
      <c r="T706" s="21"/>
    </row>
    <row r="707" spans="1:20" ht="16.5" x14ac:dyDescent="0.3">
      <c r="A707" s="9" t="s">
        <v>311</v>
      </c>
      <c r="B707" s="75">
        <v>46178</v>
      </c>
      <c r="C707" s="9" t="s">
        <v>132</v>
      </c>
      <c r="D707" s="9" t="str">
        <f>IFERROR(VLOOKUP(PagosV2[[#This Row],[Codigo del producto]],Entradas[],3,FALSE),"No existe")</f>
        <v>Cargadores USB para moto (Sin pantalla)</v>
      </c>
      <c r="E707" s="9">
        <v>1</v>
      </c>
      <c r="F707" s="11">
        <v>500</v>
      </c>
      <c r="G707" s="11">
        <f>IFERROR(PagosV2[[#This Row],[Cantidad vendida]]*PagosV2[[#This Row],[Precio de venta]],"-")</f>
        <v>500</v>
      </c>
      <c r="H707" s="11">
        <f>IFERROR(PagosV2[[#This Row],[Precio de venta]]-VLOOKUP(PagosV2[[#This Row],[Codigo del producto]],Stock[],13,FALSE),"-")</f>
        <v>254.94749999999999</v>
      </c>
      <c r="I707" s="11">
        <f>IFERROR(PagosV2[[#This Row],[Ganancia (UB)]]*$B$357,0)</f>
        <v>7.6484249999999996</v>
      </c>
      <c r="J707" s="11">
        <f>IFERROR(PagosV2[[#This Row],[Ganancia (UB)]]*$B$358,0)</f>
        <v>15.296849999999999</v>
      </c>
      <c r="K707" s="11">
        <f>IFERROR(PagosV2[[#This Row],[Ganancia (UB)]]*$B$359,0)</f>
        <v>7.6484249999999996</v>
      </c>
      <c r="L707" s="11">
        <f>IFERROR(PagosV2[[#This Row],[Ganancia (UB)]]*$B$360,0)</f>
        <v>7.6484249999999996</v>
      </c>
      <c r="M707" s="11">
        <f>IFERROR(PagosV2[[#This Row],[Ganancia (UB)]]-PagosV2[[#This Row],[PM]]-PagosV2[[#This Row],[GC]]-PagosV2[[#This Row],[PC]]-PagosV2[[#This Row],[U]],0)</f>
        <v>216.70537499999998</v>
      </c>
      <c r="N707" s="11">
        <f t="shared" si="21"/>
        <v>97.51741874999999</v>
      </c>
      <c r="O707" s="11">
        <f>IFERROR(PagosV2[[#This Row],[Ganancia (UV)]]*PagosV2[[#This Row],[Cantidad vendida]],0)</f>
        <v>97.51741874999999</v>
      </c>
      <c r="P707" s="1">
        <f>IFERROR(PagosV2[[#This Row],[Ganancia (N)]]-PagosV2[[#This Row],[Ganancia (UV)]],0)</f>
        <v>119.18795624999998</v>
      </c>
      <c r="Q707" s="1">
        <f>IFERROR(PagosV2[[#This Row],[Ganancia individual (Tienda)]]*PagosV2[[#This Row],[Cantidad vendida]],0)</f>
        <v>119.18795624999998</v>
      </c>
      <c r="R707" s="1">
        <f>IFERROR((PagosV2[[#This Row],[Precio de venta]]-PagosV2[[#This Row],[Ganancia (UB)]])*PagosV2[[#This Row],[Cantidad vendida]],0)</f>
        <v>245.05250000000001</v>
      </c>
      <c r="S707" s="21" t="s">
        <v>312</v>
      </c>
      <c r="T707" s="21"/>
    </row>
    <row r="708" spans="1:20" ht="16.5" x14ac:dyDescent="0.3">
      <c r="A708" s="9" t="s">
        <v>315</v>
      </c>
      <c r="B708" s="75">
        <v>46179</v>
      </c>
      <c r="C708" s="9" t="s">
        <v>178</v>
      </c>
      <c r="D708" s="9" t="str">
        <f>IFERROR(VLOOKUP(PagosV2[[#This Row],[Codigo del producto]],Entradas[],3,FALSE),"No existe")</f>
        <v>KZ DQS</v>
      </c>
      <c r="E708" s="9">
        <v>1</v>
      </c>
      <c r="F708" s="11">
        <v>700</v>
      </c>
      <c r="G708" s="11">
        <f>IFERROR(PagosV2[[#This Row],[Cantidad vendida]]*PagosV2[[#This Row],[Precio de venta]],"-")</f>
        <v>700</v>
      </c>
      <c r="H708" s="11">
        <f>IFERROR(PagosV2[[#This Row],[Precio de venta]]-VLOOKUP(PagosV2[[#This Row],[Codigo del producto]],Stock[],13,FALSE),"-")</f>
        <v>195.15500000000003</v>
      </c>
      <c r="I708" s="11">
        <f>IFERROR(PagosV2[[#This Row],[Ganancia (UB)]]*$B$357,0)</f>
        <v>5.8546500000000004</v>
      </c>
      <c r="J708" s="11">
        <f>IFERROR(PagosV2[[#This Row],[Ganancia (UB)]]*$B$358,0)</f>
        <v>11.709300000000001</v>
      </c>
      <c r="K708" s="11">
        <f>IFERROR(PagosV2[[#This Row],[Ganancia (UB)]]*$B$359,0)</f>
        <v>5.8546500000000004</v>
      </c>
      <c r="L708" s="11">
        <f>IFERROR(PagosV2[[#This Row],[Ganancia (UB)]]*$B$360,0)</f>
        <v>5.8546500000000004</v>
      </c>
      <c r="M708" s="11">
        <f>IFERROR(PagosV2[[#This Row],[Ganancia (UB)]]-PagosV2[[#This Row],[PM]]-PagosV2[[#This Row],[GC]]-PagosV2[[#This Row],[PC]]-PagosV2[[#This Row],[U]],0)</f>
        <v>165.88175000000004</v>
      </c>
      <c r="N708" s="11">
        <f t="shared" ref="N708:N714" si="22">IFERROR(
  IF(M708&lt;=0,"-",
    IF(M708&lt;=300, M708*0.45,
      IF(M708&lt;=600, M708*0.4,
        IF(M708&lt;=900, M708*0.38,
          IF(M708&lt;=1000, M708*0.35,
            IF(M708&lt;=1400, M708*0.32,
              IF(M708&lt;=1800, HM708*0.3,
                IF(M708&gt;=2000, M708*0.28,
                  "-"
                )
              )
            )
          )
        )
      )
    )
  ),
  "-"
)</f>
        <v>74.646787500000016</v>
      </c>
      <c r="O708" s="11">
        <f>IFERROR(PagosV2[[#This Row],[Ganancia (UV)]]*PagosV2[[#This Row],[Cantidad vendida]],0)</f>
        <v>74.646787500000016</v>
      </c>
      <c r="P708" s="1">
        <f>IFERROR(PagosV2[[#This Row],[Ganancia (N)]]-PagosV2[[#This Row],[Ganancia (UV)]],0)</f>
        <v>91.234962500000023</v>
      </c>
      <c r="Q708" s="1">
        <f>IFERROR(PagosV2[[#This Row],[Ganancia individual (Tienda)]]*PagosV2[[#This Row],[Cantidad vendida]],0)</f>
        <v>91.234962500000023</v>
      </c>
      <c r="R708" s="1">
        <f>IFERROR((PagosV2[[#This Row],[Precio de venta]]-PagosV2[[#This Row],[Ganancia (UB)]])*PagosV2[[#This Row],[Cantidad vendida]],0)</f>
        <v>504.84499999999997</v>
      </c>
      <c r="S708" s="21" t="s">
        <v>312</v>
      </c>
      <c r="T708" s="21"/>
    </row>
    <row r="709" spans="1:20" ht="16.5" x14ac:dyDescent="0.3">
      <c r="A709" s="9" t="s">
        <v>313</v>
      </c>
      <c r="B709" s="75">
        <v>46179</v>
      </c>
      <c r="C709" s="9" t="s">
        <v>178</v>
      </c>
      <c r="D709" s="9" t="str">
        <f>IFERROR(VLOOKUP(PagosV2[[#This Row],[Codigo del producto]],Entradas[],3,FALSE),"No existe")</f>
        <v>KZ DQS</v>
      </c>
      <c r="E709" s="9">
        <v>1</v>
      </c>
      <c r="F709" s="11">
        <v>700</v>
      </c>
      <c r="G709" s="11">
        <f>IFERROR(PagosV2[[#This Row],[Cantidad vendida]]*PagosV2[[#This Row],[Precio de venta]],"-")</f>
        <v>700</v>
      </c>
      <c r="H709" s="11">
        <f>IFERROR(PagosV2[[#This Row],[Precio de venta]]-VLOOKUP(PagosV2[[#This Row],[Codigo del producto]],Stock[],13,FALSE),"-")</f>
        <v>195.15500000000003</v>
      </c>
      <c r="I709" s="11">
        <f>IFERROR(PagosV2[[#This Row],[Ganancia (UB)]]*$B$357,0)</f>
        <v>5.8546500000000004</v>
      </c>
      <c r="J709" s="11">
        <f>IFERROR(PagosV2[[#This Row],[Ganancia (UB)]]*$B$358,0)</f>
        <v>11.709300000000001</v>
      </c>
      <c r="K709" s="11">
        <f>IFERROR(PagosV2[[#This Row],[Ganancia (UB)]]*$B$359,0)</f>
        <v>5.8546500000000004</v>
      </c>
      <c r="L709" s="11">
        <f>IFERROR(PagosV2[[#This Row],[Ganancia (UB)]]*$B$360,0)</f>
        <v>5.8546500000000004</v>
      </c>
      <c r="M709" s="11">
        <f>IFERROR(PagosV2[[#This Row],[Ganancia (UB)]]-PagosV2[[#This Row],[PM]]-PagosV2[[#This Row],[GC]]-PagosV2[[#This Row],[PC]]-PagosV2[[#This Row],[U]],0)</f>
        <v>165.88175000000004</v>
      </c>
      <c r="N709" s="11">
        <f t="shared" si="22"/>
        <v>74.646787500000016</v>
      </c>
      <c r="O709" s="11">
        <f>IFERROR(PagosV2[[#This Row],[Ganancia (UV)]]*PagosV2[[#This Row],[Cantidad vendida]],0)</f>
        <v>74.646787500000016</v>
      </c>
      <c r="P709" s="1">
        <f>IFERROR(PagosV2[[#This Row],[Ganancia (N)]]-PagosV2[[#This Row],[Ganancia (UV)]],0)</f>
        <v>91.234962500000023</v>
      </c>
      <c r="Q709" s="1">
        <f>IFERROR(PagosV2[[#This Row],[Ganancia individual (Tienda)]]*PagosV2[[#This Row],[Cantidad vendida]],0)</f>
        <v>91.234962500000023</v>
      </c>
      <c r="R709" s="1">
        <f>IFERROR((PagosV2[[#This Row],[Precio de venta]]-PagosV2[[#This Row],[Ganancia (UB)]])*PagosV2[[#This Row],[Cantidad vendida]],0)</f>
        <v>504.84499999999997</v>
      </c>
      <c r="S709" s="21" t="s">
        <v>312</v>
      </c>
      <c r="T709" s="21"/>
    </row>
    <row r="710" spans="1:20" ht="16.5" x14ac:dyDescent="0.3">
      <c r="A710" s="9" t="s">
        <v>313</v>
      </c>
      <c r="B710" s="75">
        <v>46179</v>
      </c>
      <c r="C710" s="9" t="s">
        <v>89</v>
      </c>
      <c r="D710" s="9" t="str">
        <f>IFERROR(VLOOKUP(PagosV2[[#This Row],[Codigo del producto]],Entradas[],3,FALSE),"No existe")</f>
        <v xml:space="preserve">Adaptador DAC </v>
      </c>
      <c r="E710" s="9">
        <v>1</v>
      </c>
      <c r="F710" s="11">
        <v>300</v>
      </c>
      <c r="G710" s="11">
        <f>IFERROR(PagosV2[[#This Row],[Cantidad vendida]]*PagosV2[[#This Row],[Precio de venta]],"-")</f>
        <v>300</v>
      </c>
      <c r="H710" s="11">
        <f>IFERROR(PagosV2[[#This Row],[Precio de venta]]-VLOOKUP(PagosV2[[#This Row],[Codigo del producto]],Stock[],13,FALSE),"-")</f>
        <v>130.85849999999999</v>
      </c>
      <c r="I710" s="11">
        <f>IFERROR(PagosV2[[#This Row],[Ganancia (UB)]]*$B$357,0)</f>
        <v>3.9257549999999997</v>
      </c>
      <c r="J710" s="11">
        <f>IFERROR(PagosV2[[#This Row],[Ganancia (UB)]]*$B$358,0)</f>
        <v>7.8515099999999993</v>
      </c>
      <c r="K710" s="11">
        <f>IFERROR(PagosV2[[#This Row],[Ganancia (UB)]]*$B$359,0)</f>
        <v>3.9257549999999997</v>
      </c>
      <c r="L710" s="11">
        <f>IFERROR(PagosV2[[#This Row],[Ganancia (UB)]]*$B$360,0)</f>
        <v>3.9257549999999997</v>
      </c>
      <c r="M710" s="11">
        <f>IFERROR(PagosV2[[#This Row],[Ganancia (UB)]]-PagosV2[[#This Row],[PM]]-PagosV2[[#This Row],[GC]]-PagosV2[[#This Row],[PC]]-PagosV2[[#This Row],[U]],0)</f>
        <v>111.229725</v>
      </c>
      <c r="N710" s="11">
        <f t="shared" si="22"/>
        <v>50.053376249999999</v>
      </c>
      <c r="O710" s="11">
        <f>IFERROR(PagosV2[[#This Row],[Ganancia (UV)]]*PagosV2[[#This Row],[Cantidad vendida]],0)</f>
        <v>50.053376249999999</v>
      </c>
      <c r="P710" s="1">
        <f>IFERROR(PagosV2[[#This Row],[Ganancia (N)]]-PagosV2[[#This Row],[Ganancia (UV)]],0)</f>
        <v>61.176348750000002</v>
      </c>
      <c r="Q710" s="1">
        <f>IFERROR(PagosV2[[#This Row],[Ganancia individual (Tienda)]]*PagosV2[[#This Row],[Cantidad vendida]],0)</f>
        <v>61.176348750000002</v>
      </c>
      <c r="R710" s="1">
        <f>IFERROR((PagosV2[[#This Row],[Precio de venta]]-PagosV2[[#This Row],[Ganancia (UB)]])*PagosV2[[#This Row],[Cantidad vendida]],0)</f>
        <v>169.14150000000001</v>
      </c>
      <c r="S710" s="21" t="s">
        <v>312</v>
      </c>
      <c r="T710" s="21"/>
    </row>
    <row r="711" spans="1:20" ht="16.5" x14ac:dyDescent="0.3">
      <c r="A711" s="9" t="s">
        <v>313</v>
      </c>
      <c r="B711" s="75">
        <v>46181</v>
      </c>
      <c r="C711" s="2" t="s">
        <v>176</v>
      </c>
      <c r="D711" s="9" t="str">
        <f>IFERROR(VLOOKUP(PagosV2[[#This Row],[Codigo del producto]],Entradas[],3,FALSE),"No existe")</f>
        <v>KZ Saga Bass</v>
      </c>
      <c r="E711" s="9">
        <v>2</v>
      </c>
      <c r="F711" s="11">
        <v>600</v>
      </c>
      <c r="G711" s="11">
        <f>IFERROR(PagosV2[[#This Row],[Cantidad vendida]]*PagosV2[[#This Row],[Precio de venta]],"-")</f>
        <v>1200</v>
      </c>
      <c r="H711" s="11">
        <f>IFERROR(PagosV2[[#This Row],[Precio de venta]]-VLOOKUP(PagosV2[[#This Row],[Codigo del producto]],Stock[],13,FALSE),"-")</f>
        <v>238.13299999999998</v>
      </c>
      <c r="I711" s="11">
        <f>IFERROR(PagosV2[[#This Row],[Ganancia (UB)]]*$B$357,0)</f>
        <v>7.1439899999999996</v>
      </c>
      <c r="J711" s="11">
        <f>IFERROR(PagosV2[[#This Row],[Ganancia (UB)]]*$B$358,0)</f>
        <v>14.287979999999999</v>
      </c>
      <c r="K711" s="11">
        <f>IFERROR(PagosV2[[#This Row],[Ganancia (UB)]]*$B$359,0)</f>
        <v>7.1439899999999996</v>
      </c>
      <c r="L711" s="11">
        <f>IFERROR(PagosV2[[#This Row],[Ganancia (UB)]]*$B$360,0)</f>
        <v>7.1439899999999996</v>
      </c>
      <c r="M711" s="11">
        <f>IFERROR(PagosV2[[#This Row],[Ganancia (UB)]]-PagosV2[[#This Row],[PM]]-PagosV2[[#This Row],[GC]]-PagosV2[[#This Row],[PC]]-PagosV2[[#This Row],[U]],0)</f>
        <v>202.41304999999997</v>
      </c>
      <c r="N711" s="11">
        <f t="shared" si="22"/>
        <v>91.085872499999994</v>
      </c>
      <c r="O711" s="11">
        <f>IFERROR(PagosV2[[#This Row],[Ganancia (UV)]]*PagosV2[[#This Row],[Cantidad vendida]],0)</f>
        <v>182.17174499999999</v>
      </c>
      <c r="P711" s="1">
        <f>IFERROR(PagosV2[[#This Row],[Ganancia (N)]]-PagosV2[[#This Row],[Ganancia (UV)]],0)</f>
        <v>111.32717749999998</v>
      </c>
      <c r="Q711" s="1">
        <f>IFERROR(PagosV2[[#This Row],[Ganancia individual (Tienda)]]*PagosV2[[#This Row],[Cantidad vendida]],0)</f>
        <v>222.65435499999995</v>
      </c>
      <c r="R711" s="1">
        <f>IFERROR((PagosV2[[#This Row],[Precio de venta]]-PagosV2[[#This Row],[Ganancia (UB)]])*PagosV2[[#This Row],[Cantidad vendida]],0)</f>
        <v>723.73400000000004</v>
      </c>
      <c r="S711" s="21" t="s">
        <v>312</v>
      </c>
      <c r="T711" s="21"/>
    </row>
    <row r="712" spans="1:20" ht="16.5" x14ac:dyDescent="0.3">
      <c r="A712" s="2" t="s">
        <v>313</v>
      </c>
      <c r="B712" s="89">
        <v>46181</v>
      </c>
      <c r="C712" s="2" t="s">
        <v>89</v>
      </c>
      <c r="D712" s="2" t="str">
        <f>IFERROR(VLOOKUP(PagosV2[[#This Row],[Codigo del producto]],Entradas[],3,FALSE),"No existe")</f>
        <v xml:space="preserve">Adaptador DAC </v>
      </c>
      <c r="E712" s="2">
        <v>1</v>
      </c>
      <c r="F712" s="90">
        <v>350</v>
      </c>
      <c r="G712" s="90">
        <f>IFERROR(PagosV2[[#This Row],[Cantidad vendida]]*PagosV2[[#This Row],[Precio de venta]],"-")</f>
        <v>350</v>
      </c>
      <c r="H712" s="90">
        <f>IFERROR(PagosV2[[#This Row],[Precio de venta]]-VLOOKUP(PagosV2[[#This Row],[Codigo del producto]],Stock[],13,FALSE),"-")</f>
        <v>180.85849999999999</v>
      </c>
      <c r="I712" s="90">
        <f>IFERROR(PagosV2[[#This Row],[Ganancia (UB)]]*$B$357,0)</f>
        <v>5.4257549999999997</v>
      </c>
      <c r="J712" s="90">
        <f>IFERROR(PagosV2[[#This Row],[Ganancia (UB)]]*$B$358,0)</f>
        <v>10.851509999999999</v>
      </c>
      <c r="K712" s="90">
        <f>IFERROR(PagosV2[[#This Row],[Ganancia (UB)]]*$B$359,0)</f>
        <v>5.4257549999999997</v>
      </c>
      <c r="L712" s="90">
        <f>IFERROR(PagosV2[[#This Row],[Ganancia (UB)]]*$B$360,0)</f>
        <v>5.4257549999999997</v>
      </c>
      <c r="M712" s="90">
        <f>IFERROR(PagosV2[[#This Row],[Ganancia (UB)]]-PagosV2[[#This Row],[PM]]-PagosV2[[#This Row],[GC]]-PagosV2[[#This Row],[PC]]-PagosV2[[#This Row],[U]],0)</f>
        <v>153.72972499999997</v>
      </c>
      <c r="N712" s="90">
        <f t="shared" si="22"/>
        <v>69.178376249999985</v>
      </c>
      <c r="O712" s="90">
        <f>IFERROR(PagosV2[[#This Row],[Ganancia (UV)]]*PagosV2[[#This Row],[Cantidad vendida]],0)</f>
        <v>69.178376249999985</v>
      </c>
      <c r="P712" s="1">
        <f>IFERROR(PagosV2[[#This Row],[Ganancia (N)]]-PagosV2[[#This Row],[Ganancia (UV)]],0)</f>
        <v>84.551348749999988</v>
      </c>
      <c r="Q712" s="1">
        <f>IFERROR(PagosV2[[#This Row],[Ganancia individual (Tienda)]]*PagosV2[[#This Row],[Cantidad vendida]],0)</f>
        <v>84.551348749999988</v>
      </c>
      <c r="R712" s="1">
        <f>IFERROR((PagosV2[[#This Row],[Precio de venta]]-PagosV2[[#This Row],[Ganancia (UB)]])*PagosV2[[#This Row],[Cantidad vendida]],0)</f>
        <v>169.14150000000001</v>
      </c>
      <c r="S712" s="21" t="s">
        <v>312</v>
      </c>
      <c r="T712" s="21"/>
    </row>
    <row r="713" spans="1:20" ht="16.5" x14ac:dyDescent="0.3">
      <c r="A713" s="2" t="s">
        <v>327</v>
      </c>
      <c r="B713" s="89">
        <v>46181</v>
      </c>
      <c r="C713" s="2" t="s">
        <v>89</v>
      </c>
      <c r="D713" s="2" t="str">
        <f>IFERROR(VLOOKUP(PagosV2[[#This Row],[Codigo del producto]],Entradas[],3,FALSE),"No existe")</f>
        <v xml:space="preserve">Adaptador DAC </v>
      </c>
      <c r="E713" s="2">
        <v>1</v>
      </c>
      <c r="F713" s="90">
        <v>350</v>
      </c>
      <c r="G713" s="90">
        <f>IFERROR(PagosV2[[#This Row],[Cantidad vendida]]*PagosV2[[#This Row],[Precio de venta]],"-")</f>
        <v>350</v>
      </c>
      <c r="H713" s="90">
        <f>IFERROR(PagosV2[[#This Row],[Precio de venta]]-VLOOKUP(PagosV2[[#This Row],[Codigo del producto]],Stock[],13,FALSE),"-")</f>
        <v>180.85849999999999</v>
      </c>
      <c r="I713" s="90">
        <f>IFERROR(PagosV2[[#This Row],[Ganancia (UB)]]*$B$357,0)</f>
        <v>5.4257549999999997</v>
      </c>
      <c r="J713" s="90">
        <f>IFERROR(PagosV2[[#This Row],[Ganancia (UB)]]*$B$358,0)</f>
        <v>10.851509999999999</v>
      </c>
      <c r="K713" s="90">
        <f>IFERROR(PagosV2[[#This Row],[Ganancia (UB)]]*$B$359,0)</f>
        <v>5.4257549999999997</v>
      </c>
      <c r="L713" s="90">
        <f>IFERROR(PagosV2[[#This Row],[Ganancia (UB)]]*$B$360,0)</f>
        <v>5.4257549999999997</v>
      </c>
      <c r="M713" s="90">
        <f>IFERROR(PagosV2[[#This Row],[Ganancia (UB)]]-PagosV2[[#This Row],[PM]]-PagosV2[[#This Row],[GC]]-PagosV2[[#This Row],[PC]]-PagosV2[[#This Row],[U]],0)</f>
        <v>153.72972499999997</v>
      </c>
      <c r="N713" s="90">
        <f t="shared" si="22"/>
        <v>69.178376249999985</v>
      </c>
      <c r="O713" s="90">
        <f>IFERROR(PagosV2[[#This Row],[Ganancia (UV)]]*PagosV2[[#This Row],[Cantidad vendida]],0)</f>
        <v>69.178376249999985</v>
      </c>
      <c r="P713" s="1">
        <f>IFERROR(PagosV2[[#This Row],[Ganancia (N)]]-PagosV2[[#This Row],[Ganancia (UV)]],0)</f>
        <v>84.551348749999988</v>
      </c>
      <c r="Q713" s="1">
        <f>IFERROR(PagosV2[[#This Row],[Ganancia individual (Tienda)]]*PagosV2[[#This Row],[Cantidad vendida]],0)</f>
        <v>84.551348749999988</v>
      </c>
      <c r="R713" s="1">
        <f>IFERROR((PagosV2[[#This Row],[Precio de venta]]-PagosV2[[#This Row],[Ganancia (UB)]])*PagosV2[[#This Row],[Cantidad vendida]],0)</f>
        <v>169.14150000000001</v>
      </c>
      <c r="S713" s="21" t="s">
        <v>312</v>
      </c>
      <c r="T713" s="21"/>
    </row>
    <row r="714" spans="1:20" ht="16.5" x14ac:dyDescent="0.3">
      <c r="A714" s="2" t="s">
        <v>327</v>
      </c>
      <c r="B714" s="89">
        <v>46181</v>
      </c>
      <c r="C714" s="2" t="s">
        <v>115</v>
      </c>
      <c r="D714" s="2" t="str">
        <f>IFERROR(VLOOKUP(PagosV2[[#This Row],[Codigo del producto]],Entradas[],3,FALSE),"No existe")</f>
        <v>Cargadores USB para moto</v>
      </c>
      <c r="E714" s="2">
        <v>1</v>
      </c>
      <c r="F714" s="90">
        <v>600</v>
      </c>
      <c r="G714" s="90">
        <f>IFERROR(PagosV2[[#This Row],[Cantidad vendida]]*PagosV2[[#This Row],[Precio de venta]],"-")</f>
        <v>600</v>
      </c>
      <c r="H714" s="90">
        <f>IFERROR(PagosV2[[#This Row],[Precio de venta]]-VLOOKUP(PagosV2[[#This Row],[Codigo del producto]],Stock[],13,FALSE),"-")</f>
        <v>281.61599999999999</v>
      </c>
      <c r="I714" s="90">
        <f>IFERROR(PagosV2[[#This Row],[Ganancia (UB)]]*$B$357,0)</f>
        <v>8.44848</v>
      </c>
      <c r="J714" s="90">
        <f>IFERROR(PagosV2[[#This Row],[Ganancia (UB)]]*$B$358,0)</f>
        <v>16.89696</v>
      </c>
      <c r="K714" s="90">
        <f>IFERROR(PagosV2[[#This Row],[Ganancia (UB)]]*$B$359,0)</f>
        <v>8.44848</v>
      </c>
      <c r="L714" s="90">
        <f>IFERROR(PagosV2[[#This Row],[Ganancia (UB)]]*$B$360,0)</f>
        <v>8.44848</v>
      </c>
      <c r="M714" s="90">
        <f>IFERROR(PagosV2[[#This Row],[Ganancia (UB)]]-PagosV2[[#This Row],[PM]]-PagosV2[[#This Row],[GC]]-PagosV2[[#This Row],[PC]]-PagosV2[[#This Row],[U]],0)</f>
        <v>239.37360000000001</v>
      </c>
      <c r="N714" s="90">
        <f t="shared" si="22"/>
        <v>107.71812000000001</v>
      </c>
      <c r="O714" s="90">
        <f>IFERROR(PagosV2[[#This Row],[Ganancia (UV)]]*PagosV2[[#This Row],[Cantidad vendida]],0)</f>
        <v>107.71812000000001</v>
      </c>
      <c r="P714" s="1">
        <f>IFERROR(PagosV2[[#This Row],[Ganancia (N)]]-PagosV2[[#This Row],[Ganancia (UV)]],0)</f>
        <v>131.65548000000001</v>
      </c>
      <c r="Q714" s="1">
        <f>IFERROR(PagosV2[[#This Row],[Ganancia individual (Tienda)]]*PagosV2[[#This Row],[Cantidad vendida]],0)</f>
        <v>131.65548000000001</v>
      </c>
      <c r="R714" s="1">
        <f>IFERROR((PagosV2[[#This Row],[Precio de venta]]-PagosV2[[#This Row],[Ganancia (UB)]])*PagosV2[[#This Row],[Cantidad vendida]],0)</f>
        <v>318.38400000000001</v>
      </c>
      <c r="S714" s="21" t="s">
        <v>312</v>
      </c>
      <c r="T714" s="21"/>
    </row>
    <row r="715" spans="1:20" ht="16.5" x14ac:dyDescent="0.3">
      <c r="A715" s="9" t="s">
        <v>313</v>
      </c>
      <c r="B715" s="75">
        <v>46181</v>
      </c>
      <c r="C715" s="9" t="s">
        <v>41</v>
      </c>
      <c r="D715" s="9" t="str">
        <f>IFERROR(VLOOKUP(PagosV2[[#This Row],[Codigo del producto]],Entradas[],3,FALSE),"No existe")</f>
        <v>Halogenos para moto</v>
      </c>
      <c r="E715" s="9">
        <v>1</v>
      </c>
      <c r="F715" s="11">
        <v>300</v>
      </c>
      <c r="G715" s="11">
        <f>IFERROR(PagosV2[[#This Row],[Cantidad vendida]]*PagosV2[[#This Row],[Precio de venta]],"-")</f>
        <v>300</v>
      </c>
      <c r="H715" s="11">
        <f>IFERROR(PagosV2[[#This Row],[Precio de venta]]-VLOOKUP(PagosV2[[#This Row],[Codigo del producto]],Stock[],13,FALSE),"-")</f>
        <v>153.33699999999999</v>
      </c>
      <c r="I715" s="11">
        <f>IFERROR(PagosV2[[#This Row],[Ganancia (UB)]]*$B$357,0)</f>
        <v>4.6001099999999999</v>
      </c>
      <c r="J715" s="11">
        <f>IFERROR(PagosV2[[#This Row],[Ganancia (UB)]]*$B$358,0)</f>
        <v>9.2002199999999998</v>
      </c>
      <c r="K715" s="11">
        <f>IFERROR(PagosV2[[#This Row],[Ganancia (UB)]]*$B$359,0)</f>
        <v>4.6001099999999999</v>
      </c>
      <c r="L715" s="11">
        <f>IFERROR(PagosV2[[#This Row],[Ganancia (UB)]]*$B$360,0)</f>
        <v>4.6001099999999999</v>
      </c>
      <c r="M715" s="11">
        <f>IFERROR(PagosV2[[#This Row],[Ganancia (UB)]]-PagosV2[[#This Row],[PM]]-PagosV2[[#This Row],[GC]]-PagosV2[[#This Row],[PC]]-PagosV2[[#This Row],[U]],0)</f>
        <v>130.33644999999999</v>
      </c>
      <c r="N715" s="11">
        <f t="shared" ref="N715:N724" si="23">IFERROR(
  IF(M715&lt;=0,"-",
    IF(M715&lt;=300, M715*0.45,
      IF(M715&lt;=600, M715*0.4,
        IF(M715&lt;=900, M715*0.38,
          IF(M715&lt;=1000, M715*0.35,
            IF(M715&lt;=1400, M715*0.32,
              IF(M715&lt;=1800, HM715*0.3,
                IF(M715&gt;=2000, M715*0.28,
                  "-"
                )
              )
            )
          )
        )
      )
    )
  ),
  "-"
)</f>
        <v>58.651402499999996</v>
      </c>
      <c r="O715" s="11">
        <f>IFERROR(PagosV2[[#This Row],[Ganancia (UV)]]*PagosV2[[#This Row],[Cantidad vendida]],0)</f>
        <v>58.651402499999996</v>
      </c>
      <c r="P715" s="1">
        <f>IFERROR(PagosV2[[#This Row],[Ganancia (N)]]-PagosV2[[#This Row],[Ganancia (UV)]],0)</f>
        <v>71.685047499999996</v>
      </c>
      <c r="Q715" s="1">
        <f>IFERROR(PagosV2[[#This Row],[Ganancia individual (Tienda)]]*PagosV2[[#This Row],[Cantidad vendida]],0)</f>
        <v>71.685047499999996</v>
      </c>
      <c r="R715" s="1">
        <f>IFERROR((PagosV2[[#This Row],[Precio de venta]]-PagosV2[[#This Row],[Ganancia (UB)]])*PagosV2[[#This Row],[Cantidad vendida]],0)</f>
        <v>146.66300000000001</v>
      </c>
      <c r="S715" s="21" t="s">
        <v>312</v>
      </c>
      <c r="T715" s="21"/>
    </row>
    <row r="716" spans="1:20" ht="16.5" x14ac:dyDescent="0.3">
      <c r="A716" s="9" t="s">
        <v>313</v>
      </c>
      <c r="B716" s="75">
        <v>46181</v>
      </c>
      <c r="C716" s="9" t="s">
        <v>154</v>
      </c>
      <c r="D716" s="9" t="str">
        <f>IFERROR(VLOOKUP(PagosV2[[#This Row],[Codigo del producto]],Entradas[],3,FALSE),"No existe")</f>
        <v xml:space="preserve">Attack Shark Mouse X11 negro </v>
      </c>
      <c r="E716" s="9">
        <v>1</v>
      </c>
      <c r="F716" s="11">
        <v>1200</v>
      </c>
      <c r="G716" s="11">
        <f>IFERROR(PagosV2[[#This Row],[Cantidad vendida]]*PagosV2[[#This Row],[Precio de venta]],"-")</f>
        <v>1200</v>
      </c>
      <c r="H716" s="11">
        <f>IFERROR(PagosV2[[#This Row],[Precio de venta]]-VLOOKUP(PagosV2[[#This Row],[Codigo del producto]],Stock[],13,FALSE),"-")</f>
        <v>277.64449999999988</v>
      </c>
      <c r="I716" s="11">
        <f>IFERROR(PagosV2[[#This Row],[Ganancia (UB)]]*$B$357,0)</f>
        <v>8.3293349999999968</v>
      </c>
      <c r="J716" s="11">
        <f>IFERROR(PagosV2[[#This Row],[Ganancia (UB)]]*$B$358,0)</f>
        <v>16.658669999999994</v>
      </c>
      <c r="K716" s="11">
        <f>IFERROR(PagosV2[[#This Row],[Ganancia (UB)]]*$B$359,0)</f>
        <v>8.3293349999999968</v>
      </c>
      <c r="L716" s="11">
        <f>IFERROR(PagosV2[[#This Row],[Ganancia (UB)]]*$B$360,0)</f>
        <v>8.3293349999999968</v>
      </c>
      <c r="M716" s="11">
        <f>IFERROR(PagosV2[[#This Row],[Ganancia (UB)]]-PagosV2[[#This Row],[PM]]-PagosV2[[#This Row],[GC]]-PagosV2[[#This Row],[PC]]-PagosV2[[#This Row],[U]],0)</f>
        <v>235.99782499999989</v>
      </c>
      <c r="N716" s="11">
        <f t="shared" si="23"/>
        <v>106.19902124999996</v>
      </c>
      <c r="O716" s="11">
        <f>IFERROR(PagosV2[[#This Row],[Ganancia (UV)]]*PagosV2[[#This Row],[Cantidad vendida]],0)</f>
        <v>106.19902124999996</v>
      </c>
      <c r="P716" s="1">
        <f>IFERROR(PagosV2[[#This Row],[Ganancia (N)]]-PagosV2[[#This Row],[Ganancia (UV)]],0)</f>
        <v>129.79880374999993</v>
      </c>
      <c r="Q716" s="1">
        <f>IFERROR(PagosV2[[#This Row],[Ganancia individual (Tienda)]]*PagosV2[[#This Row],[Cantidad vendida]],0)</f>
        <v>129.79880374999993</v>
      </c>
      <c r="R716" s="1">
        <f>IFERROR((PagosV2[[#This Row],[Precio de venta]]-PagosV2[[#This Row],[Ganancia (UB)]])*PagosV2[[#This Row],[Cantidad vendida]],0)</f>
        <v>922.35550000000012</v>
      </c>
      <c r="S716" s="21" t="s">
        <v>312</v>
      </c>
      <c r="T716" s="21"/>
    </row>
    <row r="717" spans="1:20" ht="16.5" x14ac:dyDescent="0.3">
      <c r="A717" s="9" t="s">
        <v>327</v>
      </c>
      <c r="B717" s="75">
        <v>46181</v>
      </c>
      <c r="C717" s="9" t="s">
        <v>115</v>
      </c>
      <c r="D717" s="9" t="str">
        <f>IFERROR(VLOOKUP(PagosV2[[#This Row],[Codigo del producto]],Entradas[],3,FALSE),"No existe")</f>
        <v>Cargadores USB para moto</v>
      </c>
      <c r="E717" s="9">
        <v>1</v>
      </c>
      <c r="F717" s="11">
        <v>600</v>
      </c>
      <c r="G717" s="11">
        <f>IFERROR(PagosV2[[#This Row],[Cantidad vendida]]*PagosV2[[#This Row],[Precio de venta]],"-")</f>
        <v>600</v>
      </c>
      <c r="H717" s="11">
        <f>IFERROR(PagosV2[[#This Row],[Precio de venta]]-VLOOKUP(PagosV2[[#This Row],[Codigo del producto]],Stock[],13,FALSE),"-")</f>
        <v>281.61599999999999</v>
      </c>
      <c r="I717" s="11">
        <f>IFERROR(PagosV2[[#This Row],[Ganancia (UB)]]*$B$357,0)</f>
        <v>8.44848</v>
      </c>
      <c r="J717" s="11">
        <f>IFERROR(PagosV2[[#This Row],[Ganancia (UB)]]*$B$358,0)</f>
        <v>16.89696</v>
      </c>
      <c r="K717" s="11">
        <f>IFERROR(PagosV2[[#This Row],[Ganancia (UB)]]*$B$359,0)</f>
        <v>8.44848</v>
      </c>
      <c r="L717" s="11">
        <f>IFERROR(PagosV2[[#This Row],[Ganancia (UB)]]*$B$360,0)</f>
        <v>8.44848</v>
      </c>
      <c r="M717" s="11">
        <f>IFERROR(PagosV2[[#This Row],[Ganancia (UB)]]-PagosV2[[#This Row],[PM]]-PagosV2[[#This Row],[GC]]-PagosV2[[#This Row],[PC]]-PagosV2[[#This Row],[U]],0)</f>
        <v>239.37360000000001</v>
      </c>
      <c r="N717" s="11">
        <f t="shared" si="23"/>
        <v>107.71812000000001</v>
      </c>
      <c r="O717" s="11">
        <f>IFERROR(PagosV2[[#This Row],[Ganancia (UV)]]*PagosV2[[#This Row],[Cantidad vendida]],0)</f>
        <v>107.71812000000001</v>
      </c>
      <c r="P717" s="1">
        <f>IFERROR(PagosV2[[#This Row],[Ganancia (N)]]-PagosV2[[#This Row],[Ganancia (UV)]],0)</f>
        <v>131.65548000000001</v>
      </c>
      <c r="Q717" s="1">
        <f>IFERROR(PagosV2[[#This Row],[Ganancia individual (Tienda)]]*PagosV2[[#This Row],[Cantidad vendida]],0)</f>
        <v>131.65548000000001</v>
      </c>
      <c r="R717" s="1">
        <f>IFERROR((PagosV2[[#This Row],[Precio de venta]]-PagosV2[[#This Row],[Ganancia (UB)]])*PagosV2[[#This Row],[Cantidad vendida]],0)</f>
        <v>318.38400000000001</v>
      </c>
      <c r="S717" s="21" t="s">
        <v>312</v>
      </c>
      <c r="T717" s="21"/>
    </row>
    <row r="718" spans="1:20" ht="16.5" x14ac:dyDescent="0.3">
      <c r="A718" s="9" t="s">
        <v>327</v>
      </c>
      <c r="B718" s="75">
        <v>46181</v>
      </c>
      <c r="C718" s="9" t="s">
        <v>170</v>
      </c>
      <c r="D718" s="9" t="str">
        <f>IFERROR(VLOOKUP(PagosV2[[#This Row],[Codigo del producto]],Entradas[],3,FALSE),"No existe")</f>
        <v>KZ AZ09</v>
      </c>
      <c r="E718" s="9">
        <v>1</v>
      </c>
      <c r="F718" s="11">
        <v>900</v>
      </c>
      <c r="G718" s="11">
        <f>IFERROR(PagosV2[[#This Row],[Cantidad vendida]]*PagosV2[[#This Row],[Precio de venta]],"-")</f>
        <v>900</v>
      </c>
      <c r="H718" s="11">
        <f>IFERROR(PagosV2[[#This Row],[Precio de venta]]-VLOOKUP(PagosV2[[#This Row],[Codigo del producto]],Stock[],13,FALSE),"-")</f>
        <v>336.93200000000002</v>
      </c>
      <c r="I718" s="11">
        <f>IFERROR(PagosV2[[#This Row],[Ganancia (UB)]]*$B$357,0)</f>
        <v>10.10796</v>
      </c>
      <c r="J718" s="11">
        <f>IFERROR(PagosV2[[#This Row],[Ganancia (UB)]]*$B$358,0)</f>
        <v>20.215920000000001</v>
      </c>
      <c r="K718" s="11">
        <f>IFERROR(PagosV2[[#This Row],[Ganancia (UB)]]*$B$359,0)</f>
        <v>10.10796</v>
      </c>
      <c r="L718" s="11">
        <f>IFERROR(PagosV2[[#This Row],[Ganancia (UB)]]*$B$360,0)</f>
        <v>10.10796</v>
      </c>
      <c r="M718" s="11">
        <f>IFERROR(PagosV2[[#This Row],[Ganancia (UB)]]-PagosV2[[#This Row],[PM]]-PagosV2[[#This Row],[GC]]-PagosV2[[#This Row],[PC]]-PagosV2[[#This Row],[U]],0)</f>
        <v>286.39220000000006</v>
      </c>
      <c r="N718" s="11">
        <f t="shared" si="23"/>
        <v>128.87649000000002</v>
      </c>
      <c r="O718" s="11">
        <f>IFERROR(PagosV2[[#This Row],[Ganancia (UV)]]*PagosV2[[#This Row],[Cantidad vendida]],0)</f>
        <v>128.87649000000002</v>
      </c>
      <c r="P718" s="1">
        <f>IFERROR(PagosV2[[#This Row],[Ganancia (N)]]-PagosV2[[#This Row],[Ganancia (UV)]],0)</f>
        <v>157.51571000000004</v>
      </c>
      <c r="Q718" s="1">
        <f>IFERROR(PagosV2[[#This Row],[Ganancia individual (Tienda)]]*PagosV2[[#This Row],[Cantidad vendida]],0)</f>
        <v>157.51571000000004</v>
      </c>
      <c r="R718" s="1">
        <f>IFERROR((PagosV2[[#This Row],[Precio de venta]]-PagosV2[[#This Row],[Ganancia (UB)]])*PagosV2[[#This Row],[Cantidad vendida]],0)</f>
        <v>563.06799999999998</v>
      </c>
      <c r="S718" s="21" t="s">
        <v>312</v>
      </c>
      <c r="T718" s="21"/>
    </row>
    <row r="719" spans="1:20" ht="16.5" x14ac:dyDescent="0.3">
      <c r="A719" s="9" t="s">
        <v>327</v>
      </c>
      <c r="B719" s="75">
        <v>46181</v>
      </c>
      <c r="C719" s="9" t="s">
        <v>161</v>
      </c>
      <c r="D719" s="9" t="str">
        <f>IFERROR(VLOOKUP(PagosV2[[#This Row],[Codigo del producto]],Entradas[],3,FALSE),"No existe")</f>
        <v xml:space="preserve">KZ EDC Pro </v>
      </c>
      <c r="E719" s="9">
        <v>1</v>
      </c>
      <c r="F719" s="11">
        <v>800</v>
      </c>
      <c r="G719" s="11">
        <f>IFERROR(PagosV2[[#This Row],[Cantidad vendida]]*PagosV2[[#This Row],[Precio de venta]],"-")</f>
        <v>800</v>
      </c>
      <c r="H719" s="11">
        <f>IFERROR(PagosV2[[#This Row],[Precio de venta]]-VLOOKUP(PagosV2[[#This Row],[Codigo del producto]],Stock[],13,FALSE),"-")</f>
        <v>191.97500000000002</v>
      </c>
      <c r="I719" s="11">
        <f>IFERROR(PagosV2[[#This Row],[Ganancia (UB)]]*$B$357,0)</f>
        <v>5.7592500000000006</v>
      </c>
      <c r="J719" s="11">
        <f>IFERROR(PagosV2[[#This Row],[Ganancia (UB)]]*$B$358,0)</f>
        <v>11.518500000000001</v>
      </c>
      <c r="K719" s="11">
        <f>IFERROR(PagosV2[[#This Row],[Ganancia (UB)]]*$B$359,0)</f>
        <v>5.7592500000000006</v>
      </c>
      <c r="L719" s="11">
        <f>IFERROR(PagosV2[[#This Row],[Ganancia (UB)]]*$B$360,0)</f>
        <v>5.7592500000000006</v>
      </c>
      <c r="M719" s="11">
        <f>IFERROR(PagosV2[[#This Row],[Ganancia (UB)]]-PagosV2[[#This Row],[PM]]-PagosV2[[#This Row],[GC]]-PagosV2[[#This Row],[PC]]-PagosV2[[#This Row],[U]],0)</f>
        <v>163.17875000000001</v>
      </c>
      <c r="N719" s="11">
        <f t="shared" si="23"/>
        <v>73.430437500000011</v>
      </c>
      <c r="O719" s="11">
        <f>IFERROR(PagosV2[[#This Row],[Ganancia (UV)]]*PagosV2[[#This Row],[Cantidad vendida]],0)</f>
        <v>73.430437500000011</v>
      </c>
      <c r="P719" s="1">
        <f>IFERROR(PagosV2[[#This Row],[Ganancia (N)]]-PagosV2[[#This Row],[Ganancia (UV)]],0)</f>
        <v>89.748312499999997</v>
      </c>
      <c r="Q719" s="1">
        <f>IFERROR(PagosV2[[#This Row],[Ganancia individual (Tienda)]]*PagosV2[[#This Row],[Cantidad vendida]],0)</f>
        <v>89.748312499999997</v>
      </c>
      <c r="R719" s="1">
        <f>IFERROR((PagosV2[[#This Row],[Precio de venta]]-PagosV2[[#This Row],[Ganancia (UB)]])*PagosV2[[#This Row],[Cantidad vendida]],0)</f>
        <v>608.02499999999998</v>
      </c>
      <c r="S719" s="21" t="s">
        <v>312</v>
      </c>
      <c r="T719" s="21"/>
    </row>
    <row r="720" spans="1:20" ht="16.5" x14ac:dyDescent="0.3">
      <c r="A720" s="9" t="s">
        <v>315</v>
      </c>
      <c r="B720" s="75">
        <v>46181</v>
      </c>
      <c r="C720" s="9" t="s">
        <v>89</v>
      </c>
      <c r="D720" s="9" t="str">
        <f>IFERROR(VLOOKUP(PagosV2[[#This Row],[Codigo del producto]],Entradas[],3,FALSE),"No existe")</f>
        <v xml:space="preserve">Adaptador DAC </v>
      </c>
      <c r="E720" s="9">
        <v>1</v>
      </c>
      <c r="F720" s="11">
        <v>350</v>
      </c>
      <c r="G720" s="11">
        <f>IFERROR(PagosV2[[#This Row],[Cantidad vendida]]*PagosV2[[#This Row],[Precio de venta]],"-")</f>
        <v>350</v>
      </c>
      <c r="H720" s="11">
        <f>IFERROR(PagosV2[[#This Row],[Precio de venta]]-VLOOKUP(PagosV2[[#This Row],[Codigo del producto]],Stock[],13,FALSE),"-")</f>
        <v>180.85849999999999</v>
      </c>
      <c r="I720" s="11">
        <f>IFERROR(PagosV2[[#This Row],[Ganancia (UB)]]*$B$357,0)</f>
        <v>5.4257549999999997</v>
      </c>
      <c r="J720" s="11">
        <f>IFERROR(PagosV2[[#This Row],[Ganancia (UB)]]*$B$358,0)</f>
        <v>10.851509999999999</v>
      </c>
      <c r="K720" s="11">
        <f>IFERROR(PagosV2[[#This Row],[Ganancia (UB)]]*$B$359,0)</f>
        <v>5.4257549999999997</v>
      </c>
      <c r="L720" s="11">
        <f>IFERROR(PagosV2[[#This Row],[Ganancia (UB)]]*$B$360,0)</f>
        <v>5.4257549999999997</v>
      </c>
      <c r="M720" s="11">
        <f>IFERROR(PagosV2[[#This Row],[Ganancia (UB)]]-PagosV2[[#This Row],[PM]]-PagosV2[[#This Row],[GC]]-PagosV2[[#This Row],[PC]]-PagosV2[[#This Row],[U]],0)</f>
        <v>153.72972499999997</v>
      </c>
      <c r="N720" s="11">
        <f t="shared" si="23"/>
        <v>69.178376249999985</v>
      </c>
      <c r="O720" s="11">
        <f>IFERROR(PagosV2[[#This Row],[Ganancia (UV)]]*PagosV2[[#This Row],[Cantidad vendida]],0)</f>
        <v>69.178376249999985</v>
      </c>
      <c r="P720" s="1">
        <f>IFERROR(PagosV2[[#This Row],[Ganancia (N)]]-PagosV2[[#This Row],[Ganancia (UV)]],0)</f>
        <v>84.551348749999988</v>
      </c>
      <c r="Q720" s="1">
        <f>IFERROR(PagosV2[[#This Row],[Ganancia individual (Tienda)]]*PagosV2[[#This Row],[Cantidad vendida]],0)</f>
        <v>84.551348749999988</v>
      </c>
      <c r="R720" s="1">
        <f>IFERROR((PagosV2[[#This Row],[Precio de venta]]-PagosV2[[#This Row],[Ganancia (UB)]])*PagosV2[[#This Row],[Cantidad vendida]],0)</f>
        <v>169.14150000000001</v>
      </c>
      <c r="S720" s="21" t="s">
        <v>312</v>
      </c>
      <c r="T720" s="21"/>
    </row>
    <row r="721" spans="1:20" ht="16.5" x14ac:dyDescent="0.3">
      <c r="A721" s="9" t="s">
        <v>315</v>
      </c>
      <c r="B721" s="75">
        <v>46181</v>
      </c>
      <c r="C721" s="9" t="s">
        <v>142</v>
      </c>
      <c r="D721" s="9" t="str">
        <f>IFERROR(VLOOKUP(PagosV2[[#This Row],[Codigo del producto]],Entradas[],3,FALSE),"No existe")</f>
        <v>Headset Bluetooth para moto (Regular)</v>
      </c>
      <c r="E721" s="9">
        <v>1</v>
      </c>
      <c r="F721" s="11">
        <v>600</v>
      </c>
      <c r="G721" s="11">
        <f>IFERROR(PagosV2[[#This Row],[Cantidad vendida]]*PagosV2[[#This Row],[Precio de venta]],"-")</f>
        <v>600</v>
      </c>
      <c r="H721" s="11">
        <f>IFERROR(PagosV2[[#This Row],[Precio de venta]]-VLOOKUP(PagosV2[[#This Row],[Codigo del producto]],Stock[],13,FALSE),"-")</f>
        <v>286.77499999999998</v>
      </c>
      <c r="I721" s="11">
        <f>IFERROR(PagosV2[[#This Row],[Ganancia (UB)]]*$B$357,0)</f>
        <v>8.6032499999999992</v>
      </c>
      <c r="J721" s="11">
        <f>IFERROR(PagosV2[[#This Row],[Ganancia (UB)]]*$B$358,0)</f>
        <v>17.206499999999998</v>
      </c>
      <c r="K721" s="11">
        <f>IFERROR(PagosV2[[#This Row],[Ganancia (UB)]]*$B$359,0)</f>
        <v>8.6032499999999992</v>
      </c>
      <c r="L721" s="11">
        <f>IFERROR(PagosV2[[#This Row],[Ganancia (UB)]]*$B$360,0)</f>
        <v>8.6032499999999992</v>
      </c>
      <c r="M721" s="11">
        <f>IFERROR(PagosV2[[#This Row],[Ganancia (UB)]]-PagosV2[[#This Row],[PM]]-PagosV2[[#This Row],[GC]]-PagosV2[[#This Row],[PC]]-PagosV2[[#This Row],[U]],0)</f>
        <v>243.75874999999996</v>
      </c>
      <c r="N721" s="11">
        <f t="shared" si="23"/>
        <v>109.69143749999999</v>
      </c>
      <c r="O721" s="11">
        <f>IFERROR(PagosV2[[#This Row],[Ganancia (UV)]]*PagosV2[[#This Row],[Cantidad vendida]],0)</f>
        <v>109.69143749999999</v>
      </c>
      <c r="P721" s="1">
        <f>IFERROR(PagosV2[[#This Row],[Ganancia (N)]]-PagosV2[[#This Row],[Ganancia (UV)]],0)</f>
        <v>134.06731249999996</v>
      </c>
      <c r="Q721" s="1">
        <f>IFERROR(PagosV2[[#This Row],[Ganancia individual (Tienda)]]*PagosV2[[#This Row],[Cantidad vendida]],0)</f>
        <v>134.06731249999996</v>
      </c>
      <c r="R721" s="1">
        <f>IFERROR((PagosV2[[#This Row],[Precio de venta]]-PagosV2[[#This Row],[Ganancia (UB)]])*PagosV2[[#This Row],[Cantidad vendida]],0)</f>
        <v>313.22500000000002</v>
      </c>
      <c r="S721" s="21" t="s">
        <v>312</v>
      </c>
      <c r="T721" s="21"/>
    </row>
    <row r="722" spans="1:20" ht="16.5" x14ac:dyDescent="0.3">
      <c r="A722" s="9" t="s">
        <v>313</v>
      </c>
      <c r="B722" s="75">
        <v>46181</v>
      </c>
      <c r="C722" s="9" t="s">
        <v>182</v>
      </c>
      <c r="D722" s="9" t="str">
        <f>IFERROR(VLOOKUP(PagosV2[[#This Row],[Codigo del producto]],Entradas[],3,FALSE),"No existe")</f>
        <v>Mouse Attack Shark R6</v>
      </c>
      <c r="E722" s="9">
        <v>1</v>
      </c>
      <c r="F722" s="11">
        <v>1900</v>
      </c>
      <c r="G722" s="11">
        <f>IFERROR(PagosV2[[#This Row],[Cantidad vendida]]*PagosV2[[#This Row],[Precio de venta]],"-")</f>
        <v>1900</v>
      </c>
      <c r="H722" s="11">
        <f>IFERROR(PagosV2[[#This Row],[Precio de venta]]-VLOOKUP(PagosV2[[#This Row],[Codigo del producto]],Stock[],13,FALSE),"-")</f>
        <v>337.19150000000013</v>
      </c>
      <c r="I722" s="11">
        <f>IFERROR(PagosV2[[#This Row],[Ganancia (UB)]]*$B$357,0)</f>
        <v>10.115745000000004</v>
      </c>
      <c r="J722" s="11">
        <f>IFERROR(PagosV2[[#This Row],[Ganancia (UB)]]*$B$358,0)</f>
        <v>20.231490000000008</v>
      </c>
      <c r="K722" s="11">
        <f>IFERROR(PagosV2[[#This Row],[Ganancia (UB)]]*$B$359,0)</f>
        <v>10.115745000000004</v>
      </c>
      <c r="L722" s="11">
        <f>IFERROR(PagosV2[[#This Row],[Ganancia (UB)]]*$B$360,0)</f>
        <v>10.115745000000004</v>
      </c>
      <c r="M722" s="11">
        <f>IFERROR(PagosV2[[#This Row],[Ganancia (UB)]]-PagosV2[[#This Row],[PM]]-PagosV2[[#This Row],[GC]]-PagosV2[[#This Row],[PC]]-PagosV2[[#This Row],[U]],0)</f>
        <v>286.61277500000011</v>
      </c>
      <c r="N722" s="11">
        <f t="shared" si="23"/>
        <v>128.97574875000007</v>
      </c>
      <c r="O722" s="11">
        <f>IFERROR(PagosV2[[#This Row],[Ganancia (UV)]]*PagosV2[[#This Row],[Cantidad vendida]],0)</f>
        <v>128.97574875000007</v>
      </c>
      <c r="P722" s="1">
        <f>IFERROR(PagosV2[[#This Row],[Ganancia (N)]]-PagosV2[[#This Row],[Ganancia (UV)]],0)</f>
        <v>157.63702625000005</v>
      </c>
      <c r="Q722" s="1">
        <f>IFERROR(PagosV2[[#This Row],[Ganancia individual (Tienda)]]*PagosV2[[#This Row],[Cantidad vendida]],0)</f>
        <v>157.63702625000005</v>
      </c>
      <c r="R722" s="1">
        <f>IFERROR((PagosV2[[#This Row],[Precio de venta]]-PagosV2[[#This Row],[Ganancia (UB)]])*PagosV2[[#This Row],[Cantidad vendida]],0)</f>
        <v>1562.8084999999999</v>
      </c>
      <c r="S722" s="21" t="s">
        <v>312</v>
      </c>
      <c r="T722" s="21"/>
    </row>
    <row r="723" spans="1:20" ht="16.5" x14ac:dyDescent="0.3">
      <c r="A723" s="9" t="s">
        <v>313</v>
      </c>
      <c r="B723" s="75">
        <v>46181</v>
      </c>
      <c r="C723" s="9" t="s">
        <v>154</v>
      </c>
      <c r="D723" s="9" t="str">
        <f>IFERROR(VLOOKUP(PagosV2[[#This Row],[Codigo del producto]],Entradas[],3,FALSE),"No existe")</f>
        <v xml:space="preserve">Attack Shark Mouse X11 negro </v>
      </c>
      <c r="E723" s="9">
        <v>1</v>
      </c>
      <c r="F723" s="11">
        <v>1200</v>
      </c>
      <c r="G723" s="11">
        <f>IFERROR(PagosV2[[#This Row],[Cantidad vendida]]*PagosV2[[#This Row],[Precio de venta]],"-")</f>
        <v>1200</v>
      </c>
      <c r="H723" s="11">
        <f>IFERROR(PagosV2[[#This Row],[Precio de venta]]-VLOOKUP(PagosV2[[#This Row],[Codigo del producto]],Stock[],13,FALSE),"-")</f>
        <v>277.64449999999988</v>
      </c>
      <c r="I723" s="11">
        <f>IFERROR(PagosV2[[#This Row],[Ganancia (UB)]]*$B$357,0)</f>
        <v>8.3293349999999968</v>
      </c>
      <c r="J723" s="11">
        <f>IFERROR(PagosV2[[#This Row],[Ganancia (UB)]]*$B$358,0)</f>
        <v>16.658669999999994</v>
      </c>
      <c r="K723" s="11">
        <f>IFERROR(PagosV2[[#This Row],[Ganancia (UB)]]*$B$359,0)</f>
        <v>8.3293349999999968</v>
      </c>
      <c r="L723" s="11">
        <f>IFERROR(PagosV2[[#This Row],[Ganancia (UB)]]*$B$360,0)</f>
        <v>8.3293349999999968</v>
      </c>
      <c r="M723" s="11">
        <f>IFERROR(PagosV2[[#This Row],[Ganancia (UB)]]-PagosV2[[#This Row],[PM]]-PagosV2[[#This Row],[GC]]-PagosV2[[#This Row],[PC]]-PagosV2[[#This Row],[U]],0)</f>
        <v>235.99782499999989</v>
      </c>
      <c r="N723" s="11">
        <f t="shared" si="23"/>
        <v>106.19902124999996</v>
      </c>
      <c r="O723" s="11">
        <f>IFERROR(PagosV2[[#This Row],[Ganancia (UV)]]*PagosV2[[#This Row],[Cantidad vendida]],0)</f>
        <v>106.19902124999996</v>
      </c>
      <c r="P723" s="1">
        <f>IFERROR(PagosV2[[#This Row],[Ganancia (N)]]-PagosV2[[#This Row],[Ganancia (UV)]],0)</f>
        <v>129.79880374999993</v>
      </c>
      <c r="Q723" s="1">
        <f>IFERROR(PagosV2[[#This Row],[Ganancia individual (Tienda)]]*PagosV2[[#This Row],[Cantidad vendida]],0)</f>
        <v>129.79880374999993</v>
      </c>
      <c r="R723" s="1">
        <f>IFERROR((PagosV2[[#This Row],[Precio de venta]]-PagosV2[[#This Row],[Ganancia (UB)]])*PagosV2[[#This Row],[Cantidad vendida]],0)</f>
        <v>922.35550000000012</v>
      </c>
      <c r="S723" s="21" t="s">
        <v>312</v>
      </c>
      <c r="T723" s="21"/>
    </row>
    <row r="724" spans="1:20" ht="16.5" x14ac:dyDescent="0.3">
      <c r="A724" s="9" t="s">
        <v>327</v>
      </c>
      <c r="B724" s="75">
        <v>46181</v>
      </c>
      <c r="C724" s="9" t="s">
        <v>115</v>
      </c>
      <c r="D724" s="9" t="str">
        <f>IFERROR(VLOOKUP(PagosV2[[#This Row],[Codigo del producto]],Entradas[],3,FALSE),"No existe")</f>
        <v>Cargadores USB para moto</v>
      </c>
      <c r="E724" s="9">
        <v>1</v>
      </c>
      <c r="F724" s="11">
        <v>600</v>
      </c>
      <c r="G724" s="11">
        <f>IFERROR(PagosV2[[#This Row],[Cantidad vendida]]*PagosV2[[#This Row],[Precio de venta]],"-")</f>
        <v>600</v>
      </c>
      <c r="H724" s="11">
        <f>IFERROR(PagosV2[[#This Row],[Precio de venta]]-VLOOKUP(PagosV2[[#This Row],[Codigo del producto]],Stock[],13,FALSE),"-")</f>
        <v>281.61599999999999</v>
      </c>
      <c r="I724" s="11">
        <f>IFERROR(PagosV2[[#This Row],[Ganancia (UB)]]*$B$357,0)</f>
        <v>8.44848</v>
      </c>
      <c r="J724" s="11">
        <f>IFERROR(PagosV2[[#This Row],[Ganancia (UB)]]*$B$358,0)</f>
        <v>16.89696</v>
      </c>
      <c r="K724" s="11">
        <f>IFERROR(PagosV2[[#This Row],[Ganancia (UB)]]*$B$359,0)</f>
        <v>8.44848</v>
      </c>
      <c r="L724" s="11">
        <f>IFERROR(PagosV2[[#This Row],[Ganancia (UB)]]*$B$360,0)</f>
        <v>8.44848</v>
      </c>
      <c r="M724" s="11">
        <f>IFERROR(PagosV2[[#This Row],[Ganancia (UB)]]-PagosV2[[#This Row],[PM]]-PagosV2[[#This Row],[GC]]-PagosV2[[#This Row],[PC]]-PagosV2[[#This Row],[U]],0)</f>
        <v>239.37360000000001</v>
      </c>
      <c r="N724" s="11">
        <f t="shared" si="23"/>
        <v>107.71812000000001</v>
      </c>
      <c r="O724" s="11">
        <f>IFERROR(PagosV2[[#This Row],[Ganancia (UV)]]*PagosV2[[#This Row],[Cantidad vendida]],0)</f>
        <v>107.71812000000001</v>
      </c>
      <c r="P724" s="1">
        <f>IFERROR(PagosV2[[#This Row],[Ganancia (N)]]-PagosV2[[#This Row],[Ganancia (UV)]],0)</f>
        <v>131.65548000000001</v>
      </c>
      <c r="Q724" s="1">
        <f>IFERROR(PagosV2[[#This Row],[Ganancia individual (Tienda)]]*PagosV2[[#This Row],[Cantidad vendida]],0)</f>
        <v>131.65548000000001</v>
      </c>
      <c r="R724" s="1">
        <f>IFERROR((PagosV2[[#This Row],[Precio de venta]]-PagosV2[[#This Row],[Ganancia (UB)]])*PagosV2[[#This Row],[Cantidad vendida]],0)</f>
        <v>318.38400000000001</v>
      </c>
      <c r="S724" s="21" t="s">
        <v>312</v>
      </c>
      <c r="T724" s="21"/>
    </row>
    <row r="725" spans="1:20" ht="16.5" x14ac:dyDescent="0.3">
      <c r="A725" s="9" t="s">
        <v>313</v>
      </c>
      <c r="B725" s="75">
        <v>46185</v>
      </c>
      <c r="C725" s="9" t="s">
        <v>176</v>
      </c>
      <c r="D725" s="9" t="str">
        <f>IFERROR(VLOOKUP(PagosV2[[#This Row],[Codigo del producto]],Entradas[],3,FALSE),"No existe")</f>
        <v>KZ Saga Bass</v>
      </c>
      <c r="E725" s="9">
        <v>1</v>
      </c>
      <c r="F725" s="11">
        <v>600</v>
      </c>
      <c r="G725" s="11">
        <f>IFERROR(PagosV2[[#This Row],[Cantidad vendida]]*PagosV2[[#This Row],[Precio de venta]],"-")</f>
        <v>600</v>
      </c>
      <c r="H725" s="11">
        <f>IFERROR(PagosV2[[#This Row],[Precio de venta]]-VLOOKUP(PagosV2[[#This Row],[Codigo del producto]],Stock[],13,FALSE),"-")</f>
        <v>238.13299999999998</v>
      </c>
      <c r="I725" s="11">
        <f>IFERROR(PagosV2[[#This Row],[Ganancia (UB)]]*$B$357,0)</f>
        <v>7.1439899999999996</v>
      </c>
      <c r="J725" s="11">
        <f>IFERROR(PagosV2[[#This Row],[Ganancia (UB)]]*$B$358,0)</f>
        <v>14.287979999999999</v>
      </c>
      <c r="K725" s="11">
        <f>IFERROR(PagosV2[[#This Row],[Ganancia (UB)]]*$B$359,0)</f>
        <v>7.1439899999999996</v>
      </c>
      <c r="L725" s="11">
        <f>IFERROR(PagosV2[[#This Row],[Ganancia (UB)]]*$B$360,0)</f>
        <v>7.1439899999999996</v>
      </c>
      <c r="M725" s="11">
        <f>IFERROR(PagosV2[[#This Row],[Ganancia (UB)]]-PagosV2[[#This Row],[PM]]-PagosV2[[#This Row],[GC]]-PagosV2[[#This Row],[PC]]-PagosV2[[#This Row],[U]],0)</f>
        <v>202.41304999999997</v>
      </c>
      <c r="N725" s="11">
        <f t="shared" ref="N725:N731" si="24">IFERROR(
  IF(M725&lt;=0,"-",
    IF(M725&lt;=300, M725*0.45,
      IF(M725&lt;=600, M725*0.4,
        IF(M725&lt;=900, M725*0.38,
          IF(M725&lt;=1000, M725*0.35,
            IF(M725&lt;=1400, M725*0.32,
              IF(M725&lt;=1800, HM725*0.3,
                IF(M725&gt;=2000, M725*0.28,
                  "-"
                )
              )
            )
          )
        )
      )
    )
  ),
  "-"
)</f>
        <v>91.085872499999994</v>
      </c>
      <c r="O725" s="11">
        <f>IFERROR(PagosV2[[#This Row],[Ganancia (UV)]]*PagosV2[[#This Row],[Cantidad vendida]],0)</f>
        <v>91.085872499999994</v>
      </c>
      <c r="P725" s="1">
        <f>IFERROR(PagosV2[[#This Row],[Ganancia (N)]]-PagosV2[[#This Row],[Ganancia (UV)]],0)</f>
        <v>111.32717749999998</v>
      </c>
      <c r="Q725" s="1">
        <f>IFERROR(PagosV2[[#This Row],[Ganancia individual (Tienda)]]*PagosV2[[#This Row],[Cantidad vendida]],0)</f>
        <v>111.32717749999998</v>
      </c>
      <c r="R725" s="1">
        <f>IFERROR((PagosV2[[#This Row],[Precio de venta]]-PagosV2[[#This Row],[Ganancia (UB)]])*PagosV2[[#This Row],[Cantidad vendida]],0)</f>
        <v>361.86700000000002</v>
      </c>
      <c r="S725" s="21" t="s">
        <v>312</v>
      </c>
      <c r="T725" s="21"/>
    </row>
    <row r="726" spans="1:20" ht="16.5" x14ac:dyDescent="0.3">
      <c r="A726" s="9" t="s">
        <v>313</v>
      </c>
      <c r="B726" s="75">
        <v>46185</v>
      </c>
      <c r="C726" s="9" t="s">
        <v>89</v>
      </c>
      <c r="D726" s="9" t="str">
        <f>IFERROR(VLOOKUP(PagosV2[[#This Row],[Codigo del producto]],Entradas[],3,FALSE),"No existe")</f>
        <v xml:space="preserve">Adaptador DAC </v>
      </c>
      <c r="E726" s="9">
        <v>1</v>
      </c>
      <c r="F726" s="11">
        <v>300</v>
      </c>
      <c r="G726" s="11">
        <f>IFERROR(PagosV2[[#This Row],[Cantidad vendida]]*PagosV2[[#This Row],[Precio de venta]],"-")</f>
        <v>300</v>
      </c>
      <c r="H726" s="11">
        <f>IFERROR(PagosV2[[#This Row],[Precio de venta]]-VLOOKUP(PagosV2[[#This Row],[Codigo del producto]],Stock[],13,FALSE),"-")</f>
        <v>130.85849999999999</v>
      </c>
      <c r="I726" s="11">
        <f>IFERROR(PagosV2[[#This Row],[Ganancia (UB)]]*$B$357,0)</f>
        <v>3.9257549999999997</v>
      </c>
      <c r="J726" s="11">
        <f>IFERROR(PagosV2[[#This Row],[Ganancia (UB)]]*$B$358,0)</f>
        <v>7.8515099999999993</v>
      </c>
      <c r="K726" s="11">
        <f>IFERROR(PagosV2[[#This Row],[Ganancia (UB)]]*$B$359,0)</f>
        <v>3.9257549999999997</v>
      </c>
      <c r="L726" s="11">
        <f>IFERROR(PagosV2[[#This Row],[Ganancia (UB)]]*$B$360,0)</f>
        <v>3.9257549999999997</v>
      </c>
      <c r="M726" s="11">
        <f>IFERROR(PagosV2[[#This Row],[Ganancia (UB)]]-PagosV2[[#This Row],[PM]]-PagosV2[[#This Row],[GC]]-PagosV2[[#This Row],[PC]]-PagosV2[[#This Row],[U]],0)</f>
        <v>111.229725</v>
      </c>
      <c r="N726" s="11">
        <f t="shared" si="24"/>
        <v>50.053376249999999</v>
      </c>
      <c r="O726" s="11">
        <f>IFERROR(PagosV2[[#This Row],[Ganancia (UV)]]*PagosV2[[#This Row],[Cantidad vendida]],0)</f>
        <v>50.053376249999999</v>
      </c>
      <c r="P726" s="1">
        <f>IFERROR(PagosV2[[#This Row],[Ganancia (N)]]-PagosV2[[#This Row],[Ganancia (UV)]],0)</f>
        <v>61.176348750000002</v>
      </c>
      <c r="Q726" s="1">
        <f>IFERROR(PagosV2[[#This Row],[Ganancia individual (Tienda)]]*PagosV2[[#This Row],[Cantidad vendida]],0)</f>
        <v>61.176348750000002</v>
      </c>
      <c r="R726" s="1">
        <f>IFERROR((PagosV2[[#This Row],[Precio de venta]]-PagosV2[[#This Row],[Ganancia (UB)]])*PagosV2[[#This Row],[Cantidad vendida]],0)</f>
        <v>169.14150000000001</v>
      </c>
      <c r="S726" s="21" t="s">
        <v>312</v>
      </c>
      <c r="T726" s="21"/>
    </row>
    <row r="727" spans="1:20" ht="16.5" x14ac:dyDescent="0.3">
      <c r="A727" s="9" t="s">
        <v>313</v>
      </c>
      <c r="B727" s="75">
        <v>46185</v>
      </c>
      <c r="C727" s="9" t="s">
        <v>132</v>
      </c>
      <c r="D727" s="9" t="str">
        <f>IFERROR(VLOOKUP(PagosV2[[#This Row],[Codigo del producto]],Entradas[],3,FALSE),"No existe")</f>
        <v>Cargadores USB para moto (Sin pantalla)</v>
      </c>
      <c r="E727" s="9">
        <v>1</v>
      </c>
      <c r="F727" s="11">
        <v>500</v>
      </c>
      <c r="G727" s="11">
        <f>IFERROR(PagosV2[[#This Row],[Cantidad vendida]]*PagosV2[[#This Row],[Precio de venta]],"-")</f>
        <v>500</v>
      </c>
      <c r="H727" s="11">
        <f>IFERROR(PagosV2[[#This Row],[Precio de venta]]-VLOOKUP(PagosV2[[#This Row],[Codigo del producto]],Stock[],13,FALSE),"-")</f>
        <v>254.94749999999999</v>
      </c>
      <c r="I727" s="11">
        <f>IFERROR(PagosV2[[#This Row],[Ganancia (UB)]]*$B$357,0)</f>
        <v>7.6484249999999996</v>
      </c>
      <c r="J727" s="11">
        <f>IFERROR(PagosV2[[#This Row],[Ganancia (UB)]]*$B$358,0)</f>
        <v>15.296849999999999</v>
      </c>
      <c r="K727" s="11">
        <f>IFERROR(PagosV2[[#This Row],[Ganancia (UB)]]*$B$359,0)</f>
        <v>7.6484249999999996</v>
      </c>
      <c r="L727" s="11">
        <f>IFERROR(PagosV2[[#This Row],[Ganancia (UB)]]*$B$360,0)</f>
        <v>7.6484249999999996</v>
      </c>
      <c r="M727" s="11">
        <f>IFERROR(PagosV2[[#This Row],[Ganancia (UB)]]-PagosV2[[#This Row],[PM]]-PagosV2[[#This Row],[GC]]-PagosV2[[#This Row],[PC]]-PagosV2[[#This Row],[U]],0)</f>
        <v>216.70537499999998</v>
      </c>
      <c r="N727" s="11">
        <f t="shared" si="24"/>
        <v>97.51741874999999</v>
      </c>
      <c r="O727" s="11">
        <f>IFERROR(PagosV2[[#This Row],[Ganancia (UV)]]*PagosV2[[#This Row],[Cantidad vendida]],0)</f>
        <v>97.51741874999999</v>
      </c>
      <c r="P727" s="1">
        <f>IFERROR(PagosV2[[#This Row],[Ganancia (N)]]-PagosV2[[#This Row],[Ganancia (UV)]],0)</f>
        <v>119.18795624999998</v>
      </c>
      <c r="Q727" s="1">
        <f>IFERROR(PagosV2[[#This Row],[Ganancia individual (Tienda)]]*PagosV2[[#This Row],[Cantidad vendida]],0)</f>
        <v>119.18795624999998</v>
      </c>
      <c r="R727" s="1">
        <f>IFERROR((PagosV2[[#This Row],[Precio de venta]]-PagosV2[[#This Row],[Ganancia (UB)]])*PagosV2[[#This Row],[Cantidad vendida]],0)</f>
        <v>245.05250000000001</v>
      </c>
      <c r="S727" s="21" t="s">
        <v>312</v>
      </c>
      <c r="T727" s="21"/>
    </row>
    <row r="728" spans="1:20" ht="16.5" x14ac:dyDescent="0.3">
      <c r="A728" s="9" t="s">
        <v>313</v>
      </c>
      <c r="B728" s="75">
        <v>46185</v>
      </c>
      <c r="C728" s="9" t="s">
        <v>114</v>
      </c>
      <c r="D728" s="9" t="str">
        <f>IFERROR(VLOOKUP(PagosV2[[#This Row],[Codigo del producto]],Entradas[],3,FALSE),"No existe")</f>
        <v>Teclado Mecanico Machenike K500</v>
      </c>
      <c r="E728" s="9">
        <v>1</v>
      </c>
      <c r="F728" s="11">
        <v>1800</v>
      </c>
      <c r="G728" s="11">
        <f>IFERROR(PagosV2[[#This Row],[Cantidad vendida]]*PagosV2[[#This Row],[Precio de venta]],"-")</f>
        <v>1800</v>
      </c>
      <c r="H728" s="11">
        <f>IFERROR(PagosV2[[#This Row],[Precio de venta]]-VLOOKUP(PagosV2[[#This Row],[Codigo del producto]],Stock[],13,FALSE),"-")</f>
        <v>252.29999999999995</v>
      </c>
      <c r="I728" s="11">
        <f>IFERROR(PagosV2[[#This Row],[Ganancia (UB)]]*$B$357,0)</f>
        <v>7.5689999999999982</v>
      </c>
      <c r="J728" s="11">
        <f>IFERROR(PagosV2[[#This Row],[Ganancia (UB)]]*$B$358,0)</f>
        <v>15.137999999999996</v>
      </c>
      <c r="K728" s="11">
        <f>IFERROR(PagosV2[[#This Row],[Ganancia (UB)]]*$B$359,0)</f>
        <v>7.5689999999999982</v>
      </c>
      <c r="L728" s="11">
        <f>IFERROR(PagosV2[[#This Row],[Ganancia (UB)]]*$B$360,0)</f>
        <v>7.5689999999999982</v>
      </c>
      <c r="M728" s="11">
        <f>IFERROR(PagosV2[[#This Row],[Ganancia (UB)]]-PagosV2[[#This Row],[PM]]-PagosV2[[#This Row],[GC]]-PagosV2[[#This Row],[PC]]-PagosV2[[#This Row],[U]],0)</f>
        <v>214.45499999999998</v>
      </c>
      <c r="N728" s="11">
        <f t="shared" si="24"/>
        <v>96.504750000000001</v>
      </c>
      <c r="O728" s="11">
        <f>IFERROR(PagosV2[[#This Row],[Ganancia (UV)]]*PagosV2[[#This Row],[Cantidad vendida]],0)</f>
        <v>96.504750000000001</v>
      </c>
      <c r="P728" s="1">
        <f>IFERROR(PagosV2[[#This Row],[Ganancia (N)]]-PagosV2[[#This Row],[Ganancia (UV)]],0)</f>
        <v>117.95024999999998</v>
      </c>
      <c r="Q728" s="1">
        <f>IFERROR(PagosV2[[#This Row],[Ganancia individual (Tienda)]]*PagosV2[[#This Row],[Cantidad vendida]],0)</f>
        <v>117.95024999999998</v>
      </c>
      <c r="R728" s="1">
        <f>IFERROR((PagosV2[[#This Row],[Precio de venta]]-PagosV2[[#This Row],[Ganancia (UB)]])*PagosV2[[#This Row],[Cantidad vendida]],0)</f>
        <v>1547.7</v>
      </c>
      <c r="S728" s="21" t="s">
        <v>312</v>
      </c>
      <c r="T728" s="21"/>
    </row>
    <row r="729" spans="1:20" ht="16.5" x14ac:dyDescent="0.3">
      <c r="A729" s="9" t="s">
        <v>313</v>
      </c>
      <c r="B729" s="75">
        <v>46185</v>
      </c>
      <c r="C729" s="9" t="s">
        <v>184</v>
      </c>
      <c r="D729" s="9" t="str">
        <f>IFERROR(VLOOKUP(PagosV2[[#This Row],[Codigo del producto]],Entradas[],3,FALSE),"No existe")</f>
        <v>Shark Attack Mouse X11 Black</v>
      </c>
      <c r="E729" s="9">
        <v>1</v>
      </c>
      <c r="F729" s="11">
        <v>1200</v>
      </c>
      <c r="G729" s="11">
        <f>IFERROR(PagosV2[[#This Row],[Cantidad vendida]]*PagosV2[[#This Row],[Precio de venta]],"-")</f>
        <v>1200</v>
      </c>
      <c r="H729" s="11">
        <f>IFERROR(PagosV2[[#This Row],[Precio de venta]]-VLOOKUP(PagosV2[[#This Row],[Codigo del producto]],Stock[],13,FALSE),"-")</f>
        <v>381.92999999999995</v>
      </c>
      <c r="I729" s="11">
        <f>IFERROR(PagosV2[[#This Row],[Ganancia (UB)]]*$B$357,0)</f>
        <v>11.457899999999999</v>
      </c>
      <c r="J729" s="11">
        <f>IFERROR(PagosV2[[#This Row],[Ganancia (UB)]]*$B$358,0)</f>
        <v>22.915799999999997</v>
      </c>
      <c r="K729" s="11">
        <f>IFERROR(PagosV2[[#This Row],[Ganancia (UB)]]*$B$359,0)</f>
        <v>11.457899999999999</v>
      </c>
      <c r="L729" s="11">
        <f>IFERROR(PagosV2[[#This Row],[Ganancia (UB)]]*$B$360,0)</f>
        <v>11.457899999999999</v>
      </c>
      <c r="M729" s="11">
        <f>IFERROR(PagosV2[[#This Row],[Ganancia (UB)]]-PagosV2[[#This Row],[PM]]-PagosV2[[#This Row],[GC]]-PagosV2[[#This Row],[PC]]-PagosV2[[#This Row],[U]],0)</f>
        <v>324.64049999999997</v>
      </c>
      <c r="N729" s="11">
        <f t="shared" si="24"/>
        <v>129.8562</v>
      </c>
      <c r="O729" s="11">
        <f>IFERROR(PagosV2[[#This Row],[Ganancia (UV)]]*PagosV2[[#This Row],[Cantidad vendida]],0)</f>
        <v>129.8562</v>
      </c>
      <c r="P729" s="1">
        <f>IFERROR(PagosV2[[#This Row],[Ganancia (N)]]-PagosV2[[#This Row],[Ganancia (UV)]],0)</f>
        <v>194.78429999999997</v>
      </c>
      <c r="Q729" s="1">
        <f>IFERROR(PagosV2[[#This Row],[Ganancia individual (Tienda)]]*PagosV2[[#This Row],[Cantidad vendida]],0)</f>
        <v>194.78429999999997</v>
      </c>
      <c r="R729" s="1">
        <f>IFERROR((PagosV2[[#This Row],[Precio de venta]]-PagosV2[[#This Row],[Ganancia (UB)]])*PagosV2[[#This Row],[Cantidad vendida]],0)</f>
        <v>818.07</v>
      </c>
      <c r="S729" s="21" t="s">
        <v>312</v>
      </c>
      <c r="T729" s="21"/>
    </row>
    <row r="730" spans="1:20" ht="16.5" x14ac:dyDescent="0.3">
      <c r="A730" s="9" t="s">
        <v>327</v>
      </c>
      <c r="B730" s="75">
        <v>46185</v>
      </c>
      <c r="C730" s="9" t="s">
        <v>89</v>
      </c>
      <c r="D730" s="9" t="str">
        <f>IFERROR(VLOOKUP(PagosV2[[#This Row],[Codigo del producto]],Entradas[],3,FALSE),"No existe")</f>
        <v xml:space="preserve">Adaptador DAC </v>
      </c>
      <c r="E730" s="9">
        <v>1</v>
      </c>
      <c r="F730" s="11">
        <v>350</v>
      </c>
      <c r="G730" s="11">
        <f>IFERROR(PagosV2[[#This Row],[Cantidad vendida]]*PagosV2[[#This Row],[Precio de venta]],"-")</f>
        <v>350</v>
      </c>
      <c r="H730" s="11">
        <f>IFERROR(PagosV2[[#This Row],[Precio de venta]]-VLOOKUP(PagosV2[[#This Row],[Codigo del producto]],Stock[],13,FALSE),"-")</f>
        <v>180.85849999999999</v>
      </c>
      <c r="I730" s="11">
        <f>IFERROR(PagosV2[[#This Row],[Ganancia (UB)]]*$B$357,0)</f>
        <v>5.4257549999999997</v>
      </c>
      <c r="J730" s="11">
        <f>IFERROR(PagosV2[[#This Row],[Ganancia (UB)]]*$B$358,0)</f>
        <v>10.851509999999999</v>
      </c>
      <c r="K730" s="11">
        <f>IFERROR(PagosV2[[#This Row],[Ganancia (UB)]]*$B$359,0)</f>
        <v>5.4257549999999997</v>
      </c>
      <c r="L730" s="11">
        <f>IFERROR(PagosV2[[#This Row],[Ganancia (UB)]]*$B$360,0)</f>
        <v>5.4257549999999997</v>
      </c>
      <c r="M730" s="11">
        <f>IFERROR(PagosV2[[#This Row],[Ganancia (UB)]]-PagosV2[[#This Row],[PM]]-PagosV2[[#This Row],[GC]]-PagosV2[[#This Row],[PC]]-PagosV2[[#This Row],[U]],0)</f>
        <v>153.72972499999997</v>
      </c>
      <c r="N730" s="11">
        <f t="shared" si="24"/>
        <v>69.178376249999985</v>
      </c>
      <c r="O730" s="11">
        <f>IFERROR(PagosV2[[#This Row],[Ganancia (UV)]]*PagosV2[[#This Row],[Cantidad vendida]],0)</f>
        <v>69.178376249999985</v>
      </c>
      <c r="P730" s="1">
        <f>IFERROR(PagosV2[[#This Row],[Ganancia (N)]]-PagosV2[[#This Row],[Ganancia (UV)]],0)</f>
        <v>84.551348749999988</v>
      </c>
      <c r="Q730" s="1">
        <f>IFERROR(PagosV2[[#This Row],[Ganancia individual (Tienda)]]*PagosV2[[#This Row],[Cantidad vendida]],0)</f>
        <v>84.551348749999988</v>
      </c>
      <c r="R730" s="1">
        <f>IFERROR((PagosV2[[#This Row],[Precio de venta]]-PagosV2[[#This Row],[Ganancia (UB)]])*PagosV2[[#This Row],[Cantidad vendida]],0)</f>
        <v>169.14150000000001</v>
      </c>
      <c r="S730" s="21" t="s">
        <v>312</v>
      </c>
      <c r="T730" s="21"/>
    </row>
    <row r="731" spans="1:20" ht="16.5" x14ac:dyDescent="0.3">
      <c r="A731" s="9" t="s">
        <v>311</v>
      </c>
      <c r="B731" s="75">
        <v>46185</v>
      </c>
      <c r="C731" s="9" t="s">
        <v>89</v>
      </c>
      <c r="D731" s="9" t="str">
        <f>IFERROR(VLOOKUP(PagosV2[[#This Row],[Codigo del producto]],Entradas[],3,FALSE),"No existe")</f>
        <v xml:space="preserve">Adaptador DAC </v>
      </c>
      <c r="E731" s="9">
        <v>1</v>
      </c>
      <c r="F731" s="11">
        <v>350</v>
      </c>
      <c r="G731" s="11">
        <f>IFERROR(PagosV2[[#This Row],[Cantidad vendida]]*PagosV2[[#This Row],[Precio de venta]],"-")</f>
        <v>350</v>
      </c>
      <c r="H731" s="11">
        <f>IFERROR(PagosV2[[#This Row],[Precio de venta]]-VLOOKUP(PagosV2[[#This Row],[Codigo del producto]],Stock[],13,FALSE),"-")</f>
        <v>180.85849999999999</v>
      </c>
      <c r="I731" s="11">
        <f>IFERROR(PagosV2[[#This Row],[Ganancia (UB)]]*$B$357,0)</f>
        <v>5.4257549999999997</v>
      </c>
      <c r="J731" s="11">
        <f>IFERROR(PagosV2[[#This Row],[Ganancia (UB)]]*$B$358,0)</f>
        <v>10.851509999999999</v>
      </c>
      <c r="K731" s="11">
        <f>IFERROR(PagosV2[[#This Row],[Ganancia (UB)]]*$B$359,0)</f>
        <v>5.4257549999999997</v>
      </c>
      <c r="L731" s="11">
        <f>IFERROR(PagosV2[[#This Row],[Ganancia (UB)]]*$B$360,0)</f>
        <v>5.4257549999999997</v>
      </c>
      <c r="M731" s="11">
        <f>IFERROR(PagosV2[[#This Row],[Ganancia (UB)]]-PagosV2[[#This Row],[PM]]-PagosV2[[#This Row],[GC]]-PagosV2[[#This Row],[PC]]-PagosV2[[#This Row],[U]],0)</f>
        <v>153.72972499999997</v>
      </c>
      <c r="N731" s="11">
        <f t="shared" si="24"/>
        <v>69.178376249999985</v>
      </c>
      <c r="O731" s="11">
        <f>IFERROR(PagosV2[[#This Row],[Ganancia (UV)]]*PagosV2[[#This Row],[Cantidad vendida]],0)</f>
        <v>69.178376249999985</v>
      </c>
      <c r="P731" s="1">
        <f>IFERROR(PagosV2[[#This Row],[Ganancia (N)]]-PagosV2[[#This Row],[Ganancia (UV)]],0)</f>
        <v>84.551348749999988</v>
      </c>
      <c r="Q731" s="1">
        <f>IFERROR(PagosV2[[#This Row],[Ganancia individual (Tienda)]]*PagosV2[[#This Row],[Cantidad vendida]],0)</f>
        <v>84.551348749999988</v>
      </c>
      <c r="R731" s="1">
        <f>IFERROR((PagosV2[[#This Row],[Precio de venta]]-PagosV2[[#This Row],[Ganancia (UB)]])*PagosV2[[#This Row],[Cantidad vendida]],0)</f>
        <v>169.14150000000001</v>
      </c>
      <c r="S731" s="21" t="s">
        <v>312</v>
      </c>
      <c r="T731" s="21"/>
    </row>
    <row r="732" spans="1:20" ht="16.5" x14ac:dyDescent="0.3">
      <c r="A732" s="9" t="s">
        <v>313</v>
      </c>
      <c r="B732" s="75">
        <v>46185</v>
      </c>
      <c r="C732" s="9" t="s">
        <v>184</v>
      </c>
      <c r="D732" s="9" t="str">
        <f>IFERROR(VLOOKUP(PagosV2[[#This Row],[Codigo del producto]],Entradas[],3,FALSE),"No existe")</f>
        <v>Shark Attack Mouse X11 Black</v>
      </c>
      <c r="E732" s="9">
        <v>2</v>
      </c>
      <c r="F732" s="11">
        <v>1050</v>
      </c>
      <c r="G732" s="11">
        <f>IFERROR(PagosV2[[#This Row],[Cantidad vendida]]*PagosV2[[#This Row],[Precio de venta]],"-")</f>
        <v>2100</v>
      </c>
      <c r="H732" s="11">
        <f>IFERROR(PagosV2[[#This Row],[Precio de venta]]-VLOOKUP(PagosV2[[#This Row],[Codigo del producto]],Stock[],13,FALSE),"-")</f>
        <v>231.92999999999995</v>
      </c>
      <c r="I732" s="11">
        <f>IFERROR(PagosV2[[#This Row],[Ganancia (UB)]]*$B$357,0)</f>
        <v>6.9578999999999986</v>
      </c>
      <c r="J732" s="11">
        <f>IFERROR(PagosV2[[#This Row],[Ganancia (UB)]]*$B$358,0)</f>
        <v>13.915799999999997</v>
      </c>
      <c r="K732" s="11">
        <f>IFERROR(PagosV2[[#This Row],[Ganancia (UB)]]*$B$359,0)</f>
        <v>6.9578999999999986</v>
      </c>
      <c r="L732" s="11">
        <f>IFERROR(PagosV2[[#This Row],[Ganancia (UB)]]*$B$360,0)</f>
        <v>6.9578999999999986</v>
      </c>
      <c r="M732" s="11">
        <f>IFERROR(PagosV2[[#This Row],[Ganancia (UB)]]-PagosV2[[#This Row],[PM]]-PagosV2[[#This Row],[GC]]-PagosV2[[#This Row],[PC]]-PagosV2[[#This Row],[U]],0)</f>
        <v>197.14049999999997</v>
      </c>
      <c r="N732" s="11">
        <f t="shared" ref="N732:N740" si="25">IFERROR(
  IF(M732&lt;=0,"-",
    IF(M732&lt;=300, M732*0.45,
      IF(M732&lt;=600, M732*0.4,
        IF(M732&lt;=900, M732*0.38,
          IF(M732&lt;=1000, M732*0.35,
            IF(M732&lt;=1400, M732*0.32,
              IF(M732&lt;=1800, HM732*0.3,
                IF(M732&gt;=2000, M732*0.28,
                  "-"
                )
              )
            )
          )
        )
      )
    )
  ),
  "-"
)</f>
        <v>88.713224999999994</v>
      </c>
      <c r="O732" s="11">
        <f>IFERROR(PagosV2[[#This Row],[Ganancia (UV)]]*PagosV2[[#This Row],[Cantidad vendida]],0)</f>
        <v>177.42644999999999</v>
      </c>
      <c r="P732" s="1">
        <f>IFERROR(PagosV2[[#This Row],[Ganancia (N)]]-PagosV2[[#This Row],[Ganancia (UV)]],0)</f>
        <v>108.42727499999998</v>
      </c>
      <c r="Q732" s="1">
        <f>IFERROR(PagosV2[[#This Row],[Ganancia individual (Tienda)]]*PagosV2[[#This Row],[Cantidad vendida]],0)</f>
        <v>216.85454999999996</v>
      </c>
      <c r="R732" s="1">
        <f>IFERROR((PagosV2[[#This Row],[Precio de venta]]-PagosV2[[#This Row],[Ganancia (UB)]])*PagosV2[[#This Row],[Cantidad vendida]],0)</f>
        <v>1636.14</v>
      </c>
      <c r="S732" s="21" t="s">
        <v>312</v>
      </c>
      <c r="T732" s="21"/>
    </row>
    <row r="733" spans="1:20" ht="16.5" x14ac:dyDescent="0.3">
      <c r="A733" s="9" t="s">
        <v>313</v>
      </c>
      <c r="B733" s="75">
        <v>46185</v>
      </c>
      <c r="C733" s="9" t="s">
        <v>184</v>
      </c>
      <c r="D733" s="9" t="str">
        <f>IFERROR(VLOOKUP(PagosV2[[#This Row],[Codigo del producto]],Entradas[],3,FALSE),"No existe")</f>
        <v>Shark Attack Mouse X11 Black</v>
      </c>
      <c r="E733" s="9">
        <v>1</v>
      </c>
      <c r="F733" s="11">
        <v>1200</v>
      </c>
      <c r="G733" s="11">
        <f>IFERROR(PagosV2[[#This Row],[Cantidad vendida]]*PagosV2[[#This Row],[Precio de venta]],"-")</f>
        <v>1200</v>
      </c>
      <c r="H733" s="11">
        <f>IFERROR(PagosV2[[#This Row],[Precio de venta]]-VLOOKUP(PagosV2[[#This Row],[Codigo del producto]],Stock[],13,FALSE),"-")</f>
        <v>381.92999999999995</v>
      </c>
      <c r="I733" s="11">
        <f>IFERROR(PagosV2[[#This Row],[Ganancia (UB)]]*$B$357,0)</f>
        <v>11.457899999999999</v>
      </c>
      <c r="J733" s="11">
        <f>IFERROR(PagosV2[[#This Row],[Ganancia (UB)]]*$B$358,0)</f>
        <v>22.915799999999997</v>
      </c>
      <c r="K733" s="11">
        <f>IFERROR(PagosV2[[#This Row],[Ganancia (UB)]]*$B$359,0)</f>
        <v>11.457899999999999</v>
      </c>
      <c r="L733" s="11">
        <f>IFERROR(PagosV2[[#This Row],[Ganancia (UB)]]*$B$360,0)</f>
        <v>11.457899999999999</v>
      </c>
      <c r="M733" s="11">
        <f>IFERROR(PagosV2[[#This Row],[Ganancia (UB)]]-PagosV2[[#This Row],[PM]]-PagosV2[[#This Row],[GC]]-PagosV2[[#This Row],[PC]]-PagosV2[[#This Row],[U]],0)</f>
        <v>324.64049999999997</v>
      </c>
      <c r="N733" s="11">
        <f t="shared" si="25"/>
        <v>129.8562</v>
      </c>
      <c r="O733" s="11">
        <f>IFERROR(PagosV2[[#This Row],[Ganancia (UV)]]*PagosV2[[#This Row],[Cantidad vendida]],0)</f>
        <v>129.8562</v>
      </c>
      <c r="P733" s="1">
        <f>IFERROR(PagosV2[[#This Row],[Ganancia (N)]]-PagosV2[[#This Row],[Ganancia (UV)]],0)</f>
        <v>194.78429999999997</v>
      </c>
      <c r="Q733" s="1">
        <f>IFERROR(PagosV2[[#This Row],[Ganancia individual (Tienda)]]*PagosV2[[#This Row],[Cantidad vendida]],0)</f>
        <v>194.78429999999997</v>
      </c>
      <c r="R733" s="1">
        <f>IFERROR((PagosV2[[#This Row],[Precio de venta]]-PagosV2[[#This Row],[Ganancia (UB)]])*PagosV2[[#This Row],[Cantidad vendida]],0)</f>
        <v>818.07</v>
      </c>
      <c r="S733" s="21" t="s">
        <v>312</v>
      </c>
      <c r="T733" s="21"/>
    </row>
    <row r="734" spans="1:20" ht="16.5" x14ac:dyDescent="0.3">
      <c r="A734" s="9" t="s">
        <v>313</v>
      </c>
      <c r="B734" s="75">
        <v>46185</v>
      </c>
      <c r="C734" s="9" t="s">
        <v>123</v>
      </c>
      <c r="D734" s="9" t="str">
        <f>IFERROR(VLOOKUP(PagosV2[[#This Row],[Codigo del producto]],Entradas[],3,FALSE),"No existe")</f>
        <v>Nubwo G06</v>
      </c>
      <c r="E734" s="9">
        <v>1</v>
      </c>
      <c r="F734" s="11">
        <v>1300</v>
      </c>
      <c r="G734" s="11">
        <f>IFERROR(PagosV2[[#This Row],[Cantidad vendida]]*PagosV2[[#This Row],[Precio de venta]],"-")</f>
        <v>1300</v>
      </c>
      <c r="H734" s="11">
        <f>IFERROR(PagosV2[[#This Row],[Precio de venta]]-VLOOKUP(PagosV2[[#This Row],[Codigo del producto]],Stock[],13,FALSE),"-")</f>
        <v>354.42899999999997</v>
      </c>
      <c r="I734" s="11">
        <f>IFERROR(PagosV2[[#This Row],[Ganancia (UB)]]*$B$357,0)</f>
        <v>10.632869999999999</v>
      </c>
      <c r="J734" s="11">
        <f>IFERROR(PagosV2[[#This Row],[Ganancia (UB)]]*$B$358,0)</f>
        <v>21.265739999999997</v>
      </c>
      <c r="K734" s="11">
        <f>IFERROR(PagosV2[[#This Row],[Ganancia (UB)]]*$B$359,0)</f>
        <v>10.632869999999999</v>
      </c>
      <c r="L734" s="11">
        <f>IFERROR(PagosV2[[#This Row],[Ganancia (UB)]]*$B$360,0)</f>
        <v>10.632869999999999</v>
      </c>
      <c r="M734" s="11">
        <f>IFERROR(PagosV2[[#This Row],[Ganancia (UB)]]-PagosV2[[#This Row],[PM]]-PagosV2[[#This Row],[GC]]-PagosV2[[#This Row],[PC]]-PagosV2[[#This Row],[U]],0)</f>
        <v>301.2646499999999</v>
      </c>
      <c r="N734" s="11">
        <f t="shared" si="25"/>
        <v>120.50585999999997</v>
      </c>
      <c r="O734" s="11">
        <f>IFERROR(PagosV2[[#This Row],[Ganancia (UV)]]*PagosV2[[#This Row],[Cantidad vendida]],0)</f>
        <v>120.50585999999997</v>
      </c>
      <c r="P734" s="1">
        <f>IFERROR(PagosV2[[#This Row],[Ganancia (N)]]-PagosV2[[#This Row],[Ganancia (UV)]],0)</f>
        <v>180.75878999999992</v>
      </c>
      <c r="Q734" s="1">
        <f>IFERROR(PagosV2[[#This Row],[Ganancia individual (Tienda)]]*PagosV2[[#This Row],[Cantidad vendida]],0)</f>
        <v>180.75878999999992</v>
      </c>
      <c r="R734" s="1">
        <f>IFERROR((PagosV2[[#This Row],[Precio de venta]]-PagosV2[[#This Row],[Ganancia (UB)]])*PagosV2[[#This Row],[Cantidad vendida]],0)</f>
        <v>945.57100000000003</v>
      </c>
      <c r="S734" s="21" t="s">
        <v>312</v>
      </c>
      <c r="T734" s="21"/>
    </row>
    <row r="735" spans="1:20" ht="16.5" x14ac:dyDescent="0.3">
      <c r="A735" s="9" t="s">
        <v>311</v>
      </c>
      <c r="B735" s="75">
        <v>46185</v>
      </c>
      <c r="C735" s="9" t="s">
        <v>170</v>
      </c>
      <c r="D735" s="9" t="str">
        <f>IFERROR(VLOOKUP(PagosV2[[#This Row],[Codigo del producto]],Entradas[],3,FALSE),"No existe")</f>
        <v>KZ AZ09</v>
      </c>
      <c r="E735" s="9">
        <v>1</v>
      </c>
      <c r="F735" s="11">
        <v>900</v>
      </c>
      <c r="G735" s="11">
        <f>IFERROR(PagosV2[[#This Row],[Cantidad vendida]]*PagosV2[[#This Row],[Precio de venta]],"-")</f>
        <v>900</v>
      </c>
      <c r="H735" s="11">
        <f>IFERROR(PagosV2[[#This Row],[Precio de venta]]-VLOOKUP(PagosV2[[#This Row],[Codigo del producto]],Stock[],13,FALSE),"-")</f>
        <v>336.93200000000002</v>
      </c>
      <c r="I735" s="11">
        <f>IFERROR(PagosV2[[#This Row],[Ganancia (UB)]]*$B$357,0)</f>
        <v>10.10796</v>
      </c>
      <c r="J735" s="11">
        <f>IFERROR(PagosV2[[#This Row],[Ganancia (UB)]]*$B$358,0)</f>
        <v>20.215920000000001</v>
      </c>
      <c r="K735" s="11">
        <f>IFERROR(PagosV2[[#This Row],[Ganancia (UB)]]*$B$359,0)</f>
        <v>10.10796</v>
      </c>
      <c r="L735" s="11">
        <f>IFERROR(PagosV2[[#This Row],[Ganancia (UB)]]*$B$360,0)</f>
        <v>10.10796</v>
      </c>
      <c r="M735" s="11">
        <f>IFERROR(PagosV2[[#This Row],[Ganancia (UB)]]-PagosV2[[#This Row],[PM]]-PagosV2[[#This Row],[GC]]-PagosV2[[#This Row],[PC]]-PagosV2[[#This Row],[U]],0)</f>
        <v>286.39220000000006</v>
      </c>
      <c r="N735" s="11">
        <f t="shared" si="25"/>
        <v>128.87649000000002</v>
      </c>
      <c r="O735" s="11">
        <f>IFERROR(PagosV2[[#This Row],[Ganancia (UV)]]*PagosV2[[#This Row],[Cantidad vendida]],0)</f>
        <v>128.87649000000002</v>
      </c>
      <c r="P735" s="1">
        <f>IFERROR(PagosV2[[#This Row],[Ganancia (N)]]-PagosV2[[#This Row],[Ganancia (UV)]],0)</f>
        <v>157.51571000000004</v>
      </c>
      <c r="Q735" s="1">
        <f>IFERROR(PagosV2[[#This Row],[Ganancia individual (Tienda)]]*PagosV2[[#This Row],[Cantidad vendida]],0)</f>
        <v>157.51571000000004</v>
      </c>
      <c r="R735" s="1">
        <f>IFERROR((PagosV2[[#This Row],[Precio de venta]]-PagosV2[[#This Row],[Ganancia (UB)]])*PagosV2[[#This Row],[Cantidad vendida]],0)</f>
        <v>563.06799999999998</v>
      </c>
      <c r="S735" s="21" t="s">
        <v>312</v>
      </c>
      <c r="T735" s="21"/>
    </row>
    <row r="736" spans="1:20" ht="16.5" x14ac:dyDescent="0.3">
      <c r="A736" s="9" t="s">
        <v>327</v>
      </c>
      <c r="B736" s="75">
        <v>46185</v>
      </c>
      <c r="C736" s="9" t="s">
        <v>89</v>
      </c>
      <c r="D736" s="9" t="str">
        <f>IFERROR(VLOOKUP(PagosV2[[#This Row],[Codigo del producto]],Entradas[],3,FALSE),"No existe")</f>
        <v xml:space="preserve">Adaptador DAC </v>
      </c>
      <c r="E736" s="9">
        <v>1</v>
      </c>
      <c r="F736" s="11">
        <v>350</v>
      </c>
      <c r="G736" s="11">
        <f>IFERROR(PagosV2[[#This Row],[Cantidad vendida]]*PagosV2[[#This Row],[Precio de venta]],"-")</f>
        <v>350</v>
      </c>
      <c r="H736" s="11">
        <f>IFERROR(PagosV2[[#This Row],[Precio de venta]]-VLOOKUP(PagosV2[[#This Row],[Codigo del producto]],Stock[],13,FALSE),"-")</f>
        <v>180.85849999999999</v>
      </c>
      <c r="I736" s="11">
        <f>IFERROR(PagosV2[[#This Row],[Ganancia (UB)]]*$B$357,0)</f>
        <v>5.4257549999999997</v>
      </c>
      <c r="J736" s="11">
        <f>IFERROR(PagosV2[[#This Row],[Ganancia (UB)]]*$B$358,0)</f>
        <v>10.851509999999999</v>
      </c>
      <c r="K736" s="11">
        <f>IFERROR(PagosV2[[#This Row],[Ganancia (UB)]]*$B$359,0)</f>
        <v>5.4257549999999997</v>
      </c>
      <c r="L736" s="11">
        <f>IFERROR(PagosV2[[#This Row],[Ganancia (UB)]]*$B$360,0)</f>
        <v>5.4257549999999997</v>
      </c>
      <c r="M736" s="11">
        <f>IFERROR(PagosV2[[#This Row],[Ganancia (UB)]]-PagosV2[[#This Row],[PM]]-PagosV2[[#This Row],[GC]]-PagosV2[[#This Row],[PC]]-PagosV2[[#This Row],[U]],0)</f>
        <v>153.72972499999997</v>
      </c>
      <c r="N736" s="11">
        <f t="shared" si="25"/>
        <v>69.178376249999985</v>
      </c>
      <c r="O736" s="11">
        <f>IFERROR(PagosV2[[#This Row],[Ganancia (UV)]]*PagosV2[[#This Row],[Cantidad vendida]],0)</f>
        <v>69.178376249999985</v>
      </c>
      <c r="P736" s="1">
        <f>IFERROR(PagosV2[[#This Row],[Ganancia (N)]]-PagosV2[[#This Row],[Ganancia (UV)]],0)</f>
        <v>84.551348749999988</v>
      </c>
      <c r="Q736" s="1">
        <f>IFERROR(PagosV2[[#This Row],[Ganancia individual (Tienda)]]*PagosV2[[#This Row],[Cantidad vendida]],0)</f>
        <v>84.551348749999988</v>
      </c>
      <c r="R736" s="1">
        <f>IFERROR((PagosV2[[#This Row],[Precio de venta]]-PagosV2[[#This Row],[Ganancia (UB)]])*PagosV2[[#This Row],[Cantidad vendida]],0)</f>
        <v>169.14150000000001</v>
      </c>
      <c r="S736" s="21"/>
      <c r="T736" s="21"/>
    </row>
    <row r="737" spans="1:20" ht="16.5" x14ac:dyDescent="0.3">
      <c r="A737" s="9" t="s">
        <v>315</v>
      </c>
      <c r="B737" s="75">
        <v>46185</v>
      </c>
      <c r="C737" s="9" t="s">
        <v>118</v>
      </c>
      <c r="D737" s="9" t="str">
        <f>IFERROR(VLOOKUP(PagosV2[[#This Row],[Codigo del producto]],Entradas[],3,FALSE),"No existe")</f>
        <v>Mojave Ghost</v>
      </c>
      <c r="E737" s="9">
        <v>1</v>
      </c>
      <c r="F737" s="11">
        <v>1060</v>
      </c>
      <c r="G737" s="11">
        <f>IFERROR(PagosV2[[#This Row],[Cantidad vendida]]*PagosV2[[#This Row],[Precio de venta]],"-")</f>
        <v>1060</v>
      </c>
      <c r="H737" s="11">
        <f>IFERROR(PagosV2[[#This Row],[Precio de venta]]-VLOOKUP(PagosV2[[#This Row],[Codigo del producto]],Stock[],13,FALSE),"-")</f>
        <v>9.4064999999998236</v>
      </c>
      <c r="I737" s="11">
        <f>IFERROR(PagosV2[[#This Row],[Ganancia (UB)]]*$B$357,0)</f>
        <v>0.2821949999999947</v>
      </c>
      <c r="J737" s="11">
        <f>IFERROR(PagosV2[[#This Row],[Ganancia (UB)]]*$B$358,0)</f>
        <v>0.5643899999999894</v>
      </c>
      <c r="K737" s="11">
        <f>IFERROR(PagosV2[[#This Row],[Ganancia (UB)]]*$B$359,0)</f>
        <v>0.2821949999999947</v>
      </c>
      <c r="L737" s="11">
        <f>IFERROR(PagosV2[[#This Row],[Ganancia (UB)]]*$B$360,0)</f>
        <v>0.2821949999999947</v>
      </c>
      <c r="M737" s="11">
        <f>IFERROR(PagosV2[[#This Row],[Ganancia (UB)]]-PagosV2[[#This Row],[PM]]-PagosV2[[#This Row],[GC]]-PagosV2[[#This Row],[PC]]-PagosV2[[#This Row],[U]],0)</f>
        <v>7.9955249999998514</v>
      </c>
      <c r="N737" s="11">
        <f t="shared" si="25"/>
        <v>3.5979862499999333</v>
      </c>
      <c r="O737" s="11">
        <f>IFERROR(PagosV2[[#This Row],[Ganancia (UV)]]*PagosV2[[#This Row],[Cantidad vendida]],0)</f>
        <v>3.5979862499999333</v>
      </c>
      <c r="P737" s="1">
        <f>IFERROR(PagosV2[[#This Row],[Ganancia (N)]]-PagosV2[[#This Row],[Ganancia (UV)]],0)</f>
        <v>4.3975387499999181</v>
      </c>
      <c r="Q737" s="1">
        <f>IFERROR(PagosV2[[#This Row],[Ganancia individual (Tienda)]]*PagosV2[[#This Row],[Cantidad vendida]],0)</f>
        <v>4.3975387499999181</v>
      </c>
      <c r="R737" s="1">
        <f>IFERROR((PagosV2[[#This Row],[Precio de venta]]-PagosV2[[#This Row],[Ganancia (UB)]])*PagosV2[[#This Row],[Cantidad vendida]],0)</f>
        <v>1050.5935000000002</v>
      </c>
      <c r="S737" s="21"/>
      <c r="T737" s="21"/>
    </row>
    <row r="738" spans="1:20" ht="16.5" x14ac:dyDescent="0.3">
      <c r="A738" s="9" t="s">
        <v>315</v>
      </c>
      <c r="B738" s="75">
        <v>46185</v>
      </c>
      <c r="C738" s="9" t="s">
        <v>136</v>
      </c>
      <c r="D738" s="9" t="str">
        <f>IFERROR(VLOOKUP(PagosV2[[#This Row],[Codigo del producto]],Entradas[],3,FALSE),"No existe")</f>
        <v xml:space="preserve">Lataffa Khamrah </v>
      </c>
      <c r="E738" s="9">
        <v>1</v>
      </c>
      <c r="F738" s="11">
        <v>942</v>
      </c>
      <c r="G738" s="11">
        <f>IFERROR(PagosV2[[#This Row],[Cantidad vendida]]*PagosV2[[#This Row],[Precio de venta]],"-")</f>
        <v>942</v>
      </c>
      <c r="H738" s="11">
        <f>IFERROR(PagosV2[[#This Row],[Precio de venta]]-VLOOKUP(PagosV2[[#This Row],[Codigo del producto]],Stock[],13,FALSE),"-")</f>
        <v>0.85099999999999909</v>
      </c>
      <c r="I738" s="11">
        <f>IFERROR(PagosV2[[#This Row],[Ganancia (UB)]]*$B$357,0)</f>
        <v>2.5529999999999973E-2</v>
      </c>
      <c r="J738" s="11">
        <f>IFERROR(PagosV2[[#This Row],[Ganancia (UB)]]*$B$358,0)</f>
        <v>5.1059999999999946E-2</v>
      </c>
      <c r="K738" s="11">
        <f>IFERROR(PagosV2[[#This Row],[Ganancia (UB)]]*$B$359,0)</f>
        <v>2.5529999999999973E-2</v>
      </c>
      <c r="L738" s="11">
        <f>IFERROR(PagosV2[[#This Row],[Ganancia (UB)]]*$B$360,0)</f>
        <v>2.5529999999999973E-2</v>
      </c>
      <c r="M738" s="11">
        <f>IFERROR(PagosV2[[#This Row],[Ganancia (UB)]]-PagosV2[[#This Row],[PM]]-PagosV2[[#This Row],[GC]]-PagosV2[[#This Row],[PC]]-PagosV2[[#This Row],[U]],0)</f>
        <v>0.72334999999999927</v>
      </c>
      <c r="N738" s="11">
        <f t="shared" si="25"/>
        <v>0.32550749999999967</v>
      </c>
      <c r="O738" s="11">
        <f>IFERROR(PagosV2[[#This Row],[Ganancia (UV)]]*PagosV2[[#This Row],[Cantidad vendida]],0)</f>
        <v>0.32550749999999967</v>
      </c>
      <c r="P738" s="1">
        <f>IFERROR(PagosV2[[#This Row],[Ganancia (N)]]-PagosV2[[#This Row],[Ganancia (UV)]],0)</f>
        <v>0.3978424999999996</v>
      </c>
      <c r="Q738" s="1">
        <f>IFERROR(PagosV2[[#This Row],[Ganancia individual (Tienda)]]*PagosV2[[#This Row],[Cantidad vendida]],0)</f>
        <v>0.3978424999999996</v>
      </c>
      <c r="R738" s="1">
        <f>IFERROR((PagosV2[[#This Row],[Precio de venta]]-PagosV2[[#This Row],[Ganancia (UB)]])*PagosV2[[#This Row],[Cantidad vendida]],0)</f>
        <v>941.149</v>
      </c>
      <c r="S738" s="21"/>
      <c r="T738" s="21"/>
    </row>
    <row r="739" spans="1:20" ht="16.5" x14ac:dyDescent="0.3">
      <c r="A739" s="9" t="s">
        <v>315</v>
      </c>
      <c r="B739" s="75">
        <v>46185</v>
      </c>
      <c r="C739" s="9" t="s">
        <v>138</v>
      </c>
      <c r="D739" s="9" t="str">
        <f>IFERROR(VLOOKUP(PagosV2[[#This Row],[Codigo del producto]],Entradas[],3,FALSE),"No existe")</f>
        <v>Afan Supremacy</v>
      </c>
      <c r="E739" s="9">
        <v>1</v>
      </c>
      <c r="F739" s="11">
        <v>623</v>
      </c>
      <c r="G739" s="11">
        <f>IFERROR(PagosV2[[#This Row],[Cantidad vendida]]*PagosV2[[#This Row],[Precio de venta]],"-")</f>
        <v>623</v>
      </c>
      <c r="H739" s="11">
        <f>IFERROR(PagosV2[[#This Row],[Precio de venta]]-VLOOKUP(PagosV2[[#This Row],[Codigo del producto]],Stock[],13,FALSE),"-")</f>
        <v>0.23500000000001364</v>
      </c>
      <c r="I739" s="11">
        <f>IFERROR(PagosV2[[#This Row],[Ganancia (UB)]]*$B$357,0)</f>
        <v>7.0500000000004092E-3</v>
      </c>
      <c r="J739" s="11">
        <f>IFERROR(PagosV2[[#This Row],[Ganancia (UB)]]*$B$358,0)</f>
        <v>1.4100000000000818E-2</v>
      </c>
      <c r="K739" s="11">
        <f>IFERROR(PagosV2[[#This Row],[Ganancia (UB)]]*$B$359,0)</f>
        <v>7.0500000000004092E-3</v>
      </c>
      <c r="L739" s="11">
        <f>IFERROR(PagosV2[[#This Row],[Ganancia (UB)]]*$B$360,0)</f>
        <v>7.0500000000004092E-3</v>
      </c>
      <c r="M739" s="11">
        <f>IFERROR(PagosV2[[#This Row],[Ganancia (UB)]]-PagosV2[[#This Row],[PM]]-PagosV2[[#This Row],[GC]]-PagosV2[[#This Row],[PC]]-PagosV2[[#This Row],[U]],0)</f>
        <v>0.19975000000001158</v>
      </c>
      <c r="N739" s="11">
        <f t="shared" si="25"/>
        <v>8.9887500000005213E-2</v>
      </c>
      <c r="O739" s="11">
        <f>IFERROR(PagosV2[[#This Row],[Ganancia (UV)]]*PagosV2[[#This Row],[Cantidad vendida]],0)</f>
        <v>8.9887500000005213E-2</v>
      </c>
      <c r="P739" s="1">
        <f>IFERROR(PagosV2[[#This Row],[Ganancia (N)]]-PagosV2[[#This Row],[Ganancia (UV)]],0)</f>
        <v>0.10986250000000637</v>
      </c>
      <c r="Q739" s="1">
        <f>IFERROR(PagosV2[[#This Row],[Ganancia individual (Tienda)]]*PagosV2[[#This Row],[Cantidad vendida]],0)</f>
        <v>0.10986250000000637</v>
      </c>
      <c r="R739" s="1">
        <f>IFERROR((PagosV2[[#This Row],[Precio de venta]]-PagosV2[[#This Row],[Ganancia (UB)]])*PagosV2[[#This Row],[Cantidad vendida]],0)</f>
        <v>622.76499999999999</v>
      </c>
      <c r="S739" s="21"/>
      <c r="T739" s="21"/>
    </row>
    <row r="740" spans="1:20" ht="16.5" x14ac:dyDescent="0.3">
      <c r="A740" s="9" t="s">
        <v>315</v>
      </c>
      <c r="B740" s="75">
        <v>46185</v>
      </c>
      <c r="C740" s="9" t="s">
        <v>139</v>
      </c>
      <c r="D740" s="9" t="str">
        <f>IFERROR(VLOOKUP(PagosV2[[#This Row],[Codigo del producto]],Entradas[],3,FALSE),"No existe")</f>
        <v>Shark Attack Mouse X6</v>
      </c>
      <c r="E740" s="9">
        <v>1</v>
      </c>
      <c r="F740" s="11">
        <v>1832.5</v>
      </c>
      <c r="G740" s="11">
        <f>IFERROR(PagosV2[[#This Row],[Cantidad vendida]]*PagosV2[[#This Row],[Precio de venta]],"-")</f>
        <v>1832.5</v>
      </c>
      <c r="H740" s="11">
        <f>IFERROR(PagosV2[[#This Row],[Precio de venta]]-VLOOKUP(PagosV2[[#This Row],[Codigo del producto]],Stock[],13,FALSE),"-")</f>
        <v>303.22499999999991</v>
      </c>
      <c r="I740" s="11">
        <f>IFERROR(PagosV2[[#This Row],[Ganancia (UB)]]*$B$357,0)</f>
        <v>9.0967499999999966</v>
      </c>
      <c r="J740" s="11">
        <f>IFERROR(PagosV2[[#This Row],[Ganancia (UB)]]*$B$358,0)</f>
        <v>18.193499999999993</v>
      </c>
      <c r="K740" s="11">
        <f>IFERROR(PagosV2[[#This Row],[Ganancia (UB)]]*$B$359,0)</f>
        <v>9.0967499999999966</v>
      </c>
      <c r="L740" s="11">
        <f>IFERROR(PagosV2[[#This Row],[Ganancia (UB)]]*$B$360,0)</f>
        <v>9.0967499999999966</v>
      </c>
      <c r="M740" s="11">
        <f>IFERROR(PagosV2[[#This Row],[Ganancia (UB)]]-PagosV2[[#This Row],[PM]]-PagosV2[[#This Row],[GC]]-PagosV2[[#This Row],[PC]]-PagosV2[[#This Row],[U]],0)</f>
        <v>257.74124999999998</v>
      </c>
      <c r="N740" s="11">
        <f t="shared" si="25"/>
        <v>115.98356249999999</v>
      </c>
      <c r="O740" s="11">
        <f>IFERROR(PagosV2[[#This Row],[Ganancia (UV)]]*PagosV2[[#This Row],[Cantidad vendida]],0)</f>
        <v>115.98356249999999</v>
      </c>
      <c r="P740" s="1">
        <f>IFERROR(PagosV2[[#This Row],[Ganancia (N)]]-PagosV2[[#This Row],[Ganancia (UV)]],0)</f>
        <v>141.75768749999997</v>
      </c>
      <c r="Q740" s="1">
        <f>IFERROR(PagosV2[[#This Row],[Ganancia individual (Tienda)]]*PagosV2[[#This Row],[Cantidad vendida]],0)</f>
        <v>141.75768749999997</v>
      </c>
      <c r="R740" s="1">
        <f>IFERROR((PagosV2[[#This Row],[Precio de venta]]-PagosV2[[#This Row],[Ganancia (UB)]])*PagosV2[[#This Row],[Cantidad vendida]],0)</f>
        <v>1529.2750000000001</v>
      </c>
      <c r="S740" s="21"/>
      <c r="T740" s="21"/>
    </row>
    <row r="741" spans="1:20" ht="16.5" x14ac:dyDescent="0.3">
      <c r="A741" s="9" t="s">
        <v>327</v>
      </c>
      <c r="B741" s="75">
        <v>46187</v>
      </c>
      <c r="C741" s="9" t="s">
        <v>184</v>
      </c>
      <c r="D741" s="9" t="str">
        <f>IFERROR(VLOOKUP(PagosV2[[#This Row],[Codigo del producto]],Entradas[],3,FALSE),"No existe")</f>
        <v>Shark Attack Mouse X11 Black</v>
      </c>
      <c r="E741" s="9">
        <v>1</v>
      </c>
      <c r="F741" s="11">
        <v>1200</v>
      </c>
      <c r="G741" s="11">
        <f>IFERROR(PagosV2[[#This Row],[Cantidad vendida]]*PagosV2[[#This Row],[Precio de venta]],"-")</f>
        <v>1200</v>
      </c>
      <c r="H741" s="11">
        <f>IFERROR(PagosV2[[#This Row],[Precio de venta]]-VLOOKUP(PagosV2[[#This Row],[Codigo del producto]],Stock[],13,FALSE),"-")</f>
        <v>381.92999999999995</v>
      </c>
      <c r="I741" s="11">
        <f>IFERROR(PagosV2[[#This Row],[Ganancia (UB)]]*$B$357,0)</f>
        <v>11.457899999999999</v>
      </c>
      <c r="J741" s="11">
        <f>IFERROR(PagosV2[[#This Row],[Ganancia (UB)]]*$B$358,0)</f>
        <v>22.915799999999997</v>
      </c>
      <c r="K741" s="11">
        <f>IFERROR(PagosV2[[#This Row],[Ganancia (UB)]]*$B$359,0)</f>
        <v>11.457899999999999</v>
      </c>
      <c r="L741" s="11">
        <f>IFERROR(PagosV2[[#This Row],[Ganancia (UB)]]*$B$360,0)</f>
        <v>11.457899999999999</v>
      </c>
      <c r="M741" s="11">
        <f>IFERROR(PagosV2[[#This Row],[Ganancia (UB)]]-PagosV2[[#This Row],[PM]]-PagosV2[[#This Row],[GC]]-PagosV2[[#This Row],[PC]]-PagosV2[[#This Row],[U]],0)</f>
        <v>324.64049999999997</v>
      </c>
      <c r="N741" s="11">
        <f>IFERROR(
  IF(M741&lt;=0,"-",
    IF(M741&lt;=300, M741*0.45,
      IF(M741&lt;=600, M741*0.4,
        IF(M741&lt;=900, M741*0.38,
          IF(M741&lt;=1000, M741*0.35,
            IF(M741&lt;=1400, M741*0.32,
              IF(M741&lt;=1800, HM741*0.3,
                IF(M741&gt;=2000, M741*0.28,
                  "-"
                )
              )
            )
          )
        )
      )
    )
  ),
  "-"
)</f>
        <v>129.8562</v>
      </c>
      <c r="O741" s="11">
        <f>IFERROR(PagosV2[[#This Row],[Ganancia (UV)]]*PagosV2[[#This Row],[Cantidad vendida]],0)</f>
        <v>129.8562</v>
      </c>
      <c r="P741" s="1">
        <f>IFERROR(PagosV2[[#This Row],[Ganancia (N)]]-PagosV2[[#This Row],[Ganancia (UV)]],0)</f>
        <v>194.78429999999997</v>
      </c>
      <c r="Q741" s="1">
        <f>IFERROR(PagosV2[[#This Row],[Ganancia individual (Tienda)]]*PagosV2[[#This Row],[Cantidad vendida]],0)</f>
        <v>194.78429999999997</v>
      </c>
      <c r="R741" s="1">
        <f>IFERROR((PagosV2[[#This Row],[Precio de venta]]-PagosV2[[#This Row],[Ganancia (UB)]])*PagosV2[[#This Row],[Cantidad vendida]],0)</f>
        <v>818.07</v>
      </c>
      <c r="S741" s="21"/>
      <c r="T741" s="21"/>
    </row>
    <row r="742" spans="1:20" ht="16.5" x14ac:dyDescent="0.3">
      <c r="A742" s="9" t="s">
        <v>327</v>
      </c>
      <c r="B742" s="75">
        <v>46187</v>
      </c>
      <c r="C742" s="9" t="s">
        <v>89</v>
      </c>
      <c r="D742" s="9" t="str">
        <f>IFERROR(VLOOKUP(PagosV2[[#This Row],[Codigo del producto]],Entradas[],3,FALSE),"No existe")</f>
        <v xml:space="preserve">Adaptador DAC </v>
      </c>
      <c r="E742" s="9">
        <v>1</v>
      </c>
      <c r="F742" s="11">
        <v>350</v>
      </c>
      <c r="G742" s="11">
        <f>IFERROR(PagosV2[[#This Row],[Cantidad vendida]]*PagosV2[[#This Row],[Precio de venta]],"-")</f>
        <v>350</v>
      </c>
      <c r="H742" s="11">
        <f>IFERROR(PagosV2[[#This Row],[Precio de venta]]-VLOOKUP(PagosV2[[#This Row],[Codigo del producto]],Stock[],13,FALSE),"-")</f>
        <v>180.85849999999999</v>
      </c>
      <c r="I742" s="11">
        <f>IFERROR(PagosV2[[#This Row],[Ganancia (UB)]]*$B$357,0)</f>
        <v>5.4257549999999997</v>
      </c>
      <c r="J742" s="11">
        <f>IFERROR(PagosV2[[#This Row],[Ganancia (UB)]]*$B$358,0)</f>
        <v>10.851509999999999</v>
      </c>
      <c r="K742" s="11">
        <f>IFERROR(PagosV2[[#This Row],[Ganancia (UB)]]*$B$359,0)</f>
        <v>5.4257549999999997</v>
      </c>
      <c r="L742" s="11">
        <f>IFERROR(PagosV2[[#This Row],[Ganancia (UB)]]*$B$360,0)</f>
        <v>5.4257549999999997</v>
      </c>
      <c r="M742" s="11">
        <f>IFERROR(PagosV2[[#This Row],[Ganancia (UB)]]-PagosV2[[#This Row],[PM]]-PagosV2[[#This Row],[GC]]-PagosV2[[#This Row],[PC]]-PagosV2[[#This Row],[U]],0)</f>
        <v>153.72972499999997</v>
      </c>
      <c r="N742" s="11">
        <f>IFERROR(
  IF(M742&lt;=0,"-",
    IF(M742&lt;=300, M742*0.45,
      IF(M742&lt;=600, M742*0.4,
        IF(M742&lt;=900, M742*0.38,
          IF(M742&lt;=1000, M742*0.35,
            IF(M742&lt;=1400, M742*0.32,
              IF(M742&lt;=1800, HM742*0.3,
                IF(M742&gt;=2000, M742*0.28,
                  "-"
                )
              )
            )
          )
        )
      )
    )
  ),
  "-"
)</f>
        <v>69.178376249999985</v>
      </c>
      <c r="O742" s="11">
        <f>IFERROR(PagosV2[[#This Row],[Ganancia (UV)]]*PagosV2[[#This Row],[Cantidad vendida]],0)</f>
        <v>69.178376249999985</v>
      </c>
      <c r="P742" s="1">
        <f>IFERROR(PagosV2[[#This Row],[Ganancia (N)]]-PagosV2[[#This Row],[Ganancia (UV)]],0)</f>
        <v>84.551348749999988</v>
      </c>
      <c r="Q742" s="1">
        <f>IFERROR(PagosV2[[#This Row],[Ganancia individual (Tienda)]]*PagosV2[[#This Row],[Cantidad vendida]],0)</f>
        <v>84.551348749999988</v>
      </c>
      <c r="R742" s="1">
        <f>IFERROR((PagosV2[[#This Row],[Precio de venta]]-PagosV2[[#This Row],[Ganancia (UB)]])*PagosV2[[#This Row],[Cantidad vendida]],0)</f>
        <v>169.14150000000001</v>
      </c>
      <c r="S742" s="21"/>
      <c r="T742" s="21"/>
    </row>
    <row r="743" spans="1:20" ht="16.5" x14ac:dyDescent="0.3">
      <c r="A743" s="9" t="s">
        <v>335</v>
      </c>
      <c r="B743" s="75">
        <v>46187</v>
      </c>
      <c r="C743" s="9" t="s">
        <v>184</v>
      </c>
      <c r="D743" s="9" t="str">
        <f>IFERROR(VLOOKUP(PagosV2[[#This Row],[Codigo del producto]],Entradas[],3,FALSE),"No existe")</f>
        <v>Shark Attack Mouse X11 Black</v>
      </c>
      <c r="E743" s="9">
        <v>1</v>
      </c>
      <c r="F743" s="11">
        <v>1200</v>
      </c>
      <c r="G743" s="11">
        <f>IFERROR(PagosV2[[#This Row],[Cantidad vendida]]*PagosV2[[#This Row],[Precio de venta]],"-")</f>
        <v>1200</v>
      </c>
      <c r="H743" s="11">
        <f>IFERROR(PagosV2[[#This Row],[Precio de venta]]-VLOOKUP(PagosV2[[#This Row],[Codigo del producto]],Stock[],13,FALSE),"-")</f>
        <v>381.92999999999995</v>
      </c>
      <c r="I743" s="11">
        <f>IFERROR(PagosV2[[#This Row],[Ganancia (UB)]]*$B$357,0)</f>
        <v>11.457899999999999</v>
      </c>
      <c r="J743" s="11">
        <f>IFERROR(PagosV2[[#This Row],[Ganancia (UB)]]*$B$358,0)</f>
        <v>22.915799999999997</v>
      </c>
      <c r="K743" s="11">
        <f>IFERROR(PagosV2[[#This Row],[Ganancia (UB)]]*$B$359,0)</f>
        <v>11.457899999999999</v>
      </c>
      <c r="L743" s="11">
        <f>IFERROR(PagosV2[[#This Row],[Ganancia (UB)]]*$B$360,0)</f>
        <v>11.457899999999999</v>
      </c>
      <c r="M743" s="11">
        <f>IFERROR(PagosV2[[#This Row],[Ganancia (UB)]]-PagosV2[[#This Row],[PM]]-PagosV2[[#This Row],[GC]]-PagosV2[[#This Row],[PC]]-PagosV2[[#This Row],[U]],0)</f>
        <v>324.64049999999997</v>
      </c>
      <c r="N743" s="11">
        <f>IFERROR(
  IF(M743&lt;=0,"-",
    IF(M743&lt;=300, M743*0.45,
      IF(M743&lt;=600, M743*0.4,
        IF(M743&lt;=900, M743*0.38,
          IF(M743&lt;=1000, M743*0.35,
            IF(M743&lt;=1400, M743*0.32,
              IF(M743&lt;=1800, HM743*0.3,
                IF(M743&gt;=2000, M743*0.28,
                  "-"
                )
              )
            )
          )
        )
      )
    )
  ),
  "-"
)</f>
        <v>129.8562</v>
      </c>
      <c r="O743" s="11">
        <f>IFERROR(PagosV2[[#This Row],[Ganancia (UV)]]*PagosV2[[#This Row],[Cantidad vendida]],0)</f>
        <v>129.8562</v>
      </c>
      <c r="P743" s="1">
        <f>IFERROR(PagosV2[[#This Row],[Ganancia (N)]]-PagosV2[[#This Row],[Ganancia (UV)]],0)</f>
        <v>194.78429999999997</v>
      </c>
      <c r="Q743" s="1">
        <f>IFERROR(PagosV2[[#This Row],[Ganancia individual (Tienda)]]*PagosV2[[#This Row],[Cantidad vendida]],0)</f>
        <v>194.78429999999997</v>
      </c>
      <c r="R743" s="1">
        <f>IFERROR((PagosV2[[#This Row],[Precio de venta]]-PagosV2[[#This Row],[Ganancia (UB)]])*PagosV2[[#This Row],[Cantidad vendida]],0)</f>
        <v>818.07</v>
      </c>
      <c r="S743" s="21"/>
      <c r="T743" s="21"/>
    </row>
    <row r="744" spans="1:20" ht="16.5" x14ac:dyDescent="0.3">
      <c r="A744" s="9" t="s">
        <v>315</v>
      </c>
      <c r="B744" s="75">
        <v>46187</v>
      </c>
      <c r="C744" s="9" t="s">
        <v>100</v>
      </c>
      <c r="D744" s="9" t="str">
        <f>IFERROR(VLOOKUP(PagosV2[[#This Row],[Codigo del producto]],Entradas[],3,FALSE),"No existe")</f>
        <v>NYXI Pro controller (Orange)</v>
      </c>
      <c r="E744" s="9">
        <v>1</v>
      </c>
      <c r="F744" s="11">
        <v>1800</v>
      </c>
      <c r="G744" s="11">
        <f>IFERROR(PagosV2[[#This Row],[Cantidad vendida]]*PagosV2[[#This Row],[Precio de venta]],"-")</f>
        <v>1800</v>
      </c>
      <c r="H744" s="11">
        <f>IFERROR(PagosV2[[#This Row],[Precio de venta]]-VLOOKUP(PagosV2[[#This Row],[Codigo del producto]],Stock[],13,FALSE),"-")</f>
        <v>203.6579999999999</v>
      </c>
      <c r="I744" s="11">
        <f>IFERROR(PagosV2[[#This Row],[Ganancia (UB)]]*$B$357,0)</f>
        <v>6.1097399999999968</v>
      </c>
      <c r="J744" s="11">
        <f>IFERROR(PagosV2[[#This Row],[Ganancia (UB)]]*$B$358,0)</f>
        <v>12.219479999999994</v>
      </c>
      <c r="K744" s="11">
        <f>IFERROR(PagosV2[[#This Row],[Ganancia (UB)]]*$B$359,0)</f>
        <v>6.1097399999999968</v>
      </c>
      <c r="L744" s="11">
        <f>IFERROR(PagosV2[[#This Row],[Ganancia (UB)]]*$B$360,0)</f>
        <v>6.1097399999999968</v>
      </c>
      <c r="M744" s="11">
        <f>IFERROR(PagosV2[[#This Row],[Ganancia (UB)]]-PagosV2[[#This Row],[PM]]-PagosV2[[#This Row],[GC]]-PagosV2[[#This Row],[PC]]-PagosV2[[#This Row],[U]],0)</f>
        <v>173.10929999999993</v>
      </c>
      <c r="N744" s="11">
        <f>IFERROR(
  IF(M744&lt;=0,"-",
    IF(M744&lt;=300, M744*0.45,
      IF(M744&lt;=600, M744*0.4,
        IF(M744&lt;=900, M744*0.38,
          IF(M744&lt;=1000, M744*0.35,
            IF(M744&lt;=1400, M744*0.32,
              IF(M744&lt;=1800, HM744*0.3,
                IF(M744&gt;=2000, M744*0.28,
                  "-"
                )
              )
            )
          )
        )
      )
    )
  ),
  "-"
)</f>
        <v>77.899184999999974</v>
      </c>
      <c r="O744" s="11">
        <f>IFERROR(PagosV2[[#This Row],[Ganancia (UV)]]*PagosV2[[#This Row],[Cantidad vendida]],0)</f>
        <v>77.899184999999974</v>
      </c>
      <c r="P744" s="1">
        <f>IFERROR(PagosV2[[#This Row],[Ganancia (N)]]-PagosV2[[#This Row],[Ganancia (UV)]],0)</f>
        <v>95.210114999999959</v>
      </c>
      <c r="Q744" s="1">
        <f>IFERROR(PagosV2[[#This Row],[Ganancia individual (Tienda)]]*PagosV2[[#This Row],[Cantidad vendida]],0)</f>
        <v>95.210114999999959</v>
      </c>
      <c r="R744" s="1">
        <f>IFERROR((PagosV2[[#This Row],[Precio de venta]]-PagosV2[[#This Row],[Ganancia (UB)]])*PagosV2[[#This Row],[Cantidad vendida]],0)</f>
        <v>1596.3420000000001</v>
      </c>
      <c r="S744" s="21"/>
      <c r="T744" s="21"/>
    </row>
    <row r="745" spans="1:20" ht="15.75" customHeight="1" x14ac:dyDescent="0.3">
      <c r="A745" s="90" t="s">
        <v>185</v>
      </c>
      <c r="B745" s="91"/>
      <c r="C745" s="90"/>
      <c r="D745" s="90"/>
      <c r="E745" s="90"/>
      <c r="F745" s="90"/>
      <c r="G745" s="90">
        <f>SUBTOTAL(109,PagosV2[Importe Total a Tienda])</f>
        <v>51207.5</v>
      </c>
      <c r="H745" s="90">
        <f>SUBTOTAL(109,PagosV2[Ganancia (UB)])</f>
        <v>13671.482000000004</v>
      </c>
      <c r="I745" s="90">
        <f>SUBTOTAL(109,PagosV2[PM])</f>
        <v>410.14445999999981</v>
      </c>
      <c r="J745" s="90">
        <f>SUBTOTAL(109,PagosV2[GC])</f>
        <v>820.28891999999962</v>
      </c>
      <c r="K745" s="90">
        <f>SUBTOTAL(109,K363:K744)</f>
        <v>410.14445999999981</v>
      </c>
      <c r="L745" s="90">
        <f>SUBTOTAL(109,L363:L744)</f>
        <v>410.14445999999981</v>
      </c>
      <c r="M745" s="90"/>
      <c r="N745" s="90"/>
      <c r="O745" s="90">
        <f>SUBTOTAL(109,O363:O744)</f>
        <v>5558.6421712499996</v>
      </c>
      <c r="P745" s="1">
        <f>SUBTOTAL(109,PagosV2[Ganancia individual (Tienda)])</f>
        <v>6486.4723999999997</v>
      </c>
      <c r="Q745" s="1">
        <f>SUBTOTAL(109,Q363:Q744)</f>
        <v>7005.1283537500012</v>
      </c>
      <c r="R745" s="1">
        <f>SUBTOTAL(109,R363:R744)</f>
        <v>36426.593499999995</v>
      </c>
      <c r="S745" s="1"/>
      <c r="T745" s="1">
        <f>SUBTOTAL(103,PagosV2[Comentario])</f>
        <v>0</v>
      </c>
    </row>
    <row r="746" spans="1:20" ht="16.5" x14ac:dyDescent="0.3">
      <c r="A746" s="9"/>
      <c r="B746" s="75"/>
      <c r="C746" s="9"/>
      <c r="D746" s="9"/>
      <c r="E746" s="9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"/>
      <c r="Q746" s="1"/>
      <c r="R746" s="1"/>
      <c r="S746" s="21"/>
      <c r="T746" s="21"/>
    </row>
    <row r="747" spans="1:20" ht="16.5" x14ac:dyDescent="0.3">
      <c r="A747" s="9"/>
      <c r="B747" s="75"/>
      <c r="C747" s="9"/>
      <c r="D747" s="9"/>
      <c r="E747" s="9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"/>
      <c r="Q747" s="1"/>
      <c r="R747" s="1"/>
      <c r="S747" s="21"/>
      <c r="T747" s="21"/>
    </row>
    <row r="798" spans="3:3" x14ac:dyDescent="0.25">
      <c r="C798" t="s">
        <v>503</v>
      </c>
    </row>
  </sheetData>
  <mergeCells count="2">
    <mergeCell ref="A1:D1"/>
    <mergeCell ref="E1:L1"/>
  </mergeCells>
  <phoneticPr fontId="3" type="noConversion"/>
  <conditionalFormatting sqref="I4:I352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J352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48:L1048576 L1:L2 L353:L361 L4:L96 Q746:Q747 Q362:Q74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N22:O22 N4:N21 N33:O33 N23:N32 N122:N123 N34:N120 N135 N128 N132 N140 N149:N150 N155:N157 N162:N163 N168 N172 N181:N182 N193:N194 N204:N205 N212:N213 N221" xr:uid="{6827A593-3A91-4D32-9E8A-94B71458E2F4}">
      <formula1>"Pendiente,Pagado"</formula1>
    </dataValidation>
    <dataValidation type="list" allowBlank="1" showInputMessage="1" showErrorMessage="1" sqref="A1:A3 A746:A1048576 A363:A591 A594:A619 A622:A670" xr:uid="{CE39FD88-F57B-47D2-ABA2-03B6EF7365F7}">
      <formula1>"Mama, Papa, Brian, Guisel, Sergio, Yolanda, Jaoska, Gerald, Braulio"</formula1>
    </dataValidation>
    <dataValidation type="list" allowBlank="1" showInputMessage="1" showErrorMessage="1" sqref="S746:S1048576 S1:S734" xr:uid="{55010E2E-0700-41BF-8011-E980751A8B0F}">
      <formula1>"Pendiente, Pagado"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4EAD-5DBB-4780-A713-1918B4A1D020}">
  <sheetPr>
    <tabColor theme="5"/>
  </sheetPr>
  <dimension ref="A1:K22"/>
  <sheetViews>
    <sheetView workbookViewId="0">
      <selection activeCell="D21" sqref="D21"/>
    </sheetView>
  </sheetViews>
  <sheetFormatPr defaultRowHeight="15" x14ac:dyDescent="0.25"/>
  <cols>
    <col min="1" max="1" width="24.85546875" customWidth="1"/>
    <col min="2" max="2" width="22.28515625" customWidth="1"/>
    <col min="3" max="3" width="12.28515625" customWidth="1"/>
    <col min="4" max="4" width="37.85546875" bestFit="1" customWidth="1"/>
    <col min="5" max="5" width="34.140625" customWidth="1"/>
    <col min="6" max="7" width="35.140625" bestFit="1" customWidth="1"/>
    <col min="8" max="8" width="27" customWidth="1"/>
    <col min="9" max="9" width="33.5703125" bestFit="1" customWidth="1"/>
    <col min="10" max="10" width="34.7109375" customWidth="1"/>
    <col min="11" max="11" width="36.5703125" bestFit="1" customWidth="1"/>
  </cols>
  <sheetData>
    <row r="1" spans="1:11" ht="112.5" customHeight="1" x14ac:dyDescent="0.25">
      <c r="A1" s="13" t="e" vm="3">
        <v>#VALUE!</v>
      </c>
      <c r="B1" s="98" t="s">
        <v>392</v>
      </c>
      <c r="C1" s="98"/>
      <c r="D1" s="98"/>
      <c r="E1" s="98"/>
      <c r="F1" s="98"/>
      <c r="G1" s="12"/>
    </row>
    <row r="2" spans="1:11" x14ac:dyDescent="0.25">
      <c r="A2" s="14"/>
      <c r="B2" s="14"/>
      <c r="C2" s="14"/>
      <c r="D2" s="14"/>
      <c r="E2" s="14"/>
      <c r="F2" s="14"/>
    </row>
    <row r="3" spans="1:11" x14ac:dyDescent="0.25">
      <c r="A3" s="14" t="s">
        <v>393</v>
      </c>
      <c r="B3" s="14" t="s">
        <v>394</v>
      </c>
      <c r="C3" s="14" t="s">
        <v>395</v>
      </c>
      <c r="D3" s="14" t="s">
        <v>396</v>
      </c>
      <c r="E3" s="14" t="s">
        <v>397</v>
      </c>
      <c r="F3" s="14" t="s">
        <v>398</v>
      </c>
    </row>
    <row r="4" spans="1:11" x14ac:dyDescent="0.25">
      <c r="A4" s="15">
        <v>46023</v>
      </c>
      <c r="B4" s="15">
        <v>46053</v>
      </c>
      <c r="C4" s="16">
        <v>46023</v>
      </c>
      <c r="D4" s="17">
        <f>SUMIFS(Stock[Precio Total (Sin Envios - $)], Stock[Fecha], "&gt;="&amp;Reporteria[[#This Row],[Fecha Referfencia Inicio ]], Stock[Fecha], "&lt;="&amp;Reporteria[[#This Row],[Fecha Referfencia Fin]])</f>
        <v>5174.1999999999989</v>
      </c>
      <c r="E4" s="18">
        <f>SUMIFS(Stock[Coste de envio total], Stock[Fecha], "&gt;="&amp;Reporteria[[#This Row],[Fecha Referfencia Inicio ]], Stock[Fecha], "&lt;="&amp;Reporteria[[#This Row],[Fecha Referfencia Fin]])</f>
        <v>461.17000000000007</v>
      </c>
      <c r="F4" s="17">
        <f>SUMIFS(Stock[Precio Total (Con Envios - $)], Stock[Fecha], "&gt;="&amp;Reporteria[[#This Row],[Fecha Referfencia Inicio ]], Stock[Fecha], "&lt;="&amp;Reporteria[[#This Row],[Fecha Referfencia Fin]])</f>
        <v>5635.3700000000008</v>
      </c>
    </row>
    <row r="5" spans="1:11" x14ac:dyDescent="0.25">
      <c r="A5" s="15">
        <v>46054</v>
      </c>
      <c r="B5" s="15">
        <v>46081</v>
      </c>
      <c r="C5" s="16">
        <v>46054</v>
      </c>
      <c r="D5" s="17">
        <f>SUMIFS(Stock[Precio Total (Sin Envios - $)], Stock[Fecha], "&gt;="&amp;Reporteria[[#This Row],[Fecha Referfencia Inicio ]], Stock[Fecha], "&lt;="&amp;Reporteria[[#This Row],[Fecha Referfencia Fin]])</f>
        <v>2650.2599999999998</v>
      </c>
      <c r="E5" s="18">
        <f>SUMIFS(Stock[Coste de envio total], Stock[Fecha], "&gt;="&amp;Reporteria[[#This Row],[Fecha Referfencia Inicio ]], Stock[Fecha], "&lt;="&amp;Reporteria[[#This Row],[Fecha Referfencia Fin]])</f>
        <v>270.23</v>
      </c>
      <c r="F5" s="17">
        <f>SUMIFS(Stock[Precio Total (Con Envios - $)], Stock[Fecha], "&gt;="&amp;Reporteria[[#This Row],[Fecha Referfencia Inicio ]], Stock[Fecha], "&lt;="&amp;Reporteria[[#This Row],[Fecha Referfencia Fin]])</f>
        <v>2920.4900000000002</v>
      </c>
    </row>
    <row r="6" spans="1:11" x14ac:dyDescent="0.25">
      <c r="A6" s="15">
        <v>46082</v>
      </c>
      <c r="B6" s="15">
        <v>46112</v>
      </c>
      <c r="C6" s="16">
        <v>46082</v>
      </c>
      <c r="D6" s="17">
        <f>SUMIFS(Stock[Precio Total (Sin Envios - $)], Stock[Fecha], "&gt;="&amp;Reporteria[[#This Row],[Fecha Referfencia Inicio ]], Stock[Fecha], "&lt;="&amp;Reporteria[[#This Row],[Fecha Referfencia Fin]])</f>
        <v>1788.3199999999997</v>
      </c>
      <c r="E6" s="18">
        <f>SUMIFS(Stock[Coste de envio total], Stock[Fecha], "&gt;="&amp;Reporteria[[#This Row],[Fecha Referfencia Inicio ]], Stock[Fecha], "&lt;="&amp;Reporteria[[#This Row],[Fecha Referfencia Fin]])</f>
        <v>140.34</v>
      </c>
      <c r="F6" s="17">
        <f>SUMIFS(Stock[Precio Total (Con Envios - $)], Stock[Fecha], "&gt;="&amp;Reporteria[[#This Row],[Fecha Referfencia Inicio ]], Stock[Fecha], "&lt;="&amp;Reporteria[[#This Row],[Fecha Referfencia Fin]])</f>
        <v>1928.6599999999999</v>
      </c>
    </row>
    <row r="7" spans="1:11" x14ac:dyDescent="0.25">
      <c r="A7" s="15">
        <v>46113</v>
      </c>
      <c r="B7" s="15">
        <v>46113</v>
      </c>
      <c r="C7" s="16">
        <v>46113</v>
      </c>
      <c r="D7" s="17">
        <f>SUMIFS(Stock[Precio Total (Sin Envios - $)], Stock[Fecha], "&gt;="&amp;Reporteria[[#This Row],[Fecha Referfencia Inicio ]], Stock[Fecha], "&lt;="&amp;Reporteria[[#This Row],[Fecha Referfencia Fin]])</f>
        <v>13.61</v>
      </c>
      <c r="E7" s="18">
        <f>SUMIFS(Stock[Coste de envio total], Stock[Fecha], "&gt;="&amp;Reporteria[[#This Row],[Fecha Referfencia Inicio ]], Stock[Fecha], "&lt;="&amp;Reporteria[[#This Row],[Fecha Referfencia Fin]])</f>
        <v>1</v>
      </c>
      <c r="F7" s="17">
        <f>SUMIFS(Stock[Precio Total (Con Envios - $)], Stock[Fecha], "&gt;="&amp;Reporteria[[#This Row],[Fecha Referfencia Inicio ]], Stock[Fecha], "&lt;="&amp;Reporteria[[#This Row],[Fecha Referfencia Fin]])</f>
        <v>14.61</v>
      </c>
    </row>
    <row r="8" spans="1:11" x14ac:dyDescent="0.25">
      <c r="A8" s="15">
        <v>46143</v>
      </c>
      <c r="B8" s="15">
        <v>46173</v>
      </c>
      <c r="C8" s="16">
        <v>46143</v>
      </c>
      <c r="D8" s="17">
        <f>SUMIFS(Stock[Precio Total (Sin Envios - $)], Stock[Fecha], "&gt;="&amp;Reporteria[[#This Row],[Fecha Referfencia Inicio ]], Stock[Fecha], "&lt;="&amp;Reporteria[[#This Row],[Fecha Referfencia Fin]])</f>
        <v>0</v>
      </c>
      <c r="E8" s="18">
        <f>SUMIFS(Stock[Coste de envio total], Stock[Fecha], "&gt;="&amp;Reporteria[[#This Row],[Fecha Referfencia Inicio ]], Stock[Fecha], "&lt;="&amp;Reporteria[[#This Row],[Fecha Referfencia Fin]])</f>
        <v>0</v>
      </c>
      <c r="F8" s="17">
        <f>SUMIFS(Stock[Precio Total (Con Envios - $)], Stock[Fecha], "&gt;="&amp;Reporteria[[#This Row],[Fecha Referfencia Inicio ]], Stock[Fecha], "&lt;="&amp;Reporteria[[#This Row],[Fecha Referfencia Fin]])</f>
        <v>0</v>
      </c>
    </row>
    <row r="9" spans="1:11" x14ac:dyDescent="0.25">
      <c r="A9" s="14"/>
      <c r="B9" s="14"/>
      <c r="C9" s="14" t="s">
        <v>185</v>
      </c>
      <c r="D9" s="18">
        <f>SUBTOTAL(109,Reporteria[Total Pagado en productos (Sin Envios)])</f>
        <v>9626.39</v>
      </c>
      <c r="E9" s="18">
        <f>SUBTOTAL(109,Reporteria[Coste Total Pagado en envios])</f>
        <v>872.74000000000012</v>
      </c>
      <c r="F9" s="18">
        <f>SUBTOTAL(109,F4:F8)</f>
        <v>10499.130000000001</v>
      </c>
    </row>
    <row r="12" spans="1:11" x14ac:dyDescent="0.25">
      <c r="A12" s="26" t="s">
        <v>399</v>
      </c>
      <c r="B12" s="26" t="s">
        <v>394</v>
      </c>
      <c r="C12" s="26" t="s">
        <v>395</v>
      </c>
      <c r="D12" s="26" t="s">
        <v>400</v>
      </c>
      <c r="E12" s="26" t="s">
        <v>401</v>
      </c>
      <c r="F12" s="26" t="s">
        <v>402</v>
      </c>
      <c r="G12" s="27" t="s">
        <v>403</v>
      </c>
      <c r="H12" s="28" t="s">
        <v>404</v>
      </c>
      <c r="I12" s="26" t="s">
        <v>405</v>
      </c>
      <c r="J12" s="26" t="s">
        <v>406</v>
      </c>
      <c r="K12" s="26" t="s">
        <v>407</v>
      </c>
    </row>
    <row r="13" spans="1:11" ht="30" x14ac:dyDescent="0.25">
      <c r="A13" s="29">
        <v>46023</v>
      </c>
      <c r="B13" s="29">
        <v>46053</v>
      </c>
      <c r="C13" s="30">
        <v>46023</v>
      </c>
      <c r="D13" s="31">
        <f>SUMIFS(Pagos[Importe Total a Tienda],Pagos[Fecha], "&gt;="&amp;Table5[[#This Row],[Fecha Referencia Inicio ]], Pagos[Fecha], "&lt;="&amp;Table5[[#This Row],[Fecha Referfencia Fin]])</f>
        <v>164100</v>
      </c>
      <c r="E13" s="31">
        <f>SUMIFS(Pagos[Coste de inversion recuperado],Pagos[Fecha], "&gt;="&amp;Table5[[#This Row],[Fecha Referencia Inicio ]], Pagos[Fecha], "&lt;="&amp;Table5[[#This Row],[Fecha Referfencia Fin]])</f>
        <v>100471.52499999997</v>
      </c>
      <c r="F13" s="32">
        <f>Table5[[#This Row],[Coste De Inversion Recuperado]]/36.65</f>
        <v>2741.3785811732596</v>
      </c>
      <c r="G13" s="33">
        <f>SUMIFS(Pagos[Ganancia total (Tienda)],Pagos[Fecha], "&gt;="&amp;Table5[[#This Row],[Fecha Referencia Inicio ]], Pagos[Fecha], "&lt;="&amp;Table5[[#This Row],[Fecha Referfencia Fin]])</f>
        <v>39585.183999999994</v>
      </c>
      <c r="H13" s="34">
        <f>Table5[[#This Row],[Ganancia de la tienda]]/36.65</f>
        <v>1080.0868758526601</v>
      </c>
      <c r="I13" s="35">
        <f>SUMIFS(Pagos[Ganancia total (Vendedor)],Pagos[Fecha], "&gt;="&amp;Table5[[#This Row],[Fecha Referencia Inicio ]], Pagos[Fecha], "&lt;="&amp;Table5[[#This Row],[Fecha Referfencia Fin]])</f>
        <v>24043.290999999997</v>
      </c>
      <c r="J13" s="36">
        <f>Table5[[#This Row],[Coste total pagado en vendedores ]]/36.65</f>
        <v>656.02431105047742</v>
      </c>
      <c r="K13" s="42" t="s">
        <v>408</v>
      </c>
    </row>
    <row r="14" spans="1:11" ht="30" x14ac:dyDescent="0.25">
      <c r="A14" s="29">
        <v>46054</v>
      </c>
      <c r="B14" s="29">
        <v>46081</v>
      </c>
      <c r="C14" s="30">
        <v>46054</v>
      </c>
      <c r="D14" s="31">
        <f>SUMIFS(Pagos[Importe Total a Tienda],Pagos[Fecha], "&gt;="&amp;Table5[[#This Row],[Fecha Referencia Inicio ]], Pagos[Fecha], "&lt;="&amp;Table5[[#This Row],[Fecha Referfencia Fin]])</f>
        <v>90130</v>
      </c>
      <c r="E14" s="31">
        <f>SUMIFS(Pagos[Coste de inversion recuperado],Pagos[Fecha], "&gt;="&amp;Table5[[#This Row],[Fecha Referencia Inicio ]], Pagos[Fecha], "&lt;="&amp;Table5[[#This Row],[Fecha Referfencia Fin]])</f>
        <v>57420.406999999992</v>
      </c>
      <c r="F14" s="32">
        <f>Table5[[#This Row],[Coste De Inversion Recuperado]]/36.65</f>
        <v>1566.7232469304229</v>
      </c>
      <c r="G14" s="33">
        <f>SUMIFS(Pagos[Ganancia total (Tienda)],Pagos[Fecha], "&gt;="&amp;Table5[[#This Row],[Fecha Referencia Inicio ]], Pagos[Fecha], "&lt;="&amp;Table5[[#This Row],[Fecha Referfencia Fin]])</f>
        <v>19069.352055000003</v>
      </c>
      <c r="H14" s="34">
        <f>Table5[[#This Row],[Ganancia de la tienda]]/36.65</f>
        <v>520.30974229195101</v>
      </c>
      <c r="I14" s="35">
        <f>SUMIFS(Pagos[Ganancia total (Vendedor)],Pagos[Fecha], "&gt;="&amp;Table5[[#This Row],[Fecha Referencia Inicio ]], Pagos[Fecha], "&lt;="&amp;Table5[[#This Row],[Fecha Referfencia Fin]])</f>
        <v>13640.24094500001</v>
      </c>
      <c r="J14" s="36">
        <f>Table5[[#This Row],[Coste total pagado en vendedores ]]/36.65</f>
        <v>372.17574201909991</v>
      </c>
      <c r="K14" s="42" t="s">
        <v>409</v>
      </c>
    </row>
    <row r="15" spans="1:11" ht="45" x14ac:dyDescent="0.25">
      <c r="A15" s="29">
        <v>46082</v>
      </c>
      <c r="B15" s="29">
        <v>46112</v>
      </c>
      <c r="C15" s="30">
        <v>46082</v>
      </c>
      <c r="D15" s="31">
        <f>SUMIFS(Pagos[Importe Total a Tienda],Pagos[Fecha], "&gt;="&amp;Table5[[#This Row],[Fecha Referencia Inicio ]], Pagos[Fecha], "&lt;="&amp;Table5[[#This Row],[Fecha Referfencia Fin]])</f>
        <v>134429.99</v>
      </c>
      <c r="E15" s="31">
        <f>SUMIFS(Pagos[Coste de inversion recuperado],Pagos[Fecha], "&gt;="&amp;Table5[[#This Row],[Fecha Referencia Inicio ]], Pagos[Fecha], "&lt;="&amp;Table5[[#This Row],[Fecha Referfencia Fin]])</f>
        <v>85973.997999999949</v>
      </c>
      <c r="F15" s="32">
        <f>Table5[[#This Row],[Coste De Inversion Recuperado]]/36.65</f>
        <v>2345.8116780354694</v>
      </c>
      <c r="G15" s="33">
        <f>SUMIFS(Pagos[Ganancia total (Tienda)],Pagos[Fecha], "&gt;="&amp;Table5[[#This Row],[Fecha Referencia Inicio ]], Pagos[Fecha], "&lt;="&amp;Table5[[#This Row],[Fecha Referfencia Fin]])</f>
        <v>28497.399669999988</v>
      </c>
      <c r="H15" s="34">
        <f>Table5[[#This Row],[Ganancia de la tienda]]/36.65</f>
        <v>777.55524338335579</v>
      </c>
      <c r="I15" s="35">
        <f>SUMIFS(Pagos[Ganancia total (Vendedor)],Pagos[Fecha], "&gt;="&amp;Table5[[#This Row],[Fecha Referencia Inicio ]], Pagos[Fecha], "&lt;="&amp;Table5[[#This Row],[Fecha Referfencia Fin]])</f>
        <v>19958.592329999992</v>
      </c>
      <c r="J15" s="36">
        <f>Table5[[#This Row],[Coste total pagado en vendedores ]]/36.65</f>
        <v>544.57277844474743</v>
      </c>
      <c r="K15" s="42" t="s">
        <v>410</v>
      </c>
    </row>
    <row r="16" spans="1:11" x14ac:dyDescent="0.25">
      <c r="A16" s="19" t="s">
        <v>185</v>
      </c>
      <c r="B16" s="19"/>
      <c r="C16" t="s">
        <v>185</v>
      </c>
      <c r="D16" s="23">
        <f>SUBTOTAL(109,Table5[Importe Total A La Tienda])</f>
        <v>388659.99</v>
      </c>
      <c r="E16" s="23">
        <f>SUBTOTAL(109,E13:E14)</f>
        <v>157891.93199999997</v>
      </c>
      <c r="F16" s="25">
        <f>SUBTOTAL(109,F13:F14)</f>
        <v>4308.1018281036822</v>
      </c>
      <c r="G16" s="23">
        <f>SUBTOTAL(109,Table5[Ganancia de la tienda])</f>
        <v>87151.935724999988</v>
      </c>
      <c r="H16" s="25">
        <f>SUBTOTAL(109,H13:H14)</f>
        <v>1600.3966181446112</v>
      </c>
      <c r="I16" s="23">
        <f>SUBTOTAL(109,Table5[[Coste total pagado en vendedores ]])</f>
        <v>57642.124275000002</v>
      </c>
      <c r="J16" s="25">
        <f>SUBTOTAL(109,J13:J14)</f>
        <v>1028.2000530695773</v>
      </c>
    </row>
    <row r="19" spans="1:11" ht="15.75" thickBot="1" x14ac:dyDescent="0.3">
      <c r="A19" s="26" t="s">
        <v>399</v>
      </c>
      <c r="B19" s="26" t="s">
        <v>394</v>
      </c>
      <c r="C19" s="26" t="s">
        <v>395</v>
      </c>
      <c r="D19" s="26" t="s">
        <v>400</v>
      </c>
      <c r="E19" s="26" t="s">
        <v>401</v>
      </c>
      <c r="F19" s="26" t="s">
        <v>402</v>
      </c>
      <c r="G19" s="27" t="s">
        <v>403</v>
      </c>
      <c r="H19" s="28" t="s">
        <v>404</v>
      </c>
      <c r="I19" s="26" t="s">
        <v>405</v>
      </c>
      <c r="J19" s="26" t="s">
        <v>406</v>
      </c>
      <c r="K19" s="26" t="s">
        <v>407</v>
      </c>
    </row>
    <row r="20" spans="1:11" x14ac:dyDescent="0.25">
      <c r="A20" s="29">
        <v>46113</v>
      </c>
      <c r="B20" s="29">
        <v>46142</v>
      </c>
      <c r="C20" s="30">
        <v>46113</v>
      </c>
      <c r="D20" s="31">
        <f>SUMIFS(PagosV2[Importe Total a Tienda],PagosV2[Fecha], "&gt;="&amp;Table58[[#This Row],[Fecha Referencia Inicio ]], PagosV2[Fecha], "&lt;="&amp;Table58[[#This Row],[Fecha Referfencia Fin]])</f>
        <v>160042</v>
      </c>
      <c r="E20" s="31">
        <f>SUMIFS(PagosV2[Coste de inversion recuperado],PagosV2[Fecha], "&gt;="&amp;Table58[[#This Row],[Fecha Referencia Inicio ]], PagosV2[Fecha], "&lt;="&amp;Table58[[#This Row],[Fecha Referfencia Fin]])</f>
        <v>108500.77150000003</v>
      </c>
      <c r="F20" s="32">
        <f>Table58[[#This Row],[Coste De Inversion Recuperado]]/36.65</f>
        <v>2960.4576125511608</v>
      </c>
      <c r="G20" s="33">
        <f>SUMIFS(PagosV2[Ganancia total (Tienda)],PagosV2[Fecha], "&gt;="&amp;Table58[[#This Row],[Fecha Referencia Inicio ]], PagosV2[Fecha], "&lt;="&amp;Table58[[#This Row],[Fecha Referfencia Fin]])</f>
        <v>25096.159198749981</v>
      </c>
      <c r="H20" s="34">
        <f>Table58[[#This Row],[Ganancia de la tienda]]/36.65</f>
        <v>684.75195630968574</v>
      </c>
      <c r="I20" s="35">
        <f>SUMIFS(PagosV2[Ganacia (TV)],PagosV2[Fecha], "&gt;="&amp;Table58[[#This Row],[Fecha Referencia Inicio ]], PagosV2[Fecha], "&lt;="&amp;Table58[[#This Row],[Fecha Referfencia Fin]])</f>
        <v>18465.708889999976</v>
      </c>
      <c r="J20" s="36">
        <f>Table58[[#This Row],[Coste total pagado en vendedores ]]/36.65</f>
        <v>503.83926030013578</v>
      </c>
      <c r="K20" s="42"/>
    </row>
    <row r="21" spans="1:11" x14ac:dyDescent="0.25">
      <c r="A21" s="29">
        <v>46143</v>
      </c>
      <c r="B21" s="29">
        <v>46173</v>
      </c>
      <c r="C21" s="30">
        <v>46143</v>
      </c>
      <c r="D21" s="31">
        <f>SUMIFS(PagosV2[Importe Total a Tienda],PagosV2[Fecha], "&gt;="&amp;Table58[[#This Row],[Fecha Referencia Inicio ]], PagosV2[Fecha], "&lt;="&amp;Table58[[#This Row],[Fecha Referfencia Fin]])</f>
        <v>153725</v>
      </c>
      <c r="E21" s="31">
        <f>SUMIFS(PagosV2[Coste de inversion recuperado],PagosV2[Fecha], "&gt;="&amp;Table58[[#This Row],[Fecha Referencia Inicio ]], PagosV2[Fecha], "&lt;="&amp;Table58[[#This Row],[Fecha Referfencia Fin]])</f>
        <v>107351.41999999991</v>
      </c>
      <c r="F21" s="32">
        <f>Table58[[#This Row],[Coste De Inversion Recuperado]]/36.65</f>
        <v>2929.0974079126854</v>
      </c>
      <c r="G21" s="33">
        <f>SUMIFS(PagosV2[Ganancia total (Tienda)],PagosV2[Fecha], "&gt;="&amp;Table58[[#This Row],[Fecha Referencia Inicio ]], PagosV2[Fecha], "&lt;="&amp;Table58[[#This Row],[Fecha Referfencia Fin]])</f>
        <v>22051.338243749982</v>
      </c>
      <c r="H21" s="34">
        <f>Table58[[#This Row],[Ganancia de la tienda]]/36.65</f>
        <v>601.67362193042243</v>
      </c>
      <c r="I21" s="35">
        <f>SUMIFS(PagosV2[Ganacia (TV)],PagosV2[Fecha], "&gt;="&amp;Table58[[#This Row],[Fecha Referencia Inicio ]], PagosV2[Fecha], "&lt;="&amp;Table58[[#This Row],[Fecha Referfencia Fin]])</f>
        <v>17366.204756249987</v>
      </c>
      <c r="J21" s="36">
        <f>Table58[[#This Row],[Coste total pagado en vendedores ]]/36.65</f>
        <v>473.83914751023156</v>
      </c>
      <c r="K21" s="26"/>
    </row>
    <row r="22" spans="1:11" x14ac:dyDescent="0.25">
      <c r="A22" s="19" t="s">
        <v>185</v>
      </c>
      <c r="B22" s="19"/>
      <c r="C22" t="s">
        <v>185</v>
      </c>
      <c r="D22" s="23">
        <f>SUBTOTAL(109,Table58[Importe Total A La Tienda])</f>
        <v>313767</v>
      </c>
      <c r="E22" s="23">
        <f>SUBTOTAL(109,E20:E21)</f>
        <v>215852.19149999996</v>
      </c>
      <c r="F22" s="25">
        <f>SUBTOTAL(109,F20:F21)</f>
        <v>5889.5550204638457</v>
      </c>
      <c r="G22" s="23">
        <f>SUBTOTAL(109,Table58[Ganancia de la tienda])</f>
        <v>47147.497442499967</v>
      </c>
      <c r="H22" s="25">
        <f>SUBTOTAL(109,H20:H21)</f>
        <v>1286.4255782401083</v>
      </c>
      <c r="I22" s="23">
        <f>SUBTOTAL(109,Table58[[Coste total pagado en vendedores ]])</f>
        <v>35831.913646249959</v>
      </c>
      <c r="J22" s="25">
        <f>SUBTOTAL(109,J20:J21)</f>
        <v>977.67840781036739</v>
      </c>
    </row>
  </sheetData>
  <mergeCells count="1">
    <mergeCell ref="B1:F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A871-6883-42EF-95DA-FC79F89543F5}">
  <sheetPr>
    <tabColor rgb="FF7030A0"/>
  </sheetPr>
  <dimension ref="A1:G56"/>
  <sheetViews>
    <sheetView topLeftCell="P4" workbookViewId="0">
      <selection activeCell="P14" sqref="P14"/>
    </sheetView>
  </sheetViews>
  <sheetFormatPr defaultRowHeight="15" x14ac:dyDescent="0.25"/>
  <cols>
    <col min="1" max="1" width="5.28515625" bestFit="1" customWidth="1"/>
    <col min="2" max="2" width="29.85546875" bestFit="1" customWidth="1"/>
    <col min="3" max="3" width="9.28515625" customWidth="1"/>
    <col min="4" max="4" width="20.28515625" bestFit="1" customWidth="1"/>
    <col min="5" max="5" width="17.140625" bestFit="1" customWidth="1"/>
    <col min="6" max="6" width="18.140625" bestFit="1" customWidth="1"/>
    <col min="7" max="7" width="8.85546875" bestFit="1" customWidth="1"/>
  </cols>
  <sheetData>
    <row r="1" spans="1:7" x14ac:dyDescent="0.25">
      <c r="A1" t="s">
        <v>411</v>
      </c>
      <c r="B1" t="s">
        <v>412</v>
      </c>
      <c r="C1" t="s">
        <v>413</v>
      </c>
      <c r="D1" s="37" t="s">
        <v>414</v>
      </c>
      <c r="E1" s="38" t="s">
        <v>415</v>
      </c>
      <c r="F1" t="s">
        <v>416</v>
      </c>
      <c r="G1" t="s">
        <v>417</v>
      </c>
    </row>
    <row r="2" spans="1:7" x14ac:dyDescent="0.25">
      <c r="A2" t="s">
        <v>418</v>
      </c>
      <c r="B2" t="s">
        <v>419</v>
      </c>
      <c r="C2">
        <v>1</v>
      </c>
      <c r="D2" s="39">
        <v>65.430000000000007</v>
      </c>
      <c r="E2" s="38">
        <v>45981</v>
      </c>
    </row>
    <row r="3" spans="1:7" x14ac:dyDescent="0.25">
      <c r="A3" t="s">
        <v>420</v>
      </c>
      <c r="B3" t="s">
        <v>421</v>
      </c>
      <c r="C3">
        <v>20</v>
      </c>
      <c r="D3" s="39">
        <v>187.99</v>
      </c>
      <c r="E3" s="38">
        <v>45990</v>
      </c>
    </row>
    <row r="4" spans="1:7" x14ac:dyDescent="0.25">
      <c r="A4" t="s">
        <v>422</v>
      </c>
      <c r="B4" t="s">
        <v>423</v>
      </c>
      <c r="C4">
        <v>20</v>
      </c>
      <c r="D4" s="39">
        <v>78.650000000000006</v>
      </c>
      <c r="E4" s="38">
        <v>45990</v>
      </c>
    </row>
    <row r="5" spans="1:7" x14ac:dyDescent="0.25">
      <c r="A5" t="s">
        <v>424</v>
      </c>
      <c r="B5" t="s">
        <v>425</v>
      </c>
      <c r="C5">
        <v>20</v>
      </c>
      <c r="D5" s="39">
        <v>234.11</v>
      </c>
      <c r="E5" s="38">
        <v>45990</v>
      </c>
    </row>
    <row r="6" spans="1:7" x14ac:dyDescent="0.25">
      <c r="A6" t="s">
        <v>426</v>
      </c>
      <c r="B6" t="s">
        <v>427</v>
      </c>
      <c r="C6">
        <v>10</v>
      </c>
      <c r="D6" s="39">
        <v>44.1</v>
      </c>
      <c r="E6" s="38">
        <v>45990</v>
      </c>
    </row>
    <row r="7" spans="1:7" x14ac:dyDescent="0.25">
      <c r="A7" t="s">
        <v>428</v>
      </c>
      <c r="B7" t="s">
        <v>429</v>
      </c>
      <c r="C7">
        <v>1</v>
      </c>
      <c r="D7" s="39">
        <v>57.64</v>
      </c>
      <c r="E7" s="38">
        <v>45992</v>
      </c>
    </row>
    <row r="8" spans="1:7" x14ac:dyDescent="0.25">
      <c r="A8" t="s">
        <v>430</v>
      </c>
      <c r="B8" t="s">
        <v>431</v>
      </c>
      <c r="C8">
        <v>10</v>
      </c>
      <c r="D8" s="39">
        <v>152.19</v>
      </c>
      <c r="E8" s="38">
        <v>45992</v>
      </c>
    </row>
    <row r="9" spans="1:7" x14ac:dyDescent="0.25">
      <c r="A9" t="s">
        <v>432</v>
      </c>
      <c r="B9" t="s">
        <v>433</v>
      </c>
      <c r="C9">
        <v>20</v>
      </c>
      <c r="D9" s="39">
        <v>143.16</v>
      </c>
      <c r="E9" s="38">
        <v>45993</v>
      </c>
    </row>
    <row r="10" spans="1:7" x14ac:dyDescent="0.25">
      <c r="A10" t="s">
        <v>434</v>
      </c>
      <c r="B10" t="s">
        <v>435</v>
      </c>
      <c r="C10">
        <v>20</v>
      </c>
      <c r="D10" s="39">
        <v>91.81</v>
      </c>
      <c r="E10" s="38">
        <v>45999</v>
      </c>
    </row>
    <row r="11" spans="1:7" x14ac:dyDescent="0.25">
      <c r="A11" t="s">
        <v>436</v>
      </c>
      <c r="B11" t="s">
        <v>437</v>
      </c>
      <c r="C11">
        <v>10</v>
      </c>
      <c r="D11" s="39">
        <v>35.47</v>
      </c>
      <c r="E11" s="38">
        <v>45999</v>
      </c>
    </row>
    <row r="12" spans="1:7" x14ac:dyDescent="0.25">
      <c r="A12" t="s">
        <v>438</v>
      </c>
      <c r="B12" t="s">
        <v>423</v>
      </c>
      <c r="C12">
        <v>10</v>
      </c>
      <c r="D12" s="39">
        <v>39.32</v>
      </c>
      <c r="E12" s="38">
        <v>45999</v>
      </c>
    </row>
    <row r="13" spans="1:7" x14ac:dyDescent="0.25">
      <c r="A13" t="s">
        <v>439</v>
      </c>
      <c r="B13" t="s">
        <v>427</v>
      </c>
      <c r="C13">
        <v>10</v>
      </c>
      <c r="D13" s="39">
        <v>70.25</v>
      </c>
      <c r="E13" s="38">
        <v>45999</v>
      </c>
    </row>
    <row r="14" spans="1:7" x14ac:dyDescent="0.25">
      <c r="A14" t="s">
        <v>440</v>
      </c>
      <c r="B14" t="s">
        <v>441</v>
      </c>
      <c r="C14">
        <v>5</v>
      </c>
      <c r="D14" s="39">
        <v>96.17</v>
      </c>
      <c r="E14" s="38">
        <v>45999</v>
      </c>
    </row>
    <row r="15" spans="1:7" x14ac:dyDescent="0.25">
      <c r="A15" t="s">
        <v>442</v>
      </c>
      <c r="B15" t="s">
        <v>443</v>
      </c>
      <c r="C15">
        <v>5</v>
      </c>
      <c r="D15" s="39">
        <v>21.68</v>
      </c>
      <c r="E15" s="38">
        <v>45999</v>
      </c>
    </row>
    <row r="16" spans="1:7" x14ac:dyDescent="0.25">
      <c r="A16" t="s">
        <v>444</v>
      </c>
      <c r="B16" t="s">
        <v>445</v>
      </c>
      <c r="C16">
        <v>4</v>
      </c>
      <c r="D16" s="39">
        <v>91.55</v>
      </c>
      <c r="E16" s="38">
        <v>45999</v>
      </c>
    </row>
    <row r="17" spans="1:5" x14ac:dyDescent="0.25">
      <c r="A17" t="s">
        <v>446</v>
      </c>
      <c r="B17" t="s">
        <v>447</v>
      </c>
      <c r="C17">
        <v>1</v>
      </c>
      <c r="D17" s="39">
        <v>61.85</v>
      </c>
      <c r="E17" s="38">
        <v>45999</v>
      </c>
    </row>
    <row r="18" spans="1:5" x14ac:dyDescent="0.25">
      <c r="A18" t="s">
        <v>448</v>
      </c>
      <c r="B18" t="s">
        <v>449</v>
      </c>
      <c r="C18">
        <v>10</v>
      </c>
      <c r="D18" s="39">
        <v>448.81</v>
      </c>
      <c r="E18" s="38">
        <v>45999</v>
      </c>
    </row>
    <row r="19" spans="1:5" x14ac:dyDescent="0.25">
      <c r="A19" t="s">
        <v>450</v>
      </c>
      <c r="B19" t="s">
        <v>451</v>
      </c>
      <c r="C19">
        <v>4</v>
      </c>
      <c r="D19" s="39">
        <v>453.73</v>
      </c>
      <c r="E19" s="38">
        <v>45999</v>
      </c>
    </row>
    <row r="20" spans="1:5" x14ac:dyDescent="0.25">
      <c r="A20" t="s">
        <v>452</v>
      </c>
      <c r="B20" t="s">
        <v>423</v>
      </c>
      <c r="C20">
        <v>10</v>
      </c>
      <c r="D20" s="39">
        <v>40.549999999999997</v>
      </c>
      <c r="E20" s="38">
        <v>45999</v>
      </c>
    </row>
    <row r="21" spans="1:5" x14ac:dyDescent="0.25">
      <c r="A21" t="s">
        <v>453</v>
      </c>
      <c r="B21" t="s">
        <v>211</v>
      </c>
      <c r="C21">
        <v>10</v>
      </c>
      <c r="D21" s="39">
        <v>87.03</v>
      </c>
      <c r="E21" s="38">
        <v>45999</v>
      </c>
    </row>
    <row r="22" spans="1:5" x14ac:dyDescent="0.25">
      <c r="A22" t="s">
        <v>454</v>
      </c>
      <c r="B22" t="s">
        <v>421</v>
      </c>
      <c r="C22">
        <v>10</v>
      </c>
      <c r="D22" s="39">
        <v>124.31</v>
      </c>
      <c r="E22" s="38">
        <v>45999</v>
      </c>
    </row>
    <row r="23" spans="1:5" x14ac:dyDescent="0.25">
      <c r="A23" t="s">
        <v>455</v>
      </c>
      <c r="B23" t="s">
        <v>435</v>
      </c>
      <c r="C23">
        <v>13</v>
      </c>
      <c r="D23" s="39">
        <v>45.66</v>
      </c>
      <c r="E23" s="38">
        <v>46002</v>
      </c>
    </row>
    <row r="24" spans="1:5" x14ac:dyDescent="0.25">
      <c r="A24" t="s">
        <v>456</v>
      </c>
      <c r="B24" t="s">
        <v>457</v>
      </c>
      <c r="C24">
        <v>2</v>
      </c>
      <c r="D24" s="39">
        <v>240.69</v>
      </c>
      <c r="E24" s="38">
        <v>46004</v>
      </c>
    </row>
    <row r="25" spans="1:5" x14ac:dyDescent="0.25">
      <c r="A25" t="s">
        <v>458</v>
      </c>
      <c r="B25" t="s">
        <v>459</v>
      </c>
      <c r="C25">
        <v>2</v>
      </c>
      <c r="D25" s="39">
        <v>137.38999999999999</v>
      </c>
      <c r="E25" s="38">
        <v>46004</v>
      </c>
    </row>
    <row r="26" spans="1:5" x14ac:dyDescent="0.25">
      <c r="A26" t="s">
        <v>460</v>
      </c>
      <c r="B26" t="s">
        <v>461</v>
      </c>
      <c r="C26">
        <v>4</v>
      </c>
      <c r="D26" s="39">
        <v>51.87</v>
      </c>
      <c r="E26" s="38">
        <v>46004</v>
      </c>
    </row>
    <row r="27" spans="1:5" x14ac:dyDescent="0.25">
      <c r="A27" t="s">
        <v>462</v>
      </c>
      <c r="B27" t="s">
        <v>463</v>
      </c>
      <c r="C27">
        <v>1</v>
      </c>
      <c r="D27" s="39">
        <v>37.97</v>
      </c>
      <c r="E27" s="38">
        <v>46004</v>
      </c>
    </row>
    <row r="28" spans="1:5" x14ac:dyDescent="0.25">
      <c r="A28" t="s">
        <v>464</v>
      </c>
      <c r="B28" t="s">
        <v>465</v>
      </c>
      <c r="C28">
        <v>1</v>
      </c>
      <c r="D28" s="39">
        <v>49.84</v>
      </c>
      <c r="E28" s="38">
        <v>46004</v>
      </c>
    </row>
    <row r="29" spans="1:5" x14ac:dyDescent="0.25">
      <c r="A29" t="s">
        <v>466</v>
      </c>
      <c r="B29" t="s">
        <v>433</v>
      </c>
      <c r="C29">
        <v>2</v>
      </c>
      <c r="D29" s="39">
        <v>11.62</v>
      </c>
      <c r="E29" s="38">
        <v>46004</v>
      </c>
    </row>
    <row r="30" spans="1:5" x14ac:dyDescent="0.25">
      <c r="A30" t="s">
        <v>467</v>
      </c>
      <c r="B30" t="s">
        <v>468</v>
      </c>
      <c r="C30">
        <v>4</v>
      </c>
      <c r="D30" s="39">
        <v>301.08</v>
      </c>
      <c r="E30" s="38">
        <v>46004</v>
      </c>
    </row>
    <row r="31" spans="1:5" x14ac:dyDescent="0.25">
      <c r="A31" t="s">
        <v>469</v>
      </c>
      <c r="B31" t="s">
        <v>470</v>
      </c>
      <c r="C31">
        <v>3</v>
      </c>
      <c r="D31" s="39">
        <v>102.57</v>
      </c>
      <c r="E31" s="38">
        <v>46004</v>
      </c>
    </row>
    <row r="32" spans="1:5" x14ac:dyDescent="0.25">
      <c r="A32" t="s">
        <v>471</v>
      </c>
      <c r="D32" s="39"/>
      <c r="E32" s="38"/>
    </row>
    <row r="33" spans="1:5" x14ac:dyDescent="0.25">
      <c r="A33" t="s">
        <v>472</v>
      </c>
      <c r="D33" s="39"/>
      <c r="E33" s="38"/>
    </row>
    <row r="34" spans="1:5" x14ac:dyDescent="0.25">
      <c r="A34" t="s">
        <v>473</v>
      </c>
      <c r="D34" s="39"/>
      <c r="E34" s="38"/>
    </row>
    <row r="35" spans="1:5" x14ac:dyDescent="0.25">
      <c r="A35" t="s">
        <v>474</v>
      </c>
      <c r="D35" s="39"/>
      <c r="E35" s="38"/>
    </row>
    <row r="36" spans="1:5" x14ac:dyDescent="0.25">
      <c r="A36" t="s">
        <v>475</v>
      </c>
      <c r="D36" s="39"/>
      <c r="E36" s="38"/>
    </row>
    <row r="37" spans="1:5" x14ac:dyDescent="0.25">
      <c r="A37" t="s">
        <v>476</v>
      </c>
      <c r="D37" s="39"/>
      <c r="E37" s="38"/>
    </row>
    <row r="38" spans="1:5" x14ac:dyDescent="0.25">
      <c r="A38" t="s">
        <v>477</v>
      </c>
      <c r="D38" s="39"/>
      <c r="E38" s="38"/>
    </row>
    <row r="39" spans="1:5" x14ac:dyDescent="0.25">
      <c r="A39" t="s">
        <v>478</v>
      </c>
      <c r="D39" s="39"/>
      <c r="E39" s="38"/>
    </row>
    <row r="40" spans="1:5" x14ac:dyDescent="0.25">
      <c r="A40" t="s">
        <v>479</v>
      </c>
      <c r="D40" s="39"/>
      <c r="E40" s="38"/>
    </row>
    <row r="41" spans="1:5" x14ac:dyDescent="0.25">
      <c r="A41" t="s">
        <v>480</v>
      </c>
      <c r="D41" s="39"/>
      <c r="E41" s="38"/>
    </row>
    <row r="42" spans="1:5" x14ac:dyDescent="0.25">
      <c r="A42" t="s">
        <v>481</v>
      </c>
      <c r="D42" s="39"/>
      <c r="E42" s="38"/>
    </row>
    <row r="43" spans="1:5" x14ac:dyDescent="0.25">
      <c r="A43" t="s">
        <v>482</v>
      </c>
      <c r="D43" s="39"/>
      <c r="E43" s="38"/>
    </row>
    <row r="44" spans="1:5" x14ac:dyDescent="0.25">
      <c r="A44" t="s">
        <v>483</v>
      </c>
      <c r="D44" s="39"/>
      <c r="E44" s="38"/>
    </row>
    <row r="45" spans="1:5" x14ac:dyDescent="0.25">
      <c r="A45" t="s">
        <v>484</v>
      </c>
      <c r="D45" s="39"/>
      <c r="E45" s="38"/>
    </row>
    <row r="46" spans="1:5" x14ac:dyDescent="0.25">
      <c r="A46" t="s">
        <v>485</v>
      </c>
      <c r="D46" s="39"/>
      <c r="E46" s="38"/>
    </row>
    <row r="47" spans="1:5" x14ac:dyDescent="0.25">
      <c r="A47" t="s">
        <v>486</v>
      </c>
      <c r="D47" s="39"/>
      <c r="E47" s="38"/>
    </row>
    <row r="48" spans="1:5" x14ac:dyDescent="0.25">
      <c r="A48" t="s">
        <v>487</v>
      </c>
      <c r="D48" s="39"/>
      <c r="E48" s="38"/>
    </row>
    <row r="49" spans="1:7" x14ac:dyDescent="0.25">
      <c r="A49" t="s">
        <v>488</v>
      </c>
      <c r="D49" s="39"/>
      <c r="E49" s="38"/>
    </row>
    <row r="50" spans="1:7" x14ac:dyDescent="0.25">
      <c r="A50" t="s">
        <v>489</v>
      </c>
      <c r="D50" s="39"/>
      <c r="E50" s="38"/>
    </row>
    <row r="51" spans="1:7" x14ac:dyDescent="0.25">
      <c r="A51" t="s">
        <v>490</v>
      </c>
      <c r="D51" s="39"/>
      <c r="E51" s="38"/>
    </row>
    <row r="52" spans="1:7" x14ac:dyDescent="0.25">
      <c r="A52" t="s">
        <v>491</v>
      </c>
      <c r="D52" s="39"/>
      <c r="E52" s="38"/>
    </row>
    <row r="53" spans="1:7" x14ac:dyDescent="0.25">
      <c r="A53" t="s">
        <v>492</v>
      </c>
      <c r="D53" s="39"/>
      <c r="E53" s="38"/>
    </row>
    <row r="54" spans="1:7" x14ac:dyDescent="0.25">
      <c r="A54" t="s">
        <v>493</v>
      </c>
      <c r="D54" s="39"/>
      <c r="E54" s="38"/>
    </row>
    <row r="55" spans="1:7" x14ac:dyDescent="0.25">
      <c r="A55" t="s">
        <v>185</v>
      </c>
      <c r="D55" s="39">
        <f>SUBTOTAL(109,D2:D54)</f>
        <v>3604.49</v>
      </c>
      <c r="E55" s="38"/>
      <c r="F55">
        <f>SUBTOTAL(103,Table57[Tracking Number])</f>
        <v>0</v>
      </c>
      <c r="G55" t="e" vm="4">
        <f>SUBTOTAL(103,#REF!)</f>
        <v>#REF!</v>
      </c>
    </row>
    <row r="56" spans="1:7" x14ac:dyDescent="0.25">
      <c r="D56" s="37"/>
      <c r="E56" s="38"/>
    </row>
  </sheetData>
  <dataValidations count="1">
    <dataValidation type="custom" allowBlank="1" showInputMessage="1" showErrorMessage="1" sqref="J8 G7:G30 G2:G6" xr:uid="{A6313A32-A64A-48BF-BD88-2926030AFE4A}">
      <formula1>"Pending,Recibido"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860EFF01533E48BBDD77F9E0EE2485" ma:contentTypeVersion="12" ma:contentTypeDescription="Create a new document." ma:contentTypeScope="" ma:versionID="ec27da6ba40c68b71a8cfc6f58aaaf92">
  <xsd:schema xmlns:xsd="http://www.w3.org/2001/XMLSchema" xmlns:xs="http://www.w3.org/2001/XMLSchema" xmlns:p="http://schemas.microsoft.com/office/2006/metadata/properties" xmlns:ns2="c474e1bc-2fed-4f13-85a3-f6442e6231fe" xmlns:ns3="b467714d-5672-4e82-a021-3965332d875e" targetNamespace="http://schemas.microsoft.com/office/2006/metadata/properties" ma:root="true" ma:fieldsID="18dcdb1348a4608a71a2e0f3196c8fb0" ns2:_="" ns3:_="">
    <xsd:import namespace="c474e1bc-2fed-4f13-85a3-f6442e6231fe"/>
    <xsd:import namespace="b467714d-5672-4e82-a021-3965332d87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4e1bc-2fed-4f13-85a3-f6442e6231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b786de6-0f0d-43a4-849b-1fb3ac6b07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7714d-5672-4e82-a021-3965332d875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13d2955-f841-4458-bfe2-590aea5ec74d}" ma:internalName="TaxCatchAll" ma:showField="CatchAllData" ma:web="b467714d-5672-4e82-a021-3965332d87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67714d-5672-4e82-a021-3965332d875e" xsi:nil="true"/>
    <lcf76f155ced4ddcb4097134ff3c332f xmlns="c474e1bc-2fed-4f13-85a3-f6442e6231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45E1F6-5C86-4C19-9EAF-461D536423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9D99E9-9526-464F-B454-25CB4710E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4e1bc-2fed-4f13-85a3-f6442e6231fe"/>
    <ds:schemaRef ds:uri="b467714d-5672-4e82-a021-3965332d87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742498-0028-4B46-83CE-B8933DBAC858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c474e1bc-2fed-4f13-85a3-f6442e6231fe"/>
    <ds:schemaRef ds:uri="http://purl.org/dc/terms/"/>
    <ds:schemaRef ds:uri="http://www.w3.org/XML/1998/namespace"/>
    <ds:schemaRef ds:uri="b467714d-5672-4e82-a021-3965332d875e"/>
  </ds:schemaRefs>
</ds:datastoreItem>
</file>

<file path=docMetadata/LabelInfo.xml><?xml version="1.0" encoding="utf-8"?>
<clbl:labelList xmlns:clbl="http://schemas.microsoft.com/office/2020/mipLabelMetadata">
  <clbl:label id="{defa4170-0d19-0005-0004-bc88714345d2}" enabled="1" method="Standard" siteId="{0f536715-b2a7-4c64-8c24-83b9dcd3b44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</vt:lpstr>
      <vt:lpstr>Entradas</vt:lpstr>
      <vt:lpstr>Pagos</vt:lpstr>
      <vt:lpstr>Reporteria</vt:lpstr>
      <vt:lpstr>Compras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Gerald Aburto</dc:creator>
  <cp:keywords/>
  <dc:description/>
  <cp:lastModifiedBy>Gerald Admin 1</cp:lastModifiedBy>
  <cp:revision/>
  <dcterms:created xsi:type="dcterms:W3CDTF">2025-08-21T03:28:09Z</dcterms:created>
  <dcterms:modified xsi:type="dcterms:W3CDTF">2026-06-15T04:53:04Z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2025-08-21T03:28:19Z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892c4180-905f-42c1-b66e-d380e9ff088b</vt:lpwstr>
  </property>
  <property fmtid="{D5CDD505-2E9C-101B-9397-08002B2CF9AE}" pid="7" name="MSIP_Label_defa4170-0d19-0005-0004-bc88714345d2_ActionId">
    <vt:lpwstr>3114dcfa-1aae-48d3-8c49-fdf0edeac4f2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0x010100DA860EFF01533E48BBDD77F9E0EE2485</vt:lpwstr>
  </property>
  <property fmtid="{D5CDD505-2E9C-101B-9397-08002B2CF9AE}" pid="11" name="Estado">
    <vt:lpwstr/>
  </property>
  <property fmtid="{D5CDD505-2E9C-101B-9397-08002B2CF9AE}" pid="12" name="MediaServiceImageTags">
    <vt:lpwstr/>
  </property>
</Properties>
</file>